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6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2021 CoS\Interrogatories\Pre-Settlement Clarification Questions\VECC\CQ-3-VECC-79\Attachments\"/>
    </mc:Choice>
  </mc:AlternateContent>
  <xr:revisionPtr revIDLastSave="0" documentId="13_ncr:1_{B8C57652-965E-46E3-8D40-7EEC78028C0F}" xr6:coauthVersionLast="46" xr6:coauthVersionMax="46" xr10:uidLastSave="{00000000-0000-0000-0000-000000000000}"/>
  <bookViews>
    <workbookView xWindow="19080" yWindow="-120" windowWidth="19440" windowHeight="15000" tabRatio="879" firstSheet="19" activeTab="22" xr2:uid="{00000000-000D-0000-FFFF-FFFF00000000}"/>
  </bookViews>
  <sheets>
    <sheet name="Monthly Data" sheetId="1" r:id="rId1"/>
    <sheet name="Economic" sheetId="65" r:id="rId2"/>
    <sheet name="Monthly Data (to June 2020)" sheetId="54" r:id="rId3"/>
    <sheet name="Economic (2020 Adj.)" sheetId="2" r:id="rId4"/>
    <sheet name="Weather" sheetId="4" r:id="rId5"/>
    <sheet name="CDM" sheetId="5" r:id="rId6"/>
    <sheet name="Res PW" sheetId="27" r:id="rId7"/>
    <sheet name="Res Predicted Monthly" sheetId="28" r:id="rId8"/>
    <sheet name="GS&lt;50 PW" sheetId="29" r:id="rId9"/>
    <sheet name="GS&lt;50 Predicted Monthly" sheetId="30" r:id="rId10"/>
    <sheet name="GS&gt;50 PW" sheetId="31" r:id="rId11"/>
    <sheet name="GS&gt;50 Predicted Monthly" sheetId="32" r:id="rId12"/>
    <sheet name="Model Summary" sheetId="15" r:id="rId13"/>
    <sheet name="Res Normalized Monthly Avg" sheetId="38" r:id="rId14"/>
    <sheet name="GS&lt;50 Normalized Monthly Avg" sheetId="34" r:id="rId15"/>
    <sheet name="GS&gt;50 Normalized Monthly Avg" sheetId="36" r:id="rId16"/>
    <sheet name="Normalized Annual Summary" sheetId="17" r:id="rId17"/>
    <sheet name="Customer Count" sheetId="23" r:id="rId18"/>
    <sheet name="kW Forecast" sheetId="24" r:id="rId19"/>
    <sheet name="kW Forecast (Weather Normal)" sheetId="57" r:id="rId20"/>
    <sheet name="CDM Adjustment" sheetId="26" r:id="rId21"/>
    <sheet name="Summary Tables" sheetId="25" r:id="rId22"/>
    <sheet name="Summary Tables (Weather Normal)" sheetId="56" r:id="rId23"/>
    <sheet name="Res Normalized Monthly Avg Tr" sheetId="58" r:id="rId24"/>
    <sheet name="GS&lt;50 Normalized Monthly Av Tr" sheetId="59" r:id="rId25"/>
    <sheet name="GS&gt;50 Normalized Monthly Av Tr" sheetId="60" r:id="rId26"/>
    <sheet name="Normalized Annual Summary Tr" sheetId="61" r:id="rId27"/>
    <sheet name="kW Forecast Tr" sheetId="62" r:id="rId28"/>
    <sheet name="Summary Tables Tr" sheetId="63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5" l="1"/>
  <c r="L21" i="5"/>
  <c r="M21" i="5"/>
  <c r="N21" i="5"/>
  <c r="K22" i="5"/>
  <c r="L22" i="5"/>
  <c r="M22" i="5"/>
  <c r="N22" i="5"/>
  <c r="K23" i="5"/>
  <c r="L23" i="5"/>
  <c r="M23" i="5"/>
  <c r="N23" i="5"/>
  <c r="J22" i="5"/>
  <c r="H15" i="17" s="1"/>
  <c r="J23" i="5"/>
  <c r="H16" i="17" s="1"/>
  <c r="J21" i="5"/>
  <c r="Q15" i="17"/>
  <c r="Q16" i="17"/>
  <c r="Z15" i="17"/>
  <c r="Z16" i="17"/>
  <c r="K14" i="5"/>
  <c r="K15" i="5"/>
  <c r="S39" i="2" l="1"/>
  <c r="S40" i="2"/>
  <c r="R140" i="2"/>
  <c r="C146" i="2"/>
  <c r="C141" i="2"/>
  <c r="D147" i="65"/>
  <c r="H135" i="36"/>
  <c r="H136" i="36"/>
  <c r="H137" i="36"/>
  <c r="H138" i="36"/>
  <c r="H139" i="36"/>
  <c r="H140" i="36"/>
  <c r="H141" i="36"/>
  <c r="H142" i="36"/>
  <c r="H143" i="36"/>
  <c r="H144" i="36"/>
  <c r="H145" i="36"/>
  <c r="H134" i="36"/>
  <c r="H135" i="34"/>
  <c r="H136" i="34"/>
  <c r="H137" i="34"/>
  <c r="H138" i="34"/>
  <c r="H139" i="34"/>
  <c r="H140" i="34"/>
  <c r="H141" i="34"/>
  <c r="H142" i="34"/>
  <c r="H143" i="34"/>
  <c r="H144" i="34"/>
  <c r="H145" i="34"/>
  <c r="H134" i="34"/>
  <c r="R44" i="2" a="1"/>
  <c r="R44" i="2" s="1"/>
  <c r="Q45" i="2"/>
  <c r="R137" i="2"/>
  <c r="R134" i="2"/>
  <c r="E147" i="65"/>
  <c r="F147" i="65"/>
  <c r="G147" i="65"/>
  <c r="H147" i="65"/>
  <c r="I147" i="65"/>
  <c r="D148" i="65"/>
  <c r="E148" i="65"/>
  <c r="F148" i="65"/>
  <c r="G148" i="65"/>
  <c r="H148" i="65"/>
  <c r="I148" i="65"/>
  <c r="D149" i="65"/>
  <c r="E149" i="65"/>
  <c r="F149" i="65"/>
  <c r="G149" i="65"/>
  <c r="H149" i="65"/>
  <c r="I149" i="65"/>
  <c r="D150" i="65"/>
  <c r="E150" i="65"/>
  <c r="F150" i="65"/>
  <c r="G150" i="65"/>
  <c r="H150" i="65"/>
  <c r="I150" i="65"/>
  <c r="D151" i="65"/>
  <c r="E151" i="65"/>
  <c r="F151" i="65"/>
  <c r="G151" i="65"/>
  <c r="H151" i="65"/>
  <c r="I151" i="65"/>
  <c r="D152" i="65"/>
  <c r="E152" i="65"/>
  <c r="F152" i="65"/>
  <c r="G152" i="65"/>
  <c r="H152" i="65"/>
  <c r="I152" i="65"/>
  <c r="D153" i="65"/>
  <c r="E153" i="65"/>
  <c r="F153" i="65"/>
  <c r="G153" i="65"/>
  <c r="H153" i="65"/>
  <c r="I153" i="65"/>
  <c r="D154" i="65"/>
  <c r="E154" i="65"/>
  <c r="F154" i="65"/>
  <c r="G154" i="65"/>
  <c r="H154" i="65"/>
  <c r="I154" i="65"/>
  <c r="D155" i="65"/>
  <c r="E155" i="65"/>
  <c r="F155" i="65"/>
  <c r="G155" i="65"/>
  <c r="H155" i="65"/>
  <c r="I155" i="65"/>
  <c r="D156" i="65"/>
  <c r="E156" i="65"/>
  <c r="F156" i="65"/>
  <c r="G156" i="65"/>
  <c r="H156" i="65"/>
  <c r="I156" i="65"/>
  <c r="D157" i="65"/>
  <c r="E157" i="65"/>
  <c r="F157" i="65"/>
  <c r="G157" i="65"/>
  <c r="H157" i="65"/>
  <c r="I157" i="65"/>
  <c r="E146" i="65"/>
  <c r="F146" i="65"/>
  <c r="G146" i="65"/>
  <c r="H146" i="65"/>
  <c r="I146" i="65"/>
  <c r="D146" i="65"/>
  <c r="D147" i="2"/>
  <c r="E147" i="2"/>
  <c r="F147" i="2"/>
  <c r="G147" i="2"/>
  <c r="H147" i="2"/>
  <c r="I147" i="2"/>
  <c r="D148" i="2"/>
  <c r="E148" i="2"/>
  <c r="F148" i="2"/>
  <c r="G148" i="2"/>
  <c r="H148" i="2"/>
  <c r="I148" i="2"/>
  <c r="D149" i="2"/>
  <c r="E149" i="2"/>
  <c r="F149" i="2"/>
  <c r="G149" i="2"/>
  <c r="H149" i="2"/>
  <c r="I149" i="2"/>
  <c r="D150" i="2"/>
  <c r="E150" i="2"/>
  <c r="F150" i="2"/>
  <c r="G150" i="2"/>
  <c r="H150" i="2"/>
  <c r="I150" i="2"/>
  <c r="D151" i="2"/>
  <c r="E151" i="2"/>
  <c r="F151" i="2"/>
  <c r="G151" i="2"/>
  <c r="H151" i="2"/>
  <c r="I151" i="2"/>
  <c r="D152" i="2"/>
  <c r="E152" i="2"/>
  <c r="F152" i="2"/>
  <c r="G152" i="2"/>
  <c r="H152" i="2"/>
  <c r="I152" i="2"/>
  <c r="D153" i="2"/>
  <c r="E153" i="2"/>
  <c r="F153" i="2"/>
  <c r="G153" i="2"/>
  <c r="H153" i="2"/>
  <c r="I153" i="2"/>
  <c r="D154" i="2"/>
  <c r="E154" i="2"/>
  <c r="F154" i="2"/>
  <c r="G154" i="2"/>
  <c r="H154" i="2"/>
  <c r="I154" i="2"/>
  <c r="D155" i="2"/>
  <c r="E155" i="2"/>
  <c r="F155" i="2"/>
  <c r="G155" i="2"/>
  <c r="H155" i="2"/>
  <c r="I155" i="2"/>
  <c r="D156" i="2"/>
  <c r="E156" i="2"/>
  <c r="F156" i="2"/>
  <c r="G156" i="2"/>
  <c r="H156" i="2"/>
  <c r="I156" i="2"/>
  <c r="D157" i="2"/>
  <c r="E157" i="2"/>
  <c r="F157" i="2"/>
  <c r="G157" i="2"/>
  <c r="H157" i="2"/>
  <c r="I157" i="2"/>
  <c r="D146" i="2"/>
  <c r="E146" i="2"/>
  <c r="G146" i="2"/>
  <c r="H146" i="2"/>
  <c r="I146" i="2"/>
  <c r="F146" i="2"/>
  <c r="F141" i="2"/>
  <c r="E4" i="30"/>
  <c r="F4" i="30"/>
  <c r="E5" i="30"/>
  <c r="F5" i="30"/>
  <c r="E6" i="30"/>
  <c r="F6" i="30"/>
  <c r="E7" i="30"/>
  <c r="F7" i="30"/>
  <c r="E8" i="30"/>
  <c r="F8" i="30"/>
  <c r="E9" i="30"/>
  <c r="F9" i="30"/>
  <c r="E10" i="30"/>
  <c r="F10" i="30"/>
  <c r="E11" i="30"/>
  <c r="F11" i="30"/>
  <c r="E12" i="30"/>
  <c r="F12" i="30"/>
  <c r="E13" i="30"/>
  <c r="F13" i="30"/>
  <c r="E14" i="30"/>
  <c r="F14" i="30"/>
  <c r="E15" i="30"/>
  <c r="F15" i="30"/>
  <c r="E16" i="30"/>
  <c r="F16" i="30"/>
  <c r="E17" i="30"/>
  <c r="F17" i="30"/>
  <c r="E18" i="30"/>
  <c r="F18" i="30"/>
  <c r="E19" i="30"/>
  <c r="F19" i="30"/>
  <c r="E20" i="30"/>
  <c r="F20" i="30"/>
  <c r="E21" i="30"/>
  <c r="F21" i="30"/>
  <c r="E22" i="30"/>
  <c r="F22" i="30"/>
  <c r="E23" i="30"/>
  <c r="F23" i="30"/>
  <c r="E24" i="30"/>
  <c r="F24" i="30"/>
  <c r="E25" i="30"/>
  <c r="F25" i="30"/>
  <c r="E26" i="30"/>
  <c r="F26" i="30"/>
  <c r="E27" i="30"/>
  <c r="F27" i="30"/>
  <c r="E28" i="30"/>
  <c r="F28" i="30"/>
  <c r="E29" i="30"/>
  <c r="F29" i="30"/>
  <c r="E30" i="30"/>
  <c r="F30" i="30"/>
  <c r="E31" i="30"/>
  <c r="F31" i="30"/>
  <c r="E32" i="30"/>
  <c r="F32" i="30"/>
  <c r="E33" i="30"/>
  <c r="F33" i="30"/>
  <c r="E34" i="30"/>
  <c r="F34" i="30"/>
  <c r="E35" i="30"/>
  <c r="F35" i="30"/>
  <c r="E36" i="30"/>
  <c r="F36" i="30"/>
  <c r="E37" i="30"/>
  <c r="F37" i="30"/>
  <c r="E38" i="30"/>
  <c r="F38" i="30"/>
  <c r="E39" i="30"/>
  <c r="F39" i="30"/>
  <c r="E40" i="30"/>
  <c r="F40" i="30"/>
  <c r="E41" i="30"/>
  <c r="F41" i="30"/>
  <c r="E42" i="30"/>
  <c r="F42" i="30"/>
  <c r="E43" i="30"/>
  <c r="F43" i="30"/>
  <c r="E44" i="30"/>
  <c r="F44" i="30"/>
  <c r="E45" i="30"/>
  <c r="F45" i="30"/>
  <c r="E46" i="30"/>
  <c r="F46" i="30"/>
  <c r="E47" i="30"/>
  <c r="F47" i="30"/>
  <c r="E48" i="30"/>
  <c r="F48" i="30"/>
  <c r="E49" i="30"/>
  <c r="F49" i="30"/>
  <c r="E50" i="30"/>
  <c r="F50" i="30"/>
  <c r="E51" i="30"/>
  <c r="F51" i="30"/>
  <c r="E52" i="30"/>
  <c r="F52" i="30"/>
  <c r="E53" i="30"/>
  <c r="F53" i="30"/>
  <c r="E54" i="30"/>
  <c r="F54" i="30"/>
  <c r="E55" i="30"/>
  <c r="F55" i="30"/>
  <c r="E56" i="30"/>
  <c r="F56" i="30"/>
  <c r="E57" i="30"/>
  <c r="F57" i="30"/>
  <c r="E58" i="30"/>
  <c r="F58" i="30"/>
  <c r="E59" i="30"/>
  <c r="F59" i="30"/>
  <c r="E60" i="30"/>
  <c r="F60" i="30"/>
  <c r="E61" i="30"/>
  <c r="F61" i="30"/>
  <c r="E62" i="30"/>
  <c r="F62" i="30"/>
  <c r="E63" i="30"/>
  <c r="F63" i="30"/>
  <c r="E64" i="30"/>
  <c r="F64" i="30"/>
  <c r="E65" i="30"/>
  <c r="F65" i="30"/>
  <c r="E66" i="30"/>
  <c r="F66" i="30"/>
  <c r="E67" i="30"/>
  <c r="F67" i="30"/>
  <c r="E68" i="30"/>
  <c r="F68" i="30"/>
  <c r="E69" i="30"/>
  <c r="F69" i="30"/>
  <c r="E70" i="30"/>
  <c r="F70" i="30"/>
  <c r="E71" i="30"/>
  <c r="F71" i="30"/>
  <c r="E72" i="30"/>
  <c r="F72" i="30"/>
  <c r="E73" i="30"/>
  <c r="F73" i="30"/>
  <c r="E74" i="30"/>
  <c r="F74" i="30"/>
  <c r="E75" i="30"/>
  <c r="F75" i="30"/>
  <c r="E76" i="30"/>
  <c r="F76" i="30"/>
  <c r="E77" i="30"/>
  <c r="F77" i="30"/>
  <c r="E78" i="30"/>
  <c r="F78" i="30"/>
  <c r="E79" i="30"/>
  <c r="F79" i="30"/>
  <c r="E80" i="30"/>
  <c r="F80" i="30"/>
  <c r="E81" i="30"/>
  <c r="F81" i="30"/>
  <c r="E82" i="30"/>
  <c r="F82" i="30"/>
  <c r="E83" i="30"/>
  <c r="F83" i="30"/>
  <c r="E84" i="30"/>
  <c r="F84" i="30"/>
  <c r="E85" i="30"/>
  <c r="F85" i="30"/>
  <c r="E86" i="30"/>
  <c r="F86" i="30"/>
  <c r="E87" i="30"/>
  <c r="F87" i="30"/>
  <c r="E88" i="30"/>
  <c r="F88" i="30"/>
  <c r="E89" i="30"/>
  <c r="F89" i="30"/>
  <c r="E90" i="30"/>
  <c r="F90" i="30"/>
  <c r="E91" i="30"/>
  <c r="F91" i="30"/>
  <c r="E92" i="30"/>
  <c r="F92" i="30"/>
  <c r="E93" i="30"/>
  <c r="F93" i="30"/>
  <c r="E94" i="30"/>
  <c r="F94" i="30"/>
  <c r="E95" i="30"/>
  <c r="F95" i="30"/>
  <c r="E96" i="30"/>
  <c r="F96" i="30"/>
  <c r="E97" i="30"/>
  <c r="F97" i="30"/>
  <c r="E98" i="30"/>
  <c r="F98" i="30"/>
  <c r="E99" i="30"/>
  <c r="F99" i="30"/>
  <c r="E100" i="30"/>
  <c r="F100" i="30"/>
  <c r="E101" i="30"/>
  <c r="F101" i="30"/>
  <c r="E102" i="30"/>
  <c r="F102" i="30"/>
  <c r="E103" i="30"/>
  <c r="F103" i="30"/>
  <c r="E104" i="30"/>
  <c r="F104" i="30"/>
  <c r="E105" i="30"/>
  <c r="F105" i="30"/>
  <c r="E106" i="30"/>
  <c r="F106" i="30"/>
  <c r="E107" i="30"/>
  <c r="F107" i="30"/>
  <c r="E108" i="30"/>
  <c r="F108" i="30"/>
  <c r="E109" i="30"/>
  <c r="F109" i="30"/>
  <c r="E110" i="30"/>
  <c r="F110" i="30"/>
  <c r="E111" i="30"/>
  <c r="F111" i="30"/>
  <c r="E112" i="30"/>
  <c r="F112" i="30"/>
  <c r="E113" i="30"/>
  <c r="F113" i="30"/>
  <c r="E114" i="30"/>
  <c r="F114" i="30"/>
  <c r="E115" i="30"/>
  <c r="F115" i="30"/>
  <c r="E116" i="30"/>
  <c r="F116" i="30"/>
  <c r="E117" i="30"/>
  <c r="F117" i="30"/>
  <c r="E118" i="30"/>
  <c r="F118" i="30"/>
  <c r="E119" i="30"/>
  <c r="F119" i="30"/>
  <c r="E120" i="30"/>
  <c r="F120" i="30"/>
  <c r="E121" i="30"/>
  <c r="F121" i="30"/>
  <c r="L2" i="30"/>
  <c r="K4" i="30"/>
  <c r="H3" i="30"/>
  <c r="H4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H65" i="30"/>
  <c r="H66" i="30"/>
  <c r="H67" i="30"/>
  <c r="H68" i="30"/>
  <c r="H69" i="30"/>
  <c r="H70" i="30"/>
  <c r="H71" i="30"/>
  <c r="H72" i="30"/>
  <c r="H73" i="30"/>
  <c r="H74" i="30"/>
  <c r="H75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H111" i="30"/>
  <c r="H112" i="30"/>
  <c r="H113" i="30"/>
  <c r="H114" i="30"/>
  <c r="H115" i="30"/>
  <c r="H116" i="30"/>
  <c r="H117" i="30"/>
  <c r="H118" i="30"/>
  <c r="H119" i="30"/>
  <c r="H120" i="30"/>
  <c r="H121" i="30"/>
  <c r="X146" i="2"/>
  <c r="W146" i="2"/>
  <c r="C265" i="4"/>
  <c r="B265" i="4"/>
  <c r="C264" i="4"/>
  <c r="B264" i="4"/>
  <c r="C263" i="4"/>
  <c r="B263" i="4"/>
  <c r="C262" i="4"/>
  <c r="B262" i="4"/>
  <c r="C261" i="4"/>
  <c r="B261" i="4"/>
  <c r="C260" i="4"/>
  <c r="B260" i="4"/>
  <c r="C259" i="4"/>
  <c r="B259" i="4"/>
  <c r="C258" i="4"/>
  <c r="B258" i="4"/>
  <c r="C257" i="4"/>
  <c r="B257" i="4"/>
  <c r="C256" i="4"/>
  <c r="B256" i="4"/>
  <c r="C255" i="4"/>
  <c r="B255" i="4"/>
  <c r="C254" i="4"/>
  <c r="B254" i="4"/>
  <c r="X147" i="2"/>
  <c r="Y147" i="2"/>
  <c r="Z147" i="2"/>
  <c r="AA147" i="2"/>
  <c r="AB147" i="2"/>
  <c r="AC147" i="2"/>
  <c r="X148" i="2"/>
  <c r="Y148" i="2"/>
  <c r="Z148" i="2"/>
  <c r="AA148" i="2"/>
  <c r="AB148" i="2"/>
  <c r="AC148" i="2"/>
  <c r="X149" i="2"/>
  <c r="Y149" i="2"/>
  <c r="Z149" i="2"/>
  <c r="AA149" i="2"/>
  <c r="AB149" i="2"/>
  <c r="AC149" i="2"/>
  <c r="X150" i="2"/>
  <c r="Y150" i="2"/>
  <c r="Z150" i="2"/>
  <c r="AA150" i="2"/>
  <c r="AB150" i="2"/>
  <c r="AC150" i="2"/>
  <c r="X151" i="2"/>
  <c r="Y151" i="2"/>
  <c r="Z151" i="2"/>
  <c r="AA151" i="2"/>
  <c r="AB151" i="2"/>
  <c r="AC151" i="2"/>
  <c r="X152" i="2"/>
  <c r="Y152" i="2"/>
  <c r="Z152" i="2"/>
  <c r="AA152" i="2"/>
  <c r="AB152" i="2"/>
  <c r="AC152" i="2"/>
  <c r="X153" i="2"/>
  <c r="Y153" i="2"/>
  <c r="Z153" i="2"/>
  <c r="AA153" i="2"/>
  <c r="AB153" i="2"/>
  <c r="AC153" i="2"/>
  <c r="X154" i="2"/>
  <c r="Y154" i="2"/>
  <c r="Z154" i="2"/>
  <c r="AA154" i="2"/>
  <c r="AB154" i="2"/>
  <c r="AC154" i="2"/>
  <c r="X155" i="2"/>
  <c r="Y155" i="2"/>
  <c r="Z155" i="2"/>
  <c r="AA155" i="2"/>
  <c r="AB155" i="2"/>
  <c r="AC155" i="2"/>
  <c r="X156" i="2"/>
  <c r="Y156" i="2"/>
  <c r="Z156" i="2"/>
  <c r="AA156" i="2"/>
  <c r="AB156" i="2"/>
  <c r="AC156" i="2"/>
  <c r="X157" i="2"/>
  <c r="Y157" i="2"/>
  <c r="Z157" i="2"/>
  <c r="AA157" i="2"/>
  <c r="AB157" i="2"/>
  <c r="AC157" i="2"/>
  <c r="Y146" i="2"/>
  <c r="Z146" i="2"/>
  <c r="AA146" i="2"/>
  <c r="AB146" i="2"/>
  <c r="AC146" i="2"/>
  <c r="X134" i="2"/>
  <c r="B157" i="65" l="1"/>
  <c r="B156" i="65"/>
  <c r="B155" i="65"/>
  <c r="B154" i="65"/>
  <c r="B153" i="65"/>
  <c r="B152" i="65"/>
  <c r="B151" i="65"/>
  <c r="B150" i="65"/>
  <c r="B149" i="65"/>
  <c r="B148" i="65"/>
  <c r="B147" i="65"/>
  <c r="B146" i="65"/>
  <c r="B145" i="65"/>
  <c r="B144" i="65"/>
  <c r="B143" i="65"/>
  <c r="B142" i="65"/>
  <c r="B141" i="65"/>
  <c r="B140" i="65"/>
  <c r="B139" i="65"/>
  <c r="B138" i="65"/>
  <c r="B137" i="65"/>
  <c r="B136" i="65"/>
  <c r="B135" i="65"/>
  <c r="B134" i="65"/>
  <c r="B133" i="65"/>
  <c r="B132" i="65"/>
  <c r="B131" i="65"/>
  <c r="B130" i="65"/>
  <c r="B129" i="65"/>
  <c r="B128" i="65"/>
  <c r="B127" i="65"/>
  <c r="B126" i="65"/>
  <c r="B125" i="65"/>
  <c r="B124" i="65"/>
  <c r="B123" i="65"/>
  <c r="B122" i="65"/>
  <c r="B121" i="65"/>
  <c r="B120" i="65"/>
  <c r="B119" i="65"/>
  <c r="B118" i="65"/>
  <c r="B117" i="65"/>
  <c r="B116" i="65"/>
  <c r="B115" i="65"/>
  <c r="B114" i="65"/>
  <c r="B113" i="65"/>
  <c r="B112" i="65"/>
  <c r="B111" i="65"/>
  <c r="B110" i="65"/>
  <c r="B109" i="65"/>
  <c r="B108" i="65"/>
  <c r="B107" i="65"/>
  <c r="B106" i="65"/>
  <c r="B105" i="65"/>
  <c r="B104" i="65"/>
  <c r="B103" i="65"/>
  <c r="B102" i="65"/>
  <c r="B101" i="65"/>
  <c r="B100" i="65"/>
  <c r="B99" i="65"/>
  <c r="B98" i="65"/>
  <c r="B97" i="65"/>
  <c r="B96" i="65"/>
  <c r="B95" i="65"/>
  <c r="B94" i="65"/>
  <c r="B93" i="65"/>
  <c r="B92" i="65"/>
  <c r="B91" i="65"/>
  <c r="B90" i="65"/>
  <c r="B89" i="65"/>
  <c r="B88" i="65"/>
  <c r="B87" i="65"/>
  <c r="B86" i="65"/>
  <c r="B85" i="65"/>
  <c r="B84" i="65"/>
  <c r="B83" i="65"/>
  <c r="B82" i="65"/>
  <c r="B81" i="65"/>
  <c r="B80" i="65"/>
  <c r="B79" i="65"/>
  <c r="B78" i="65"/>
  <c r="B77" i="65"/>
  <c r="B76" i="65"/>
  <c r="B75" i="65"/>
  <c r="B74" i="65"/>
  <c r="B73" i="65"/>
  <c r="B72" i="65"/>
  <c r="B71" i="65"/>
  <c r="B70" i="65"/>
  <c r="B69" i="65"/>
  <c r="B68" i="65"/>
  <c r="B67" i="65"/>
  <c r="B66" i="65"/>
  <c r="B65" i="65"/>
  <c r="B64" i="65"/>
  <c r="B63" i="65"/>
  <c r="B62" i="65"/>
  <c r="B61" i="65"/>
  <c r="B60" i="65"/>
  <c r="B59" i="65"/>
  <c r="B58" i="65"/>
  <c r="B57" i="65"/>
  <c r="B56" i="65"/>
  <c r="B55" i="65"/>
  <c r="B54" i="65"/>
  <c r="B53" i="65"/>
  <c r="B52" i="65"/>
  <c r="B51" i="65"/>
  <c r="B50" i="65"/>
  <c r="B49" i="65"/>
  <c r="B48" i="65"/>
  <c r="B47" i="65"/>
  <c r="B46" i="65"/>
  <c r="B45" i="65"/>
  <c r="B44" i="65"/>
  <c r="B43" i="65"/>
  <c r="B42" i="65"/>
  <c r="B41" i="65"/>
  <c r="B40" i="65"/>
  <c r="B39" i="65"/>
  <c r="B38" i="65"/>
  <c r="B37" i="65"/>
  <c r="B36" i="65"/>
  <c r="B35" i="65"/>
  <c r="B34" i="65"/>
  <c r="B33" i="65"/>
  <c r="B32" i="65"/>
  <c r="B31" i="65"/>
  <c r="B30" i="65"/>
  <c r="B29" i="65"/>
  <c r="B28" i="65"/>
  <c r="B27" i="65"/>
  <c r="B26" i="65"/>
  <c r="B25" i="65"/>
  <c r="B24" i="65"/>
  <c r="B23" i="65"/>
  <c r="B22" i="65"/>
  <c r="B21" i="65"/>
  <c r="B20" i="65"/>
  <c r="B19" i="65"/>
  <c r="B18" i="65"/>
  <c r="B17" i="65"/>
  <c r="B16" i="65"/>
  <c r="B15" i="65"/>
  <c r="P14" i="65"/>
  <c r="B14" i="65"/>
  <c r="M13" i="65"/>
  <c r="P13" i="65" s="1"/>
  <c r="C136" i="65" s="1"/>
  <c r="B13" i="65"/>
  <c r="P12" i="65"/>
  <c r="B12" i="65"/>
  <c r="B11" i="65"/>
  <c r="B10" i="65"/>
  <c r="P9" i="65"/>
  <c r="B9" i="65"/>
  <c r="P8" i="65"/>
  <c r="H145" i="65" s="1"/>
  <c r="B8" i="65"/>
  <c r="P7" i="65"/>
  <c r="B7" i="65"/>
  <c r="B6" i="65"/>
  <c r="B5" i="65"/>
  <c r="B4" i="65"/>
  <c r="B3" i="65"/>
  <c r="B2" i="65"/>
  <c r="C148" i="65" l="1"/>
  <c r="G142" i="65"/>
  <c r="F144" i="65"/>
  <c r="D141" i="65"/>
  <c r="H141" i="65"/>
  <c r="F143" i="65"/>
  <c r="D145" i="65"/>
  <c r="C144" i="65"/>
  <c r="C156" i="65" s="1"/>
  <c r="C145" i="65"/>
  <c r="C157" i="65" s="1"/>
  <c r="C141" i="65"/>
  <c r="C153" i="65" s="1"/>
  <c r="C137" i="65"/>
  <c r="C149" i="65" s="1"/>
  <c r="C142" i="65"/>
  <c r="C154" i="65" s="1"/>
  <c r="C138" i="65"/>
  <c r="C150" i="65" s="1"/>
  <c r="C134" i="65"/>
  <c r="C146" i="65" s="1"/>
  <c r="C143" i="65"/>
  <c r="C155" i="65" s="1"/>
  <c r="C139" i="65"/>
  <c r="C151" i="65" s="1"/>
  <c r="C135" i="65"/>
  <c r="C147" i="65" s="1"/>
  <c r="C140" i="65"/>
  <c r="C152" i="65" s="1"/>
  <c r="E141" i="65"/>
  <c r="I141" i="65"/>
  <c r="D142" i="65"/>
  <c r="H142" i="65"/>
  <c r="G143" i="65"/>
  <c r="I144" i="65"/>
  <c r="E145" i="65"/>
  <c r="F141" i="65"/>
  <c r="E142" i="65"/>
  <c r="I142" i="65"/>
  <c r="D143" i="65"/>
  <c r="I143" i="65"/>
  <c r="F145" i="65"/>
  <c r="G144" i="65"/>
  <c r="H143" i="65"/>
  <c r="G145" i="65"/>
  <c r="H144" i="65"/>
  <c r="D144" i="65"/>
  <c r="G141" i="65"/>
  <c r="F142" i="65"/>
  <c r="E143" i="65"/>
  <c r="E144" i="65"/>
  <c r="I145" i="65"/>
  <c r="B37" i="63" l="1"/>
  <c r="B36" i="63"/>
  <c r="B35" i="63"/>
  <c r="B34" i="63"/>
  <c r="B33" i="63"/>
  <c r="B28" i="63"/>
  <c r="B27" i="63"/>
  <c r="B16" i="63"/>
  <c r="B15" i="63"/>
  <c r="B14" i="63"/>
  <c r="B13" i="63"/>
  <c r="B12" i="63"/>
  <c r="H6" i="62"/>
  <c r="H7" i="62" s="1"/>
  <c r="B6" i="62"/>
  <c r="B7" i="62" s="1"/>
  <c r="AJ16" i="61"/>
  <c r="AJ15" i="61"/>
  <c r="AJ14" i="61"/>
  <c r="AJ13" i="61"/>
  <c r="AM6" i="61"/>
  <c r="AC6" i="61"/>
  <c r="T6" i="61"/>
  <c r="K6" i="61"/>
  <c r="K7" i="61" s="1"/>
  <c r="K8" i="61" s="1"/>
  <c r="B6" i="61"/>
  <c r="L145" i="60"/>
  <c r="C145" i="60"/>
  <c r="B145" i="60"/>
  <c r="L144" i="60"/>
  <c r="C144" i="60"/>
  <c r="B144" i="60"/>
  <c r="L143" i="60"/>
  <c r="C143" i="60"/>
  <c r="B143" i="60"/>
  <c r="L142" i="60"/>
  <c r="C142" i="60"/>
  <c r="B142" i="60"/>
  <c r="L141" i="60"/>
  <c r="C141" i="60"/>
  <c r="B141" i="60"/>
  <c r="L140" i="60"/>
  <c r="C140" i="60"/>
  <c r="B140" i="60"/>
  <c r="L139" i="60"/>
  <c r="C139" i="60"/>
  <c r="B139" i="60"/>
  <c r="L138" i="60"/>
  <c r="C138" i="60"/>
  <c r="B138" i="60"/>
  <c r="S137" i="60"/>
  <c r="L137" i="60"/>
  <c r="C137" i="60"/>
  <c r="B137" i="60"/>
  <c r="L136" i="60"/>
  <c r="C136" i="60"/>
  <c r="B136" i="60"/>
  <c r="S135" i="60"/>
  <c r="L135" i="60"/>
  <c r="C135" i="60"/>
  <c r="B135" i="60"/>
  <c r="R134" i="60"/>
  <c r="L134" i="60"/>
  <c r="C134" i="60"/>
  <c r="B134" i="60"/>
  <c r="S133" i="60"/>
  <c r="L133" i="60"/>
  <c r="C133" i="60"/>
  <c r="B133" i="60"/>
  <c r="L132" i="60"/>
  <c r="C132" i="60"/>
  <c r="B132" i="60"/>
  <c r="L131" i="60"/>
  <c r="C131" i="60"/>
  <c r="B131" i="60"/>
  <c r="L130" i="60"/>
  <c r="C130" i="60"/>
  <c r="B130" i="60"/>
  <c r="L129" i="60"/>
  <c r="C129" i="60"/>
  <c r="B129" i="60"/>
  <c r="L128" i="60"/>
  <c r="C128" i="60"/>
  <c r="B128" i="60"/>
  <c r="L127" i="60"/>
  <c r="C127" i="60"/>
  <c r="B127" i="60"/>
  <c r="L126" i="60"/>
  <c r="J126" i="60"/>
  <c r="Q126" i="60" s="1"/>
  <c r="C126" i="60"/>
  <c r="B126" i="60"/>
  <c r="L125" i="60"/>
  <c r="J125" i="60"/>
  <c r="J137" i="60" s="1"/>
  <c r="Q137" i="60" s="1"/>
  <c r="C125" i="60"/>
  <c r="B125" i="60"/>
  <c r="L124" i="60"/>
  <c r="C124" i="60"/>
  <c r="B124" i="60"/>
  <c r="L123" i="60"/>
  <c r="C123" i="60"/>
  <c r="B123" i="60"/>
  <c r="L122" i="60"/>
  <c r="C122" i="60"/>
  <c r="B122" i="60"/>
  <c r="R121" i="60"/>
  <c r="L121" i="60"/>
  <c r="J121" i="60"/>
  <c r="Q121" i="60" s="1"/>
  <c r="C121" i="60"/>
  <c r="B121" i="60"/>
  <c r="R120" i="60"/>
  <c r="Q120" i="60"/>
  <c r="L120" i="60"/>
  <c r="J120" i="60"/>
  <c r="J132" i="60" s="1"/>
  <c r="Q132" i="60" s="1"/>
  <c r="C120" i="60"/>
  <c r="B120" i="60"/>
  <c r="R119" i="60"/>
  <c r="L119" i="60"/>
  <c r="J119" i="60"/>
  <c r="Q119" i="60" s="1"/>
  <c r="C119" i="60"/>
  <c r="B119" i="60"/>
  <c r="R118" i="60"/>
  <c r="Q118" i="60"/>
  <c r="L118" i="60"/>
  <c r="J118" i="60"/>
  <c r="J130" i="60" s="1"/>
  <c r="C118" i="60"/>
  <c r="B118" i="60"/>
  <c r="R117" i="60"/>
  <c r="L117" i="60"/>
  <c r="J117" i="60"/>
  <c r="Q117" i="60" s="1"/>
  <c r="C117" i="60"/>
  <c r="B117" i="60"/>
  <c r="R116" i="60"/>
  <c r="L116" i="60"/>
  <c r="J116" i="60"/>
  <c r="C116" i="60"/>
  <c r="B116" i="60"/>
  <c r="R115" i="60"/>
  <c r="L115" i="60"/>
  <c r="J115" i="60"/>
  <c r="C115" i="60"/>
  <c r="B115" i="60"/>
  <c r="R114" i="60"/>
  <c r="Q114" i="60"/>
  <c r="L114" i="60"/>
  <c r="J114" i="60"/>
  <c r="C114" i="60"/>
  <c r="B114" i="60"/>
  <c r="R113" i="60"/>
  <c r="L113" i="60"/>
  <c r="J113" i="60"/>
  <c r="Q113" i="60" s="1"/>
  <c r="C113" i="60"/>
  <c r="B113" i="60"/>
  <c r="R112" i="60"/>
  <c r="Q112" i="60"/>
  <c r="L112" i="60"/>
  <c r="J112" i="60"/>
  <c r="J124" i="60" s="1"/>
  <c r="Q124" i="60" s="1"/>
  <c r="C112" i="60"/>
  <c r="B112" i="60"/>
  <c r="R111" i="60"/>
  <c r="L111" i="60"/>
  <c r="J111" i="60"/>
  <c r="J123" i="60" s="1"/>
  <c r="C111" i="60"/>
  <c r="B111" i="60"/>
  <c r="R110" i="60"/>
  <c r="L110" i="60"/>
  <c r="J110" i="60"/>
  <c r="C110" i="60"/>
  <c r="B110" i="60"/>
  <c r="S109" i="60"/>
  <c r="R109" i="60"/>
  <c r="L109" i="60"/>
  <c r="J109" i="60"/>
  <c r="Q109" i="60" s="1"/>
  <c r="C109" i="60"/>
  <c r="B109" i="60"/>
  <c r="S108" i="60"/>
  <c r="R108" i="60"/>
  <c r="L108" i="60"/>
  <c r="J108" i="60"/>
  <c r="Q108" i="60" s="1"/>
  <c r="C108" i="60"/>
  <c r="B108" i="60"/>
  <c r="S107" i="60"/>
  <c r="R107" i="60"/>
  <c r="L107" i="60"/>
  <c r="J107" i="60"/>
  <c r="Q107" i="60" s="1"/>
  <c r="C107" i="60"/>
  <c r="B107" i="60"/>
  <c r="S106" i="60"/>
  <c r="R106" i="60"/>
  <c r="L106" i="60"/>
  <c r="J106" i="60"/>
  <c r="Q106" i="60" s="1"/>
  <c r="B106" i="60"/>
  <c r="A106" i="60"/>
  <c r="C106" i="60" s="1"/>
  <c r="S105" i="60"/>
  <c r="R105" i="60"/>
  <c r="Q105" i="60"/>
  <c r="L105" i="60"/>
  <c r="J105" i="60"/>
  <c r="A105" i="60"/>
  <c r="B105" i="60" s="1"/>
  <c r="S104" i="60"/>
  <c r="R104" i="60"/>
  <c r="L104" i="60"/>
  <c r="J104" i="60"/>
  <c r="Q104" i="60" s="1"/>
  <c r="C104" i="60"/>
  <c r="B104" i="60"/>
  <c r="A104" i="60"/>
  <c r="S103" i="60"/>
  <c r="R103" i="60"/>
  <c r="L103" i="60"/>
  <c r="J103" i="60"/>
  <c r="Q103" i="60" s="1"/>
  <c r="A103" i="60"/>
  <c r="S102" i="60"/>
  <c r="R102" i="60"/>
  <c r="Q102" i="60"/>
  <c r="L102" i="60"/>
  <c r="J102" i="60"/>
  <c r="A102" i="60"/>
  <c r="S101" i="60"/>
  <c r="R101" i="60"/>
  <c r="L101" i="60"/>
  <c r="J101" i="60"/>
  <c r="Q101" i="60" s="1"/>
  <c r="A101" i="60"/>
  <c r="S100" i="60"/>
  <c r="R100" i="60"/>
  <c r="L100" i="60"/>
  <c r="J100" i="60"/>
  <c r="Q100" i="60" s="1"/>
  <c r="C100" i="60"/>
  <c r="A100" i="60"/>
  <c r="B100" i="60" s="1"/>
  <c r="S99" i="60"/>
  <c r="R99" i="60"/>
  <c r="L99" i="60"/>
  <c r="J99" i="60"/>
  <c r="Q99" i="60" s="1"/>
  <c r="A99" i="60"/>
  <c r="C99" i="60" s="1"/>
  <c r="S98" i="60"/>
  <c r="R98" i="60"/>
  <c r="L98" i="60"/>
  <c r="J98" i="60"/>
  <c r="Q98" i="60" s="1"/>
  <c r="A98" i="60"/>
  <c r="S97" i="60"/>
  <c r="S145" i="60" s="1"/>
  <c r="R97" i="60"/>
  <c r="Q97" i="60"/>
  <c r="L97" i="60"/>
  <c r="J97" i="60"/>
  <c r="A97" i="60"/>
  <c r="S96" i="60"/>
  <c r="S144" i="60" s="1"/>
  <c r="R96" i="60"/>
  <c r="Q96" i="60"/>
  <c r="L96" i="60"/>
  <c r="J96" i="60"/>
  <c r="C96" i="60"/>
  <c r="B96" i="60"/>
  <c r="A96" i="60"/>
  <c r="S95" i="60"/>
  <c r="R95" i="60"/>
  <c r="L95" i="60"/>
  <c r="J95" i="60"/>
  <c r="Q95" i="60" s="1"/>
  <c r="A95" i="60"/>
  <c r="S94" i="60"/>
  <c r="S142" i="60" s="1"/>
  <c r="R94" i="60"/>
  <c r="Q94" i="60"/>
  <c r="L94" i="60"/>
  <c r="J94" i="60"/>
  <c r="A94" i="60"/>
  <c r="S93" i="60"/>
  <c r="S141" i="60" s="1"/>
  <c r="R93" i="60"/>
  <c r="L93" i="60"/>
  <c r="J93" i="60"/>
  <c r="Q93" i="60" s="1"/>
  <c r="A93" i="60"/>
  <c r="S92" i="60"/>
  <c r="S140" i="60" s="1"/>
  <c r="R92" i="60"/>
  <c r="L92" i="60"/>
  <c r="J92" i="60"/>
  <c r="Q92" i="60" s="1"/>
  <c r="C92" i="60"/>
  <c r="B92" i="60"/>
  <c r="A92" i="60"/>
  <c r="S91" i="60"/>
  <c r="S139" i="60" s="1"/>
  <c r="R91" i="60"/>
  <c r="L91" i="60"/>
  <c r="J91" i="60"/>
  <c r="Q91" i="60" s="1"/>
  <c r="C91" i="60"/>
  <c r="A91" i="60"/>
  <c r="B91" i="60" s="1"/>
  <c r="S90" i="60"/>
  <c r="S138" i="60" s="1"/>
  <c r="R90" i="60"/>
  <c r="L90" i="60"/>
  <c r="J90" i="60"/>
  <c r="Q90" i="60" s="1"/>
  <c r="A90" i="60"/>
  <c r="C90" i="60" s="1"/>
  <c r="S89" i="60"/>
  <c r="R89" i="60"/>
  <c r="Q89" i="60"/>
  <c r="L89" i="60"/>
  <c r="J89" i="60"/>
  <c r="A89" i="60"/>
  <c r="B89" i="60" s="1"/>
  <c r="S88" i="60"/>
  <c r="S136" i="60" s="1"/>
  <c r="R88" i="60"/>
  <c r="Q88" i="60"/>
  <c r="L88" i="60"/>
  <c r="J88" i="60"/>
  <c r="B88" i="60"/>
  <c r="A88" i="60"/>
  <c r="C88" i="60" s="1"/>
  <c r="S87" i="60"/>
  <c r="R87" i="60"/>
  <c r="L87" i="60"/>
  <c r="J87" i="60"/>
  <c r="Q87" i="60" s="1"/>
  <c r="A87" i="60"/>
  <c r="S86" i="60"/>
  <c r="S134" i="60" s="1"/>
  <c r="R86" i="60"/>
  <c r="L86" i="60"/>
  <c r="J86" i="60"/>
  <c r="Q86" i="60" s="1"/>
  <c r="A86" i="60"/>
  <c r="S85" i="60"/>
  <c r="R85" i="60"/>
  <c r="Q85" i="60"/>
  <c r="L85" i="60"/>
  <c r="J85" i="60"/>
  <c r="A85" i="60"/>
  <c r="S84" i="60"/>
  <c r="S132" i="60" s="1"/>
  <c r="R84" i="60"/>
  <c r="L84" i="60"/>
  <c r="J84" i="60"/>
  <c r="Q84" i="60" s="1"/>
  <c r="A84" i="60"/>
  <c r="C84" i="60" s="1"/>
  <c r="S83" i="60"/>
  <c r="S131" i="60" s="1"/>
  <c r="R83" i="60"/>
  <c r="L83" i="60"/>
  <c r="J83" i="60"/>
  <c r="Q83" i="60" s="1"/>
  <c r="C83" i="60"/>
  <c r="B83" i="60"/>
  <c r="A83" i="60"/>
  <c r="S82" i="60"/>
  <c r="S130" i="60" s="1"/>
  <c r="R82" i="60"/>
  <c r="Q82" i="60"/>
  <c r="L82" i="60"/>
  <c r="J82" i="60"/>
  <c r="A82" i="60"/>
  <c r="S81" i="60"/>
  <c r="S129" i="60" s="1"/>
  <c r="R81" i="60"/>
  <c r="L81" i="60"/>
  <c r="J81" i="60"/>
  <c r="Q81" i="60" s="1"/>
  <c r="A81" i="60"/>
  <c r="S80" i="60"/>
  <c r="R80" i="60"/>
  <c r="L80" i="60"/>
  <c r="J80" i="60"/>
  <c r="Q80" i="60" s="1"/>
  <c r="A80" i="60"/>
  <c r="S79" i="60"/>
  <c r="S127" i="60" s="1"/>
  <c r="R79" i="60"/>
  <c r="L79" i="60"/>
  <c r="J79" i="60"/>
  <c r="Q79" i="60" s="1"/>
  <c r="A79" i="60"/>
  <c r="C79" i="60" s="1"/>
  <c r="S78" i="60"/>
  <c r="S126" i="60" s="1"/>
  <c r="R78" i="60"/>
  <c r="L78" i="60"/>
  <c r="J78" i="60"/>
  <c r="Q78" i="60" s="1"/>
  <c r="A78" i="60"/>
  <c r="S77" i="60"/>
  <c r="S125" i="60" s="1"/>
  <c r="R77" i="60"/>
  <c r="Q77" i="60"/>
  <c r="L77" i="60"/>
  <c r="J77" i="60"/>
  <c r="A77" i="60"/>
  <c r="S76" i="60"/>
  <c r="R76" i="60"/>
  <c r="L76" i="60"/>
  <c r="J76" i="60"/>
  <c r="Q76" i="60" s="1"/>
  <c r="A76" i="60"/>
  <c r="S75" i="60"/>
  <c r="S123" i="60" s="1"/>
  <c r="R75" i="60"/>
  <c r="L75" i="60"/>
  <c r="J75" i="60"/>
  <c r="Q75" i="60" s="1"/>
  <c r="A75" i="60"/>
  <c r="C75" i="60" s="1"/>
  <c r="S74" i="60"/>
  <c r="S122" i="60" s="1"/>
  <c r="R74" i="60"/>
  <c r="Q74" i="60"/>
  <c r="L74" i="60"/>
  <c r="J74" i="60"/>
  <c r="A74" i="60"/>
  <c r="S73" i="60"/>
  <c r="R73" i="60"/>
  <c r="L73" i="60"/>
  <c r="J73" i="60"/>
  <c r="Q73" i="60" s="1"/>
  <c r="A73" i="60"/>
  <c r="B73" i="60" s="1"/>
  <c r="S72" i="60"/>
  <c r="R72" i="60"/>
  <c r="L72" i="60"/>
  <c r="J72" i="60"/>
  <c r="Q72" i="60" s="1"/>
  <c r="C72" i="60"/>
  <c r="A72" i="60"/>
  <c r="B72" i="60" s="1"/>
  <c r="S71" i="60"/>
  <c r="R71" i="60"/>
  <c r="L71" i="60"/>
  <c r="J71" i="60"/>
  <c r="Q71" i="60" s="1"/>
  <c r="B71" i="60"/>
  <c r="A71" i="60"/>
  <c r="C71" i="60" s="1"/>
  <c r="S70" i="60"/>
  <c r="R70" i="60"/>
  <c r="Q70" i="60"/>
  <c r="L70" i="60"/>
  <c r="J70" i="60"/>
  <c r="A70" i="60"/>
  <c r="S69" i="60"/>
  <c r="R69" i="60"/>
  <c r="Q69" i="60"/>
  <c r="L69" i="60"/>
  <c r="J69" i="60"/>
  <c r="A69" i="60"/>
  <c r="S68" i="60"/>
  <c r="R68" i="60"/>
  <c r="L68" i="60"/>
  <c r="J68" i="60"/>
  <c r="Q68" i="60" s="1"/>
  <c r="A68" i="60"/>
  <c r="C68" i="60" s="1"/>
  <c r="S67" i="60"/>
  <c r="R67" i="60"/>
  <c r="L67" i="60"/>
  <c r="J67" i="60"/>
  <c r="Q67" i="60" s="1"/>
  <c r="C67" i="60"/>
  <c r="B67" i="60"/>
  <c r="A67" i="60"/>
  <c r="S66" i="60"/>
  <c r="R66" i="60"/>
  <c r="Q66" i="60"/>
  <c r="L66" i="60"/>
  <c r="J66" i="60"/>
  <c r="A66" i="60"/>
  <c r="S65" i="60"/>
  <c r="R65" i="60"/>
  <c r="L65" i="60"/>
  <c r="J65" i="60"/>
  <c r="Q65" i="60" s="1"/>
  <c r="C65" i="60"/>
  <c r="A65" i="60"/>
  <c r="B65" i="60" s="1"/>
  <c r="S64" i="60"/>
  <c r="R64" i="60"/>
  <c r="L64" i="60"/>
  <c r="J64" i="60"/>
  <c r="Q64" i="60" s="1"/>
  <c r="A64" i="60"/>
  <c r="S63" i="60"/>
  <c r="R63" i="60"/>
  <c r="L63" i="60"/>
  <c r="J63" i="60"/>
  <c r="Q63" i="60" s="1"/>
  <c r="A63" i="60"/>
  <c r="S62" i="60"/>
  <c r="R62" i="60"/>
  <c r="L62" i="60"/>
  <c r="J62" i="60"/>
  <c r="Q62" i="60" s="1"/>
  <c r="A62" i="60"/>
  <c r="S61" i="60"/>
  <c r="R61" i="60"/>
  <c r="Q61" i="60"/>
  <c r="L61" i="60"/>
  <c r="J61" i="60"/>
  <c r="A61" i="60"/>
  <c r="S60" i="60"/>
  <c r="R60" i="60"/>
  <c r="L60" i="60"/>
  <c r="J60" i="60"/>
  <c r="Q60" i="60" s="1"/>
  <c r="A60" i="60"/>
  <c r="S59" i="60"/>
  <c r="R59" i="60"/>
  <c r="L59" i="60"/>
  <c r="J59" i="60"/>
  <c r="Q59" i="60" s="1"/>
  <c r="A59" i="60"/>
  <c r="C59" i="60" s="1"/>
  <c r="S58" i="60"/>
  <c r="R58" i="60"/>
  <c r="Q58" i="60"/>
  <c r="L58" i="60"/>
  <c r="J58" i="60"/>
  <c r="A58" i="60"/>
  <c r="C58" i="60" s="1"/>
  <c r="S57" i="60"/>
  <c r="R57" i="60"/>
  <c r="L57" i="60"/>
  <c r="J57" i="60"/>
  <c r="Q57" i="60" s="1"/>
  <c r="A57" i="60"/>
  <c r="S56" i="60"/>
  <c r="R56" i="60"/>
  <c r="Q56" i="60"/>
  <c r="L56" i="60"/>
  <c r="J56" i="60"/>
  <c r="C56" i="60"/>
  <c r="B56" i="60"/>
  <c r="A56" i="60"/>
  <c r="S55" i="60"/>
  <c r="L55" i="60"/>
  <c r="J55" i="60"/>
  <c r="Q55" i="60" s="1"/>
  <c r="A55" i="60"/>
  <c r="S54" i="60"/>
  <c r="R54" i="60"/>
  <c r="L54" i="60"/>
  <c r="J54" i="60"/>
  <c r="Q54" i="60" s="1"/>
  <c r="A54" i="60"/>
  <c r="S53" i="60"/>
  <c r="R53" i="60"/>
  <c r="L53" i="60"/>
  <c r="J53" i="60"/>
  <c r="Q53" i="60" s="1"/>
  <c r="A53" i="60"/>
  <c r="S52" i="60"/>
  <c r="R52" i="60"/>
  <c r="L52" i="60"/>
  <c r="J52" i="60"/>
  <c r="Q52" i="60" s="1"/>
  <c r="C52" i="60"/>
  <c r="B52" i="60"/>
  <c r="A52" i="60"/>
  <c r="S51" i="60"/>
  <c r="R51" i="60"/>
  <c r="L51" i="60"/>
  <c r="J51" i="60"/>
  <c r="Q51" i="60" s="1"/>
  <c r="C51" i="60"/>
  <c r="A51" i="60"/>
  <c r="B51" i="60" s="1"/>
  <c r="S50" i="60"/>
  <c r="R50" i="60"/>
  <c r="L50" i="60"/>
  <c r="J50" i="60"/>
  <c r="Q50" i="60" s="1"/>
  <c r="B50" i="60"/>
  <c r="A50" i="60"/>
  <c r="C50" i="60" s="1"/>
  <c r="S49" i="60"/>
  <c r="R49" i="60"/>
  <c r="Q49" i="60"/>
  <c r="L49" i="60"/>
  <c r="J49" i="60"/>
  <c r="A49" i="60"/>
  <c r="S48" i="60"/>
  <c r="R48" i="60"/>
  <c r="L48" i="60"/>
  <c r="J48" i="60"/>
  <c r="Q48" i="60" s="1"/>
  <c r="C48" i="60"/>
  <c r="B48" i="60"/>
  <c r="A48" i="60"/>
  <c r="S47" i="60"/>
  <c r="R47" i="60"/>
  <c r="L47" i="60"/>
  <c r="J47" i="60"/>
  <c r="Q47" i="60" s="1"/>
  <c r="A47" i="60"/>
  <c r="C47" i="60" s="1"/>
  <c r="S46" i="60"/>
  <c r="R46" i="60"/>
  <c r="L46" i="60"/>
  <c r="J46" i="60"/>
  <c r="Q46" i="60" s="1"/>
  <c r="A46" i="60"/>
  <c r="S45" i="60"/>
  <c r="R45" i="60"/>
  <c r="L45" i="60"/>
  <c r="J45" i="60"/>
  <c r="Q45" i="60" s="1"/>
  <c r="A45" i="60"/>
  <c r="S44" i="60"/>
  <c r="R44" i="60"/>
  <c r="L44" i="60"/>
  <c r="J44" i="60"/>
  <c r="Q44" i="60" s="1"/>
  <c r="C44" i="60"/>
  <c r="B44" i="60"/>
  <c r="A44" i="60"/>
  <c r="S43" i="60"/>
  <c r="R43" i="60"/>
  <c r="L43" i="60"/>
  <c r="J43" i="60"/>
  <c r="Q43" i="60" s="1"/>
  <c r="C43" i="60"/>
  <c r="A43" i="60"/>
  <c r="B43" i="60" s="1"/>
  <c r="S42" i="60"/>
  <c r="R42" i="60"/>
  <c r="L42" i="60"/>
  <c r="J42" i="60"/>
  <c r="Q42" i="60" s="1"/>
  <c r="B42" i="60"/>
  <c r="A42" i="60"/>
  <c r="C42" i="60" s="1"/>
  <c r="S41" i="60"/>
  <c r="R41" i="60"/>
  <c r="Q41" i="60"/>
  <c r="L41" i="60"/>
  <c r="J41" i="60"/>
  <c r="A41" i="60"/>
  <c r="B41" i="60" s="1"/>
  <c r="S40" i="60"/>
  <c r="R40" i="60"/>
  <c r="L40" i="60"/>
  <c r="J40" i="60"/>
  <c r="Q40" i="60" s="1"/>
  <c r="C40" i="60"/>
  <c r="B40" i="60"/>
  <c r="A40" i="60"/>
  <c r="S39" i="60"/>
  <c r="R39" i="60"/>
  <c r="L39" i="60"/>
  <c r="J39" i="60"/>
  <c r="Q39" i="60" s="1"/>
  <c r="A39" i="60"/>
  <c r="C39" i="60" s="1"/>
  <c r="S38" i="60"/>
  <c r="R38" i="60"/>
  <c r="Q38" i="60"/>
  <c r="L38" i="60"/>
  <c r="J38" i="60"/>
  <c r="A38" i="60"/>
  <c r="S37" i="60"/>
  <c r="R37" i="60"/>
  <c r="L37" i="60"/>
  <c r="J37" i="60"/>
  <c r="Q37" i="60" s="1"/>
  <c r="A37" i="60"/>
  <c r="S36" i="60"/>
  <c r="R36" i="60"/>
  <c r="L36" i="60"/>
  <c r="J36" i="60"/>
  <c r="Q36" i="60" s="1"/>
  <c r="C36" i="60"/>
  <c r="A36" i="60"/>
  <c r="B36" i="60" s="1"/>
  <c r="S35" i="60"/>
  <c r="R35" i="60"/>
  <c r="L35" i="60"/>
  <c r="J35" i="60"/>
  <c r="Q35" i="60" s="1"/>
  <c r="A35" i="60"/>
  <c r="C35" i="60" s="1"/>
  <c r="S34" i="60"/>
  <c r="R34" i="60"/>
  <c r="L34" i="60"/>
  <c r="J34" i="60"/>
  <c r="Q34" i="60" s="1"/>
  <c r="A34" i="60"/>
  <c r="S33" i="60"/>
  <c r="R33" i="60"/>
  <c r="Q33" i="60"/>
  <c r="L33" i="60"/>
  <c r="J33" i="60"/>
  <c r="A33" i="60"/>
  <c r="S32" i="60"/>
  <c r="R32" i="60"/>
  <c r="Q32" i="60"/>
  <c r="L32" i="60"/>
  <c r="J32" i="60"/>
  <c r="C32" i="60"/>
  <c r="B32" i="60"/>
  <c r="A32" i="60"/>
  <c r="S31" i="60"/>
  <c r="R31" i="60"/>
  <c r="L31" i="60"/>
  <c r="J31" i="60"/>
  <c r="Q31" i="60" s="1"/>
  <c r="A31" i="60"/>
  <c r="S30" i="60"/>
  <c r="R30" i="60"/>
  <c r="Q30" i="60"/>
  <c r="L30" i="60"/>
  <c r="J30" i="60"/>
  <c r="A30" i="60"/>
  <c r="S29" i="60"/>
  <c r="R29" i="60"/>
  <c r="L29" i="60"/>
  <c r="J29" i="60"/>
  <c r="Q29" i="60" s="1"/>
  <c r="A29" i="60"/>
  <c r="S28" i="60"/>
  <c r="R28" i="60"/>
  <c r="L28" i="60"/>
  <c r="J28" i="60"/>
  <c r="Q28" i="60" s="1"/>
  <c r="C28" i="60"/>
  <c r="B28" i="60"/>
  <c r="A28" i="60"/>
  <c r="S27" i="60"/>
  <c r="R27" i="60"/>
  <c r="L27" i="60"/>
  <c r="J27" i="60"/>
  <c r="Q27" i="60" s="1"/>
  <c r="C27" i="60"/>
  <c r="A27" i="60"/>
  <c r="B27" i="60" s="1"/>
  <c r="S26" i="60"/>
  <c r="R26" i="60"/>
  <c r="L26" i="60"/>
  <c r="J26" i="60"/>
  <c r="Q26" i="60" s="1"/>
  <c r="A26" i="60"/>
  <c r="C26" i="60" s="1"/>
  <c r="S25" i="60"/>
  <c r="R25" i="60"/>
  <c r="Q25" i="60"/>
  <c r="L25" i="60"/>
  <c r="J25" i="60"/>
  <c r="A25" i="60"/>
  <c r="B25" i="60" s="1"/>
  <c r="S24" i="60"/>
  <c r="R24" i="60"/>
  <c r="Q24" i="60"/>
  <c r="L24" i="60"/>
  <c r="J24" i="60"/>
  <c r="A24" i="60"/>
  <c r="S23" i="60"/>
  <c r="R23" i="60"/>
  <c r="L23" i="60"/>
  <c r="J23" i="60"/>
  <c r="Q23" i="60" s="1"/>
  <c r="A23" i="60"/>
  <c r="S22" i="60"/>
  <c r="R22" i="60"/>
  <c r="L22" i="60"/>
  <c r="J22" i="60"/>
  <c r="Q22" i="60" s="1"/>
  <c r="A22" i="60"/>
  <c r="S21" i="60"/>
  <c r="R21" i="60"/>
  <c r="L21" i="60"/>
  <c r="J21" i="60"/>
  <c r="Q21" i="60" s="1"/>
  <c r="A21" i="60"/>
  <c r="C21" i="60" s="1"/>
  <c r="S20" i="60"/>
  <c r="R20" i="60"/>
  <c r="L20" i="60"/>
  <c r="J20" i="60"/>
  <c r="Q20" i="60" s="1"/>
  <c r="A20" i="60"/>
  <c r="B20" i="60" s="1"/>
  <c r="S19" i="60"/>
  <c r="R19" i="60"/>
  <c r="L19" i="60"/>
  <c r="J19" i="60"/>
  <c r="Q19" i="60" s="1"/>
  <c r="C19" i="60"/>
  <c r="A19" i="60"/>
  <c r="B19" i="60" s="1"/>
  <c r="S18" i="60"/>
  <c r="R18" i="60"/>
  <c r="L18" i="60"/>
  <c r="J18" i="60"/>
  <c r="Q18" i="60" s="1"/>
  <c r="A18" i="60"/>
  <c r="C18" i="60" s="1"/>
  <c r="S17" i="60"/>
  <c r="R17" i="60"/>
  <c r="L17" i="60"/>
  <c r="J17" i="60"/>
  <c r="Q17" i="60" s="1"/>
  <c r="A17" i="60"/>
  <c r="C17" i="60" s="1"/>
  <c r="S16" i="60"/>
  <c r="R16" i="60"/>
  <c r="L16" i="60"/>
  <c r="J16" i="60"/>
  <c r="Q16" i="60" s="1"/>
  <c r="C16" i="60"/>
  <c r="A16" i="60"/>
  <c r="B16" i="60" s="1"/>
  <c r="S15" i="60"/>
  <c r="R15" i="60"/>
  <c r="Q15" i="60"/>
  <c r="L15" i="60"/>
  <c r="J15" i="60"/>
  <c r="C15" i="60"/>
  <c r="A15" i="60"/>
  <c r="B15" i="60" s="1"/>
  <c r="S14" i="60"/>
  <c r="R14" i="60"/>
  <c r="L14" i="60"/>
  <c r="J14" i="60"/>
  <c r="Q14" i="60" s="1"/>
  <c r="A14" i="60"/>
  <c r="S13" i="60"/>
  <c r="R13" i="60"/>
  <c r="L13" i="60"/>
  <c r="J13" i="60"/>
  <c r="Q13" i="60" s="1"/>
  <c r="A13" i="60"/>
  <c r="C13" i="60" s="1"/>
  <c r="S12" i="60"/>
  <c r="R12" i="60"/>
  <c r="L12" i="60"/>
  <c r="J12" i="60"/>
  <c r="Q12" i="60" s="1"/>
  <c r="A12" i="60"/>
  <c r="B12" i="60" s="1"/>
  <c r="S11" i="60"/>
  <c r="R11" i="60"/>
  <c r="L11" i="60"/>
  <c r="J11" i="60"/>
  <c r="Q11" i="60" s="1"/>
  <c r="C11" i="60"/>
  <c r="B11" i="60"/>
  <c r="A11" i="60"/>
  <c r="S10" i="60"/>
  <c r="R10" i="60"/>
  <c r="L10" i="60"/>
  <c r="J10" i="60"/>
  <c r="Q10" i="60" s="1"/>
  <c r="C10" i="60"/>
  <c r="A10" i="60"/>
  <c r="B10" i="60" s="1"/>
  <c r="S9" i="60"/>
  <c r="R9" i="60"/>
  <c r="L9" i="60"/>
  <c r="J9" i="60"/>
  <c r="Q9" i="60" s="1"/>
  <c r="A9" i="60"/>
  <c r="S8" i="60"/>
  <c r="R8" i="60"/>
  <c r="Q8" i="60"/>
  <c r="L8" i="60"/>
  <c r="J8" i="60"/>
  <c r="A8" i="60"/>
  <c r="S7" i="60"/>
  <c r="R7" i="60"/>
  <c r="L7" i="60"/>
  <c r="J7" i="60"/>
  <c r="Q7" i="60" s="1"/>
  <c r="A7" i="60"/>
  <c r="C7" i="60" s="1"/>
  <c r="S6" i="60"/>
  <c r="R6" i="60"/>
  <c r="L6" i="60"/>
  <c r="J6" i="60"/>
  <c r="Q6" i="60" s="1"/>
  <c r="A6" i="60"/>
  <c r="S5" i="60"/>
  <c r="R5" i="60"/>
  <c r="L5" i="60"/>
  <c r="J5" i="60"/>
  <c r="Q5" i="60" s="1"/>
  <c r="A5" i="60"/>
  <c r="C5" i="60" s="1"/>
  <c r="S4" i="60"/>
  <c r="R4" i="60"/>
  <c r="Q4" i="60"/>
  <c r="L4" i="60"/>
  <c r="J4" i="60"/>
  <c r="A4" i="60"/>
  <c r="B4" i="60" s="1"/>
  <c r="S3" i="60"/>
  <c r="R3" i="60"/>
  <c r="L3" i="60"/>
  <c r="J3" i="60"/>
  <c r="Q3" i="60" s="1"/>
  <c r="A3" i="60"/>
  <c r="C3" i="60" s="1"/>
  <c r="S2" i="60"/>
  <c r="R2" i="60"/>
  <c r="L2" i="60"/>
  <c r="J2" i="60"/>
  <c r="Q2" i="60" s="1"/>
  <c r="I2" i="60"/>
  <c r="P2" i="60" s="1"/>
  <c r="A2" i="60"/>
  <c r="S1" i="60"/>
  <c r="R1" i="60"/>
  <c r="Q1" i="60"/>
  <c r="P1" i="60"/>
  <c r="J1" i="60"/>
  <c r="I1" i="60"/>
  <c r="E1" i="60"/>
  <c r="D1" i="60"/>
  <c r="A1" i="60"/>
  <c r="K145" i="59"/>
  <c r="C145" i="59"/>
  <c r="B145" i="59"/>
  <c r="K144" i="59"/>
  <c r="C144" i="59"/>
  <c r="B144" i="59"/>
  <c r="K143" i="59"/>
  <c r="C143" i="59"/>
  <c r="B143" i="59"/>
  <c r="K142" i="59"/>
  <c r="C142" i="59"/>
  <c r="B142" i="59"/>
  <c r="K141" i="59"/>
  <c r="C141" i="59"/>
  <c r="B141" i="59"/>
  <c r="K140" i="59"/>
  <c r="C140" i="59"/>
  <c r="B140" i="59"/>
  <c r="K139" i="59"/>
  <c r="C139" i="59"/>
  <c r="B139" i="59"/>
  <c r="K138" i="59"/>
  <c r="C138" i="59"/>
  <c r="B138" i="59"/>
  <c r="K137" i="59"/>
  <c r="C137" i="59"/>
  <c r="B137" i="59"/>
  <c r="K136" i="59"/>
  <c r="C136" i="59"/>
  <c r="B136" i="59"/>
  <c r="K135" i="59"/>
  <c r="C135" i="59"/>
  <c r="B135" i="59"/>
  <c r="Q134" i="59"/>
  <c r="K134" i="59"/>
  <c r="C134" i="59"/>
  <c r="B134" i="59"/>
  <c r="K133" i="59"/>
  <c r="C133" i="59"/>
  <c r="B133" i="59"/>
  <c r="K132" i="59"/>
  <c r="C132" i="59"/>
  <c r="B132" i="59"/>
  <c r="K131" i="59"/>
  <c r="C131" i="59"/>
  <c r="B131" i="59"/>
  <c r="K130" i="59"/>
  <c r="C130" i="59"/>
  <c r="B130" i="59"/>
  <c r="K129" i="59"/>
  <c r="C129" i="59"/>
  <c r="B129" i="59"/>
  <c r="K128" i="59"/>
  <c r="C128" i="59"/>
  <c r="B128" i="59"/>
  <c r="K127" i="59"/>
  <c r="C127" i="59"/>
  <c r="B127" i="59"/>
  <c r="K126" i="59"/>
  <c r="C126" i="59"/>
  <c r="B126" i="59"/>
  <c r="K125" i="59"/>
  <c r="C125" i="59"/>
  <c r="B125" i="59"/>
  <c r="K124" i="59"/>
  <c r="C124" i="59"/>
  <c r="B124" i="59"/>
  <c r="K123" i="59"/>
  <c r="C123" i="59"/>
  <c r="B123" i="59"/>
  <c r="K122" i="59"/>
  <c r="C122" i="59"/>
  <c r="B122" i="59"/>
  <c r="Q121" i="59"/>
  <c r="K121" i="59"/>
  <c r="C121" i="59"/>
  <c r="B121" i="59"/>
  <c r="Q120" i="59"/>
  <c r="K120" i="59"/>
  <c r="C120" i="59"/>
  <c r="B120" i="59"/>
  <c r="Q119" i="59"/>
  <c r="K119" i="59"/>
  <c r="C119" i="59"/>
  <c r="B119" i="59"/>
  <c r="Q118" i="59"/>
  <c r="K118" i="59"/>
  <c r="C118" i="59"/>
  <c r="B118" i="59"/>
  <c r="Q117" i="59"/>
  <c r="K117" i="59"/>
  <c r="C117" i="59"/>
  <c r="B117" i="59"/>
  <c r="Q116" i="59"/>
  <c r="K116" i="59"/>
  <c r="C116" i="59"/>
  <c r="B116" i="59"/>
  <c r="Q115" i="59"/>
  <c r="K115" i="59"/>
  <c r="C115" i="59"/>
  <c r="B115" i="59"/>
  <c r="Q114" i="59"/>
  <c r="K114" i="59"/>
  <c r="C114" i="59"/>
  <c r="B114" i="59"/>
  <c r="Q113" i="59"/>
  <c r="K113" i="59"/>
  <c r="C113" i="59"/>
  <c r="B113" i="59"/>
  <c r="Q112" i="59"/>
  <c r="K112" i="59"/>
  <c r="C112" i="59"/>
  <c r="B112" i="59"/>
  <c r="Q111" i="59"/>
  <c r="K111" i="59"/>
  <c r="C111" i="59"/>
  <c r="B111" i="59"/>
  <c r="Q110" i="59"/>
  <c r="K110" i="59"/>
  <c r="C110" i="59"/>
  <c r="B110" i="59"/>
  <c r="R109" i="59"/>
  <c r="Q109" i="59"/>
  <c r="P109" i="59"/>
  <c r="K109" i="59"/>
  <c r="I109" i="59"/>
  <c r="C109" i="59"/>
  <c r="B109" i="59"/>
  <c r="R108" i="59"/>
  <c r="Q108" i="59"/>
  <c r="K108" i="59"/>
  <c r="I108" i="59"/>
  <c r="P108" i="59" s="1"/>
  <c r="C108" i="59"/>
  <c r="B108" i="59"/>
  <c r="R107" i="59"/>
  <c r="Q107" i="59"/>
  <c r="K107" i="59"/>
  <c r="I107" i="59"/>
  <c r="P107" i="59" s="1"/>
  <c r="C107" i="59"/>
  <c r="B107" i="59"/>
  <c r="R106" i="59"/>
  <c r="Q106" i="59"/>
  <c r="K106" i="59"/>
  <c r="I106" i="59"/>
  <c r="P106" i="59" s="1"/>
  <c r="C106" i="59"/>
  <c r="B106" i="59"/>
  <c r="A106" i="59"/>
  <c r="R105" i="59"/>
  <c r="Q105" i="59"/>
  <c r="K105" i="59"/>
  <c r="I105" i="59"/>
  <c r="P105" i="59" s="1"/>
  <c r="A105" i="59"/>
  <c r="R104" i="59"/>
  <c r="Q104" i="59"/>
  <c r="K104" i="59"/>
  <c r="I104" i="59"/>
  <c r="P104" i="59" s="1"/>
  <c r="A104" i="59"/>
  <c r="R103" i="59"/>
  <c r="Q103" i="59"/>
  <c r="P103" i="59"/>
  <c r="K103" i="59"/>
  <c r="I103" i="59"/>
  <c r="A103" i="59"/>
  <c r="B103" i="59" s="1"/>
  <c r="R102" i="59"/>
  <c r="Q102" i="59"/>
  <c r="K102" i="59"/>
  <c r="I102" i="59"/>
  <c r="P102" i="59" s="1"/>
  <c r="A102" i="59"/>
  <c r="R101" i="59"/>
  <c r="Q101" i="59"/>
  <c r="K101" i="59"/>
  <c r="I101" i="59"/>
  <c r="P101" i="59" s="1"/>
  <c r="C101" i="59"/>
  <c r="A101" i="59"/>
  <c r="B101" i="59" s="1"/>
  <c r="R100" i="59"/>
  <c r="Q100" i="59"/>
  <c r="K100" i="59"/>
  <c r="I100" i="59"/>
  <c r="P100" i="59" s="1"/>
  <c r="C100" i="59"/>
  <c r="A100" i="59"/>
  <c r="B100" i="59" s="1"/>
  <c r="R99" i="59"/>
  <c r="Q99" i="59"/>
  <c r="K99" i="59"/>
  <c r="I99" i="59"/>
  <c r="P99" i="59" s="1"/>
  <c r="A99" i="59"/>
  <c r="R98" i="59"/>
  <c r="Q98" i="59"/>
  <c r="K98" i="59"/>
  <c r="I98" i="59"/>
  <c r="P98" i="59" s="1"/>
  <c r="C98" i="59"/>
  <c r="B98" i="59"/>
  <c r="A98" i="59"/>
  <c r="R97" i="59"/>
  <c r="R145" i="59" s="1"/>
  <c r="Q97" i="59"/>
  <c r="K97" i="59"/>
  <c r="I97" i="59"/>
  <c r="P97" i="59" s="1"/>
  <c r="A97" i="59"/>
  <c r="R96" i="59"/>
  <c r="R144" i="59" s="1"/>
  <c r="Q96" i="59"/>
  <c r="K96" i="59"/>
  <c r="I96" i="59"/>
  <c r="P96" i="59" s="1"/>
  <c r="A96" i="59"/>
  <c r="R95" i="59"/>
  <c r="R143" i="59" s="1"/>
  <c r="Q95" i="59"/>
  <c r="P95" i="59"/>
  <c r="K95" i="59"/>
  <c r="I95" i="59"/>
  <c r="A95" i="59"/>
  <c r="B95" i="59" s="1"/>
  <c r="R94" i="59"/>
  <c r="R142" i="59" s="1"/>
  <c r="Q94" i="59"/>
  <c r="K94" i="59"/>
  <c r="I94" i="59"/>
  <c r="P94" i="59" s="1"/>
  <c r="A94" i="59"/>
  <c r="R93" i="59"/>
  <c r="R141" i="59" s="1"/>
  <c r="Q93" i="59"/>
  <c r="K93" i="59"/>
  <c r="I93" i="59"/>
  <c r="P93" i="59" s="1"/>
  <c r="C93" i="59"/>
  <c r="A93" i="59"/>
  <c r="B93" i="59" s="1"/>
  <c r="R92" i="59"/>
  <c r="Q92" i="59"/>
  <c r="K92" i="59"/>
  <c r="I92" i="59"/>
  <c r="P92" i="59" s="1"/>
  <c r="C92" i="59"/>
  <c r="A92" i="59"/>
  <c r="B92" i="59" s="1"/>
  <c r="R91" i="59"/>
  <c r="R139" i="59" s="1"/>
  <c r="Q91" i="59"/>
  <c r="K91" i="59"/>
  <c r="I91" i="59"/>
  <c r="P91" i="59" s="1"/>
  <c r="C91" i="59"/>
  <c r="A91" i="59"/>
  <c r="B91" i="59" s="1"/>
  <c r="R90" i="59"/>
  <c r="R138" i="59" s="1"/>
  <c r="Q90" i="59"/>
  <c r="K90" i="59"/>
  <c r="I90" i="59"/>
  <c r="P90" i="59" s="1"/>
  <c r="C90" i="59"/>
  <c r="B90" i="59"/>
  <c r="A90" i="59"/>
  <c r="R89" i="59"/>
  <c r="R137" i="59" s="1"/>
  <c r="Q89" i="59"/>
  <c r="P89" i="59"/>
  <c r="K89" i="59"/>
  <c r="I89" i="59"/>
  <c r="A89" i="59"/>
  <c r="R88" i="59"/>
  <c r="R136" i="59" s="1"/>
  <c r="Q88" i="59"/>
  <c r="K88" i="59"/>
  <c r="I88" i="59"/>
  <c r="P88" i="59" s="1"/>
  <c r="A88" i="59"/>
  <c r="R87" i="59"/>
  <c r="R135" i="59" s="1"/>
  <c r="Q87" i="59"/>
  <c r="K87" i="59"/>
  <c r="I87" i="59"/>
  <c r="P87" i="59" s="1"/>
  <c r="A87" i="59"/>
  <c r="B87" i="59" s="1"/>
  <c r="R86" i="59"/>
  <c r="Q86" i="59"/>
  <c r="K86" i="59"/>
  <c r="I86" i="59"/>
  <c r="P86" i="59" s="1"/>
  <c r="A86" i="59"/>
  <c r="R85" i="59"/>
  <c r="R133" i="59" s="1"/>
  <c r="Q85" i="59"/>
  <c r="K85" i="59"/>
  <c r="I85" i="59"/>
  <c r="P85" i="59" s="1"/>
  <c r="C85" i="59"/>
  <c r="A85" i="59"/>
  <c r="B85" i="59" s="1"/>
  <c r="R84" i="59"/>
  <c r="Q84" i="59"/>
  <c r="K84" i="59"/>
  <c r="I84" i="59"/>
  <c r="P84" i="59" s="1"/>
  <c r="A84" i="59"/>
  <c r="R83" i="59"/>
  <c r="R131" i="59" s="1"/>
  <c r="Q83" i="59"/>
  <c r="K83" i="59"/>
  <c r="I83" i="59"/>
  <c r="P83" i="59" s="1"/>
  <c r="A83" i="59"/>
  <c r="R82" i="59"/>
  <c r="R130" i="59" s="1"/>
  <c r="Q82" i="59"/>
  <c r="K82" i="59"/>
  <c r="I82" i="59"/>
  <c r="P82" i="59" s="1"/>
  <c r="A82" i="59"/>
  <c r="R81" i="59"/>
  <c r="R129" i="59" s="1"/>
  <c r="Q81" i="59"/>
  <c r="K81" i="59"/>
  <c r="I81" i="59"/>
  <c r="P81" i="59" s="1"/>
  <c r="A81" i="59"/>
  <c r="R80" i="59"/>
  <c r="R128" i="59" s="1"/>
  <c r="Q80" i="59"/>
  <c r="K80" i="59"/>
  <c r="I80" i="59"/>
  <c r="P80" i="59" s="1"/>
  <c r="A80" i="59"/>
  <c r="R79" i="59"/>
  <c r="R127" i="59" s="1"/>
  <c r="Q79" i="59"/>
  <c r="K79" i="59"/>
  <c r="I79" i="59"/>
  <c r="P79" i="59" s="1"/>
  <c r="A79" i="59"/>
  <c r="B79" i="59" s="1"/>
  <c r="R78" i="59"/>
  <c r="R126" i="59" s="1"/>
  <c r="Q78" i="59"/>
  <c r="K78" i="59"/>
  <c r="I78" i="59"/>
  <c r="P78" i="59" s="1"/>
  <c r="A78" i="59"/>
  <c r="R77" i="59"/>
  <c r="R125" i="59" s="1"/>
  <c r="Q77" i="59"/>
  <c r="K77" i="59"/>
  <c r="I77" i="59"/>
  <c r="P77" i="59" s="1"/>
  <c r="A77" i="59"/>
  <c r="R76" i="59"/>
  <c r="Q76" i="59"/>
  <c r="K76" i="59"/>
  <c r="I76" i="59"/>
  <c r="P76" i="59" s="1"/>
  <c r="C76" i="59"/>
  <c r="A76" i="59"/>
  <c r="B76" i="59" s="1"/>
  <c r="R75" i="59"/>
  <c r="R123" i="59" s="1"/>
  <c r="Q75" i="59"/>
  <c r="K75" i="59"/>
  <c r="I75" i="59"/>
  <c r="P75" i="59" s="1"/>
  <c r="C75" i="59"/>
  <c r="A75" i="59"/>
  <c r="B75" i="59" s="1"/>
  <c r="R74" i="59"/>
  <c r="R122" i="59" s="1"/>
  <c r="Q74" i="59"/>
  <c r="K74" i="59"/>
  <c r="I74" i="59"/>
  <c r="P74" i="59" s="1"/>
  <c r="C74" i="59"/>
  <c r="B74" i="59"/>
  <c r="A74" i="59"/>
  <c r="R73" i="59"/>
  <c r="R121" i="59" s="1"/>
  <c r="Q73" i="59"/>
  <c r="K73" i="59"/>
  <c r="I73" i="59"/>
  <c r="P73" i="59" s="1"/>
  <c r="A73" i="59"/>
  <c r="R72" i="59"/>
  <c r="R120" i="59" s="1"/>
  <c r="Q72" i="59"/>
  <c r="K72" i="59"/>
  <c r="I72" i="59"/>
  <c r="P72" i="59" s="1"/>
  <c r="A72" i="59"/>
  <c r="R71" i="59"/>
  <c r="R119" i="59" s="1"/>
  <c r="Q71" i="59"/>
  <c r="P71" i="59"/>
  <c r="K71" i="59"/>
  <c r="I71" i="59"/>
  <c r="A71" i="59"/>
  <c r="B71" i="59" s="1"/>
  <c r="R70" i="59"/>
  <c r="Q70" i="59"/>
  <c r="K70" i="59"/>
  <c r="I70" i="59"/>
  <c r="P70" i="59" s="1"/>
  <c r="A70" i="59"/>
  <c r="R69" i="59"/>
  <c r="R117" i="59" s="1"/>
  <c r="Q69" i="59"/>
  <c r="K69" i="59"/>
  <c r="I69" i="59"/>
  <c r="P69" i="59" s="1"/>
  <c r="C69" i="59"/>
  <c r="A69" i="59"/>
  <c r="B69" i="59" s="1"/>
  <c r="R68" i="59"/>
  <c r="Q68" i="59"/>
  <c r="K68" i="59"/>
  <c r="I68" i="59"/>
  <c r="P68" i="59" s="1"/>
  <c r="C68" i="59"/>
  <c r="A68" i="59"/>
  <c r="B68" i="59" s="1"/>
  <c r="R67" i="59"/>
  <c r="R115" i="59" s="1"/>
  <c r="Q67" i="59"/>
  <c r="K67" i="59"/>
  <c r="I67" i="59"/>
  <c r="P67" i="59" s="1"/>
  <c r="A67" i="59"/>
  <c r="R66" i="59"/>
  <c r="R114" i="59" s="1"/>
  <c r="Q66" i="59"/>
  <c r="P66" i="59"/>
  <c r="K66" i="59"/>
  <c r="I66" i="59"/>
  <c r="B66" i="59"/>
  <c r="A66" i="59"/>
  <c r="C66" i="59" s="1"/>
  <c r="R65" i="59"/>
  <c r="R113" i="59" s="1"/>
  <c r="Q65" i="59"/>
  <c r="P65" i="59"/>
  <c r="K65" i="59"/>
  <c r="I65" i="59"/>
  <c r="A65" i="59"/>
  <c r="R64" i="59"/>
  <c r="R112" i="59" s="1"/>
  <c r="Q64" i="59"/>
  <c r="K64" i="59"/>
  <c r="I64" i="59"/>
  <c r="P64" i="59" s="1"/>
  <c r="A64" i="59"/>
  <c r="R63" i="59"/>
  <c r="R111" i="59" s="1"/>
  <c r="Q63" i="59"/>
  <c r="K63" i="59"/>
  <c r="I63" i="59"/>
  <c r="P63" i="59" s="1"/>
  <c r="A63" i="59"/>
  <c r="B63" i="59" s="1"/>
  <c r="R62" i="59"/>
  <c r="R110" i="59" s="1"/>
  <c r="Q62" i="59"/>
  <c r="K62" i="59"/>
  <c r="I62" i="59"/>
  <c r="P62" i="59" s="1"/>
  <c r="A62" i="59"/>
  <c r="R61" i="59"/>
  <c r="Q61" i="59"/>
  <c r="K61" i="59"/>
  <c r="I61" i="59"/>
  <c r="P61" i="59" s="1"/>
  <c r="C61" i="59"/>
  <c r="A61" i="59"/>
  <c r="B61" i="59" s="1"/>
  <c r="R60" i="59"/>
  <c r="Q60" i="59"/>
  <c r="K60" i="59"/>
  <c r="I60" i="59"/>
  <c r="P60" i="59" s="1"/>
  <c r="C60" i="59"/>
  <c r="A60" i="59"/>
  <c r="B60" i="59" s="1"/>
  <c r="R59" i="59"/>
  <c r="Q59" i="59"/>
  <c r="K59" i="59"/>
  <c r="I59" i="59"/>
  <c r="P59" i="59" s="1"/>
  <c r="A59" i="59"/>
  <c r="R58" i="59"/>
  <c r="Q58" i="59"/>
  <c r="K58" i="59"/>
  <c r="I58" i="59"/>
  <c r="P58" i="59" s="1"/>
  <c r="A58" i="59"/>
  <c r="R57" i="59"/>
  <c r="Q57" i="59"/>
  <c r="K57" i="59"/>
  <c r="I57" i="59"/>
  <c r="P57" i="59" s="1"/>
  <c r="A57" i="59"/>
  <c r="R56" i="59"/>
  <c r="Q56" i="59"/>
  <c r="K56" i="59"/>
  <c r="I56" i="59"/>
  <c r="P56" i="59" s="1"/>
  <c r="A56" i="59"/>
  <c r="R55" i="59"/>
  <c r="K55" i="59"/>
  <c r="I55" i="59"/>
  <c r="P55" i="59" s="1"/>
  <c r="A55" i="59"/>
  <c r="B55" i="59" s="1"/>
  <c r="R54" i="59"/>
  <c r="Q54" i="59"/>
  <c r="K54" i="59"/>
  <c r="I54" i="59"/>
  <c r="P54" i="59" s="1"/>
  <c r="A54" i="59"/>
  <c r="R53" i="59"/>
  <c r="Q53" i="59"/>
  <c r="K53" i="59"/>
  <c r="I53" i="59"/>
  <c r="P53" i="59" s="1"/>
  <c r="A53" i="59"/>
  <c r="R52" i="59"/>
  <c r="Q52" i="59"/>
  <c r="K52" i="59"/>
  <c r="I52" i="59"/>
  <c r="P52" i="59" s="1"/>
  <c r="C52" i="59"/>
  <c r="A52" i="59"/>
  <c r="B52" i="59" s="1"/>
  <c r="R51" i="59"/>
  <c r="Q51" i="59"/>
  <c r="K51" i="59"/>
  <c r="I51" i="59"/>
  <c r="P51" i="59" s="1"/>
  <c r="A51" i="59"/>
  <c r="R50" i="59"/>
  <c r="Q50" i="59"/>
  <c r="K50" i="59"/>
  <c r="I50" i="59"/>
  <c r="P50" i="59" s="1"/>
  <c r="C50" i="59"/>
  <c r="B50" i="59"/>
  <c r="A50" i="59"/>
  <c r="R49" i="59"/>
  <c r="Q49" i="59"/>
  <c r="P49" i="59"/>
  <c r="K49" i="59"/>
  <c r="I49" i="59"/>
  <c r="A49" i="59"/>
  <c r="R48" i="59"/>
  <c r="Q48" i="59"/>
  <c r="K48" i="59"/>
  <c r="I48" i="59"/>
  <c r="P48" i="59" s="1"/>
  <c r="A48" i="59"/>
  <c r="R47" i="59"/>
  <c r="Q47" i="59"/>
  <c r="K47" i="59"/>
  <c r="I47" i="59"/>
  <c r="P47" i="59" s="1"/>
  <c r="A47" i="59"/>
  <c r="B47" i="59" s="1"/>
  <c r="R46" i="59"/>
  <c r="Q46" i="59"/>
  <c r="K46" i="59"/>
  <c r="I46" i="59"/>
  <c r="P46" i="59" s="1"/>
  <c r="A46" i="59"/>
  <c r="R45" i="59"/>
  <c r="Q45" i="59"/>
  <c r="K45" i="59"/>
  <c r="I45" i="59"/>
  <c r="P45" i="59" s="1"/>
  <c r="C45" i="59"/>
  <c r="A45" i="59"/>
  <c r="B45" i="59" s="1"/>
  <c r="R44" i="59"/>
  <c r="Q44" i="59"/>
  <c r="K44" i="59"/>
  <c r="I44" i="59"/>
  <c r="P44" i="59" s="1"/>
  <c r="A44" i="59"/>
  <c r="R43" i="59"/>
  <c r="Q43" i="59"/>
  <c r="K43" i="59"/>
  <c r="I43" i="59"/>
  <c r="P43" i="59" s="1"/>
  <c r="C43" i="59"/>
  <c r="A43" i="59"/>
  <c r="B43" i="59" s="1"/>
  <c r="R42" i="59"/>
  <c r="Q42" i="59"/>
  <c r="P42" i="59"/>
  <c r="K42" i="59"/>
  <c r="I42" i="59"/>
  <c r="B42" i="59"/>
  <c r="A42" i="59"/>
  <c r="C42" i="59" s="1"/>
  <c r="R41" i="59"/>
  <c r="Q41" i="59"/>
  <c r="P41" i="59"/>
  <c r="K41" i="59"/>
  <c r="I41" i="59"/>
  <c r="A41" i="59"/>
  <c r="R40" i="59"/>
  <c r="Q40" i="59"/>
  <c r="K40" i="59"/>
  <c r="I40" i="59"/>
  <c r="P40" i="59" s="1"/>
  <c r="A40" i="59"/>
  <c r="R39" i="59"/>
  <c r="Q39" i="59"/>
  <c r="K39" i="59"/>
  <c r="I39" i="59"/>
  <c r="P39" i="59" s="1"/>
  <c r="A39" i="59"/>
  <c r="R38" i="59"/>
  <c r="Q38" i="59"/>
  <c r="K38" i="59"/>
  <c r="I38" i="59"/>
  <c r="P38" i="59" s="1"/>
  <c r="A38" i="59"/>
  <c r="C38" i="59" s="1"/>
  <c r="R37" i="59"/>
  <c r="Q37" i="59"/>
  <c r="K37" i="59"/>
  <c r="I37" i="59"/>
  <c r="P37" i="59" s="1"/>
  <c r="A37" i="59"/>
  <c r="R36" i="59"/>
  <c r="Q36" i="59"/>
  <c r="K36" i="59"/>
  <c r="I36" i="59"/>
  <c r="P36" i="59" s="1"/>
  <c r="C36" i="59"/>
  <c r="A36" i="59"/>
  <c r="B36" i="59" s="1"/>
  <c r="R35" i="59"/>
  <c r="Q35" i="59"/>
  <c r="K35" i="59"/>
  <c r="I35" i="59"/>
  <c r="P35" i="59" s="1"/>
  <c r="C35" i="59"/>
  <c r="A35" i="59"/>
  <c r="B35" i="59" s="1"/>
  <c r="R34" i="59"/>
  <c r="Q34" i="59"/>
  <c r="P34" i="59"/>
  <c r="K34" i="59"/>
  <c r="I34" i="59"/>
  <c r="A34" i="59"/>
  <c r="C34" i="59" s="1"/>
  <c r="R33" i="59"/>
  <c r="Q33" i="59"/>
  <c r="P33" i="59"/>
  <c r="K33" i="59"/>
  <c r="I33" i="59"/>
  <c r="C33" i="59"/>
  <c r="A33" i="59"/>
  <c r="B33" i="59" s="1"/>
  <c r="R32" i="59"/>
  <c r="Q32" i="59"/>
  <c r="K32" i="59"/>
  <c r="I32" i="59"/>
  <c r="P32" i="59" s="1"/>
  <c r="C32" i="59"/>
  <c r="B32" i="59"/>
  <c r="A32" i="59"/>
  <c r="R31" i="59"/>
  <c r="Q31" i="59"/>
  <c r="K31" i="59"/>
  <c r="I31" i="59"/>
  <c r="P31" i="59" s="1"/>
  <c r="A31" i="59"/>
  <c r="R30" i="59"/>
  <c r="Q30" i="59"/>
  <c r="K30" i="59"/>
  <c r="I30" i="59"/>
  <c r="P30" i="59" s="1"/>
  <c r="A30" i="59"/>
  <c r="C30" i="59" s="1"/>
  <c r="R29" i="59"/>
  <c r="Q29" i="59"/>
  <c r="P29" i="59"/>
  <c r="K29" i="59"/>
  <c r="I29" i="59"/>
  <c r="A29" i="59"/>
  <c r="R28" i="59"/>
  <c r="Q28" i="59"/>
  <c r="K28" i="59"/>
  <c r="I28" i="59"/>
  <c r="P28" i="59" s="1"/>
  <c r="A28" i="59"/>
  <c r="R27" i="59"/>
  <c r="Q27" i="59"/>
  <c r="K27" i="59"/>
  <c r="I27" i="59"/>
  <c r="P27" i="59" s="1"/>
  <c r="A27" i="59"/>
  <c r="R26" i="59"/>
  <c r="Q26" i="59"/>
  <c r="P26" i="59"/>
  <c r="K26" i="59"/>
  <c r="I26" i="59"/>
  <c r="C26" i="59"/>
  <c r="B26" i="59"/>
  <c r="A26" i="59"/>
  <c r="R25" i="59"/>
  <c r="Q25" i="59"/>
  <c r="P25" i="59"/>
  <c r="K25" i="59"/>
  <c r="I25" i="59"/>
  <c r="A25" i="59"/>
  <c r="R24" i="59"/>
  <c r="Q24" i="59"/>
  <c r="K24" i="59"/>
  <c r="I24" i="59"/>
  <c r="P24" i="59" s="1"/>
  <c r="A24" i="59"/>
  <c r="R23" i="59"/>
  <c r="Q23" i="59"/>
  <c r="K23" i="59"/>
  <c r="I23" i="59"/>
  <c r="P23" i="59" s="1"/>
  <c r="A23" i="59"/>
  <c r="R22" i="59"/>
  <c r="Q22" i="59"/>
  <c r="K22" i="59"/>
  <c r="I22" i="59"/>
  <c r="P22" i="59" s="1"/>
  <c r="A22" i="59"/>
  <c r="C22" i="59" s="1"/>
  <c r="R21" i="59"/>
  <c r="Q21" i="59"/>
  <c r="K21" i="59"/>
  <c r="I21" i="59"/>
  <c r="P21" i="59" s="1"/>
  <c r="C21" i="59"/>
  <c r="A21" i="59"/>
  <c r="B21" i="59" s="1"/>
  <c r="R20" i="59"/>
  <c r="Q20" i="59"/>
  <c r="K20" i="59"/>
  <c r="I20" i="59"/>
  <c r="P20" i="59" s="1"/>
  <c r="A20" i="59"/>
  <c r="R19" i="59"/>
  <c r="Q19" i="59"/>
  <c r="K19" i="59"/>
  <c r="I19" i="59"/>
  <c r="P19" i="59" s="1"/>
  <c r="C19" i="59"/>
  <c r="A19" i="59"/>
  <c r="B19" i="59" s="1"/>
  <c r="R18" i="59"/>
  <c r="Q18" i="59"/>
  <c r="P18" i="59"/>
  <c r="K18" i="59"/>
  <c r="I18" i="59"/>
  <c r="C18" i="59"/>
  <c r="B18" i="59"/>
  <c r="A18" i="59"/>
  <c r="R17" i="59"/>
  <c r="Q17" i="59"/>
  <c r="P17" i="59"/>
  <c r="K17" i="59"/>
  <c r="I17" i="59"/>
  <c r="A17" i="59"/>
  <c r="R16" i="59"/>
  <c r="Q16" i="59"/>
  <c r="K16" i="59"/>
  <c r="I16" i="59"/>
  <c r="P16" i="59" s="1"/>
  <c r="C16" i="59"/>
  <c r="B16" i="59"/>
  <c r="A16" i="59"/>
  <c r="R15" i="59"/>
  <c r="Q15" i="59"/>
  <c r="K15" i="59"/>
  <c r="I15" i="59"/>
  <c r="P15" i="59" s="1"/>
  <c r="A15" i="59"/>
  <c r="R14" i="59"/>
  <c r="Q14" i="59"/>
  <c r="K14" i="59"/>
  <c r="I14" i="59"/>
  <c r="P14" i="59" s="1"/>
  <c r="A14" i="59"/>
  <c r="R13" i="59"/>
  <c r="Q13" i="59"/>
  <c r="K13" i="59"/>
  <c r="I13" i="59"/>
  <c r="P13" i="59" s="1"/>
  <c r="A13" i="59"/>
  <c r="R12" i="59"/>
  <c r="Q12" i="59"/>
  <c r="K12" i="59"/>
  <c r="I12" i="59"/>
  <c r="P12" i="59" s="1"/>
  <c r="A12" i="59"/>
  <c r="R11" i="59"/>
  <c r="Q11" i="59"/>
  <c r="K11" i="59"/>
  <c r="I11" i="59"/>
  <c r="P11" i="59" s="1"/>
  <c r="A11" i="59"/>
  <c r="R10" i="59"/>
  <c r="Q10" i="59"/>
  <c r="K10" i="59"/>
  <c r="I10" i="59"/>
  <c r="P10" i="59" s="1"/>
  <c r="C10" i="59"/>
  <c r="B10" i="59"/>
  <c r="A10" i="59"/>
  <c r="R9" i="59"/>
  <c r="Q9" i="59"/>
  <c r="P9" i="59"/>
  <c r="K9" i="59"/>
  <c r="I9" i="59"/>
  <c r="A9" i="59"/>
  <c r="R8" i="59"/>
  <c r="Q8" i="59"/>
  <c r="K8" i="59"/>
  <c r="I8" i="59"/>
  <c r="P8" i="59" s="1"/>
  <c r="A8" i="59"/>
  <c r="R7" i="59"/>
  <c r="Q7" i="59"/>
  <c r="K7" i="59"/>
  <c r="I7" i="59"/>
  <c r="P7" i="59" s="1"/>
  <c r="A7" i="59"/>
  <c r="R6" i="59"/>
  <c r="Q6" i="59"/>
  <c r="K6" i="59"/>
  <c r="I6" i="59"/>
  <c r="P6" i="59" s="1"/>
  <c r="A6" i="59"/>
  <c r="R5" i="59"/>
  <c r="Q5" i="59"/>
  <c r="K5" i="59"/>
  <c r="I5" i="59"/>
  <c r="P5" i="59" s="1"/>
  <c r="A5" i="59"/>
  <c r="R4" i="59"/>
  <c r="Q4" i="59"/>
  <c r="K4" i="59"/>
  <c r="I4" i="59"/>
  <c r="P4" i="59" s="1"/>
  <c r="A4" i="59"/>
  <c r="R3" i="59"/>
  <c r="Q3" i="59"/>
  <c r="K3" i="59"/>
  <c r="I3" i="59"/>
  <c r="P3" i="59" s="1"/>
  <c r="C3" i="59"/>
  <c r="A3" i="59"/>
  <c r="B3" i="59" s="1"/>
  <c r="R2" i="59"/>
  <c r="Q2" i="59"/>
  <c r="K2" i="59"/>
  <c r="I2" i="59"/>
  <c r="P2" i="59" s="1"/>
  <c r="G2" i="59"/>
  <c r="N2" i="59" s="1"/>
  <c r="A2" i="59"/>
  <c r="R1" i="59"/>
  <c r="Q1" i="59"/>
  <c r="I1" i="59"/>
  <c r="P1" i="59" s="1"/>
  <c r="G1" i="59"/>
  <c r="N1" i="59" s="1"/>
  <c r="D1" i="59"/>
  <c r="A1" i="59"/>
  <c r="K145" i="58"/>
  <c r="C145" i="58"/>
  <c r="B145" i="58"/>
  <c r="K144" i="58"/>
  <c r="C144" i="58"/>
  <c r="B144" i="58"/>
  <c r="K143" i="58"/>
  <c r="C143" i="58"/>
  <c r="B143" i="58"/>
  <c r="K142" i="58"/>
  <c r="C142" i="58"/>
  <c r="B142" i="58"/>
  <c r="K141" i="58"/>
  <c r="C141" i="58"/>
  <c r="B141" i="58"/>
  <c r="K140" i="58"/>
  <c r="C140" i="58"/>
  <c r="B140" i="58"/>
  <c r="K139" i="58"/>
  <c r="C139" i="58"/>
  <c r="B139" i="58"/>
  <c r="K138" i="58"/>
  <c r="C138" i="58"/>
  <c r="B138" i="58"/>
  <c r="K137" i="58"/>
  <c r="C137" i="58"/>
  <c r="B137" i="58"/>
  <c r="K136" i="58"/>
  <c r="C136" i="58"/>
  <c r="B136" i="58"/>
  <c r="K135" i="58"/>
  <c r="C135" i="58"/>
  <c r="B135" i="58"/>
  <c r="Q134" i="58"/>
  <c r="K134" i="58"/>
  <c r="C134" i="58"/>
  <c r="B134" i="58"/>
  <c r="K133" i="58"/>
  <c r="C133" i="58"/>
  <c r="B133" i="58"/>
  <c r="R132" i="58"/>
  <c r="K132" i="58"/>
  <c r="C132" i="58"/>
  <c r="B132" i="58"/>
  <c r="K131" i="58"/>
  <c r="C131" i="58"/>
  <c r="B131" i="58"/>
  <c r="K130" i="58"/>
  <c r="C130" i="58"/>
  <c r="B130" i="58"/>
  <c r="K129" i="58"/>
  <c r="C129" i="58"/>
  <c r="B129" i="58"/>
  <c r="K128" i="58"/>
  <c r="C128" i="58"/>
  <c r="B128" i="58"/>
  <c r="W127" i="58"/>
  <c r="V127" i="58"/>
  <c r="K127" i="58"/>
  <c r="C127" i="58"/>
  <c r="B127" i="58"/>
  <c r="W126" i="58"/>
  <c r="V126" i="58"/>
  <c r="K126" i="58"/>
  <c r="C126" i="58"/>
  <c r="B126" i="58"/>
  <c r="W125" i="58"/>
  <c r="V125" i="58"/>
  <c r="K125" i="58"/>
  <c r="C125" i="58"/>
  <c r="B125" i="58"/>
  <c r="W124" i="58"/>
  <c r="V124" i="58"/>
  <c r="K124" i="58"/>
  <c r="C124" i="58"/>
  <c r="B124" i="58"/>
  <c r="W123" i="58"/>
  <c r="V123" i="58"/>
  <c r="K123" i="58"/>
  <c r="C123" i="58"/>
  <c r="B123" i="58"/>
  <c r="W122" i="58"/>
  <c r="V122" i="58"/>
  <c r="K122" i="58"/>
  <c r="C122" i="58"/>
  <c r="B122" i="58"/>
  <c r="Q121" i="58"/>
  <c r="K121" i="58"/>
  <c r="C121" i="58"/>
  <c r="B121" i="58"/>
  <c r="Q120" i="58"/>
  <c r="K120" i="58"/>
  <c r="C120" i="58"/>
  <c r="B120" i="58"/>
  <c r="Q119" i="58"/>
  <c r="K119" i="58"/>
  <c r="C119" i="58"/>
  <c r="B119" i="58"/>
  <c r="Q118" i="58"/>
  <c r="K118" i="58"/>
  <c r="C118" i="58"/>
  <c r="B118" i="58"/>
  <c r="Q117" i="58"/>
  <c r="K117" i="58"/>
  <c r="C117" i="58"/>
  <c r="B117" i="58"/>
  <c r="Q116" i="58"/>
  <c r="K116" i="58"/>
  <c r="C116" i="58"/>
  <c r="B116" i="58"/>
  <c r="Q115" i="58"/>
  <c r="K115" i="58"/>
  <c r="C115" i="58"/>
  <c r="B115" i="58"/>
  <c r="Q114" i="58"/>
  <c r="K114" i="58"/>
  <c r="C114" i="58"/>
  <c r="B114" i="58"/>
  <c r="Q113" i="58"/>
  <c r="K113" i="58"/>
  <c r="C113" i="58"/>
  <c r="B113" i="58"/>
  <c r="Q112" i="58"/>
  <c r="K112" i="58"/>
  <c r="C112" i="58"/>
  <c r="B112" i="58"/>
  <c r="Q111" i="58"/>
  <c r="K111" i="58"/>
  <c r="C111" i="58"/>
  <c r="B111" i="58"/>
  <c r="Q110" i="58"/>
  <c r="K110" i="58"/>
  <c r="C110" i="58"/>
  <c r="B110" i="58"/>
  <c r="R109" i="58"/>
  <c r="Q109" i="58"/>
  <c r="K109" i="58"/>
  <c r="I109" i="58"/>
  <c r="P109" i="58" s="1"/>
  <c r="C109" i="58"/>
  <c r="B109" i="58"/>
  <c r="R108" i="58"/>
  <c r="Q108" i="58"/>
  <c r="P108" i="58"/>
  <c r="K108" i="58"/>
  <c r="I108" i="58"/>
  <c r="C108" i="58"/>
  <c r="B108" i="58"/>
  <c r="R107" i="58"/>
  <c r="Q107" i="58"/>
  <c r="K107" i="58"/>
  <c r="I107" i="58"/>
  <c r="P107" i="58" s="1"/>
  <c r="C107" i="58"/>
  <c r="B107" i="58"/>
  <c r="R106" i="58"/>
  <c r="Q106" i="58"/>
  <c r="K106" i="58"/>
  <c r="I106" i="58"/>
  <c r="P106" i="58" s="1"/>
  <c r="B106" i="58"/>
  <c r="A106" i="58"/>
  <c r="C106" i="58" s="1"/>
  <c r="R105" i="58"/>
  <c r="Q105" i="58"/>
  <c r="K105" i="58"/>
  <c r="I105" i="58"/>
  <c r="P105" i="58" s="1"/>
  <c r="A105" i="58"/>
  <c r="C105" i="58" s="1"/>
  <c r="R104" i="58"/>
  <c r="Q104" i="58"/>
  <c r="K104" i="58"/>
  <c r="I104" i="58"/>
  <c r="P104" i="58" s="1"/>
  <c r="A104" i="58"/>
  <c r="R103" i="58"/>
  <c r="Q103" i="58"/>
  <c r="K103" i="58"/>
  <c r="I103" i="58"/>
  <c r="P103" i="58" s="1"/>
  <c r="B103" i="58"/>
  <c r="A103" i="58"/>
  <c r="C103" i="58" s="1"/>
  <c r="R102" i="58"/>
  <c r="Q102" i="58"/>
  <c r="K102" i="58"/>
  <c r="I102" i="58"/>
  <c r="P102" i="58" s="1"/>
  <c r="B102" i="58"/>
  <c r="A102" i="58"/>
  <c r="C102" i="58" s="1"/>
  <c r="R101" i="58"/>
  <c r="Q101" i="58"/>
  <c r="K101" i="58"/>
  <c r="I101" i="58"/>
  <c r="P101" i="58" s="1"/>
  <c r="A101" i="58"/>
  <c r="C101" i="58" s="1"/>
  <c r="R100" i="58"/>
  <c r="Q100" i="58"/>
  <c r="K100" i="58"/>
  <c r="I100" i="58"/>
  <c r="P100" i="58" s="1"/>
  <c r="A100" i="58"/>
  <c r="R99" i="58"/>
  <c r="Q99" i="58"/>
  <c r="K99" i="58"/>
  <c r="I99" i="58"/>
  <c r="P99" i="58" s="1"/>
  <c r="B99" i="58"/>
  <c r="A99" i="58"/>
  <c r="C99" i="58" s="1"/>
  <c r="R98" i="58"/>
  <c r="Q98" i="58"/>
  <c r="K98" i="58"/>
  <c r="I98" i="58"/>
  <c r="P98" i="58" s="1"/>
  <c r="B98" i="58"/>
  <c r="A98" i="58"/>
  <c r="C98" i="58" s="1"/>
  <c r="R97" i="58"/>
  <c r="Q97" i="58"/>
  <c r="K97" i="58"/>
  <c r="I97" i="58"/>
  <c r="P97" i="58" s="1"/>
  <c r="A97" i="58"/>
  <c r="C97" i="58" s="1"/>
  <c r="R96" i="58"/>
  <c r="R144" i="58" s="1"/>
  <c r="Q96" i="58"/>
  <c r="K96" i="58"/>
  <c r="I96" i="58"/>
  <c r="P96" i="58" s="1"/>
  <c r="A96" i="58"/>
  <c r="R95" i="58"/>
  <c r="R143" i="58" s="1"/>
  <c r="Q95" i="58"/>
  <c r="K95" i="58"/>
  <c r="I95" i="58"/>
  <c r="P95" i="58" s="1"/>
  <c r="B95" i="58"/>
  <c r="A95" i="58"/>
  <c r="C95" i="58" s="1"/>
  <c r="R94" i="58"/>
  <c r="Q94" i="58"/>
  <c r="K94" i="58"/>
  <c r="I94" i="58"/>
  <c r="P94" i="58" s="1"/>
  <c r="B94" i="58"/>
  <c r="A94" i="58"/>
  <c r="C94" i="58" s="1"/>
  <c r="R93" i="58"/>
  <c r="Q93" i="58"/>
  <c r="K93" i="58"/>
  <c r="I93" i="58"/>
  <c r="P93" i="58" s="1"/>
  <c r="A93" i="58"/>
  <c r="C93" i="58" s="1"/>
  <c r="R92" i="58"/>
  <c r="R140" i="58" s="1"/>
  <c r="Q92" i="58"/>
  <c r="K92" i="58"/>
  <c r="I92" i="58"/>
  <c r="P92" i="58" s="1"/>
  <c r="A92" i="58"/>
  <c r="R91" i="58"/>
  <c r="R139" i="58" s="1"/>
  <c r="Q91" i="58"/>
  <c r="K91" i="58"/>
  <c r="I91" i="58"/>
  <c r="P91" i="58" s="1"/>
  <c r="B91" i="58"/>
  <c r="A91" i="58"/>
  <c r="C91" i="58" s="1"/>
  <c r="R90" i="58"/>
  <c r="R138" i="58" s="1"/>
  <c r="Q90" i="58"/>
  <c r="K90" i="58"/>
  <c r="I90" i="58"/>
  <c r="P90" i="58" s="1"/>
  <c r="B90" i="58"/>
  <c r="A90" i="58"/>
  <c r="C90" i="58" s="1"/>
  <c r="R89" i="58"/>
  <c r="Q89" i="58"/>
  <c r="K89" i="58"/>
  <c r="I89" i="58"/>
  <c r="P89" i="58" s="1"/>
  <c r="A89" i="58"/>
  <c r="C89" i="58" s="1"/>
  <c r="R88" i="58"/>
  <c r="R136" i="58" s="1"/>
  <c r="Q88" i="58"/>
  <c r="K88" i="58"/>
  <c r="I88" i="58"/>
  <c r="P88" i="58" s="1"/>
  <c r="A88" i="58"/>
  <c r="R87" i="58"/>
  <c r="R135" i="58" s="1"/>
  <c r="Q87" i="58"/>
  <c r="K87" i="58"/>
  <c r="I87" i="58"/>
  <c r="P87" i="58" s="1"/>
  <c r="B87" i="58"/>
  <c r="A87" i="58"/>
  <c r="C87" i="58" s="1"/>
  <c r="R86" i="58"/>
  <c r="R134" i="58" s="1"/>
  <c r="Q86" i="58"/>
  <c r="K86" i="58"/>
  <c r="I86" i="58"/>
  <c r="P86" i="58" s="1"/>
  <c r="B86" i="58"/>
  <c r="A86" i="58"/>
  <c r="C86" i="58" s="1"/>
  <c r="R85" i="58"/>
  <c r="Q85" i="58"/>
  <c r="K85" i="58"/>
  <c r="I85" i="58"/>
  <c r="P85" i="58" s="1"/>
  <c r="A85" i="58"/>
  <c r="C85" i="58" s="1"/>
  <c r="R84" i="58"/>
  <c r="Q84" i="58"/>
  <c r="K84" i="58"/>
  <c r="I84" i="58"/>
  <c r="P84" i="58" s="1"/>
  <c r="A84" i="58"/>
  <c r="R83" i="58"/>
  <c r="R131" i="58" s="1"/>
  <c r="Q83" i="58"/>
  <c r="K83" i="58"/>
  <c r="I83" i="58"/>
  <c r="P83" i="58" s="1"/>
  <c r="B83" i="58"/>
  <c r="A83" i="58"/>
  <c r="C83" i="58" s="1"/>
  <c r="R82" i="58"/>
  <c r="R130" i="58" s="1"/>
  <c r="Q82" i="58"/>
  <c r="K82" i="58"/>
  <c r="I82" i="58"/>
  <c r="P82" i="58" s="1"/>
  <c r="B82" i="58"/>
  <c r="A82" i="58"/>
  <c r="C82" i="58" s="1"/>
  <c r="R81" i="58"/>
  <c r="Q81" i="58"/>
  <c r="K81" i="58"/>
  <c r="I81" i="58"/>
  <c r="P81" i="58" s="1"/>
  <c r="A81" i="58"/>
  <c r="C81" i="58" s="1"/>
  <c r="R80" i="58"/>
  <c r="R128" i="58" s="1"/>
  <c r="Q80" i="58"/>
  <c r="K80" i="58"/>
  <c r="I80" i="58"/>
  <c r="P80" i="58" s="1"/>
  <c r="A80" i="58"/>
  <c r="R79" i="58"/>
  <c r="R127" i="58" s="1"/>
  <c r="Q79" i="58"/>
  <c r="K79" i="58"/>
  <c r="I79" i="58"/>
  <c r="P79" i="58" s="1"/>
  <c r="B79" i="58"/>
  <c r="A79" i="58"/>
  <c r="C79" i="58" s="1"/>
  <c r="R78" i="58"/>
  <c r="R126" i="58" s="1"/>
  <c r="Q78" i="58"/>
  <c r="K78" i="58"/>
  <c r="I78" i="58"/>
  <c r="P78" i="58" s="1"/>
  <c r="B78" i="58"/>
  <c r="A78" i="58"/>
  <c r="C78" i="58" s="1"/>
  <c r="R77" i="58"/>
  <c r="Q77" i="58"/>
  <c r="K77" i="58"/>
  <c r="I77" i="58"/>
  <c r="P77" i="58" s="1"/>
  <c r="A77" i="58"/>
  <c r="C77" i="58" s="1"/>
  <c r="R76" i="58"/>
  <c r="R124" i="58" s="1"/>
  <c r="Q76" i="58"/>
  <c r="K76" i="58"/>
  <c r="I76" i="58"/>
  <c r="P76" i="58" s="1"/>
  <c r="A76" i="58"/>
  <c r="R75" i="58"/>
  <c r="R123" i="58" s="1"/>
  <c r="Q75" i="58"/>
  <c r="K75" i="58"/>
  <c r="I75" i="58"/>
  <c r="P75" i="58" s="1"/>
  <c r="B75" i="58"/>
  <c r="A75" i="58"/>
  <c r="C75" i="58" s="1"/>
  <c r="R74" i="58"/>
  <c r="R122" i="58" s="1"/>
  <c r="Q74" i="58"/>
  <c r="K74" i="58"/>
  <c r="I74" i="58"/>
  <c r="P74" i="58" s="1"/>
  <c r="B74" i="58"/>
  <c r="A74" i="58"/>
  <c r="C74" i="58" s="1"/>
  <c r="R73" i="58"/>
  <c r="Q73" i="58"/>
  <c r="K73" i="58"/>
  <c r="I73" i="58"/>
  <c r="P73" i="58" s="1"/>
  <c r="A73" i="58"/>
  <c r="C73" i="58" s="1"/>
  <c r="R72" i="58"/>
  <c r="Q72" i="58"/>
  <c r="K72" i="58"/>
  <c r="I72" i="58"/>
  <c r="P72" i="58" s="1"/>
  <c r="A72" i="58"/>
  <c r="R71" i="58"/>
  <c r="Q71" i="58"/>
  <c r="K71" i="58"/>
  <c r="I71" i="58"/>
  <c r="P71" i="58" s="1"/>
  <c r="B71" i="58"/>
  <c r="A71" i="58"/>
  <c r="C71" i="58" s="1"/>
  <c r="R70" i="58"/>
  <c r="Q70" i="58"/>
  <c r="K70" i="58"/>
  <c r="I70" i="58"/>
  <c r="P70" i="58" s="1"/>
  <c r="B70" i="58"/>
  <c r="A70" i="58"/>
  <c r="C70" i="58" s="1"/>
  <c r="R69" i="58"/>
  <c r="Q69" i="58"/>
  <c r="K69" i="58"/>
  <c r="I69" i="58"/>
  <c r="P69" i="58" s="1"/>
  <c r="A69" i="58"/>
  <c r="C69" i="58" s="1"/>
  <c r="R68" i="58"/>
  <c r="Q68" i="58"/>
  <c r="K68" i="58"/>
  <c r="I68" i="58"/>
  <c r="P68" i="58" s="1"/>
  <c r="A68" i="58"/>
  <c r="R67" i="58"/>
  <c r="Q67" i="58"/>
  <c r="K67" i="58"/>
  <c r="I67" i="58"/>
  <c r="P67" i="58" s="1"/>
  <c r="B67" i="58"/>
  <c r="A67" i="58"/>
  <c r="C67" i="58" s="1"/>
  <c r="R66" i="58"/>
  <c r="Q66" i="58"/>
  <c r="K66" i="58"/>
  <c r="I66" i="58"/>
  <c r="P66" i="58" s="1"/>
  <c r="B66" i="58"/>
  <c r="A66" i="58"/>
  <c r="C66" i="58" s="1"/>
  <c r="R65" i="58"/>
  <c r="Q65" i="58"/>
  <c r="K65" i="58"/>
  <c r="I65" i="58"/>
  <c r="P65" i="58" s="1"/>
  <c r="A65" i="58"/>
  <c r="C65" i="58" s="1"/>
  <c r="R64" i="58"/>
  <c r="Q64" i="58"/>
  <c r="K64" i="58"/>
  <c r="I64" i="58"/>
  <c r="P64" i="58" s="1"/>
  <c r="A64" i="58"/>
  <c r="R63" i="58"/>
  <c r="Q63" i="58"/>
  <c r="K63" i="58"/>
  <c r="I63" i="58"/>
  <c r="P63" i="58" s="1"/>
  <c r="B63" i="58"/>
  <c r="A63" i="58"/>
  <c r="C63" i="58" s="1"/>
  <c r="R62" i="58"/>
  <c r="Q62" i="58"/>
  <c r="K62" i="58"/>
  <c r="I62" i="58"/>
  <c r="P62" i="58" s="1"/>
  <c r="B62" i="58"/>
  <c r="A62" i="58"/>
  <c r="C62" i="58" s="1"/>
  <c r="R61" i="58"/>
  <c r="Q61" i="58"/>
  <c r="K61" i="58"/>
  <c r="I61" i="58"/>
  <c r="P61" i="58" s="1"/>
  <c r="A61" i="58"/>
  <c r="C61" i="58" s="1"/>
  <c r="R60" i="58"/>
  <c r="Q60" i="58"/>
  <c r="K60" i="58"/>
  <c r="I60" i="58"/>
  <c r="P60" i="58" s="1"/>
  <c r="A60" i="58"/>
  <c r="R59" i="58"/>
  <c r="Q59" i="58"/>
  <c r="K59" i="58"/>
  <c r="I59" i="58"/>
  <c r="P59" i="58" s="1"/>
  <c r="B59" i="58"/>
  <c r="A59" i="58"/>
  <c r="C59" i="58" s="1"/>
  <c r="R58" i="58"/>
  <c r="Q58" i="58"/>
  <c r="K58" i="58"/>
  <c r="I58" i="58"/>
  <c r="P58" i="58" s="1"/>
  <c r="B58" i="58"/>
  <c r="A58" i="58"/>
  <c r="C58" i="58" s="1"/>
  <c r="R57" i="58"/>
  <c r="Q57" i="58"/>
  <c r="K57" i="58"/>
  <c r="I57" i="58"/>
  <c r="P57" i="58" s="1"/>
  <c r="A57" i="58"/>
  <c r="C57" i="58" s="1"/>
  <c r="R56" i="58"/>
  <c r="Q56" i="58"/>
  <c r="K56" i="58"/>
  <c r="I56" i="58"/>
  <c r="P56" i="58" s="1"/>
  <c r="A56" i="58"/>
  <c r="R55" i="58"/>
  <c r="K55" i="58"/>
  <c r="I55" i="58"/>
  <c r="P55" i="58" s="1"/>
  <c r="B55" i="58"/>
  <c r="A55" i="58"/>
  <c r="C55" i="58" s="1"/>
  <c r="R54" i="58"/>
  <c r="Q54" i="58"/>
  <c r="K54" i="58"/>
  <c r="I54" i="58"/>
  <c r="P54" i="58" s="1"/>
  <c r="B54" i="58"/>
  <c r="A54" i="58"/>
  <c r="C54" i="58" s="1"/>
  <c r="R53" i="58"/>
  <c r="Q53" i="58"/>
  <c r="K53" i="58"/>
  <c r="I53" i="58"/>
  <c r="P53" i="58" s="1"/>
  <c r="A53" i="58"/>
  <c r="C53" i="58" s="1"/>
  <c r="R52" i="58"/>
  <c r="Q52" i="58"/>
  <c r="K52" i="58"/>
  <c r="I52" i="58"/>
  <c r="P52" i="58" s="1"/>
  <c r="A52" i="58"/>
  <c r="R51" i="58"/>
  <c r="Q51" i="58"/>
  <c r="K51" i="58"/>
  <c r="I51" i="58"/>
  <c r="P51" i="58" s="1"/>
  <c r="B51" i="58"/>
  <c r="A51" i="58"/>
  <c r="C51" i="58" s="1"/>
  <c r="R50" i="58"/>
  <c r="Q50" i="58"/>
  <c r="K50" i="58"/>
  <c r="I50" i="58"/>
  <c r="P50" i="58" s="1"/>
  <c r="B50" i="58"/>
  <c r="A50" i="58"/>
  <c r="C50" i="58" s="1"/>
  <c r="R49" i="58"/>
  <c r="Q49" i="58"/>
  <c r="K49" i="58"/>
  <c r="I49" i="58"/>
  <c r="P49" i="58" s="1"/>
  <c r="A49" i="58"/>
  <c r="C49" i="58" s="1"/>
  <c r="R48" i="58"/>
  <c r="Q48" i="58"/>
  <c r="K48" i="58"/>
  <c r="I48" i="58"/>
  <c r="P48" i="58" s="1"/>
  <c r="A48" i="58"/>
  <c r="R47" i="58"/>
  <c r="Q47" i="58"/>
  <c r="K47" i="58"/>
  <c r="I47" i="58"/>
  <c r="P47" i="58" s="1"/>
  <c r="B47" i="58"/>
  <c r="A47" i="58"/>
  <c r="C47" i="58" s="1"/>
  <c r="R46" i="58"/>
  <c r="Q46" i="58"/>
  <c r="K46" i="58"/>
  <c r="I46" i="58"/>
  <c r="P46" i="58" s="1"/>
  <c r="B46" i="58"/>
  <c r="A46" i="58"/>
  <c r="C46" i="58" s="1"/>
  <c r="R45" i="58"/>
  <c r="Q45" i="58"/>
  <c r="K45" i="58"/>
  <c r="I45" i="58"/>
  <c r="P45" i="58" s="1"/>
  <c r="A45" i="58"/>
  <c r="C45" i="58" s="1"/>
  <c r="R44" i="58"/>
  <c r="Q44" i="58"/>
  <c r="K44" i="58"/>
  <c r="I44" i="58"/>
  <c r="P44" i="58" s="1"/>
  <c r="A44" i="58"/>
  <c r="R43" i="58"/>
  <c r="Q43" i="58"/>
  <c r="K43" i="58"/>
  <c r="I43" i="58"/>
  <c r="P43" i="58" s="1"/>
  <c r="B43" i="58"/>
  <c r="A43" i="58"/>
  <c r="C43" i="58" s="1"/>
  <c r="R42" i="58"/>
  <c r="Q42" i="58"/>
  <c r="K42" i="58"/>
  <c r="I42" i="58"/>
  <c r="P42" i="58" s="1"/>
  <c r="B42" i="58"/>
  <c r="A42" i="58"/>
  <c r="C42" i="58" s="1"/>
  <c r="R41" i="58"/>
  <c r="Q41" i="58"/>
  <c r="K41" i="58"/>
  <c r="I41" i="58"/>
  <c r="P41" i="58" s="1"/>
  <c r="A41" i="58"/>
  <c r="C41" i="58" s="1"/>
  <c r="R40" i="58"/>
  <c r="Q40" i="58"/>
  <c r="K40" i="58"/>
  <c r="I40" i="58"/>
  <c r="P40" i="58" s="1"/>
  <c r="A40" i="58"/>
  <c r="R39" i="58"/>
  <c r="Q39" i="58"/>
  <c r="K39" i="58"/>
  <c r="I39" i="58"/>
  <c r="P39" i="58" s="1"/>
  <c r="B39" i="58"/>
  <c r="A39" i="58"/>
  <c r="C39" i="58" s="1"/>
  <c r="R38" i="58"/>
  <c r="Q38" i="58"/>
  <c r="K38" i="58"/>
  <c r="I38" i="58"/>
  <c r="P38" i="58" s="1"/>
  <c r="B38" i="58"/>
  <c r="A38" i="58"/>
  <c r="C38" i="58" s="1"/>
  <c r="R37" i="58"/>
  <c r="Q37" i="58"/>
  <c r="K37" i="58"/>
  <c r="I37" i="58"/>
  <c r="P37" i="58" s="1"/>
  <c r="A37" i="58"/>
  <c r="C37" i="58" s="1"/>
  <c r="R36" i="58"/>
  <c r="Q36" i="58"/>
  <c r="K36" i="58"/>
  <c r="I36" i="58"/>
  <c r="P36" i="58" s="1"/>
  <c r="A36" i="58"/>
  <c r="R35" i="58"/>
  <c r="Q35" i="58"/>
  <c r="K35" i="58"/>
  <c r="I35" i="58"/>
  <c r="P35" i="58" s="1"/>
  <c r="B35" i="58"/>
  <c r="A35" i="58"/>
  <c r="C35" i="58" s="1"/>
  <c r="R34" i="58"/>
  <c r="Q34" i="58"/>
  <c r="K34" i="58"/>
  <c r="I34" i="58"/>
  <c r="P34" i="58" s="1"/>
  <c r="B34" i="58"/>
  <c r="A34" i="58"/>
  <c r="C34" i="58" s="1"/>
  <c r="R33" i="58"/>
  <c r="Q33" i="58"/>
  <c r="K33" i="58"/>
  <c r="I33" i="58"/>
  <c r="P33" i="58" s="1"/>
  <c r="A33" i="58"/>
  <c r="C33" i="58" s="1"/>
  <c r="R32" i="58"/>
  <c r="Q32" i="58"/>
  <c r="K32" i="58"/>
  <c r="I32" i="58"/>
  <c r="P32" i="58" s="1"/>
  <c r="A32" i="58"/>
  <c r="R31" i="58"/>
  <c r="Q31" i="58"/>
  <c r="K31" i="58"/>
  <c r="I31" i="58"/>
  <c r="P31" i="58" s="1"/>
  <c r="B31" i="58"/>
  <c r="A31" i="58"/>
  <c r="C31" i="58" s="1"/>
  <c r="R30" i="58"/>
  <c r="Q30" i="58"/>
  <c r="K30" i="58"/>
  <c r="I30" i="58"/>
  <c r="P30" i="58" s="1"/>
  <c r="B30" i="58"/>
  <c r="A30" i="58"/>
  <c r="C30" i="58" s="1"/>
  <c r="R29" i="58"/>
  <c r="Q29" i="58"/>
  <c r="K29" i="58"/>
  <c r="I29" i="58"/>
  <c r="P29" i="58" s="1"/>
  <c r="A29" i="58"/>
  <c r="C29" i="58" s="1"/>
  <c r="R28" i="58"/>
  <c r="Q28" i="58"/>
  <c r="K28" i="58"/>
  <c r="I28" i="58"/>
  <c r="P28" i="58" s="1"/>
  <c r="A28" i="58"/>
  <c r="R27" i="58"/>
  <c r="Q27" i="58"/>
  <c r="K27" i="58"/>
  <c r="I27" i="58"/>
  <c r="P27" i="58" s="1"/>
  <c r="B27" i="58"/>
  <c r="A27" i="58"/>
  <c r="C27" i="58" s="1"/>
  <c r="R26" i="58"/>
  <c r="Q26" i="58"/>
  <c r="K26" i="58"/>
  <c r="I26" i="58"/>
  <c r="P26" i="58" s="1"/>
  <c r="B26" i="58"/>
  <c r="A26" i="58"/>
  <c r="C26" i="58" s="1"/>
  <c r="R25" i="58"/>
  <c r="Q25" i="58"/>
  <c r="K25" i="58"/>
  <c r="I25" i="58"/>
  <c r="P25" i="58" s="1"/>
  <c r="A25" i="58"/>
  <c r="C25" i="58" s="1"/>
  <c r="R24" i="58"/>
  <c r="Q24" i="58"/>
  <c r="K24" i="58"/>
  <c r="I24" i="58"/>
  <c r="P24" i="58" s="1"/>
  <c r="A24" i="58"/>
  <c r="R23" i="58"/>
  <c r="Q23" i="58"/>
  <c r="K23" i="58"/>
  <c r="I23" i="58"/>
  <c r="P23" i="58" s="1"/>
  <c r="B23" i="58"/>
  <c r="A23" i="58"/>
  <c r="C23" i="58" s="1"/>
  <c r="R22" i="58"/>
  <c r="Q22" i="58"/>
  <c r="K22" i="58"/>
  <c r="I22" i="58"/>
  <c r="P22" i="58" s="1"/>
  <c r="B22" i="58"/>
  <c r="A22" i="58"/>
  <c r="C22" i="58" s="1"/>
  <c r="R21" i="58"/>
  <c r="Q21" i="58"/>
  <c r="K21" i="58"/>
  <c r="I21" i="58"/>
  <c r="P21" i="58" s="1"/>
  <c r="A21" i="58"/>
  <c r="C21" i="58" s="1"/>
  <c r="R20" i="58"/>
  <c r="Q20" i="58"/>
  <c r="K20" i="58"/>
  <c r="I20" i="58"/>
  <c r="P20" i="58" s="1"/>
  <c r="A20" i="58"/>
  <c r="R19" i="58"/>
  <c r="Q19" i="58"/>
  <c r="K19" i="58"/>
  <c r="I19" i="58"/>
  <c r="P19" i="58" s="1"/>
  <c r="B19" i="58"/>
  <c r="A19" i="58"/>
  <c r="C19" i="58" s="1"/>
  <c r="R18" i="58"/>
  <c r="Q18" i="58"/>
  <c r="K18" i="58"/>
  <c r="I18" i="58"/>
  <c r="P18" i="58" s="1"/>
  <c r="B18" i="58"/>
  <c r="A18" i="58"/>
  <c r="C18" i="58" s="1"/>
  <c r="R17" i="58"/>
  <c r="Q17" i="58"/>
  <c r="K17" i="58"/>
  <c r="I17" i="58"/>
  <c r="P17" i="58" s="1"/>
  <c r="A17" i="58"/>
  <c r="C17" i="58" s="1"/>
  <c r="R16" i="58"/>
  <c r="Q16" i="58"/>
  <c r="K16" i="58"/>
  <c r="I16" i="58"/>
  <c r="P16" i="58" s="1"/>
  <c r="A16" i="58"/>
  <c r="R15" i="58"/>
  <c r="Q15" i="58"/>
  <c r="K15" i="58"/>
  <c r="I15" i="58"/>
  <c r="P15" i="58" s="1"/>
  <c r="B15" i="58"/>
  <c r="A15" i="58"/>
  <c r="C15" i="58" s="1"/>
  <c r="R14" i="58"/>
  <c r="Q14" i="58"/>
  <c r="K14" i="58"/>
  <c r="I14" i="58"/>
  <c r="P14" i="58" s="1"/>
  <c r="B14" i="58"/>
  <c r="A14" i="58"/>
  <c r="C14" i="58" s="1"/>
  <c r="R13" i="58"/>
  <c r="Q13" i="58"/>
  <c r="K13" i="58"/>
  <c r="I13" i="58"/>
  <c r="P13" i="58" s="1"/>
  <c r="A13" i="58"/>
  <c r="C13" i="58" s="1"/>
  <c r="R12" i="58"/>
  <c r="Q12" i="58"/>
  <c r="K12" i="58"/>
  <c r="I12" i="58"/>
  <c r="P12" i="58" s="1"/>
  <c r="A12" i="58"/>
  <c r="R11" i="58"/>
  <c r="Q11" i="58"/>
  <c r="K11" i="58"/>
  <c r="I11" i="58"/>
  <c r="P11" i="58" s="1"/>
  <c r="A11" i="58"/>
  <c r="C11" i="58" s="1"/>
  <c r="R10" i="58"/>
  <c r="Q10" i="58"/>
  <c r="K10" i="58"/>
  <c r="I10" i="58"/>
  <c r="P10" i="58" s="1"/>
  <c r="B10" i="58"/>
  <c r="A10" i="58"/>
  <c r="C10" i="58" s="1"/>
  <c r="R9" i="58"/>
  <c r="Q9" i="58"/>
  <c r="K9" i="58"/>
  <c r="I9" i="58"/>
  <c r="P9" i="58" s="1"/>
  <c r="A9" i="58"/>
  <c r="C9" i="58" s="1"/>
  <c r="R8" i="58"/>
  <c r="Q8" i="58"/>
  <c r="K8" i="58"/>
  <c r="I8" i="58"/>
  <c r="P8" i="58" s="1"/>
  <c r="A8" i="58"/>
  <c r="R7" i="58"/>
  <c r="Q7" i="58"/>
  <c r="K7" i="58"/>
  <c r="I7" i="58"/>
  <c r="P7" i="58" s="1"/>
  <c r="B7" i="58"/>
  <c r="A7" i="58"/>
  <c r="C7" i="58" s="1"/>
  <c r="R6" i="58"/>
  <c r="Q6" i="58"/>
  <c r="K6" i="58"/>
  <c r="I6" i="58"/>
  <c r="P6" i="58" s="1"/>
  <c r="A6" i="58"/>
  <c r="C6" i="58" s="1"/>
  <c r="R5" i="58"/>
  <c r="Q5" i="58"/>
  <c r="K5" i="58"/>
  <c r="I5" i="58"/>
  <c r="P5" i="58" s="1"/>
  <c r="A5" i="58"/>
  <c r="C5" i="58" s="1"/>
  <c r="R4" i="58"/>
  <c r="Q4" i="58"/>
  <c r="K4" i="58"/>
  <c r="I4" i="58"/>
  <c r="P4" i="58" s="1"/>
  <c r="A4" i="58"/>
  <c r="R3" i="58"/>
  <c r="Q3" i="58"/>
  <c r="K3" i="58"/>
  <c r="I3" i="58"/>
  <c r="P3" i="58" s="1"/>
  <c r="A3" i="58"/>
  <c r="C3" i="58" s="1"/>
  <c r="R2" i="58"/>
  <c r="Q2" i="58"/>
  <c r="K2" i="58"/>
  <c r="I2" i="58"/>
  <c r="P2" i="58" s="1"/>
  <c r="G2" i="58"/>
  <c r="N2" i="58" s="1"/>
  <c r="B2" i="58"/>
  <c r="A2" i="58"/>
  <c r="C2" i="58" s="1"/>
  <c r="R1" i="58"/>
  <c r="Q1" i="58"/>
  <c r="I1" i="58"/>
  <c r="P1" i="58" s="1"/>
  <c r="G1" i="58"/>
  <c r="N1" i="58" s="1"/>
  <c r="D1" i="58"/>
  <c r="A1" i="58"/>
  <c r="B13" i="59" l="1"/>
  <c r="C13" i="59"/>
  <c r="B3" i="58"/>
  <c r="B6" i="58"/>
  <c r="B11" i="58"/>
  <c r="C82" i="59"/>
  <c r="B82" i="59"/>
  <c r="B6" i="59"/>
  <c r="C6" i="59"/>
  <c r="B9" i="59"/>
  <c r="C9" i="59"/>
  <c r="B84" i="59"/>
  <c r="C84" i="59"/>
  <c r="C4" i="59"/>
  <c r="B4" i="59"/>
  <c r="B29" i="59"/>
  <c r="C29" i="59"/>
  <c r="B59" i="59"/>
  <c r="C59" i="59"/>
  <c r="B77" i="59"/>
  <c r="C77" i="59"/>
  <c r="B17" i="59"/>
  <c r="C17" i="59"/>
  <c r="B20" i="59"/>
  <c r="C20" i="59"/>
  <c r="B37" i="59"/>
  <c r="C37" i="59"/>
  <c r="B44" i="59"/>
  <c r="C44" i="59"/>
  <c r="C58" i="59"/>
  <c r="B58" i="59"/>
  <c r="B30" i="59"/>
  <c r="B34" i="59"/>
  <c r="B53" i="59"/>
  <c r="C53" i="59"/>
  <c r="C82" i="60"/>
  <c r="B82" i="60"/>
  <c r="B33" i="60"/>
  <c r="C33" i="60"/>
  <c r="C2" i="60"/>
  <c r="B2" i="60"/>
  <c r="C24" i="60"/>
  <c r="B24" i="60"/>
  <c r="C64" i="60"/>
  <c r="B64" i="60"/>
  <c r="C80" i="60"/>
  <c r="B80" i="60"/>
  <c r="B3" i="60"/>
  <c r="B7" i="60"/>
  <c r="B18" i="60"/>
  <c r="C25" i="60"/>
  <c r="B35" i="60"/>
  <c r="B59" i="60"/>
  <c r="C60" i="60"/>
  <c r="B60" i="60"/>
  <c r="B75" i="60"/>
  <c r="C76" i="60"/>
  <c r="B76" i="60"/>
  <c r="J128" i="60"/>
  <c r="Q128" i="60" s="1"/>
  <c r="Q116" i="60"/>
  <c r="B17" i="60"/>
  <c r="B39" i="60"/>
  <c r="B68" i="60"/>
  <c r="C103" i="60"/>
  <c r="B103" i="60"/>
  <c r="J138" i="60"/>
  <c r="Q138" i="60" s="1"/>
  <c r="B84" i="60"/>
  <c r="B97" i="60"/>
  <c r="C97" i="60"/>
  <c r="J122" i="60"/>
  <c r="Q110" i="60"/>
  <c r="J133" i="60"/>
  <c r="Q133" i="60" s="1"/>
  <c r="C89" i="60"/>
  <c r="B99" i="60"/>
  <c r="Q111" i="60"/>
  <c r="B8" i="62"/>
  <c r="AC7" i="61"/>
  <c r="C4" i="58"/>
  <c r="B4" i="58"/>
  <c r="C36" i="58"/>
  <c r="B36" i="58"/>
  <c r="C52" i="58"/>
  <c r="B52" i="58"/>
  <c r="C68" i="58"/>
  <c r="B68" i="58"/>
  <c r="C84" i="58"/>
  <c r="B84" i="58"/>
  <c r="B5" i="59"/>
  <c r="C5" i="59"/>
  <c r="C40" i="59"/>
  <c r="B40" i="59"/>
  <c r="B51" i="59"/>
  <c r="C51" i="59"/>
  <c r="R118" i="59"/>
  <c r="B83" i="59"/>
  <c r="C83" i="59"/>
  <c r="C8" i="58"/>
  <c r="B8" i="58"/>
  <c r="C72" i="58"/>
  <c r="B72" i="58"/>
  <c r="C88" i="58"/>
  <c r="B88" i="58"/>
  <c r="C104" i="58"/>
  <c r="B104" i="58"/>
  <c r="C48" i="59"/>
  <c r="B48" i="59"/>
  <c r="C80" i="59"/>
  <c r="B80" i="59"/>
  <c r="C12" i="58"/>
  <c r="B12" i="58"/>
  <c r="C28" i="58"/>
  <c r="B28" i="58"/>
  <c r="C44" i="58"/>
  <c r="B44" i="58"/>
  <c r="C60" i="58"/>
  <c r="B60" i="58"/>
  <c r="C76" i="58"/>
  <c r="B76" i="58"/>
  <c r="R125" i="58"/>
  <c r="C92" i="58"/>
  <c r="B92" i="58"/>
  <c r="R141" i="58"/>
  <c r="B2" i="59"/>
  <c r="C2" i="59"/>
  <c r="B67" i="59"/>
  <c r="C67" i="59"/>
  <c r="R134" i="59"/>
  <c r="B99" i="59"/>
  <c r="C99" i="59"/>
  <c r="C74" i="60"/>
  <c r="B74" i="60"/>
  <c r="C20" i="58"/>
  <c r="B20" i="58"/>
  <c r="R133" i="58"/>
  <c r="C100" i="58"/>
  <c r="B100" i="58"/>
  <c r="B37" i="60"/>
  <c r="C37" i="60"/>
  <c r="C24" i="58"/>
  <c r="B24" i="58"/>
  <c r="C40" i="58"/>
  <c r="B40" i="58"/>
  <c r="C56" i="58"/>
  <c r="B56" i="58"/>
  <c r="R137" i="58"/>
  <c r="C8" i="59"/>
  <c r="B8" i="59"/>
  <c r="B57" i="60"/>
  <c r="C57" i="60"/>
  <c r="C16" i="58"/>
  <c r="B16" i="58"/>
  <c r="C32" i="58"/>
  <c r="B32" i="58"/>
  <c r="C48" i="58"/>
  <c r="B48" i="58"/>
  <c r="C64" i="58"/>
  <c r="B64" i="58"/>
  <c r="C80" i="58"/>
  <c r="B80" i="58"/>
  <c r="R129" i="58"/>
  <c r="C96" i="58"/>
  <c r="B96" i="58"/>
  <c r="R145" i="58"/>
  <c r="C64" i="59"/>
  <c r="B64" i="59"/>
  <c r="C96" i="59"/>
  <c r="B96" i="59"/>
  <c r="R142" i="58"/>
  <c r="B7" i="59"/>
  <c r="C7" i="59"/>
  <c r="B12" i="59"/>
  <c r="C12" i="59"/>
  <c r="C14" i="59"/>
  <c r="B14" i="59"/>
  <c r="B23" i="59"/>
  <c r="C23" i="59"/>
  <c r="C104" i="59"/>
  <c r="B104" i="59"/>
  <c r="B8" i="60"/>
  <c r="C8" i="60"/>
  <c r="B81" i="60"/>
  <c r="C81" i="60"/>
  <c r="B101" i="60"/>
  <c r="C101" i="60"/>
  <c r="B5" i="58"/>
  <c r="B9" i="58"/>
  <c r="B13" i="58"/>
  <c r="B17" i="58"/>
  <c r="B21" i="58"/>
  <c r="B25" i="58"/>
  <c r="B29" i="58"/>
  <c r="B33" i="58"/>
  <c r="B37" i="58"/>
  <c r="B41" i="58"/>
  <c r="B45" i="58"/>
  <c r="B49" i="58"/>
  <c r="B53" i="58"/>
  <c r="B57" i="58"/>
  <c r="B61" i="58"/>
  <c r="B65" i="58"/>
  <c r="B69" i="58"/>
  <c r="B73" i="58"/>
  <c r="B77" i="58"/>
  <c r="B81" i="58"/>
  <c r="B85" i="58"/>
  <c r="B89" i="58"/>
  <c r="B93" i="58"/>
  <c r="B97" i="58"/>
  <c r="B101" i="58"/>
  <c r="B105" i="58"/>
  <c r="B39" i="59"/>
  <c r="C39" i="59"/>
  <c r="C6" i="60"/>
  <c r="B6" i="60"/>
  <c r="C31" i="60"/>
  <c r="B31" i="60"/>
  <c r="Q123" i="60"/>
  <c r="J135" i="60"/>
  <c r="Q135" i="60" s="1"/>
  <c r="C56" i="59"/>
  <c r="B56" i="59"/>
  <c r="C72" i="59"/>
  <c r="B72" i="59"/>
  <c r="C88" i="59"/>
  <c r="B88" i="59"/>
  <c r="B11" i="59"/>
  <c r="C11" i="59"/>
  <c r="B28" i="59"/>
  <c r="C28" i="59"/>
  <c r="B41" i="59"/>
  <c r="C41" i="59"/>
  <c r="C95" i="60"/>
  <c r="B95" i="60"/>
  <c r="C24" i="59"/>
  <c r="B24" i="59"/>
  <c r="B25" i="59"/>
  <c r="C25" i="59"/>
  <c r="B27" i="59"/>
  <c r="C27" i="59"/>
  <c r="C9" i="60"/>
  <c r="B9" i="60"/>
  <c r="B49" i="60"/>
  <c r="C49" i="60"/>
  <c r="C63" i="60"/>
  <c r="B63" i="60"/>
  <c r="B69" i="60"/>
  <c r="C69" i="60"/>
  <c r="S143" i="60"/>
  <c r="J140" i="60"/>
  <c r="Q140" i="60" s="1"/>
  <c r="T7" i="61"/>
  <c r="C14" i="60"/>
  <c r="B14" i="60"/>
  <c r="S124" i="60"/>
  <c r="K9" i="61"/>
  <c r="C62" i="59"/>
  <c r="B62" i="59"/>
  <c r="R116" i="59"/>
  <c r="C70" i="59"/>
  <c r="B70" i="59"/>
  <c r="C86" i="59"/>
  <c r="B86" i="59"/>
  <c r="C102" i="59"/>
  <c r="B102" i="59"/>
  <c r="B29" i="60"/>
  <c r="C29" i="60"/>
  <c r="C46" i="60"/>
  <c r="B46" i="60"/>
  <c r="B61" i="60"/>
  <c r="C61" i="60"/>
  <c r="C66" i="60"/>
  <c r="B66" i="60"/>
  <c r="C78" i="60"/>
  <c r="B78" i="60"/>
  <c r="C87" i="60"/>
  <c r="B87" i="60"/>
  <c r="B93" i="60"/>
  <c r="C93" i="60"/>
  <c r="C46" i="59"/>
  <c r="B46" i="59"/>
  <c r="C54" i="59"/>
  <c r="B54" i="59"/>
  <c r="R124" i="59"/>
  <c r="C78" i="59"/>
  <c r="B78" i="59"/>
  <c r="R132" i="59"/>
  <c r="R140" i="59"/>
  <c r="C94" i="59"/>
  <c r="B94" i="59"/>
  <c r="C23" i="60"/>
  <c r="B23" i="60"/>
  <c r="C34" i="60"/>
  <c r="B34" i="60"/>
  <c r="C55" i="60"/>
  <c r="B55" i="60"/>
  <c r="C98" i="60"/>
  <c r="B98" i="60"/>
  <c r="J145" i="60"/>
  <c r="Q145" i="60" s="1"/>
  <c r="B7" i="61"/>
  <c r="B9" i="62"/>
  <c r="B15" i="59"/>
  <c r="C15" i="59"/>
  <c r="B22" i="59"/>
  <c r="B31" i="59"/>
  <c r="C31" i="59"/>
  <c r="B38" i="59"/>
  <c r="B49" i="59"/>
  <c r="C49" i="59"/>
  <c r="B57" i="59"/>
  <c r="C57" i="59"/>
  <c r="B65" i="59"/>
  <c r="C65" i="59"/>
  <c r="B73" i="59"/>
  <c r="C73" i="59"/>
  <c r="B81" i="59"/>
  <c r="C81" i="59"/>
  <c r="B89" i="59"/>
  <c r="C89" i="59"/>
  <c r="B97" i="59"/>
  <c r="C97" i="59"/>
  <c r="B105" i="59"/>
  <c r="C105" i="59"/>
  <c r="C22" i="60"/>
  <c r="B22" i="60"/>
  <c r="C54" i="60"/>
  <c r="B54" i="60"/>
  <c r="S128" i="60"/>
  <c r="C86" i="60"/>
  <c r="B86" i="60"/>
  <c r="Q115" i="60"/>
  <c r="J127" i="60"/>
  <c r="J131" i="60"/>
  <c r="C38" i="60"/>
  <c r="B38" i="60"/>
  <c r="B53" i="60"/>
  <c r="C53" i="60"/>
  <c r="C70" i="60"/>
  <c r="B70" i="60"/>
  <c r="B85" i="60"/>
  <c r="C85" i="60"/>
  <c r="C102" i="60"/>
  <c r="B102" i="60"/>
  <c r="Q125" i="60"/>
  <c r="Q130" i="60"/>
  <c r="J142" i="60"/>
  <c r="Q142" i="60" s="1"/>
  <c r="J144" i="60"/>
  <c r="Q144" i="60" s="1"/>
  <c r="AM7" i="61"/>
  <c r="C47" i="59"/>
  <c r="C55" i="59"/>
  <c r="C63" i="59"/>
  <c r="C71" i="59"/>
  <c r="C79" i="59"/>
  <c r="C87" i="59"/>
  <c r="C95" i="59"/>
  <c r="C103" i="59"/>
  <c r="C4" i="60"/>
  <c r="B5" i="60"/>
  <c r="C12" i="60"/>
  <c r="B13" i="60"/>
  <c r="C20" i="60"/>
  <c r="B21" i="60"/>
  <c r="B26" i="60"/>
  <c r="C30" i="60"/>
  <c r="B30" i="60"/>
  <c r="C41" i="60"/>
  <c r="B45" i="60"/>
  <c r="C45" i="60"/>
  <c r="B47" i="60"/>
  <c r="B58" i="60"/>
  <c r="C62" i="60"/>
  <c r="B62" i="60"/>
  <c r="C73" i="60"/>
  <c r="B77" i="60"/>
  <c r="C77" i="60"/>
  <c r="B79" i="60"/>
  <c r="B90" i="60"/>
  <c r="C94" i="60"/>
  <c r="B94" i="60"/>
  <c r="C105" i="60"/>
  <c r="J129" i="60"/>
  <c r="J136" i="60"/>
  <c r="Q136" i="60" s="1"/>
  <c r="AC8" i="61"/>
  <c r="H8" i="62"/>
  <c r="J134" i="60" l="1"/>
  <c r="Q134" i="60" s="1"/>
  <c r="Q122" i="60"/>
  <c r="Q129" i="60"/>
  <c r="J141" i="60"/>
  <c r="Q141" i="60" s="1"/>
  <c r="T8" i="61"/>
  <c r="Q127" i="60"/>
  <c r="J139" i="60"/>
  <c r="Q139" i="60" s="1"/>
  <c r="B10" i="62"/>
  <c r="Q131" i="60"/>
  <c r="J143" i="60"/>
  <c r="Q143" i="60" s="1"/>
  <c r="B8" i="61"/>
  <c r="K10" i="61"/>
  <c r="H9" i="62"/>
  <c r="AC9" i="61"/>
  <c r="AM8" i="61"/>
  <c r="AC10" i="61" l="1"/>
  <c r="H10" i="62"/>
  <c r="K11" i="61"/>
  <c r="T9" i="61"/>
  <c r="AM9" i="61"/>
  <c r="B9" i="61"/>
  <c r="B11" i="62"/>
  <c r="B10" i="61" l="1"/>
  <c r="AM10" i="61"/>
  <c r="T10" i="61"/>
  <c r="H11" i="62"/>
  <c r="K12" i="61"/>
  <c r="AC11" i="61"/>
  <c r="B12" i="62"/>
  <c r="K13" i="61" l="1"/>
  <c r="H12" i="62"/>
  <c r="AM11" i="61"/>
  <c r="B13" i="62"/>
  <c r="AC12" i="61"/>
  <c r="T11" i="61"/>
  <c r="B11" i="61"/>
  <c r="T12" i="61" l="1"/>
  <c r="B12" i="61"/>
  <c r="AC13" i="61"/>
  <c r="H13" i="62"/>
  <c r="K14" i="61"/>
  <c r="B14" i="62"/>
  <c r="AM12" i="61"/>
  <c r="AM13" i="61" l="1"/>
  <c r="T13" i="61"/>
  <c r="K15" i="61"/>
  <c r="H14" i="62"/>
  <c r="AC14" i="61"/>
  <c r="B13" i="61"/>
  <c r="AM14" i="61" l="1"/>
  <c r="K16" i="61"/>
  <c r="B14" i="61"/>
  <c r="AC15" i="61"/>
  <c r="AC16" i="61" s="1"/>
  <c r="T14" i="61"/>
  <c r="T15" i="61" l="1"/>
  <c r="B15" i="61"/>
  <c r="AM15" i="61"/>
  <c r="AM16" i="61" s="1"/>
  <c r="B16" i="61" l="1"/>
  <c r="T16" i="61"/>
  <c r="H6" i="5" l="1"/>
  <c r="H7" i="5"/>
  <c r="H8" i="5"/>
  <c r="H9" i="5"/>
  <c r="H10" i="5"/>
  <c r="H11" i="5"/>
  <c r="H12" i="5"/>
  <c r="H13" i="5"/>
  <c r="H14" i="5"/>
  <c r="H15" i="5"/>
  <c r="H17" i="5"/>
  <c r="H18" i="5"/>
  <c r="H19" i="5"/>
  <c r="H20" i="5"/>
  <c r="H21" i="5"/>
  <c r="H22" i="5"/>
  <c r="H23" i="5"/>
  <c r="H24" i="5"/>
  <c r="H25" i="5"/>
  <c r="H26" i="5"/>
  <c r="H28" i="5"/>
  <c r="H29" i="5"/>
  <c r="H30" i="5"/>
  <c r="H31" i="5"/>
  <c r="H32" i="5"/>
  <c r="H33" i="5"/>
  <c r="H34" i="5"/>
  <c r="H35" i="5"/>
  <c r="H36" i="5"/>
  <c r="H38" i="5"/>
  <c r="H39" i="5"/>
  <c r="H40" i="5"/>
  <c r="H41" i="5"/>
  <c r="H42" i="5"/>
  <c r="H43" i="5"/>
  <c r="H44" i="5"/>
  <c r="H45" i="5"/>
  <c r="H47" i="5"/>
  <c r="H48" i="5"/>
  <c r="H49" i="5"/>
  <c r="H50" i="5"/>
  <c r="H51" i="5"/>
  <c r="H52" i="5"/>
  <c r="H53" i="5"/>
  <c r="H55" i="5"/>
  <c r="H56" i="5"/>
  <c r="H57" i="5"/>
  <c r="H58" i="5"/>
  <c r="H59" i="5"/>
  <c r="H60" i="5"/>
  <c r="H62" i="5"/>
  <c r="H63" i="5"/>
  <c r="H64" i="5"/>
  <c r="H65" i="5"/>
  <c r="H66" i="5"/>
  <c r="H68" i="5"/>
  <c r="H69" i="5"/>
  <c r="H70" i="5"/>
  <c r="H71" i="5"/>
  <c r="H73" i="5"/>
  <c r="H74" i="5"/>
  <c r="H75" i="5"/>
  <c r="H77" i="5"/>
  <c r="H78" i="5"/>
  <c r="H80" i="5"/>
  <c r="H5" i="5"/>
  <c r="F18" i="57" l="1"/>
  <c r="F20" i="57"/>
  <c r="F19" i="57"/>
  <c r="CR103" i="4" l="1"/>
  <c r="CR92" i="4"/>
  <c r="CR93" i="4"/>
  <c r="CR94" i="4"/>
  <c r="CR95" i="4"/>
  <c r="CR96" i="4"/>
  <c r="CR97" i="4"/>
  <c r="CR98" i="4"/>
  <c r="CR99" i="4"/>
  <c r="CR100" i="4"/>
  <c r="CR101" i="4"/>
  <c r="CR102" i="4"/>
  <c r="DD91" i="4"/>
  <c r="DC91" i="4"/>
  <c r="CX76" i="4"/>
  <c r="CY76" i="4"/>
  <c r="CM77" i="4"/>
  <c r="CM78" i="4"/>
  <c r="CM79" i="4"/>
  <c r="CM80" i="4"/>
  <c r="CM81" i="4"/>
  <c r="CM82" i="4"/>
  <c r="CM83" i="4"/>
  <c r="CM84" i="4"/>
  <c r="CM85" i="4"/>
  <c r="CM86" i="4"/>
  <c r="CM87" i="4"/>
  <c r="CM88" i="4"/>
  <c r="E24" i="57" l="1"/>
  <c r="F21" i="57"/>
  <c r="F22" i="57"/>
  <c r="E25" i="57"/>
  <c r="E26" i="57" s="1"/>
  <c r="H6" i="57"/>
  <c r="B6" i="57"/>
  <c r="B37" i="56"/>
  <c r="B36" i="56"/>
  <c r="B35" i="56"/>
  <c r="B34" i="56"/>
  <c r="B33" i="56"/>
  <c r="B28" i="56"/>
  <c r="B27" i="56"/>
  <c r="B16" i="56"/>
  <c r="B15" i="56"/>
  <c r="B14" i="56"/>
  <c r="B13" i="56"/>
  <c r="B12" i="56"/>
  <c r="B7" i="57" l="1"/>
  <c r="H7" i="57"/>
  <c r="V123" i="38"/>
  <c r="V124" i="38"/>
  <c r="V125" i="38"/>
  <c r="V126" i="38"/>
  <c r="V127" i="38"/>
  <c r="V122" i="38"/>
  <c r="W123" i="38"/>
  <c r="W124" i="38"/>
  <c r="W125" i="38"/>
  <c r="W126" i="38"/>
  <c r="W127" i="38"/>
  <c r="W122" i="38"/>
  <c r="N134" i="2"/>
  <c r="K135" i="2"/>
  <c r="H123" i="60" s="1"/>
  <c r="O123" i="60" s="1"/>
  <c r="K134" i="2"/>
  <c r="H122" i="60" s="1"/>
  <c r="O122" i="60" s="1"/>
  <c r="Q12" i="2"/>
  <c r="Q8" i="2"/>
  <c r="B8" i="57" l="1"/>
  <c r="H8" i="57"/>
  <c r="H122" i="36"/>
  <c r="H9" i="57" l="1"/>
  <c r="B9" i="57"/>
  <c r="BH122" i="54"/>
  <c r="BH123" i="54"/>
  <c r="BH124" i="54"/>
  <c r="BH125" i="54"/>
  <c r="BH126" i="54"/>
  <c r="BH127" i="54"/>
  <c r="BH128" i="54"/>
  <c r="B10" i="57" l="1"/>
  <c r="H10" i="57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110" i="36"/>
  <c r="L111" i="36"/>
  <c r="L112" i="36"/>
  <c r="L113" i="36"/>
  <c r="L114" i="36"/>
  <c r="L115" i="36"/>
  <c r="L116" i="36"/>
  <c r="L117" i="36"/>
  <c r="L118" i="36"/>
  <c r="L119" i="36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37" i="36"/>
  <c r="L138" i="36"/>
  <c r="L139" i="36"/>
  <c r="L140" i="36"/>
  <c r="L141" i="36"/>
  <c r="L142" i="36"/>
  <c r="L143" i="36"/>
  <c r="L144" i="36"/>
  <c r="L145" i="36"/>
  <c r="L2" i="36"/>
  <c r="O122" i="36"/>
  <c r="K3" i="32"/>
  <c r="K4" i="32"/>
  <c r="K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K79" i="32"/>
  <c r="K80" i="32"/>
  <c r="K81" i="32"/>
  <c r="K82" i="32"/>
  <c r="K83" i="32"/>
  <c r="K84" i="32"/>
  <c r="K85" i="32"/>
  <c r="K86" i="32"/>
  <c r="K87" i="32"/>
  <c r="K88" i="32"/>
  <c r="K89" i="32"/>
  <c r="K90" i="32"/>
  <c r="K91" i="32"/>
  <c r="K92" i="32"/>
  <c r="K93" i="32"/>
  <c r="K94" i="32"/>
  <c r="K95" i="32"/>
  <c r="K96" i="32"/>
  <c r="K97" i="32"/>
  <c r="K98" i="32"/>
  <c r="K99" i="32"/>
  <c r="K100" i="32"/>
  <c r="K101" i="32"/>
  <c r="K102" i="32"/>
  <c r="K103" i="32"/>
  <c r="K104" i="32"/>
  <c r="K105" i="32"/>
  <c r="K106" i="32"/>
  <c r="K107" i="32"/>
  <c r="K108" i="32"/>
  <c r="K109" i="32"/>
  <c r="K110" i="32"/>
  <c r="K111" i="32"/>
  <c r="K112" i="32"/>
  <c r="K113" i="32"/>
  <c r="K114" i="32"/>
  <c r="K115" i="32"/>
  <c r="K116" i="32"/>
  <c r="K117" i="32"/>
  <c r="K118" i="32"/>
  <c r="K119" i="32"/>
  <c r="K120" i="32"/>
  <c r="K121" i="32"/>
  <c r="Q2" i="32"/>
  <c r="K2" i="32"/>
  <c r="L134" i="2"/>
  <c r="M134" i="2"/>
  <c r="O134" i="2"/>
  <c r="P134" i="2"/>
  <c r="Q134" i="2"/>
  <c r="L135" i="2"/>
  <c r="M135" i="2"/>
  <c r="N135" i="2"/>
  <c r="O135" i="2"/>
  <c r="P135" i="2"/>
  <c r="Q135" i="2"/>
  <c r="L136" i="2"/>
  <c r="M136" i="2"/>
  <c r="N136" i="2"/>
  <c r="O136" i="2"/>
  <c r="P136" i="2"/>
  <c r="Q136" i="2"/>
  <c r="L137" i="2"/>
  <c r="M137" i="2"/>
  <c r="O137" i="2"/>
  <c r="P137" i="2"/>
  <c r="Q137" i="2"/>
  <c r="L138" i="2"/>
  <c r="M138" i="2"/>
  <c r="N138" i="2"/>
  <c r="O138" i="2"/>
  <c r="P138" i="2"/>
  <c r="Q138" i="2"/>
  <c r="L139" i="2"/>
  <c r="M139" i="2"/>
  <c r="N139" i="2"/>
  <c r="O139" i="2"/>
  <c r="P139" i="2"/>
  <c r="Q139" i="2"/>
  <c r="L140" i="2"/>
  <c r="M140" i="2"/>
  <c r="N140" i="2"/>
  <c r="O140" i="2"/>
  <c r="P140" i="2"/>
  <c r="Q140" i="2"/>
  <c r="H11" i="57" l="1"/>
  <c r="B11" i="57"/>
  <c r="N137" i="2"/>
  <c r="B12" i="57" l="1"/>
  <c r="H12" i="57"/>
  <c r="H13" i="57" l="1"/>
  <c r="B13" i="57"/>
  <c r="B14" i="57" l="1"/>
  <c r="F26" i="57" s="1"/>
  <c r="H14" i="57"/>
  <c r="F28" i="57" l="1"/>
  <c r="F23" i="57"/>
  <c r="F24" i="57"/>
  <c r="F25" i="57"/>
  <c r="S38" i="23" l="1"/>
  <c r="S39" i="23"/>
  <c r="T39" i="23" s="1"/>
  <c r="S40" i="23"/>
  <c r="S41" i="23"/>
  <c r="S42" i="23"/>
  <c r="S37" i="23"/>
  <c r="S33" i="23"/>
  <c r="O38" i="23"/>
  <c r="O39" i="23"/>
  <c r="O40" i="23"/>
  <c r="P40" i="23" s="1"/>
  <c r="O41" i="23"/>
  <c r="P41" i="23" s="1"/>
  <c r="O42" i="23"/>
  <c r="O37" i="23"/>
  <c r="O33" i="23"/>
  <c r="G38" i="23"/>
  <c r="G39" i="23"/>
  <c r="G40" i="23"/>
  <c r="G41" i="23"/>
  <c r="G42" i="23"/>
  <c r="G43" i="23"/>
  <c r="R123" i="60"/>
  <c r="K39" i="23"/>
  <c r="K40" i="23"/>
  <c r="K41" i="23"/>
  <c r="K42" i="23"/>
  <c r="K43" i="23"/>
  <c r="R128" i="60" s="1"/>
  <c r="K37" i="23"/>
  <c r="R122" i="60" s="1"/>
  <c r="G37" i="23"/>
  <c r="Q122" i="59" s="1"/>
  <c r="K33" i="23"/>
  <c r="G33" i="23"/>
  <c r="C43" i="23"/>
  <c r="C38" i="23"/>
  <c r="Q123" i="58" s="1"/>
  <c r="C39" i="23"/>
  <c r="C40" i="23"/>
  <c r="Q125" i="58" s="1"/>
  <c r="C41" i="23"/>
  <c r="Q126" i="58" s="1"/>
  <c r="C42" i="23"/>
  <c r="Q127" i="58" s="1"/>
  <c r="C37" i="23"/>
  <c r="P39" i="23" l="1"/>
  <c r="T42" i="23"/>
  <c r="Q128" i="58"/>
  <c r="H42" i="23"/>
  <c r="Q127" i="59"/>
  <c r="L39" i="23"/>
  <c r="R124" i="60"/>
  <c r="H41" i="23"/>
  <c r="Q126" i="59"/>
  <c r="H38" i="23"/>
  <c r="Q123" i="59"/>
  <c r="Q124" i="38"/>
  <c r="Q124" i="58"/>
  <c r="L42" i="23"/>
  <c r="R127" i="60"/>
  <c r="H40" i="23"/>
  <c r="Q125" i="59"/>
  <c r="L40" i="23"/>
  <c r="R125" i="60"/>
  <c r="Q122" i="38"/>
  <c r="Q122" i="58"/>
  <c r="L41" i="23"/>
  <c r="R126" i="60"/>
  <c r="H43" i="23"/>
  <c r="Q128" i="59"/>
  <c r="H39" i="23"/>
  <c r="Q124" i="59"/>
  <c r="D39" i="23"/>
  <c r="D40" i="23"/>
  <c r="Q125" i="38"/>
  <c r="T38" i="23"/>
  <c r="D41" i="23"/>
  <c r="Q126" i="38"/>
  <c r="L38" i="23"/>
  <c r="D42" i="23"/>
  <c r="Q127" i="38"/>
  <c r="D38" i="23"/>
  <c r="Q123" i="38"/>
  <c r="P38" i="23"/>
  <c r="T41" i="23"/>
  <c r="D43" i="23"/>
  <c r="T40" i="23"/>
  <c r="L43" i="23"/>
  <c r="P42" i="23"/>
  <c r="Q9" i="2" l="1"/>
  <c r="Q14" i="2"/>
  <c r="Q7" i="2"/>
  <c r="J15" i="5"/>
  <c r="B128" i="54"/>
  <c r="B127" i="54"/>
  <c r="B126" i="54"/>
  <c r="B125" i="54"/>
  <c r="B124" i="54"/>
  <c r="B123" i="54"/>
  <c r="B122" i="54"/>
  <c r="BH121" i="54"/>
  <c r="BF121" i="54"/>
  <c r="BE121" i="54"/>
  <c r="BD121" i="54"/>
  <c r="AQ121" i="54"/>
  <c r="AP121" i="54"/>
  <c r="AO121" i="54"/>
  <c r="AN121" i="54"/>
  <c r="AM121" i="54"/>
  <c r="AL121" i="54"/>
  <c r="AK121" i="54"/>
  <c r="AJ121" i="54"/>
  <c r="AI121" i="54"/>
  <c r="AH121" i="54"/>
  <c r="AG121" i="54"/>
  <c r="AF121" i="54"/>
  <c r="AE121" i="54"/>
  <c r="AD121" i="54"/>
  <c r="AC121" i="54"/>
  <c r="AB121" i="54"/>
  <c r="AA121" i="54"/>
  <c r="Z121" i="54"/>
  <c r="Y121" i="54"/>
  <c r="X121" i="54"/>
  <c r="W121" i="54"/>
  <c r="B121" i="54"/>
  <c r="BH120" i="54"/>
  <c r="BF120" i="54"/>
  <c r="BE120" i="54"/>
  <c r="BD120" i="54"/>
  <c r="AQ120" i="54"/>
  <c r="AP120" i="54"/>
  <c r="AO120" i="54"/>
  <c r="AN120" i="54"/>
  <c r="AM120" i="54"/>
  <c r="AL120" i="54"/>
  <c r="AK120" i="54"/>
  <c r="AJ120" i="54"/>
  <c r="AI120" i="54"/>
  <c r="AH120" i="54"/>
  <c r="AG120" i="54"/>
  <c r="AF120" i="54"/>
  <c r="AE120" i="54"/>
  <c r="AD120" i="54"/>
  <c r="AC120" i="54"/>
  <c r="AB120" i="54"/>
  <c r="AA120" i="54"/>
  <c r="Z120" i="54"/>
  <c r="Y120" i="54"/>
  <c r="X120" i="54"/>
  <c r="W120" i="54"/>
  <c r="B120" i="54"/>
  <c r="BH119" i="54"/>
  <c r="BF119" i="54"/>
  <c r="BE119" i="54"/>
  <c r="BD119" i="54"/>
  <c r="AQ119" i="54"/>
  <c r="AP119" i="54"/>
  <c r="AO119" i="54"/>
  <c r="AN119" i="54"/>
  <c r="AM119" i="54"/>
  <c r="AL119" i="54"/>
  <c r="AK119" i="54"/>
  <c r="AJ119" i="54"/>
  <c r="AI119" i="54"/>
  <c r="AH119" i="54"/>
  <c r="AG119" i="54"/>
  <c r="AF119" i="54"/>
  <c r="AE119" i="54"/>
  <c r="AD119" i="54"/>
  <c r="AC119" i="54"/>
  <c r="AB119" i="54"/>
  <c r="AA119" i="54"/>
  <c r="Z119" i="54"/>
  <c r="Y119" i="54"/>
  <c r="X119" i="54"/>
  <c r="W119" i="54"/>
  <c r="B119" i="54"/>
  <c r="BH118" i="54"/>
  <c r="BF118" i="54"/>
  <c r="BE118" i="54"/>
  <c r="BD118" i="54"/>
  <c r="AQ118" i="54"/>
  <c r="AP118" i="54"/>
  <c r="AO118" i="54"/>
  <c r="AN118" i="54"/>
  <c r="AM118" i="54"/>
  <c r="AL118" i="54"/>
  <c r="AK118" i="54"/>
  <c r="AJ118" i="54"/>
  <c r="AI118" i="54"/>
  <c r="AH118" i="54"/>
  <c r="AG118" i="54"/>
  <c r="AF118" i="54"/>
  <c r="AE118" i="54"/>
  <c r="AD118" i="54"/>
  <c r="AC118" i="54"/>
  <c r="AB118" i="54"/>
  <c r="AA118" i="54"/>
  <c r="Z118" i="54"/>
  <c r="Y118" i="54"/>
  <c r="X118" i="54"/>
  <c r="W118" i="54"/>
  <c r="B118" i="54"/>
  <c r="BH117" i="54"/>
  <c r="BF117" i="54"/>
  <c r="BE117" i="54"/>
  <c r="BD117" i="54"/>
  <c r="AQ117" i="54"/>
  <c r="AP117" i="54"/>
  <c r="AO117" i="54"/>
  <c r="AN117" i="54"/>
  <c r="AM117" i="54"/>
  <c r="AL117" i="54"/>
  <c r="AK117" i="54"/>
  <c r="AJ117" i="54"/>
  <c r="AI117" i="54"/>
  <c r="AH117" i="54"/>
  <c r="AG117" i="54"/>
  <c r="AF117" i="54"/>
  <c r="AE117" i="54"/>
  <c r="AD117" i="54"/>
  <c r="AC117" i="54"/>
  <c r="AB117" i="54"/>
  <c r="AA117" i="54"/>
  <c r="Z117" i="54"/>
  <c r="Y117" i="54"/>
  <c r="X117" i="54"/>
  <c r="W117" i="54"/>
  <c r="B117" i="54"/>
  <c r="BH116" i="54"/>
  <c r="BF116" i="54"/>
  <c r="BE116" i="54"/>
  <c r="BD116" i="54"/>
  <c r="AQ116" i="54"/>
  <c r="AP116" i="54"/>
  <c r="AO116" i="54"/>
  <c r="AN116" i="54"/>
  <c r="AM116" i="54"/>
  <c r="AL116" i="54"/>
  <c r="AK116" i="54"/>
  <c r="AJ116" i="54"/>
  <c r="AI116" i="54"/>
  <c r="AH116" i="54"/>
  <c r="AG116" i="54"/>
  <c r="AF116" i="54"/>
  <c r="AE116" i="54"/>
  <c r="AD116" i="54"/>
  <c r="AC116" i="54"/>
  <c r="AB116" i="54"/>
  <c r="AA116" i="54"/>
  <c r="Z116" i="54"/>
  <c r="Y116" i="54"/>
  <c r="X116" i="54"/>
  <c r="W116" i="54"/>
  <c r="B116" i="54"/>
  <c r="BH115" i="54"/>
  <c r="BF115" i="54"/>
  <c r="BE115" i="54"/>
  <c r="BD115" i="54"/>
  <c r="AQ115" i="54"/>
  <c r="AP115" i="54"/>
  <c r="AO115" i="54"/>
  <c r="AN115" i="54"/>
  <c r="AM115" i="54"/>
  <c r="AL115" i="54"/>
  <c r="AK115" i="54"/>
  <c r="AJ115" i="54"/>
  <c r="AI115" i="54"/>
  <c r="AH115" i="54"/>
  <c r="AG115" i="54"/>
  <c r="AF115" i="54"/>
  <c r="AE115" i="54"/>
  <c r="AD115" i="54"/>
  <c r="AC115" i="54"/>
  <c r="AB115" i="54"/>
  <c r="AA115" i="54"/>
  <c r="Z115" i="54"/>
  <c r="Y115" i="54"/>
  <c r="X115" i="54"/>
  <c r="W115" i="54"/>
  <c r="B115" i="54"/>
  <c r="BH114" i="54"/>
  <c r="BF114" i="54"/>
  <c r="BE114" i="54"/>
  <c r="BD114" i="54"/>
  <c r="AQ114" i="54"/>
  <c r="AP114" i="54"/>
  <c r="AO114" i="54"/>
  <c r="AN114" i="54"/>
  <c r="AM114" i="54"/>
  <c r="AL114" i="54"/>
  <c r="AK114" i="54"/>
  <c r="AJ114" i="54"/>
  <c r="AI114" i="54"/>
  <c r="AH114" i="54"/>
  <c r="AG114" i="54"/>
  <c r="AF114" i="54"/>
  <c r="AE114" i="54"/>
  <c r="AD114" i="54"/>
  <c r="AC114" i="54"/>
  <c r="AB114" i="54"/>
  <c r="AA114" i="54"/>
  <c r="Z114" i="54"/>
  <c r="Y114" i="54"/>
  <c r="X114" i="54"/>
  <c r="W114" i="54"/>
  <c r="B114" i="54"/>
  <c r="BH113" i="54"/>
  <c r="BF113" i="54"/>
  <c r="BE113" i="54"/>
  <c r="BD113" i="54"/>
  <c r="AQ113" i="54"/>
  <c r="AP113" i="54"/>
  <c r="AO113" i="54"/>
  <c r="AN113" i="54"/>
  <c r="AM113" i="54"/>
  <c r="AL113" i="54"/>
  <c r="AK113" i="54"/>
  <c r="AJ113" i="54"/>
  <c r="AI113" i="54"/>
  <c r="AH113" i="54"/>
  <c r="AG113" i="54"/>
  <c r="AF113" i="54"/>
  <c r="AE113" i="54"/>
  <c r="AD113" i="54"/>
  <c r="AC113" i="54"/>
  <c r="AB113" i="54"/>
  <c r="AA113" i="54"/>
  <c r="Z113" i="54"/>
  <c r="Y113" i="54"/>
  <c r="X113" i="54"/>
  <c r="W113" i="54"/>
  <c r="B113" i="54"/>
  <c r="BH112" i="54"/>
  <c r="BF112" i="54"/>
  <c r="BE112" i="54"/>
  <c r="BD112" i="54"/>
  <c r="AQ112" i="54"/>
  <c r="AP112" i="54"/>
  <c r="AO112" i="54"/>
  <c r="AN112" i="54"/>
  <c r="AM112" i="54"/>
  <c r="AL112" i="54"/>
  <c r="AK112" i="54"/>
  <c r="AJ112" i="54"/>
  <c r="AI112" i="54"/>
  <c r="AH112" i="54"/>
  <c r="AG112" i="54"/>
  <c r="AF112" i="54"/>
  <c r="AE112" i="54"/>
  <c r="AD112" i="54"/>
  <c r="AC112" i="54"/>
  <c r="AB112" i="54"/>
  <c r="AA112" i="54"/>
  <c r="Z112" i="54"/>
  <c r="Y112" i="54"/>
  <c r="X112" i="54"/>
  <c r="W112" i="54"/>
  <c r="B112" i="54"/>
  <c r="BH111" i="54"/>
  <c r="BF111" i="54"/>
  <c r="BE111" i="54"/>
  <c r="BD111" i="54"/>
  <c r="AQ111" i="54"/>
  <c r="AP111" i="54"/>
  <c r="AO111" i="54"/>
  <c r="AN111" i="54"/>
  <c r="AM111" i="54"/>
  <c r="AL111" i="54"/>
  <c r="AK111" i="54"/>
  <c r="AJ111" i="54"/>
  <c r="AI111" i="54"/>
  <c r="AH111" i="54"/>
  <c r="AG111" i="54"/>
  <c r="AF111" i="54"/>
  <c r="AE111" i="54"/>
  <c r="AD111" i="54"/>
  <c r="AC111" i="54"/>
  <c r="AB111" i="54"/>
  <c r="AA111" i="54"/>
  <c r="Z111" i="54"/>
  <c r="Y111" i="54"/>
  <c r="X111" i="54"/>
  <c r="W111" i="54"/>
  <c r="B111" i="54"/>
  <c r="BH110" i="54"/>
  <c r="BF110" i="54"/>
  <c r="BE110" i="54"/>
  <c r="BD110" i="54"/>
  <c r="AQ110" i="54"/>
  <c r="AP110" i="54"/>
  <c r="AO110" i="54"/>
  <c r="AN110" i="54"/>
  <c r="AM110" i="54"/>
  <c r="AL110" i="54"/>
  <c r="AK110" i="54"/>
  <c r="AJ110" i="54"/>
  <c r="AI110" i="54"/>
  <c r="AH110" i="54"/>
  <c r="AG110" i="54"/>
  <c r="AF110" i="54"/>
  <c r="AE110" i="54"/>
  <c r="AD110" i="54"/>
  <c r="AC110" i="54"/>
  <c r="AB110" i="54"/>
  <c r="AA110" i="54"/>
  <c r="Z110" i="54"/>
  <c r="Y110" i="54"/>
  <c r="X110" i="54"/>
  <c r="W110" i="54"/>
  <c r="B110" i="54"/>
  <c r="AQ109" i="54"/>
  <c r="AP109" i="54"/>
  <c r="AO109" i="54"/>
  <c r="AN109" i="54"/>
  <c r="AM109" i="54"/>
  <c r="AL109" i="54"/>
  <c r="AK109" i="54"/>
  <c r="AJ109" i="54"/>
  <c r="AI109" i="54"/>
  <c r="AH109" i="54"/>
  <c r="AG109" i="54"/>
  <c r="AF109" i="54"/>
  <c r="AE109" i="54"/>
  <c r="AD109" i="54"/>
  <c r="AC109" i="54"/>
  <c r="AB109" i="54"/>
  <c r="AA109" i="54"/>
  <c r="Z109" i="54"/>
  <c r="Y109" i="54"/>
  <c r="X109" i="54"/>
  <c r="W109" i="54"/>
  <c r="V109" i="54"/>
  <c r="B109" i="54"/>
  <c r="AQ108" i="54"/>
  <c r="AP108" i="54"/>
  <c r="AO108" i="54"/>
  <c r="AN108" i="54"/>
  <c r="AM108" i="54"/>
  <c r="AL108" i="54"/>
  <c r="AK108" i="54"/>
  <c r="AJ108" i="54"/>
  <c r="AI108" i="54"/>
  <c r="AH108" i="54"/>
  <c r="AG108" i="54"/>
  <c r="AF108" i="54"/>
  <c r="AE108" i="54"/>
  <c r="AD108" i="54"/>
  <c r="AC108" i="54"/>
  <c r="AB108" i="54"/>
  <c r="AA108" i="54"/>
  <c r="Z108" i="54"/>
  <c r="Y108" i="54"/>
  <c r="X108" i="54"/>
  <c r="W108" i="54"/>
  <c r="V108" i="54"/>
  <c r="B108" i="54"/>
  <c r="AQ107" i="54"/>
  <c r="AP107" i="54"/>
  <c r="AO107" i="54"/>
  <c r="AN107" i="54"/>
  <c r="AM107" i="54"/>
  <c r="AL107" i="54"/>
  <c r="AK107" i="54"/>
  <c r="AJ107" i="54"/>
  <c r="AI107" i="54"/>
  <c r="AH107" i="54"/>
  <c r="AG107" i="54"/>
  <c r="AF107" i="54"/>
  <c r="AE107" i="54"/>
  <c r="AD107" i="54"/>
  <c r="AC107" i="54"/>
  <c r="AB107" i="54"/>
  <c r="AA107" i="54"/>
  <c r="Z107" i="54"/>
  <c r="Y107" i="54"/>
  <c r="X107" i="54"/>
  <c r="W107" i="54"/>
  <c r="V107" i="54"/>
  <c r="B107" i="54"/>
  <c r="AQ106" i="54"/>
  <c r="AP106" i="54"/>
  <c r="AO106" i="54"/>
  <c r="AN106" i="54"/>
  <c r="AM106" i="54"/>
  <c r="AL106" i="54"/>
  <c r="AK106" i="54"/>
  <c r="AJ106" i="54"/>
  <c r="AI106" i="54"/>
  <c r="AH106" i="54"/>
  <c r="AG106" i="54"/>
  <c r="AF106" i="54"/>
  <c r="AE106" i="54"/>
  <c r="AD106" i="54"/>
  <c r="AC106" i="54"/>
  <c r="AB106" i="54"/>
  <c r="AA106" i="54"/>
  <c r="Z106" i="54"/>
  <c r="Y106" i="54"/>
  <c r="X106" i="54"/>
  <c r="W106" i="54"/>
  <c r="V106" i="54"/>
  <c r="B106" i="54"/>
  <c r="AQ105" i="54"/>
  <c r="AP105" i="54"/>
  <c r="AO105" i="54"/>
  <c r="AN105" i="54"/>
  <c r="AM105" i="54"/>
  <c r="AL105" i="54"/>
  <c r="AK105" i="54"/>
  <c r="AJ105" i="54"/>
  <c r="AI105" i="54"/>
  <c r="AH105" i="54"/>
  <c r="AG105" i="54"/>
  <c r="AF105" i="54"/>
  <c r="AE105" i="54"/>
  <c r="AD105" i="54"/>
  <c r="AC105" i="54"/>
  <c r="AB105" i="54"/>
  <c r="AA105" i="54"/>
  <c r="Z105" i="54"/>
  <c r="Y105" i="54"/>
  <c r="X105" i="54"/>
  <c r="W105" i="54"/>
  <c r="V105" i="54"/>
  <c r="B105" i="54"/>
  <c r="AQ104" i="54"/>
  <c r="AP104" i="54"/>
  <c r="AO104" i="54"/>
  <c r="AN104" i="54"/>
  <c r="AM104" i="54"/>
  <c r="AL104" i="54"/>
  <c r="AK104" i="54"/>
  <c r="AJ104" i="54"/>
  <c r="AI104" i="54"/>
  <c r="AH104" i="54"/>
  <c r="AG104" i="54"/>
  <c r="AF104" i="54"/>
  <c r="AE104" i="54"/>
  <c r="AD104" i="54"/>
  <c r="AC104" i="54"/>
  <c r="AB104" i="54"/>
  <c r="AA104" i="54"/>
  <c r="Z104" i="54"/>
  <c r="Y104" i="54"/>
  <c r="X104" i="54"/>
  <c r="W104" i="54"/>
  <c r="V104" i="54"/>
  <c r="B104" i="54"/>
  <c r="AQ103" i="54"/>
  <c r="AP103" i="54"/>
  <c r="AO103" i="54"/>
  <c r="AN103" i="54"/>
  <c r="AM103" i="54"/>
  <c r="AL103" i="54"/>
  <c r="AK103" i="54"/>
  <c r="AJ103" i="54"/>
  <c r="AI103" i="54"/>
  <c r="AH103" i="54"/>
  <c r="AG103" i="54"/>
  <c r="AF103" i="54"/>
  <c r="AE103" i="54"/>
  <c r="AD103" i="54"/>
  <c r="AC103" i="54"/>
  <c r="AB103" i="54"/>
  <c r="AA103" i="54"/>
  <c r="Z103" i="54"/>
  <c r="Y103" i="54"/>
  <c r="X103" i="54"/>
  <c r="W103" i="54"/>
  <c r="V103" i="54"/>
  <c r="B103" i="54"/>
  <c r="AQ102" i="54"/>
  <c r="AP102" i="54"/>
  <c r="AO102" i="54"/>
  <c r="AN102" i="54"/>
  <c r="AM102" i="54"/>
  <c r="AL102" i="54"/>
  <c r="AK102" i="54"/>
  <c r="AJ102" i="54"/>
  <c r="AI102" i="54"/>
  <c r="AH102" i="54"/>
  <c r="AG102" i="54"/>
  <c r="AF102" i="54"/>
  <c r="AE102" i="54"/>
  <c r="AD102" i="54"/>
  <c r="AC102" i="54"/>
  <c r="AB102" i="54"/>
  <c r="AA102" i="54"/>
  <c r="Z102" i="54"/>
  <c r="Y102" i="54"/>
  <c r="X102" i="54"/>
  <c r="W102" i="54"/>
  <c r="V102" i="54"/>
  <c r="B102" i="54"/>
  <c r="AQ101" i="54"/>
  <c r="AP101" i="54"/>
  <c r="AO101" i="54"/>
  <c r="AN101" i="54"/>
  <c r="AM101" i="54"/>
  <c r="AL101" i="54"/>
  <c r="AK101" i="54"/>
  <c r="AJ101" i="54"/>
  <c r="AI101" i="54"/>
  <c r="AH101" i="54"/>
  <c r="AG101" i="54"/>
  <c r="AF101" i="54"/>
  <c r="AE101" i="54"/>
  <c r="AD101" i="54"/>
  <c r="AC101" i="54"/>
  <c r="AB101" i="54"/>
  <c r="AA101" i="54"/>
  <c r="Z101" i="54"/>
  <c r="Y101" i="54"/>
  <c r="X101" i="54"/>
  <c r="W101" i="54"/>
  <c r="V101" i="54"/>
  <c r="B101" i="54"/>
  <c r="AQ100" i="54"/>
  <c r="AP100" i="54"/>
  <c r="AO100" i="54"/>
  <c r="AN100" i="54"/>
  <c r="AM100" i="54"/>
  <c r="AL100" i="54"/>
  <c r="AK100" i="54"/>
  <c r="AJ100" i="54"/>
  <c r="AI100" i="54"/>
  <c r="AH100" i="54"/>
  <c r="AG100" i="54"/>
  <c r="AF100" i="54"/>
  <c r="AE100" i="54"/>
  <c r="AD100" i="54"/>
  <c r="AC100" i="54"/>
  <c r="AB100" i="54"/>
  <c r="AA100" i="54"/>
  <c r="Z100" i="54"/>
  <c r="Y100" i="54"/>
  <c r="X100" i="54"/>
  <c r="W100" i="54"/>
  <c r="V100" i="54"/>
  <c r="B100" i="54"/>
  <c r="AQ99" i="54"/>
  <c r="AP99" i="54"/>
  <c r="AO99" i="54"/>
  <c r="AN99" i="54"/>
  <c r="AM99" i="54"/>
  <c r="AL99" i="54"/>
  <c r="AK99" i="54"/>
  <c r="AJ99" i="54"/>
  <c r="AI99" i="54"/>
  <c r="AH99" i="54"/>
  <c r="AG99" i="54"/>
  <c r="AF99" i="54"/>
  <c r="AE99" i="54"/>
  <c r="AD99" i="54"/>
  <c r="AC99" i="54"/>
  <c r="AB99" i="54"/>
  <c r="AA99" i="54"/>
  <c r="Z99" i="54"/>
  <c r="Y99" i="54"/>
  <c r="X99" i="54"/>
  <c r="W99" i="54"/>
  <c r="V99" i="54"/>
  <c r="B99" i="54"/>
  <c r="AQ98" i="54"/>
  <c r="AP98" i="54"/>
  <c r="AO98" i="54"/>
  <c r="AN98" i="54"/>
  <c r="AM98" i="54"/>
  <c r="AL98" i="54"/>
  <c r="AK98" i="54"/>
  <c r="AJ98" i="54"/>
  <c r="AI98" i="54"/>
  <c r="AH98" i="54"/>
  <c r="AG98" i="54"/>
  <c r="AF98" i="54"/>
  <c r="AE98" i="54"/>
  <c r="AD98" i="54"/>
  <c r="AC98" i="54"/>
  <c r="AB98" i="54"/>
  <c r="AA98" i="54"/>
  <c r="Z98" i="54"/>
  <c r="Y98" i="54"/>
  <c r="X98" i="54"/>
  <c r="W98" i="54"/>
  <c r="V98" i="54"/>
  <c r="B98" i="54"/>
  <c r="AQ97" i="54"/>
  <c r="AP97" i="54"/>
  <c r="AO97" i="54"/>
  <c r="AN97" i="54"/>
  <c r="AM97" i="54"/>
  <c r="AL97" i="54"/>
  <c r="AK97" i="54"/>
  <c r="AJ97" i="54"/>
  <c r="AI97" i="54"/>
  <c r="AH97" i="54"/>
  <c r="AG97" i="54"/>
  <c r="AF97" i="54"/>
  <c r="AE97" i="54"/>
  <c r="AD97" i="54"/>
  <c r="AC97" i="54"/>
  <c r="AB97" i="54"/>
  <c r="AA97" i="54"/>
  <c r="Z97" i="54"/>
  <c r="Y97" i="54"/>
  <c r="X97" i="54"/>
  <c r="W97" i="54"/>
  <c r="V97" i="54"/>
  <c r="B97" i="54"/>
  <c r="AQ96" i="54"/>
  <c r="AP96" i="54"/>
  <c r="AO96" i="54"/>
  <c r="AN96" i="54"/>
  <c r="AM96" i="54"/>
  <c r="AL96" i="54"/>
  <c r="AK96" i="54"/>
  <c r="AJ96" i="54"/>
  <c r="AI96" i="54"/>
  <c r="AH96" i="54"/>
  <c r="AG96" i="54"/>
  <c r="AF96" i="54"/>
  <c r="AE96" i="54"/>
  <c r="AD96" i="54"/>
  <c r="AC96" i="54"/>
  <c r="AB96" i="54"/>
  <c r="AA96" i="54"/>
  <c r="Z96" i="54"/>
  <c r="Y96" i="54"/>
  <c r="X96" i="54"/>
  <c r="W96" i="54"/>
  <c r="V96" i="54"/>
  <c r="B96" i="54"/>
  <c r="AQ95" i="54"/>
  <c r="AP95" i="54"/>
  <c r="AO95" i="54"/>
  <c r="AN95" i="54"/>
  <c r="AM95" i="54"/>
  <c r="AL95" i="54"/>
  <c r="AK95" i="54"/>
  <c r="AJ95" i="54"/>
  <c r="AI95" i="54"/>
  <c r="AH95" i="54"/>
  <c r="AG95" i="54"/>
  <c r="AF95" i="54"/>
  <c r="AE95" i="54"/>
  <c r="AD95" i="54"/>
  <c r="AC95" i="54"/>
  <c r="AB95" i="54"/>
  <c r="AA95" i="54"/>
  <c r="Z95" i="54"/>
  <c r="Y95" i="54"/>
  <c r="X95" i="54"/>
  <c r="W95" i="54"/>
  <c r="V95" i="54"/>
  <c r="B95" i="54"/>
  <c r="AQ94" i="54"/>
  <c r="AP94" i="54"/>
  <c r="AO94" i="54"/>
  <c r="AN94" i="54"/>
  <c r="AM94" i="54"/>
  <c r="AL94" i="54"/>
  <c r="AK94" i="54"/>
  <c r="AJ94" i="54"/>
  <c r="AI94" i="54"/>
  <c r="AH94" i="54"/>
  <c r="AG94" i="54"/>
  <c r="AF94" i="54"/>
  <c r="AE94" i="54"/>
  <c r="AD94" i="54"/>
  <c r="AC94" i="54"/>
  <c r="AB94" i="54"/>
  <c r="AA94" i="54"/>
  <c r="Z94" i="54"/>
  <c r="Y94" i="54"/>
  <c r="X94" i="54"/>
  <c r="W94" i="54"/>
  <c r="V94" i="54"/>
  <c r="B94" i="54"/>
  <c r="AQ93" i="54"/>
  <c r="AP93" i="54"/>
  <c r="AO93" i="54"/>
  <c r="AN93" i="54"/>
  <c r="AM93" i="54"/>
  <c r="AL93" i="54"/>
  <c r="AK93" i="54"/>
  <c r="AJ93" i="54"/>
  <c r="AI93" i="54"/>
  <c r="AH93" i="54"/>
  <c r="AG93" i="54"/>
  <c r="AF93" i="54"/>
  <c r="AE93" i="54"/>
  <c r="AD93" i="54"/>
  <c r="AC93" i="54"/>
  <c r="AB93" i="54"/>
  <c r="AA93" i="54"/>
  <c r="Z93" i="54"/>
  <c r="Y93" i="54"/>
  <c r="X93" i="54"/>
  <c r="W93" i="54"/>
  <c r="V93" i="54"/>
  <c r="B93" i="54"/>
  <c r="AQ92" i="54"/>
  <c r="AP92" i="54"/>
  <c r="AO92" i="54"/>
  <c r="AN92" i="54"/>
  <c r="AM92" i="54"/>
  <c r="AL92" i="54"/>
  <c r="AK92" i="54"/>
  <c r="AJ92" i="54"/>
  <c r="AI92" i="54"/>
  <c r="AH92" i="54"/>
  <c r="AG92" i="54"/>
  <c r="AF92" i="54"/>
  <c r="AE92" i="54"/>
  <c r="AD92" i="54"/>
  <c r="AC92" i="54"/>
  <c r="AB92" i="54"/>
  <c r="AA92" i="54"/>
  <c r="Z92" i="54"/>
  <c r="Y92" i="54"/>
  <c r="X92" i="54"/>
  <c r="W92" i="54"/>
  <c r="V92" i="54"/>
  <c r="B92" i="54"/>
  <c r="AQ91" i="54"/>
  <c r="AP91" i="54"/>
  <c r="AO91" i="54"/>
  <c r="AN91" i="54"/>
  <c r="AM91" i="54"/>
  <c r="AL91" i="54"/>
  <c r="AK91" i="54"/>
  <c r="AJ91" i="54"/>
  <c r="AI91" i="54"/>
  <c r="AH91" i="54"/>
  <c r="AG91" i="54"/>
  <c r="AF91" i="54"/>
  <c r="AE91" i="54"/>
  <c r="AD91" i="54"/>
  <c r="AC91" i="54"/>
  <c r="AB91" i="54"/>
  <c r="AA91" i="54"/>
  <c r="Z91" i="54"/>
  <c r="Y91" i="54"/>
  <c r="X91" i="54"/>
  <c r="W91" i="54"/>
  <c r="V91" i="54"/>
  <c r="B91" i="54"/>
  <c r="AQ90" i="54"/>
  <c r="AP90" i="54"/>
  <c r="AO90" i="54"/>
  <c r="AN90" i="54"/>
  <c r="AM90" i="54"/>
  <c r="AL90" i="54"/>
  <c r="AK90" i="54"/>
  <c r="AJ90" i="54"/>
  <c r="AI90" i="54"/>
  <c r="AH90" i="54"/>
  <c r="AG90" i="54"/>
  <c r="AF90" i="54"/>
  <c r="AE90" i="54"/>
  <c r="AD90" i="54"/>
  <c r="AC90" i="54"/>
  <c r="AB90" i="54"/>
  <c r="AA90" i="54"/>
  <c r="Z90" i="54"/>
  <c r="Y90" i="54"/>
  <c r="X90" i="54"/>
  <c r="W90" i="54"/>
  <c r="V90" i="54"/>
  <c r="B90" i="54"/>
  <c r="AQ89" i="54"/>
  <c r="AP89" i="54"/>
  <c r="AO89" i="54"/>
  <c r="AN89" i="54"/>
  <c r="AM89" i="54"/>
  <c r="AL89" i="54"/>
  <c r="AK89" i="54"/>
  <c r="AJ89" i="54"/>
  <c r="AI89" i="54"/>
  <c r="AH89" i="54"/>
  <c r="AG89" i="54"/>
  <c r="AF89" i="54"/>
  <c r="AE89" i="54"/>
  <c r="AD89" i="54"/>
  <c r="AC89" i="54"/>
  <c r="AB89" i="54"/>
  <c r="AA89" i="54"/>
  <c r="Z89" i="54"/>
  <c r="Y89" i="54"/>
  <c r="X89" i="54"/>
  <c r="W89" i="54"/>
  <c r="V89" i="54"/>
  <c r="B89" i="54"/>
  <c r="AQ88" i="54"/>
  <c r="AP88" i="54"/>
  <c r="AO88" i="54"/>
  <c r="AN88" i="54"/>
  <c r="AM88" i="54"/>
  <c r="AL88" i="54"/>
  <c r="AK88" i="54"/>
  <c r="AJ88" i="54"/>
  <c r="AI88" i="54"/>
  <c r="AH88" i="54"/>
  <c r="AG88" i="54"/>
  <c r="AF88" i="54"/>
  <c r="AE88" i="54"/>
  <c r="AD88" i="54"/>
  <c r="AC88" i="54"/>
  <c r="AB88" i="54"/>
  <c r="AA88" i="54"/>
  <c r="Z88" i="54"/>
  <c r="Y88" i="54"/>
  <c r="X88" i="54"/>
  <c r="W88" i="54"/>
  <c r="V88" i="54"/>
  <c r="B88" i="54"/>
  <c r="AQ87" i="54"/>
  <c r="AP87" i="54"/>
  <c r="AO87" i="54"/>
  <c r="AN87" i="54"/>
  <c r="AM87" i="54"/>
  <c r="AL87" i="54"/>
  <c r="AK87" i="54"/>
  <c r="AJ87" i="54"/>
  <c r="AI87" i="54"/>
  <c r="AH87" i="54"/>
  <c r="AG87" i="54"/>
  <c r="AF87" i="54"/>
  <c r="AE87" i="54"/>
  <c r="AD87" i="54"/>
  <c r="AC87" i="54"/>
  <c r="AB87" i="54"/>
  <c r="AA87" i="54"/>
  <c r="Z87" i="54"/>
  <c r="Y87" i="54"/>
  <c r="X87" i="54"/>
  <c r="W87" i="54"/>
  <c r="V87" i="54"/>
  <c r="B87" i="54"/>
  <c r="AQ86" i="54"/>
  <c r="AP86" i="54"/>
  <c r="AO86" i="54"/>
  <c r="AN86" i="54"/>
  <c r="AM86" i="54"/>
  <c r="AL86" i="54"/>
  <c r="AK86" i="54"/>
  <c r="AJ86" i="54"/>
  <c r="AI86" i="54"/>
  <c r="AH86" i="54"/>
  <c r="AG86" i="54"/>
  <c r="AF86" i="54"/>
  <c r="AE86" i="54"/>
  <c r="AD86" i="54"/>
  <c r="AC86" i="54"/>
  <c r="AB86" i="54"/>
  <c r="AA86" i="54"/>
  <c r="Z86" i="54"/>
  <c r="Y86" i="54"/>
  <c r="X86" i="54"/>
  <c r="W86" i="54"/>
  <c r="V86" i="54"/>
  <c r="B86" i="54"/>
  <c r="AQ85" i="54"/>
  <c r="AP85" i="54"/>
  <c r="AO85" i="54"/>
  <c r="AN85" i="54"/>
  <c r="AM85" i="54"/>
  <c r="AL85" i="54"/>
  <c r="AK85" i="54"/>
  <c r="AJ85" i="54"/>
  <c r="AI85" i="54"/>
  <c r="AH85" i="54"/>
  <c r="AG85" i="54"/>
  <c r="AF85" i="54"/>
  <c r="AE85" i="54"/>
  <c r="AD85" i="54"/>
  <c r="AC85" i="54"/>
  <c r="AB85" i="54"/>
  <c r="AA85" i="54"/>
  <c r="Z85" i="54"/>
  <c r="Y85" i="54"/>
  <c r="X85" i="54"/>
  <c r="W85" i="54"/>
  <c r="V85" i="54"/>
  <c r="B85" i="54"/>
  <c r="AQ84" i="54"/>
  <c r="AP84" i="54"/>
  <c r="AO84" i="54"/>
  <c r="AN84" i="54"/>
  <c r="AM84" i="54"/>
  <c r="AL84" i="54"/>
  <c r="AK84" i="54"/>
  <c r="AJ84" i="54"/>
  <c r="AI84" i="54"/>
  <c r="AH84" i="54"/>
  <c r="AG84" i="54"/>
  <c r="AF84" i="54"/>
  <c r="AE84" i="54"/>
  <c r="AD84" i="54"/>
  <c r="AC84" i="54"/>
  <c r="AB84" i="54"/>
  <c r="AA84" i="54"/>
  <c r="Z84" i="54"/>
  <c r="Y84" i="54"/>
  <c r="X84" i="54"/>
  <c r="W84" i="54"/>
  <c r="V84" i="54"/>
  <c r="B84" i="54"/>
  <c r="AQ83" i="54"/>
  <c r="AP83" i="54"/>
  <c r="AO83" i="54"/>
  <c r="AN83" i="54"/>
  <c r="AM83" i="54"/>
  <c r="AL83" i="54"/>
  <c r="AK83" i="54"/>
  <c r="AJ83" i="54"/>
  <c r="AI83" i="54"/>
  <c r="AH83" i="54"/>
  <c r="AG83" i="54"/>
  <c r="AF83" i="54"/>
  <c r="AE83" i="54"/>
  <c r="AD83" i="54"/>
  <c r="AC83" i="54"/>
  <c r="AB83" i="54"/>
  <c r="AA83" i="54"/>
  <c r="Z83" i="54"/>
  <c r="Y83" i="54"/>
  <c r="X83" i="54"/>
  <c r="W83" i="54"/>
  <c r="V83" i="54"/>
  <c r="B83" i="54"/>
  <c r="AQ82" i="54"/>
  <c r="AP82" i="54"/>
  <c r="AO82" i="54"/>
  <c r="AN82" i="54"/>
  <c r="AM82" i="54"/>
  <c r="AL82" i="54"/>
  <c r="AK82" i="54"/>
  <c r="AJ82" i="54"/>
  <c r="AI82" i="54"/>
  <c r="AH82" i="54"/>
  <c r="AG82" i="54"/>
  <c r="AF82" i="54"/>
  <c r="AE82" i="54"/>
  <c r="AD82" i="54"/>
  <c r="AC82" i="54"/>
  <c r="AB82" i="54"/>
  <c r="AA82" i="54"/>
  <c r="Z82" i="54"/>
  <c r="Y82" i="54"/>
  <c r="X82" i="54"/>
  <c r="W82" i="54"/>
  <c r="V82" i="54"/>
  <c r="B82" i="54"/>
  <c r="AQ81" i="54"/>
  <c r="AP81" i="54"/>
  <c r="AO81" i="54"/>
  <c r="AN81" i="54"/>
  <c r="AM81" i="54"/>
  <c r="AL81" i="54"/>
  <c r="AK81" i="54"/>
  <c r="AJ81" i="54"/>
  <c r="AI81" i="54"/>
  <c r="AH81" i="54"/>
  <c r="AG81" i="54"/>
  <c r="AF81" i="54"/>
  <c r="AE81" i="54"/>
  <c r="AD81" i="54"/>
  <c r="AC81" i="54"/>
  <c r="AB81" i="54"/>
  <c r="AA81" i="54"/>
  <c r="Z81" i="54"/>
  <c r="Y81" i="54"/>
  <c r="X81" i="54"/>
  <c r="W81" i="54"/>
  <c r="V81" i="54"/>
  <c r="B81" i="54"/>
  <c r="AQ80" i="54"/>
  <c r="AP80" i="54"/>
  <c r="AO80" i="54"/>
  <c r="AN80" i="54"/>
  <c r="AM80" i="54"/>
  <c r="AL80" i="54"/>
  <c r="AK80" i="54"/>
  <c r="AJ80" i="54"/>
  <c r="AI80" i="54"/>
  <c r="AH80" i="54"/>
  <c r="AG80" i="54"/>
  <c r="AF80" i="54"/>
  <c r="AE80" i="54"/>
  <c r="AD80" i="54"/>
  <c r="AC80" i="54"/>
  <c r="AB80" i="54"/>
  <c r="AA80" i="54"/>
  <c r="Z80" i="54"/>
  <c r="Y80" i="54"/>
  <c r="X80" i="54"/>
  <c r="W80" i="54"/>
  <c r="V80" i="54"/>
  <c r="B80" i="54"/>
  <c r="AQ79" i="54"/>
  <c r="AP79" i="54"/>
  <c r="AO79" i="54"/>
  <c r="AN79" i="54"/>
  <c r="AM79" i="54"/>
  <c r="AL79" i="54"/>
  <c r="AK79" i="54"/>
  <c r="AJ79" i="54"/>
  <c r="AI79" i="54"/>
  <c r="AH79" i="54"/>
  <c r="AG79" i="54"/>
  <c r="AF79" i="54"/>
  <c r="AE79" i="54"/>
  <c r="AD79" i="54"/>
  <c r="AC79" i="54"/>
  <c r="AB79" i="54"/>
  <c r="AA79" i="54"/>
  <c r="Z79" i="54"/>
  <c r="Y79" i="54"/>
  <c r="X79" i="54"/>
  <c r="W79" i="54"/>
  <c r="V79" i="54"/>
  <c r="B79" i="54"/>
  <c r="AQ78" i="54"/>
  <c r="AP78" i="54"/>
  <c r="AO78" i="54"/>
  <c r="AN78" i="54"/>
  <c r="AM78" i="54"/>
  <c r="AL78" i="54"/>
  <c r="AK78" i="54"/>
  <c r="AJ78" i="54"/>
  <c r="AI78" i="54"/>
  <c r="AH78" i="54"/>
  <c r="AG78" i="54"/>
  <c r="AF78" i="54"/>
  <c r="AE78" i="54"/>
  <c r="AD78" i="54"/>
  <c r="AC78" i="54"/>
  <c r="AB78" i="54"/>
  <c r="AA78" i="54"/>
  <c r="Z78" i="54"/>
  <c r="Y78" i="54"/>
  <c r="X78" i="54"/>
  <c r="W78" i="54"/>
  <c r="V78" i="54"/>
  <c r="B78" i="54"/>
  <c r="AQ77" i="54"/>
  <c r="AP77" i="54"/>
  <c r="AO77" i="54"/>
  <c r="AN77" i="54"/>
  <c r="AM77" i="54"/>
  <c r="AL77" i="54"/>
  <c r="AK77" i="54"/>
  <c r="AJ77" i="54"/>
  <c r="AI77" i="54"/>
  <c r="AH77" i="54"/>
  <c r="AG77" i="54"/>
  <c r="AF77" i="54"/>
  <c r="AE77" i="54"/>
  <c r="AD77" i="54"/>
  <c r="AC77" i="54"/>
  <c r="AB77" i="54"/>
  <c r="AA77" i="54"/>
  <c r="Z77" i="54"/>
  <c r="Y77" i="54"/>
  <c r="X77" i="54"/>
  <c r="W77" i="54"/>
  <c r="V77" i="54"/>
  <c r="B77" i="54"/>
  <c r="AQ76" i="54"/>
  <c r="AP76" i="54"/>
  <c r="AO76" i="54"/>
  <c r="AN76" i="54"/>
  <c r="AM76" i="54"/>
  <c r="AL76" i="54"/>
  <c r="AK76" i="54"/>
  <c r="AJ76" i="54"/>
  <c r="AI76" i="54"/>
  <c r="AH76" i="54"/>
  <c r="AG76" i="54"/>
  <c r="AF76" i="54"/>
  <c r="AE76" i="54"/>
  <c r="AD76" i="54"/>
  <c r="AC76" i="54"/>
  <c r="AB76" i="54"/>
  <c r="AA76" i="54"/>
  <c r="Z76" i="54"/>
  <c r="Y76" i="54"/>
  <c r="X76" i="54"/>
  <c r="W76" i="54"/>
  <c r="V76" i="54"/>
  <c r="B76" i="54"/>
  <c r="AQ75" i="54"/>
  <c r="AP75" i="54"/>
  <c r="AO75" i="54"/>
  <c r="AN75" i="54"/>
  <c r="AM75" i="54"/>
  <c r="AL75" i="54"/>
  <c r="AK75" i="54"/>
  <c r="AJ75" i="54"/>
  <c r="AI75" i="54"/>
  <c r="AH75" i="54"/>
  <c r="AG75" i="54"/>
  <c r="AF75" i="54"/>
  <c r="AE75" i="54"/>
  <c r="AD75" i="54"/>
  <c r="AC75" i="54"/>
  <c r="AB75" i="54"/>
  <c r="AA75" i="54"/>
  <c r="Z75" i="54"/>
  <c r="Y75" i="54"/>
  <c r="X75" i="54"/>
  <c r="W75" i="54"/>
  <c r="V75" i="54"/>
  <c r="B75" i="54"/>
  <c r="AQ74" i="54"/>
  <c r="AP74" i="54"/>
  <c r="AO74" i="54"/>
  <c r="AN74" i="54"/>
  <c r="AM74" i="54"/>
  <c r="AL74" i="54"/>
  <c r="AK74" i="54"/>
  <c r="AJ74" i="54"/>
  <c r="AI74" i="54"/>
  <c r="AH74" i="54"/>
  <c r="AG74" i="54"/>
  <c r="AF74" i="54"/>
  <c r="AE74" i="54"/>
  <c r="AD74" i="54"/>
  <c r="AC74" i="54"/>
  <c r="AB74" i="54"/>
  <c r="AA74" i="54"/>
  <c r="Z74" i="54"/>
  <c r="Y74" i="54"/>
  <c r="X74" i="54"/>
  <c r="W74" i="54"/>
  <c r="V74" i="54"/>
  <c r="B74" i="54"/>
  <c r="AQ73" i="54"/>
  <c r="AP73" i="54"/>
  <c r="AO73" i="54"/>
  <c r="AN73" i="54"/>
  <c r="AM73" i="54"/>
  <c r="AL73" i="54"/>
  <c r="AK73" i="54"/>
  <c r="AJ73" i="54"/>
  <c r="AI73" i="54"/>
  <c r="AH73" i="54"/>
  <c r="AG73" i="54"/>
  <c r="AF73" i="54"/>
  <c r="AE73" i="54"/>
  <c r="AD73" i="54"/>
  <c r="AC73" i="54"/>
  <c r="AB73" i="54"/>
  <c r="AA73" i="54"/>
  <c r="Z73" i="54"/>
  <c r="Y73" i="54"/>
  <c r="X73" i="54"/>
  <c r="W73" i="54"/>
  <c r="V73" i="54"/>
  <c r="B73" i="54"/>
  <c r="AQ72" i="54"/>
  <c r="AP72" i="54"/>
  <c r="AO72" i="54"/>
  <c r="AN72" i="54"/>
  <c r="AM72" i="54"/>
  <c r="AL72" i="54"/>
  <c r="AK72" i="54"/>
  <c r="AJ72" i="54"/>
  <c r="AI72" i="54"/>
  <c r="AH72" i="54"/>
  <c r="AG72" i="54"/>
  <c r="AF72" i="54"/>
  <c r="AE72" i="54"/>
  <c r="AD72" i="54"/>
  <c r="AC72" i="54"/>
  <c r="AB72" i="54"/>
  <c r="AA72" i="54"/>
  <c r="Z72" i="54"/>
  <c r="Y72" i="54"/>
  <c r="X72" i="54"/>
  <c r="W72" i="54"/>
  <c r="V72" i="54"/>
  <c r="B72" i="54"/>
  <c r="AQ71" i="54"/>
  <c r="AP71" i="54"/>
  <c r="AO71" i="54"/>
  <c r="AN71" i="54"/>
  <c r="AM71" i="54"/>
  <c r="AL71" i="54"/>
  <c r="AK71" i="54"/>
  <c r="AJ71" i="54"/>
  <c r="AI71" i="54"/>
  <c r="AH71" i="54"/>
  <c r="AG71" i="54"/>
  <c r="AF71" i="54"/>
  <c r="AE71" i="54"/>
  <c r="AD71" i="54"/>
  <c r="AC71" i="54"/>
  <c r="AB71" i="54"/>
  <c r="AA71" i="54"/>
  <c r="Z71" i="54"/>
  <c r="Y71" i="54"/>
  <c r="X71" i="54"/>
  <c r="W71" i="54"/>
  <c r="V71" i="54"/>
  <c r="B71" i="54"/>
  <c r="AQ70" i="54"/>
  <c r="AP70" i="54"/>
  <c r="AO70" i="54"/>
  <c r="AN70" i="54"/>
  <c r="AM70" i="54"/>
  <c r="AL70" i="54"/>
  <c r="AK70" i="54"/>
  <c r="AJ70" i="54"/>
  <c r="AI70" i="54"/>
  <c r="AH70" i="54"/>
  <c r="AG70" i="54"/>
  <c r="AF70" i="54"/>
  <c r="AE70" i="54"/>
  <c r="AD70" i="54"/>
  <c r="AC70" i="54"/>
  <c r="AB70" i="54"/>
  <c r="AA70" i="54"/>
  <c r="Z70" i="54"/>
  <c r="Y70" i="54"/>
  <c r="X70" i="54"/>
  <c r="W70" i="54"/>
  <c r="V70" i="54"/>
  <c r="B70" i="54"/>
  <c r="AQ69" i="54"/>
  <c r="AP69" i="54"/>
  <c r="AO69" i="54"/>
  <c r="AN69" i="54"/>
  <c r="AM69" i="54"/>
  <c r="AL69" i="54"/>
  <c r="AK69" i="54"/>
  <c r="AJ69" i="54"/>
  <c r="AI69" i="54"/>
  <c r="AH69" i="54"/>
  <c r="AG69" i="54"/>
  <c r="AF69" i="54"/>
  <c r="AE69" i="54"/>
  <c r="AD69" i="54"/>
  <c r="AC69" i="54"/>
  <c r="AB69" i="54"/>
  <c r="AA69" i="54"/>
  <c r="Z69" i="54"/>
  <c r="Y69" i="54"/>
  <c r="X69" i="54"/>
  <c r="W69" i="54"/>
  <c r="V69" i="54"/>
  <c r="B69" i="54"/>
  <c r="AQ68" i="54"/>
  <c r="AP68" i="54"/>
  <c r="AO68" i="54"/>
  <c r="AN68" i="54"/>
  <c r="AM68" i="54"/>
  <c r="AL68" i="54"/>
  <c r="AK68" i="54"/>
  <c r="AJ68" i="54"/>
  <c r="AI68" i="54"/>
  <c r="AH68" i="54"/>
  <c r="AG68" i="54"/>
  <c r="AF68" i="54"/>
  <c r="AE68" i="54"/>
  <c r="AD68" i="54"/>
  <c r="AC68" i="54"/>
  <c r="AB68" i="54"/>
  <c r="AA68" i="54"/>
  <c r="Z68" i="54"/>
  <c r="Y68" i="54"/>
  <c r="X68" i="54"/>
  <c r="W68" i="54"/>
  <c r="V68" i="54"/>
  <c r="B68" i="54"/>
  <c r="AQ67" i="54"/>
  <c r="AP67" i="54"/>
  <c r="AO67" i="54"/>
  <c r="AN67" i="54"/>
  <c r="AM67" i="54"/>
  <c r="AL67" i="54"/>
  <c r="AK67" i="54"/>
  <c r="AJ67" i="54"/>
  <c r="AI67" i="54"/>
  <c r="AH67" i="54"/>
  <c r="AG67" i="54"/>
  <c r="AF67" i="54"/>
  <c r="AE67" i="54"/>
  <c r="AD67" i="54"/>
  <c r="AC67" i="54"/>
  <c r="AB67" i="54"/>
  <c r="AA67" i="54"/>
  <c r="Z67" i="54"/>
  <c r="Y67" i="54"/>
  <c r="X67" i="54"/>
  <c r="W67" i="54"/>
  <c r="V67" i="54"/>
  <c r="B67" i="54"/>
  <c r="AQ66" i="54"/>
  <c r="AP66" i="54"/>
  <c r="AO66" i="54"/>
  <c r="AN66" i="54"/>
  <c r="AM66" i="54"/>
  <c r="AL66" i="54"/>
  <c r="AK66" i="54"/>
  <c r="AJ66" i="54"/>
  <c r="AI66" i="54"/>
  <c r="AH66" i="54"/>
  <c r="AG66" i="54"/>
  <c r="AF66" i="54"/>
  <c r="AE66" i="54"/>
  <c r="AD66" i="54"/>
  <c r="AC66" i="54"/>
  <c r="AB66" i="54"/>
  <c r="AA66" i="54"/>
  <c r="Z66" i="54"/>
  <c r="Y66" i="54"/>
  <c r="X66" i="54"/>
  <c r="W66" i="54"/>
  <c r="V66" i="54"/>
  <c r="B66" i="54"/>
  <c r="AQ65" i="54"/>
  <c r="AP65" i="54"/>
  <c r="AO65" i="54"/>
  <c r="AN65" i="54"/>
  <c r="AM65" i="54"/>
  <c r="AL65" i="54"/>
  <c r="AK65" i="54"/>
  <c r="AJ65" i="54"/>
  <c r="AI65" i="54"/>
  <c r="AH65" i="54"/>
  <c r="AG65" i="54"/>
  <c r="AF65" i="54"/>
  <c r="AE65" i="54"/>
  <c r="AD65" i="54"/>
  <c r="AC65" i="54"/>
  <c r="AB65" i="54"/>
  <c r="AA65" i="54"/>
  <c r="Z65" i="54"/>
  <c r="Y65" i="54"/>
  <c r="X65" i="54"/>
  <c r="W65" i="54"/>
  <c r="V65" i="54"/>
  <c r="B65" i="54"/>
  <c r="AQ64" i="54"/>
  <c r="AP64" i="54"/>
  <c r="AO64" i="54"/>
  <c r="AN64" i="54"/>
  <c r="AM64" i="54"/>
  <c r="AL64" i="54"/>
  <c r="AK64" i="54"/>
  <c r="AJ64" i="54"/>
  <c r="AI64" i="54"/>
  <c r="AH64" i="54"/>
  <c r="AG64" i="54"/>
  <c r="AF64" i="54"/>
  <c r="AE64" i="54"/>
  <c r="AD64" i="54"/>
  <c r="AC64" i="54"/>
  <c r="AB64" i="54"/>
  <c r="AA64" i="54"/>
  <c r="Z64" i="54"/>
  <c r="Y64" i="54"/>
  <c r="X64" i="54"/>
  <c r="W64" i="54"/>
  <c r="V64" i="54"/>
  <c r="B64" i="54"/>
  <c r="AQ63" i="54"/>
  <c r="AP63" i="54"/>
  <c r="AO63" i="54"/>
  <c r="AN63" i="54"/>
  <c r="AM63" i="54"/>
  <c r="AL63" i="54"/>
  <c r="AK63" i="54"/>
  <c r="AJ63" i="54"/>
  <c r="AI63" i="54"/>
  <c r="AH63" i="54"/>
  <c r="AG63" i="54"/>
  <c r="AF63" i="54"/>
  <c r="AE63" i="54"/>
  <c r="AD63" i="54"/>
  <c r="AC63" i="54"/>
  <c r="AB63" i="54"/>
  <c r="AA63" i="54"/>
  <c r="Z63" i="54"/>
  <c r="Y63" i="54"/>
  <c r="X63" i="54"/>
  <c r="W63" i="54"/>
  <c r="V63" i="54"/>
  <c r="B63" i="54"/>
  <c r="AQ62" i="54"/>
  <c r="AP62" i="54"/>
  <c r="AO62" i="54"/>
  <c r="AN62" i="54"/>
  <c r="AM62" i="54"/>
  <c r="AL62" i="54"/>
  <c r="AK62" i="54"/>
  <c r="AJ62" i="54"/>
  <c r="AI62" i="54"/>
  <c r="AH62" i="54"/>
  <c r="AG62" i="54"/>
  <c r="AF62" i="54"/>
  <c r="AE62" i="54"/>
  <c r="AD62" i="54"/>
  <c r="AC62" i="54"/>
  <c r="AB62" i="54"/>
  <c r="AA62" i="54"/>
  <c r="Z62" i="54"/>
  <c r="Y62" i="54"/>
  <c r="X62" i="54"/>
  <c r="W62" i="54"/>
  <c r="V62" i="54"/>
  <c r="B62" i="54"/>
  <c r="AQ61" i="54"/>
  <c r="AP61" i="54"/>
  <c r="AO61" i="54"/>
  <c r="AN61" i="54"/>
  <c r="AM61" i="54"/>
  <c r="AL61" i="54"/>
  <c r="AK61" i="54"/>
  <c r="AJ61" i="54"/>
  <c r="AI61" i="54"/>
  <c r="AH61" i="54"/>
  <c r="AG61" i="54"/>
  <c r="AF61" i="54"/>
  <c r="AE61" i="54"/>
  <c r="AD61" i="54"/>
  <c r="AC61" i="54"/>
  <c r="AB61" i="54"/>
  <c r="AA61" i="54"/>
  <c r="Z61" i="54"/>
  <c r="Y61" i="54"/>
  <c r="X61" i="54"/>
  <c r="W61" i="54"/>
  <c r="V61" i="54"/>
  <c r="B61" i="54"/>
  <c r="AQ60" i="54"/>
  <c r="AP60" i="54"/>
  <c r="AO60" i="54"/>
  <c r="AN60" i="54"/>
  <c r="AM60" i="54"/>
  <c r="AL60" i="54"/>
  <c r="AK60" i="54"/>
  <c r="AJ60" i="54"/>
  <c r="AI60" i="54"/>
  <c r="AH60" i="54"/>
  <c r="AG60" i="54"/>
  <c r="AF60" i="54"/>
  <c r="AE60" i="54"/>
  <c r="AD60" i="54"/>
  <c r="AC60" i="54"/>
  <c r="AB60" i="54"/>
  <c r="AA60" i="54"/>
  <c r="Z60" i="54"/>
  <c r="Y60" i="54"/>
  <c r="X60" i="54"/>
  <c r="W60" i="54"/>
  <c r="V60" i="54"/>
  <c r="B60" i="54"/>
  <c r="AQ59" i="54"/>
  <c r="AP59" i="54"/>
  <c r="AO59" i="54"/>
  <c r="AN59" i="54"/>
  <c r="AM59" i="54"/>
  <c r="AL59" i="54"/>
  <c r="AK59" i="54"/>
  <c r="AJ59" i="54"/>
  <c r="AI59" i="54"/>
  <c r="AH59" i="54"/>
  <c r="AG59" i="54"/>
  <c r="AF59" i="54"/>
  <c r="AE59" i="54"/>
  <c r="AD59" i="54"/>
  <c r="AC59" i="54"/>
  <c r="AB59" i="54"/>
  <c r="AA59" i="54"/>
  <c r="Z59" i="54"/>
  <c r="Y59" i="54"/>
  <c r="X59" i="54"/>
  <c r="W59" i="54"/>
  <c r="V59" i="54"/>
  <c r="B59" i="54"/>
  <c r="AQ58" i="54"/>
  <c r="AP58" i="54"/>
  <c r="AO58" i="54"/>
  <c r="AN58" i="54"/>
  <c r="AM58" i="54"/>
  <c r="AL58" i="54"/>
  <c r="AK58" i="54"/>
  <c r="AJ58" i="54"/>
  <c r="AI58" i="54"/>
  <c r="AH58" i="54"/>
  <c r="AG58" i="54"/>
  <c r="AF58" i="54"/>
  <c r="AE58" i="54"/>
  <c r="AD58" i="54"/>
  <c r="AC58" i="54"/>
  <c r="AB58" i="54"/>
  <c r="AA58" i="54"/>
  <c r="Z58" i="54"/>
  <c r="Y58" i="54"/>
  <c r="X58" i="54"/>
  <c r="W58" i="54"/>
  <c r="V58" i="54"/>
  <c r="B58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B57" i="54"/>
  <c r="AQ56" i="54"/>
  <c r="AP56" i="54"/>
  <c r="AO56" i="54"/>
  <c r="AN56" i="54"/>
  <c r="AM56" i="54"/>
  <c r="AL56" i="54"/>
  <c r="AK56" i="54"/>
  <c r="AJ56" i="54"/>
  <c r="AI56" i="54"/>
  <c r="AH56" i="54"/>
  <c r="AG56" i="54"/>
  <c r="AF56" i="54"/>
  <c r="AE56" i="54"/>
  <c r="AD56" i="54"/>
  <c r="AC56" i="54"/>
  <c r="AB56" i="54"/>
  <c r="AA56" i="54"/>
  <c r="Z56" i="54"/>
  <c r="Y56" i="54"/>
  <c r="X56" i="54"/>
  <c r="W56" i="54"/>
  <c r="V56" i="54"/>
  <c r="B56" i="54"/>
  <c r="AQ55" i="54"/>
  <c r="AP55" i="54"/>
  <c r="AO55" i="54"/>
  <c r="AN55" i="54"/>
  <c r="AM55" i="54"/>
  <c r="AL55" i="54"/>
  <c r="AK55" i="54"/>
  <c r="AJ55" i="54"/>
  <c r="AI55" i="54"/>
  <c r="AH55" i="54"/>
  <c r="AG55" i="54"/>
  <c r="AF55" i="54"/>
  <c r="AE55" i="54"/>
  <c r="AD55" i="54"/>
  <c r="AC55" i="54"/>
  <c r="AB55" i="54"/>
  <c r="AA55" i="54"/>
  <c r="Z55" i="54"/>
  <c r="Y55" i="54"/>
  <c r="X55" i="54"/>
  <c r="W55" i="54"/>
  <c r="V55" i="54"/>
  <c r="O55" i="54"/>
  <c r="H55" i="54"/>
  <c r="F55" i="54"/>
  <c r="B55" i="54"/>
  <c r="AQ54" i="54"/>
  <c r="AP54" i="54"/>
  <c r="AO54" i="54"/>
  <c r="AN54" i="54"/>
  <c r="AM54" i="54"/>
  <c r="AL54" i="54"/>
  <c r="AK54" i="54"/>
  <c r="AJ54" i="54"/>
  <c r="AI54" i="54"/>
  <c r="AH54" i="54"/>
  <c r="AG54" i="54"/>
  <c r="AF54" i="54"/>
  <c r="AE54" i="54"/>
  <c r="AD54" i="54"/>
  <c r="AC54" i="54"/>
  <c r="AB54" i="54"/>
  <c r="AA54" i="54"/>
  <c r="Z54" i="54"/>
  <c r="Y54" i="54"/>
  <c r="X54" i="54"/>
  <c r="W54" i="54"/>
  <c r="V54" i="54"/>
  <c r="B54" i="54"/>
  <c r="AQ53" i="54"/>
  <c r="AP53" i="54"/>
  <c r="AO53" i="54"/>
  <c r="AN53" i="54"/>
  <c r="AM53" i="54"/>
  <c r="AL53" i="54"/>
  <c r="AK53" i="54"/>
  <c r="AJ53" i="54"/>
  <c r="AI53" i="54"/>
  <c r="AH53" i="54"/>
  <c r="AG53" i="54"/>
  <c r="AF53" i="54"/>
  <c r="AE53" i="54"/>
  <c r="AD53" i="54"/>
  <c r="AC53" i="54"/>
  <c r="AB53" i="54"/>
  <c r="AA53" i="54"/>
  <c r="Z53" i="54"/>
  <c r="Y53" i="54"/>
  <c r="X53" i="54"/>
  <c r="W53" i="54"/>
  <c r="V53" i="54"/>
  <c r="B53" i="54"/>
  <c r="AQ52" i="54"/>
  <c r="AP52" i="54"/>
  <c r="AO52" i="54"/>
  <c r="AN52" i="54"/>
  <c r="AM52" i="54"/>
  <c r="AL52" i="54"/>
  <c r="AK52" i="54"/>
  <c r="AJ52" i="54"/>
  <c r="AI52" i="54"/>
  <c r="AH52" i="54"/>
  <c r="AG52" i="54"/>
  <c r="AF52" i="54"/>
  <c r="AE52" i="54"/>
  <c r="AD52" i="54"/>
  <c r="AC52" i="54"/>
  <c r="AB52" i="54"/>
  <c r="AA52" i="54"/>
  <c r="Z52" i="54"/>
  <c r="Y52" i="54"/>
  <c r="X52" i="54"/>
  <c r="W52" i="54"/>
  <c r="V52" i="54"/>
  <c r="B52" i="54"/>
  <c r="AQ51" i="54"/>
  <c r="AP51" i="54"/>
  <c r="AO51" i="54"/>
  <c r="AN51" i="54"/>
  <c r="AM51" i="54"/>
  <c r="AL51" i="54"/>
  <c r="AK51" i="54"/>
  <c r="AJ51" i="54"/>
  <c r="AI51" i="54"/>
  <c r="AH51" i="54"/>
  <c r="AG51" i="54"/>
  <c r="AF51" i="54"/>
  <c r="AE51" i="54"/>
  <c r="AD51" i="54"/>
  <c r="AC51" i="54"/>
  <c r="AB51" i="54"/>
  <c r="AA51" i="54"/>
  <c r="Z51" i="54"/>
  <c r="Y51" i="54"/>
  <c r="X51" i="54"/>
  <c r="W51" i="54"/>
  <c r="V51" i="54"/>
  <c r="B51" i="54"/>
  <c r="AQ50" i="54"/>
  <c r="AP50" i="54"/>
  <c r="AO50" i="54"/>
  <c r="AN50" i="54"/>
  <c r="AM50" i="54"/>
  <c r="AL50" i="54"/>
  <c r="AK50" i="54"/>
  <c r="AJ50" i="54"/>
  <c r="AI50" i="54"/>
  <c r="AH50" i="54"/>
  <c r="AG50" i="54"/>
  <c r="AF50" i="54"/>
  <c r="AE50" i="54"/>
  <c r="AD50" i="54"/>
  <c r="AC50" i="54"/>
  <c r="AB50" i="54"/>
  <c r="AA50" i="54"/>
  <c r="Z50" i="54"/>
  <c r="Y50" i="54"/>
  <c r="X50" i="54"/>
  <c r="W50" i="54"/>
  <c r="V50" i="54"/>
  <c r="B50" i="54"/>
  <c r="AQ49" i="54"/>
  <c r="AP49" i="54"/>
  <c r="AO49" i="54"/>
  <c r="AN49" i="54"/>
  <c r="AM49" i="54"/>
  <c r="AL49" i="54"/>
  <c r="AK49" i="54"/>
  <c r="AJ49" i="54"/>
  <c r="AI49" i="54"/>
  <c r="AH49" i="54"/>
  <c r="AG49" i="54"/>
  <c r="AF49" i="54"/>
  <c r="AE49" i="54"/>
  <c r="AD49" i="54"/>
  <c r="AC49" i="54"/>
  <c r="AB49" i="54"/>
  <c r="AA49" i="54"/>
  <c r="Z49" i="54"/>
  <c r="Y49" i="54"/>
  <c r="X49" i="54"/>
  <c r="W49" i="54"/>
  <c r="V49" i="54"/>
  <c r="B49" i="54"/>
  <c r="AQ48" i="54"/>
  <c r="AP48" i="54"/>
  <c r="AO48" i="54"/>
  <c r="AN48" i="54"/>
  <c r="AM48" i="54"/>
  <c r="AL48" i="54"/>
  <c r="AK48" i="54"/>
  <c r="AJ48" i="54"/>
  <c r="AI48" i="54"/>
  <c r="AH48" i="54"/>
  <c r="AG48" i="54"/>
  <c r="AF48" i="54"/>
  <c r="AE48" i="54"/>
  <c r="AD48" i="54"/>
  <c r="AC48" i="54"/>
  <c r="AB48" i="54"/>
  <c r="AA48" i="54"/>
  <c r="Z48" i="54"/>
  <c r="Y48" i="54"/>
  <c r="X48" i="54"/>
  <c r="W48" i="54"/>
  <c r="V48" i="54"/>
  <c r="B48" i="54"/>
  <c r="AQ47" i="54"/>
  <c r="AP47" i="54"/>
  <c r="AO47" i="54"/>
  <c r="AN47" i="54"/>
  <c r="AM47" i="54"/>
  <c r="AL47" i="54"/>
  <c r="AK47" i="54"/>
  <c r="AJ47" i="54"/>
  <c r="AI47" i="54"/>
  <c r="AH47" i="54"/>
  <c r="AG47" i="54"/>
  <c r="AF47" i="54"/>
  <c r="AE47" i="54"/>
  <c r="AD47" i="54"/>
  <c r="AC47" i="54"/>
  <c r="AB47" i="54"/>
  <c r="AA47" i="54"/>
  <c r="Z47" i="54"/>
  <c r="Y47" i="54"/>
  <c r="X47" i="54"/>
  <c r="W47" i="54"/>
  <c r="V47" i="54"/>
  <c r="B47" i="54"/>
  <c r="AQ46" i="54"/>
  <c r="AP46" i="54"/>
  <c r="AO46" i="54"/>
  <c r="AN46" i="54"/>
  <c r="AM46" i="54"/>
  <c r="AL46" i="54"/>
  <c r="AK46" i="54"/>
  <c r="AJ46" i="54"/>
  <c r="AI46" i="54"/>
  <c r="AH46" i="54"/>
  <c r="AG46" i="54"/>
  <c r="AF46" i="54"/>
  <c r="AE46" i="54"/>
  <c r="AD46" i="54"/>
  <c r="AC46" i="54"/>
  <c r="AB46" i="54"/>
  <c r="AA46" i="54"/>
  <c r="Z46" i="54"/>
  <c r="Y46" i="54"/>
  <c r="X46" i="54"/>
  <c r="W46" i="54"/>
  <c r="V46" i="54"/>
  <c r="B46" i="54"/>
  <c r="AQ45" i="54"/>
  <c r="AP45" i="54"/>
  <c r="AO45" i="54"/>
  <c r="AN45" i="54"/>
  <c r="AM45" i="54"/>
  <c r="AL45" i="54"/>
  <c r="AK45" i="54"/>
  <c r="AJ45" i="54"/>
  <c r="AI45" i="54"/>
  <c r="AH45" i="54"/>
  <c r="AG45" i="54"/>
  <c r="AF45" i="54"/>
  <c r="AE45" i="54"/>
  <c r="AD45" i="54"/>
  <c r="AC45" i="54"/>
  <c r="AB45" i="54"/>
  <c r="AA45" i="54"/>
  <c r="Z45" i="54"/>
  <c r="Y45" i="54"/>
  <c r="X45" i="54"/>
  <c r="W45" i="54"/>
  <c r="V45" i="54"/>
  <c r="B45" i="54"/>
  <c r="AQ44" i="54"/>
  <c r="AP44" i="54"/>
  <c r="AO44" i="54"/>
  <c r="AN44" i="54"/>
  <c r="AM44" i="54"/>
  <c r="AL44" i="54"/>
  <c r="AK44" i="54"/>
  <c r="AJ44" i="54"/>
  <c r="AI44" i="54"/>
  <c r="AH44" i="54"/>
  <c r="AG44" i="54"/>
  <c r="AF44" i="54"/>
  <c r="AE44" i="54"/>
  <c r="AD44" i="54"/>
  <c r="AC44" i="54"/>
  <c r="AB44" i="54"/>
  <c r="AA44" i="54"/>
  <c r="Z44" i="54"/>
  <c r="Y44" i="54"/>
  <c r="X44" i="54"/>
  <c r="W44" i="54"/>
  <c r="V44" i="54"/>
  <c r="B44" i="54"/>
  <c r="AQ43" i="54"/>
  <c r="AP43" i="54"/>
  <c r="AO43" i="54"/>
  <c r="AN43" i="54"/>
  <c r="AM43" i="54"/>
  <c r="AL43" i="54"/>
  <c r="AK43" i="54"/>
  <c r="AJ43" i="54"/>
  <c r="AI43" i="54"/>
  <c r="AH43" i="54"/>
  <c r="AG43" i="54"/>
  <c r="AF43" i="54"/>
  <c r="AE43" i="54"/>
  <c r="AD43" i="54"/>
  <c r="AC43" i="54"/>
  <c r="AB43" i="54"/>
  <c r="AA43" i="54"/>
  <c r="Z43" i="54"/>
  <c r="Y43" i="54"/>
  <c r="X43" i="54"/>
  <c r="W43" i="54"/>
  <c r="V43" i="54"/>
  <c r="B43" i="54"/>
  <c r="AQ42" i="54"/>
  <c r="AP42" i="54"/>
  <c r="AO42" i="54"/>
  <c r="AN42" i="54"/>
  <c r="AM42" i="54"/>
  <c r="AL42" i="54"/>
  <c r="AK42" i="54"/>
  <c r="AJ42" i="54"/>
  <c r="AI42" i="54"/>
  <c r="AH42" i="54"/>
  <c r="AG42" i="54"/>
  <c r="AF42" i="54"/>
  <c r="AE42" i="54"/>
  <c r="AD42" i="54"/>
  <c r="AC42" i="54"/>
  <c r="AB42" i="54"/>
  <c r="AA42" i="54"/>
  <c r="Z42" i="54"/>
  <c r="Y42" i="54"/>
  <c r="X42" i="54"/>
  <c r="W42" i="54"/>
  <c r="V42" i="54"/>
  <c r="B42" i="54"/>
  <c r="AQ41" i="54"/>
  <c r="AP41" i="54"/>
  <c r="AO41" i="54"/>
  <c r="AN41" i="54"/>
  <c r="AM41" i="54"/>
  <c r="AL41" i="54"/>
  <c r="AK41" i="54"/>
  <c r="AJ41" i="54"/>
  <c r="AI41" i="54"/>
  <c r="AH41" i="54"/>
  <c r="AG41" i="54"/>
  <c r="AF41" i="54"/>
  <c r="AE41" i="54"/>
  <c r="AD41" i="54"/>
  <c r="AC41" i="54"/>
  <c r="AB41" i="54"/>
  <c r="AA41" i="54"/>
  <c r="Z41" i="54"/>
  <c r="Y41" i="54"/>
  <c r="X41" i="54"/>
  <c r="W41" i="54"/>
  <c r="V41" i="54"/>
  <c r="B41" i="54"/>
  <c r="AQ40" i="54"/>
  <c r="AP40" i="54"/>
  <c r="AO40" i="54"/>
  <c r="AN40" i="54"/>
  <c r="AM40" i="54"/>
  <c r="AL40" i="54"/>
  <c r="AK40" i="54"/>
  <c r="AJ40" i="54"/>
  <c r="AI40" i="54"/>
  <c r="AH40" i="54"/>
  <c r="AG40" i="54"/>
  <c r="AF40" i="54"/>
  <c r="AE40" i="54"/>
  <c r="AD40" i="54"/>
  <c r="AC40" i="54"/>
  <c r="AB40" i="54"/>
  <c r="AA40" i="54"/>
  <c r="Z40" i="54"/>
  <c r="Y40" i="54"/>
  <c r="X40" i="54"/>
  <c r="W40" i="54"/>
  <c r="V40" i="54"/>
  <c r="B40" i="54"/>
  <c r="AQ39" i="54"/>
  <c r="AP39" i="54"/>
  <c r="AO39" i="54"/>
  <c r="AN39" i="54"/>
  <c r="AM39" i="54"/>
  <c r="AL39" i="54"/>
  <c r="AK39" i="54"/>
  <c r="AJ39" i="54"/>
  <c r="AI39" i="54"/>
  <c r="AH39" i="54"/>
  <c r="AG39" i="54"/>
  <c r="AF39" i="54"/>
  <c r="AE39" i="54"/>
  <c r="AD39" i="54"/>
  <c r="AC39" i="54"/>
  <c r="AB39" i="54"/>
  <c r="AA39" i="54"/>
  <c r="Z39" i="54"/>
  <c r="Y39" i="54"/>
  <c r="X39" i="54"/>
  <c r="W39" i="54"/>
  <c r="V39" i="54"/>
  <c r="B39" i="54"/>
  <c r="AQ38" i="54"/>
  <c r="AP38" i="54"/>
  <c r="AO38" i="54"/>
  <c r="AN38" i="54"/>
  <c r="AM38" i="54"/>
  <c r="AL38" i="54"/>
  <c r="AK38" i="54"/>
  <c r="AJ38" i="54"/>
  <c r="AI38" i="54"/>
  <c r="AH38" i="54"/>
  <c r="AG38" i="54"/>
  <c r="AF38" i="54"/>
  <c r="AE38" i="54"/>
  <c r="AD38" i="54"/>
  <c r="AC38" i="54"/>
  <c r="AB38" i="54"/>
  <c r="AA38" i="54"/>
  <c r="Z38" i="54"/>
  <c r="Y38" i="54"/>
  <c r="X38" i="54"/>
  <c r="W38" i="54"/>
  <c r="V38" i="54"/>
  <c r="B38" i="54"/>
  <c r="AQ37" i="54"/>
  <c r="AP37" i="54"/>
  <c r="AO37" i="54"/>
  <c r="AN37" i="54"/>
  <c r="AM37" i="54"/>
  <c r="AL37" i="54"/>
  <c r="AK37" i="54"/>
  <c r="AJ37" i="54"/>
  <c r="AI37" i="54"/>
  <c r="AH37" i="54"/>
  <c r="AG37" i="54"/>
  <c r="AF37" i="54"/>
  <c r="AE37" i="54"/>
  <c r="AD37" i="54"/>
  <c r="AC37" i="54"/>
  <c r="AB37" i="54"/>
  <c r="AA37" i="54"/>
  <c r="Z37" i="54"/>
  <c r="Y37" i="54"/>
  <c r="X37" i="54"/>
  <c r="W37" i="54"/>
  <c r="V37" i="54"/>
  <c r="B37" i="54"/>
  <c r="AQ36" i="54"/>
  <c r="AP36" i="54"/>
  <c r="AO36" i="54"/>
  <c r="AN36" i="54"/>
  <c r="AM36" i="54"/>
  <c r="AL36" i="54"/>
  <c r="AK36" i="54"/>
  <c r="AJ36" i="54"/>
  <c r="AI36" i="54"/>
  <c r="AH36" i="54"/>
  <c r="AG36" i="54"/>
  <c r="AF36" i="54"/>
  <c r="AE36" i="54"/>
  <c r="AD36" i="54"/>
  <c r="AC36" i="54"/>
  <c r="AB36" i="54"/>
  <c r="AA36" i="54"/>
  <c r="Z36" i="54"/>
  <c r="Y36" i="54"/>
  <c r="X36" i="54"/>
  <c r="W36" i="54"/>
  <c r="V36" i="54"/>
  <c r="B36" i="54"/>
  <c r="AQ35" i="54"/>
  <c r="AP35" i="54"/>
  <c r="AO35" i="54"/>
  <c r="AN35" i="54"/>
  <c r="AM35" i="54"/>
  <c r="AL35" i="54"/>
  <c r="AK35" i="54"/>
  <c r="AJ35" i="54"/>
  <c r="AI35" i="54"/>
  <c r="AH35" i="54"/>
  <c r="AG35" i="54"/>
  <c r="AF35" i="54"/>
  <c r="AE35" i="54"/>
  <c r="AD35" i="54"/>
  <c r="AC35" i="54"/>
  <c r="AB35" i="54"/>
  <c r="AA35" i="54"/>
  <c r="Z35" i="54"/>
  <c r="Y35" i="54"/>
  <c r="X35" i="54"/>
  <c r="W35" i="54"/>
  <c r="V35" i="54"/>
  <c r="B35" i="54"/>
  <c r="AQ34" i="54"/>
  <c r="AP34" i="54"/>
  <c r="AO34" i="54"/>
  <c r="AN34" i="54"/>
  <c r="AM34" i="54"/>
  <c r="AL34" i="54"/>
  <c r="AK34" i="54"/>
  <c r="AJ34" i="54"/>
  <c r="AI34" i="54"/>
  <c r="AH34" i="54"/>
  <c r="AG34" i="54"/>
  <c r="AF34" i="54"/>
  <c r="AE34" i="54"/>
  <c r="AD34" i="54"/>
  <c r="AC34" i="54"/>
  <c r="AB34" i="54"/>
  <c r="AA34" i="54"/>
  <c r="Z34" i="54"/>
  <c r="Y34" i="54"/>
  <c r="X34" i="54"/>
  <c r="W34" i="54"/>
  <c r="V34" i="54"/>
  <c r="B34" i="54"/>
  <c r="AQ33" i="54"/>
  <c r="AP33" i="54"/>
  <c r="AO33" i="54"/>
  <c r="AN33" i="54"/>
  <c r="AM33" i="54"/>
  <c r="AL33" i="54"/>
  <c r="AK33" i="54"/>
  <c r="AJ33" i="54"/>
  <c r="AI33" i="54"/>
  <c r="AH33" i="54"/>
  <c r="AG33" i="54"/>
  <c r="AF33" i="54"/>
  <c r="AE33" i="54"/>
  <c r="AD33" i="54"/>
  <c r="AC33" i="54"/>
  <c r="AB33" i="54"/>
  <c r="AA33" i="54"/>
  <c r="Z33" i="54"/>
  <c r="Y33" i="54"/>
  <c r="X33" i="54"/>
  <c r="W33" i="54"/>
  <c r="V33" i="54"/>
  <c r="B33" i="54"/>
  <c r="AQ32" i="54"/>
  <c r="AP32" i="54"/>
  <c r="AO32" i="54"/>
  <c r="AN32" i="54"/>
  <c r="AM32" i="54"/>
  <c r="AL32" i="54"/>
  <c r="AK32" i="54"/>
  <c r="AJ32" i="54"/>
  <c r="AI32" i="54"/>
  <c r="AH32" i="54"/>
  <c r="AG32" i="54"/>
  <c r="AF32" i="54"/>
  <c r="AE32" i="54"/>
  <c r="AD32" i="54"/>
  <c r="AC32" i="54"/>
  <c r="AB32" i="54"/>
  <c r="AA32" i="54"/>
  <c r="Z32" i="54"/>
  <c r="Y32" i="54"/>
  <c r="X32" i="54"/>
  <c r="W32" i="54"/>
  <c r="V32" i="54"/>
  <c r="B32" i="54"/>
  <c r="AQ31" i="54"/>
  <c r="AP31" i="54"/>
  <c r="AO31" i="54"/>
  <c r="AN31" i="54"/>
  <c r="AM31" i="54"/>
  <c r="AL31" i="54"/>
  <c r="AK31" i="54"/>
  <c r="AJ31" i="54"/>
  <c r="AI31" i="54"/>
  <c r="AH31" i="54"/>
  <c r="AG31" i="54"/>
  <c r="AF31" i="54"/>
  <c r="AE31" i="54"/>
  <c r="AD31" i="54"/>
  <c r="AC31" i="54"/>
  <c r="AB31" i="54"/>
  <c r="AA31" i="54"/>
  <c r="Z31" i="54"/>
  <c r="Y31" i="54"/>
  <c r="X31" i="54"/>
  <c r="W31" i="54"/>
  <c r="V31" i="54"/>
  <c r="B31" i="54"/>
  <c r="AQ30" i="54"/>
  <c r="AP30" i="54"/>
  <c r="AO30" i="54"/>
  <c r="AN30" i="54"/>
  <c r="AM30" i="54"/>
  <c r="AL30" i="54"/>
  <c r="AK30" i="54"/>
  <c r="AJ30" i="54"/>
  <c r="AI30" i="54"/>
  <c r="AH30" i="54"/>
  <c r="AG30" i="54"/>
  <c r="AF30" i="54"/>
  <c r="AE30" i="54"/>
  <c r="AD30" i="54"/>
  <c r="AC30" i="54"/>
  <c r="AB30" i="54"/>
  <c r="AA30" i="54"/>
  <c r="Z30" i="54"/>
  <c r="Y30" i="54"/>
  <c r="X30" i="54"/>
  <c r="W30" i="54"/>
  <c r="V30" i="54"/>
  <c r="B30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B29" i="54"/>
  <c r="AQ28" i="54"/>
  <c r="AP28" i="54"/>
  <c r="AO28" i="54"/>
  <c r="AN28" i="54"/>
  <c r="AM28" i="54"/>
  <c r="AL28" i="54"/>
  <c r="AK28" i="54"/>
  <c r="AJ28" i="54"/>
  <c r="AI28" i="54"/>
  <c r="AH28" i="54"/>
  <c r="AG28" i="54"/>
  <c r="AF28" i="54"/>
  <c r="AE28" i="54"/>
  <c r="AD28" i="54"/>
  <c r="AC28" i="54"/>
  <c r="AB28" i="54"/>
  <c r="AA28" i="54"/>
  <c r="Z28" i="54"/>
  <c r="Y28" i="54"/>
  <c r="X28" i="54"/>
  <c r="W28" i="54"/>
  <c r="V28" i="54"/>
  <c r="B28" i="54"/>
  <c r="AQ27" i="54"/>
  <c r="AP27" i="54"/>
  <c r="AO27" i="54"/>
  <c r="AN27" i="54"/>
  <c r="AM27" i="54"/>
  <c r="AL27" i="54"/>
  <c r="AK27" i="54"/>
  <c r="AJ27" i="54"/>
  <c r="AI27" i="54"/>
  <c r="AH27" i="54"/>
  <c r="AG27" i="54"/>
  <c r="AF27" i="54"/>
  <c r="AE27" i="54"/>
  <c r="AD27" i="54"/>
  <c r="AC27" i="54"/>
  <c r="AB27" i="54"/>
  <c r="AA27" i="54"/>
  <c r="Z27" i="54"/>
  <c r="Y27" i="54"/>
  <c r="X27" i="54"/>
  <c r="W27" i="54"/>
  <c r="V27" i="54"/>
  <c r="B27" i="54"/>
  <c r="AQ26" i="54"/>
  <c r="AP26" i="54"/>
  <c r="AO26" i="54"/>
  <c r="AN26" i="54"/>
  <c r="AM26" i="54"/>
  <c r="AL26" i="54"/>
  <c r="AK26" i="54"/>
  <c r="AJ26" i="54"/>
  <c r="AI26" i="54"/>
  <c r="AH26" i="54"/>
  <c r="AG26" i="54"/>
  <c r="AF26" i="54"/>
  <c r="AE26" i="54"/>
  <c r="AD26" i="54"/>
  <c r="AC26" i="54"/>
  <c r="AB26" i="54"/>
  <c r="AA26" i="54"/>
  <c r="Z26" i="54"/>
  <c r="Y26" i="54"/>
  <c r="X26" i="54"/>
  <c r="W26" i="54"/>
  <c r="V26" i="54"/>
  <c r="B26" i="54"/>
  <c r="AQ25" i="54"/>
  <c r="AP25" i="54"/>
  <c r="AO25" i="54"/>
  <c r="AN25" i="54"/>
  <c r="AM25" i="54"/>
  <c r="AL25" i="54"/>
  <c r="AK25" i="54"/>
  <c r="AJ25" i="54"/>
  <c r="AI25" i="54"/>
  <c r="AH25" i="54"/>
  <c r="AG25" i="54"/>
  <c r="AF25" i="54"/>
  <c r="AE25" i="54"/>
  <c r="AD25" i="54"/>
  <c r="AC25" i="54"/>
  <c r="AB25" i="54"/>
  <c r="AA25" i="54"/>
  <c r="Z25" i="54"/>
  <c r="Y25" i="54"/>
  <c r="X25" i="54"/>
  <c r="W25" i="54"/>
  <c r="V25" i="54"/>
  <c r="B25" i="54"/>
  <c r="AQ24" i="54"/>
  <c r="AP24" i="54"/>
  <c r="AO24" i="54"/>
  <c r="AN24" i="54"/>
  <c r="AM24" i="54"/>
  <c r="AL24" i="54"/>
  <c r="AK24" i="54"/>
  <c r="AJ24" i="54"/>
  <c r="AI24" i="54"/>
  <c r="AH24" i="54"/>
  <c r="AG24" i="54"/>
  <c r="AF24" i="54"/>
  <c r="AE24" i="54"/>
  <c r="AD24" i="54"/>
  <c r="AC24" i="54"/>
  <c r="AB24" i="54"/>
  <c r="AA24" i="54"/>
  <c r="Z24" i="54"/>
  <c r="Y24" i="54"/>
  <c r="X24" i="54"/>
  <c r="W24" i="54"/>
  <c r="V24" i="54"/>
  <c r="B24" i="54"/>
  <c r="AQ23" i="54"/>
  <c r="AP23" i="54"/>
  <c r="AO23" i="54"/>
  <c r="AN23" i="54"/>
  <c r="AM23" i="54"/>
  <c r="AL23" i="54"/>
  <c r="AK23" i="54"/>
  <c r="AJ23" i="54"/>
  <c r="AI23" i="54"/>
  <c r="AH23" i="54"/>
  <c r="AG23" i="54"/>
  <c r="AF23" i="54"/>
  <c r="AE23" i="54"/>
  <c r="AD23" i="54"/>
  <c r="AC23" i="54"/>
  <c r="AB23" i="54"/>
  <c r="AA23" i="54"/>
  <c r="Z23" i="54"/>
  <c r="Y23" i="54"/>
  <c r="X23" i="54"/>
  <c r="W23" i="54"/>
  <c r="V23" i="54"/>
  <c r="B23" i="54"/>
  <c r="AQ22" i="54"/>
  <c r="AP22" i="54"/>
  <c r="AO22" i="54"/>
  <c r="AN22" i="54"/>
  <c r="AM22" i="54"/>
  <c r="AL22" i="54"/>
  <c r="AK22" i="54"/>
  <c r="AJ22" i="54"/>
  <c r="AI22" i="54"/>
  <c r="AH22" i="54"/>
  <c r="AG22" i="54"/>
  <c r="AF22" i="54"/>
  <c r="AE22" i="54"/>
  <c r="AD22" i="54"/>
  <c r="AC22" i="54"/>
  <c r="AB22" i="54"/>
  <c r="AA22" i="54"/>
  <c r="Z22" i="54"/>
  <c r="Y22" i="54"/>
  <c r="X22" i="54"/>
  <c r="W22" i="54"/>
  <c r="V22" i="54"/>
  <c r="B22" i="54"/>
  <c r="AQ21" i="54"/>
  <c r="AP21" i="54"/>
  <c r="AO21" i="54"/>
  <c r="AN21" i="54"/>
  <c r="AM21" i="54"/>
  <c r="AL21" i="54"/>
  <c r="AK21" i="54"/>
  <c r="AJ21" i="54"/>
  <c r="AI21" i="54"/>
  <c r="AH21" i="54"/>
  <c r="AG21" i="54"/>
  <c r="AF21" i="54"/>
  <c r="AE21" i="54"/>
  <c r="AD21" i="54"/>
  <c r="AC21" i="54"/>
  <c r="AB21" i="54"/>
  <c r="AA21" i="54"/>
  <c r="Z21" i="54"/>
  <c r="Y21" i="54"/>
  <c r="X21" i="54"/>
  <c r="W21" i="54"/>
  <c r="V21" i="54"/>
  <c r="B21" i="54"/>
  <c r="AQ20" i="54"/>
  <c r="AP20" i="54"/>
  <c r="AO20" i="54"/>
  <c r="AN20" i="54"/>
  <c r="AM20" i="54"/>
  <c r="AL20" i="54"/>
  <c r="AK20" i="54"/>
  <c r="AJ20" i="54"/>
  <c r="AI20" i="54"/>
  <c r="AH20" i="54"/>
  <c r="AG20" i="54"/>
  <c r="AF20" i="54"/>
  <c r="AE20" i="54"/>
  <c r="AD20" i="54"/>
  <c r="AC20" i="54"/>
  <c r="AB20" i="54"/>
  <c r="AA20" i="54"/>
  <c r="Z20" i="54"/>
  <c r="Y20" i="54"/>
  <c r="X20" i="54"/>
  <c r="W20" i="54"/>
  <c r="V20" i="54"/>
  <c r="B20" i="54"/>
  <c r="AQ19" i="54"/>
  <c r="AP19" i="54"/>
  <c r="AO19" i="54"/>
  <c r="AN19" i="54"/>
  <c r="AM19" i="54"/>
  <c r="AL19" i="54"/>
  <c r="AK19" i="54"/>
  <c r="AJ19" i="54"/>
  <c r="AI19" i="54"/>
  <c r="AH19" i="54"/>
  <c r="AG19" i="54"/>
  <c r="AF19" i="54"/>
  <c r="AE19" i="54"/>
  <c r="AD19" i="54"/>
  <c r="AC19" i="54"/>
  <c r="AB19" i="54"/>
  <c r="AA19" i="54"/>
  <c r="Z19" i="54"/>
  <c r="Y19" i="54"/>
  <c r="X19" i="54"/>
  <c r="W19" i="54"/>
  <c r="V19" i="54"/>
  <c r="B19" i="54"/>
  <c r="AQ18" i="54"/>
  <c r="AP18" i="54"/>
  <c r="AO18" i="54"/>
  <c r="AN18" i="54"/>
  <c r="AM18" i="54"/>
  <c r="AL18" i="54"/>
  <c r="AK18" i="54"/>
  <c r="AJ18" i="54"/>
  <c r="AI18" i="54"/>
  <c r="AH18" i="54"/>
  <c r="AG18" i="54"/>
  <c r="AF18" i="54"/>
  <c r="AE18" i="54"/>
  <c r="AD18" i="54"/>
  <c r="AC18" i="54"/>
  <c r="AB18" i="54"/>
  <c r="AA18" i="54"/>
  <c r="Z18" i="54"/>
  <c r="Y18" i="54"/>
  <c r="X18" i="54"/>
  <c r="W18" i="54"/>
  <c r="V18" i="54"/>
  <c r="B18" i="54"/>
  <c r="AQ17" i="54"/>
  <c r="AP17" i="54"/>
  <c r="AO17" i="54"/>
  <c r="AN17" i="54"/>
  <c r="AM17" i="54"/>
  <c r="AL17" i="54"/>
  <c r="AK17" i="54"/>
  <c r="AJ17" i="54"/>
  <c r="AI17" i="54"/>
  <c r="AH17" i="54"/>
  <c r="AG17" i="54"/>
  <c r="AF17" i="54"/>
  <c r="AE17" i="54"/>
  <c r="AD17" i="54"/>
  <c r="AC17" i="54"/>
  <c r="AB17" i="54"/>
  <c r="AA17" i="54"/>
  <c r="Z17" i="54"/>
  <c r="Y17" i="54"/>
  <c r="X17" i="54"/>
  <c r="W17" i="54"/>
  <c r="V17" i="54"/>
  <c r="B17" i="54"/>
  <c r="AQ16" i="54"/>
  <c r="AP16" i="54"/>
  <c r="AO16" i="54"/>
  <c r="AN16" i="54"/>
  <c r="AM16" i="54"/>
  <c r="AL16" i="54"/>
  <c r="AK16" i="54"/>
  <c r="AJ16" i="54"/>
  <c r="AI16" i="54"/>
  <c r="AH16" i="54"/>
  <c r="AG16" i="54"/>
  <c r="AF16" i="54"/>
  <c r="AE16" i="54"/>
  <c r="AD16" i="54"/>
  <c r="AC16" i="54"/>
  <c r="AB16" i="54"/>
  <c r="AA16" i="54"/>
  <c r="Z16" i="54"/>
  <c r="Y16" i="54"/>
  <c r="X16" i="54"/>
  <c r="W16" i="54"/>
  <c r="V16" i="54"/>
  <c r="B16" i="54"/>
  <c r="AQ15" i="54"/>
  <c r="AP15" i="54"/>
  <c r="AO15" i="54"/>
  <c r="AN15" i="54"/>
  <c r="AM15" i="54"/>
  <c r="AL15" i="54"/>
  <c r="AK15" i="54"/>
  <c r="AJ15" i="54"/>
  <c r="AI15" i="54"/>
  <c r="AH15" i="54"/>
  <c r="AG15" i="54"/>
  <c r="AF15" i="54"/>
  <c r="AE15" i="54"/>
  <c r="AD15" i="54"/>
  <c r="AC15" i="54"/>
  <c r="AB15" i="54"/>
  <c r="AA15" i="54"/>
  <c r="Z15" i="54"/>
  <c r="Y15" i="54"/>
  <c r="X15" i="54"/>
  <c r="W15" i="54"/>
  <c r="V15" i="54"/>
  <c r="B15" i="54"/>
  <c r="AQ14" i="54"/>
  <c r="AP14" i="54"/>
  <c r="AO14" i="54"/>
  <c r="AN14" i="54"/>
  <c r="AM14" i="54"/>
  <c r="AL14" i="54"/>
  <c r="AK14" i="54"/>
  <c r="AJ14" i="54"/>
  <c r="AI14" i="54"/>
  <c r="AH14" i="54"/>
  <c r="AG14" i="54"/>
  <c r="AF14" i="54"/>
  <c r="AE14" i="54"/>
  <c r="AD14" i="54"/>
  <c r="AC14" i="54"/>
  <c r="AB14" i="54"/>
  <c r="AA14" i="54"/>
  <c r="Z14" i="54"/>
  <c r="Y14" i="54"/>
  <c r="X14" i="54"/>
  <c r="W14" i="54"/>
  <c r="V14" i="54"/>
  <c r="B14" i="54"/>
  <c r="AQ13" i="54"/>
  <c r="AP13" i="54"/>
  <c r="AO13" i="54"/>
  <c r="AN13" i="54"/>
  <c r="AM13" i="54"/>
  <c r="AL13" i="54"/>
  <c r="AK13" i="54"/>
  <c r="AJ13" i="54"/>
  <c r="AI13" i="54"/>
  <c r="AH13" i="54"/>
  <c r="AG13" i="54"/>
  <c r="AF13" i="54"/>
  <c r="AE13" i="54"/>
  <c r="AD13" i="54"/>
  <c r="AC13" i="54"/>
  <c r="AB13" i="54"/>
  <c r="AA13" i="54"/>
  <c r="Z13" i="54"/>
  <c r="Y13" i="54"/>
  <c r="X13" i="54"/>
  <c r="W13" i="54"/>
  <c r="V13" i="54"/>
  <c r="I13" i="54"/>
  <c r="J13" i="54" s="1"/>
  <c r="BO13" i="54" s="1"/>
  <c r="D13" i="54"/>
  <c r="E13" i="54" s="1"/>
  <c r="B13" i="54"/>
  <c r="L13" i="54" s="1"/>
  <c r="M13" i="54" s="1"/>
  <c r="AQ12" i="54"/>
  <c r="AP12" i="54"/>
  <c r="AO12" i="54"/>
  <c r="AN12" i="54"/>
  <c r="AM12" i="54"/>
  <c r="AL12" i="54"/>
  <c r="AK12" i="54"/>
  <c r="AJ12" i="54"/>
  <c r="AI12" i="54"/>
  <c r="AH12" i="54"/>
  <c r="AG12" i="54"/>
  <c r="AF12" i="54"/>
  <c r="AE12" i="54"/>
  <c r="AD12" i="54"/>
  <c r="AC12" i="54"/>
  <c r="AB12" i="54"/>
  <c r="AA12" i="54"/>
  <c r="Z12" i="54"/>
  <c r="Y12" i="54"/>
  <c r="X12" i="54"/>
  <c r="W12" i="54"/>
  <c r="V12" i="54"/>
  <c r="B12" i="54"/>
  <c r="I12" i="54" s="1"/>
  <c r="J12" i="54" s="1"/>
  <c r="AQ11" i="54"/>
  <c r="AP11" i="54"/>
  <c r="AO11" i="54"/>
  <c r="AN11" i="54"/>
  <c r="AM11" i="54"/>
  <c r="AL11" i="54"/>
  <c r="AK11" i="54"/>
  <c r="AJ11" i="54"/>
  <c r="AI11" i="54"/>
  <c r="AH11" i="54"/>
  <c r="AG11" i="54"/>
  <c r="AF11" i="54"/>
  <c r="AE11" i="54"/>
  <c r="AD11" i="54"/>
  <c r="AC11" i="54"/>
  <c r="AB11" i="54"/>
  <c r="AA11" i="54"/>
  <c r="Z11" i="54"/>
  <c r="Y11" i="54"/>
  <c r="X11" i="54"/>
  <c r="W11" i="54"/>
  <c r="V11" i="54"/>
  <c r="L11" i="54"/>
  <c r="M11" i="54" s="1"/>
  <c r="I11" i="54"/>
  <c r="J11" i="54" s="1"/>
  <c r="D11" i="54"/>
  <c r="E11" i="54" s="1"/>
  <c r="B11" i="54"/>
  <c r="AQ10" i="54"/>
  <c r="AP10" i="54"/>
  <c r="AO10" i="54"/>
  <c r="AN10" i="54"/>
  <c r="AM10" i="54"/>
  <c r="AL10" i="54"/>
  <c r="AK10" i="54"/>
  <c r="AJ10" i="54"/>
  <c r="AI10" i="54"/>
  <c r="AH10" i="54"/>
  <c r="AG10" i="54"/>
  <c r="AF10" i="54"/>
  <c r="AE10" i="54"/>
  <c r="AD10" i="54"/>
  <c r="AC10" i="54"/>
  <c r="AB10" i="54"/>
  <c r="AA10" i="54"/>
  <c r="Z10" i="54"/>
  <c r="Y10" i="54"/>
  <c r="X10" i="54"/>
  <c r="W10" i="54"/>
  <c r="V10" i="54"/>
  <c r="B10" i="54"/>
  <c r="I10" i="54" s="1"/>
  <c r="J10" i="54" s="1"/>
  <c r="AQ9" i="54"/>
  <c r="AP9" i="54"/>
  <c r="AO9" i="54"/>
  <c r="AN9" i="54"/>
  <c r="AM9" i="54"/>
  <c r="AL9" i="54"/>
  <c r="AK9" i="54"/>
  <c r="AJ9" i="54"/>
  <c r="AI9" i="54"/>
  <c r="AH9" i="54"/>
  <c r="AG9" i="54"/>
  <c r="AF9" i="54"/>
  <c r="AE9" i="54"/>
  <c r="AD9" i="54"/>
  <c r="AC9" i="54"/>
  <c r="AB9" i="54"/>
  <c r="AA9" i="54"/>
  <c r="Z9" i="54"/>
  <c r="Y9" i="54"/>
  <c r="X9" i="54"/>
  <c r="W9" i="54"/>
  <c r="V9" i="54"/>
  <c r="L9" i="54"/>
  <c r="M9" i="54" s="1"/>
  <c r="D9" i="54"/>
  <c r="E9" i="54" s="1"/>
  <c r="B9" i="54"/>
  <c r="I9" i="54" s="1"/>
  <c r="J9" i="54" s="1"/>
  <c r="AQ8" i="54"/>
  <c r="AP8" i="54"/>
  <c r="AO8" i="54"/>
  <c r="AN8" i="54"/>
  <c r="AM8" i="54"/>
  <c r="AL8" i="54"/>
  <c r="AK8" i="54"/>
  <c r="AJ8" i="54"/>
  <c r="AI8" i="54"/>
  <c r="AH8" i="54"/>
  <c r="AG8" i="54"/>
  <c r="AF8" i="54"/>
  <c r="AE8" i="54"/>
  <c r="AD8" i="54"/>
  <c r="AC8" i="54"/>
  <c r="AB8" i="54"/>
  <c r="AA8" i="54"/>
  <c r="Z8" i="54"/>
  <c r="Y8" i="54"/>
  <c r="X8" i="54"/>
  <c r="W8" i="54"/>
  <c r="V8" i="54"/>
  <c r="B8" i="54"/>
  <c r="L8" i="54" s="1"/>
  <c r="M8" i="54" s="1"/>
  <c r="AQ7" i="54"/>
  <c r="AP7" i="54"/>
  <c r="AO7" i="54"/>
  <c r="AN7" i="54"/>
  <c r="AM7" i="54"/>
  <c r="AL7" i="54"/>
  <c r="AK7" i="54"/>
  <c r="AJ7" i="54"/>
  <c r="AI7" i="54"/>
  <c r="AH7" i="54"/>
  <c r="AG7" i="54"/>
  <c r="AF7" i="54"/>
  <c r="AE7" i="54"/>
  <c r="AD7" i="54"/>
  <c r="AC7" i="54"/>
  <c r="AB7" i="54"/>
  <c r="AA7" i="54"/>
  <c r="Z7" i="54"/>
  <c r="Y7" i="54"/>
  <c r="X7" i="54"/>
  <c r="W7" i="54"/>
  <c r="V7" i="54"/>
  <c r="L7" i="54"/>
  <c r="M7" i="54" s="1"/>
  <c r="B7" i="54"/>
  <c r="I7" i="54" s="1"/>
  <c r="J7" i="54" s="1"/>
  <c r="AQ6" i="54"/>
  <c r="AP6" i="54"/>
  <c r="AO6" i="54"/>
  <c r="AN6" i="54"/>
  <c r="AM6" i="54"/>
  <c r="AL6" i="54"/>
  <c r="AK6" i="54"/>
  <c r="AJ6" i="54"/>
  <c r="AI6" i="54"/>
  <c r="AH6" i="54"/>
  <c r="AG6" i="54"/>
  <c r="AF6" i="54"/>
  <c r="AE6" i="54"/>
  <c r="AD6" i="54"/>
  <c r="AC6" i="54"/>
  <c r="AB6" i="54"/>
  <c r="AA6" i="54"/>
  <c r="Z6" i="54"/>
  <c r="Y6" i="54"/>
  <c r="X6" i="54"/>
  <c r="W6" i="54"/>
  <c r="V6" i="54"/>
  <c r="B6" i="54"/>
  <c r="I6" i="54" s="1"/>
  <c r="J6" i="54" s="1"/>
  <c r="AQ5" i="54"/>
  <c r="AP5" i="54"/>
  <c r="AO5" i="54"/>
  <c r="AN5" i="54"/>
  <c r="AM5" i="54"/>
  <c r="AL5" i="54"/>
  <c r="AK5" i="54"/>
  <c r="AJ5" i="54"/>
  <c r="AI5" i="54"/>
  <c r="AH5" i="54"/>
  <c r="AG5" i="54"/>
  <c r="AF5" i="54"/>
  <c r="AE5" i="54"/>
  <c r="AD5" i="54"/>
  <c r="AC5" i="54"/>
  <c r="AB5" i="54"/>
  <c r="AA5" i="54"/>
  <c r="Z5" i="54"/>
  <c r="Y5" i="54"/>
  <c r="X5" i="54"/>
  <c r="W5" i="54"/>
  <c r="V5" i="54"/>
  <c r="B5" i="54"/>
  <c r="L5" i="54" s="1"/>
  <c r="M5" i="54" s="1"/>
  <c r="AQ4" i="54"/>
  <c r="AP4" i="54"/>
  <c r="AO4" i="54"/>
  <c r="AN4" i="54"/>
  <c r="AM4" i="54"/>
  <c r="AL4" i="54"/>
  <c r="AK4" i="54"/>
  <c r="AJ4" i="54"/>
  <c r="AI4" i="54"/>
  <c r="AH4" i="54"/>
  <c r="AG4" i="54"/>
  <c r="AF4" i="54"/>
  <c r="AE4" i="54"/>
  <c r="AD4" i="54"/>
  <c r="AC4" i="54"/>
  <c r="AB4" i="54"/>
  <c r="AA4" i="54"/>
  <c r="Z4" i="54"/>
  <c r="Y4" i="54"/>
  <c r="X4" i="54"/>
  <c r="W4" i="54"/>
  <c r="V4" i="54"/>
  <c r="B4" i="54"/>
  <c r="L4" i="54" s="1"/>
  <c r="M4" i="54" s="1"/>
  <c r="BG3" i="54"/>
  <c r="BG4" i="54" s="1"/>
  <c r="BG5" i="54" s="1"/>
  <c r="BG6" i="54" s="1"/>
  <c r="BG7" i="54" s="1"/>
  <c r="BG8" i="54" s="1"/>
  <c r="BG9" i="54" s="1"/>
  <c r="BG10" i="54" s="1"/>
  <c r="BG11" i="54" s="1"/>
  <c r="BG12" i="54" s="1"/>
  <c r="BG13" i="54" s="1"/>
  <c r="BG14" i="54" s="1"/>
  <c r="BG15" i="54" s="1"/>
  <c r="BG16" i="54" s="1"/>
  <c r="BG17" i="54" s="1"/>
  <c r="BG18" i="54" s="1"/>
  <c r="BG19" i="54" s="1"/>
  <c r="BG20" i="54" s="1"/>
  <c r="BG21" i="54" s="1"/>
  <c r="BG22" i="54" s="1"/>
  <c r="BG23" i="54" s="1"/>
  <c r="BG24" i="54" s="1"/>
  <c r="BG25" i="54" s="1"/>
  <c r="BG26" i="54" s="1"/>
  <c r="BG27" i="54" s="1"/>
  <c r="BG28" i="54" s="1"/>
  <c r="BG29" i="54" s="1"/>
  <c r="BG30" i="54" s="1"/>
  <c r="BG31" i="54" s="1"/>
  <c r="BG32" i="54" s="1"/>
  <c r="BG33" i="54" s="1"/>
  <c r="BG34" i="54" s="1"/>
  <c r="BG35" i="54" s="1"/>
  <c r="BG36" i="54" s="1"/>
  <c r="BG37" i="54" s="1"/>
  <c r="BG38" i="54" s="1"/>
  <c r="BG39" i="54" s="1"/>
  <c r="BG40" i="54" s="1"/>
  <c r="BG41" i="54" s="1"/>
  <c r="BG42" i="54" s="1"/>
  <c r="BG43" i="54" s="1"/>
  <c r="BG44" i="54" s="1"/>
  <c r="BG45" i="54" s="1"/>
  <c r="BG46" i="54" s="1"/>
  <c r="BG47" i="54" s="1"/>
  <c r="BG48" i="54" s="1"/>
  <c r="BG49" i="54" s="1"/>
  <c r="BG50" i="54" s="1"/>
  <c r="BG51" i="54" s="1"/>
  <c r="BG52" i="54" s="1"/>
  <c r="BG53" i="54" s="1"/>
  <c r="BG54" i="54" s="1"/>
  <c r="BG55" i="54" s="1"/>
  <c r="BG56" i="54" s="1"/>
  <c r="BG57" i="54" s="1"/>
  <c r="BG58" i="54" s="1"/>
  <c r="BG59" i="54" s="1"/>
  <c r="BG60" i="54" s="1"/>
  <c r="BG61" i="54" s="1"/>
  <c r="BG62" i="54" s="1"/>
  <c r="BG63" i="54" s="1"/>
  <c r="BG64" i="54" s="1"/>
  <c r="BG65" i="54" s="1"/>
  <c r="BG66" i="54" s="1"/>
  <c r="BG67" i="54" s="1"/>
  <c r="BG68" i="54" s="1"/>
  <c r="BG69" i="54" s="1"/>
  <c r="BG70" i="54" s="1"/>
  <c r="BG71" i="54" s="1"/>
  <c r="BG72" i="54" s="1"/>
  <c r="BG73" i="54" s="1"/>
  <c r="BG74" i="54" s="1"/>
  <c r="BG75" i="54" s="1"/>
  <c r="BG76" i="54" s="1"/>
  <c r="BG77" i="54" s="1"/>
  <c r="BG78" i="54" s="1"/>
  <c r="BG79" i="54" s="1"/>
  <c r="BG80" i="54" s="1"/>
  <c r="BG81" i="54" s="1"/>
  <c r="BG82" i="54" s="1"/>
  <c r="BG83" i="54" s="1"/>
  <c r="BG84" i="54" s="1"/>
  <c r="BG85" i="54" s="1"/>
  <c r="BG86" i="54" s="1"/>
  <c r="BG87" i="54" s="1"/>
  <c r="BG88" i="54" s="1"/>
  <c r="BG89" i="54" s="1"/>
  <c r="BG90" i="54" s="1"/>
  <c r="BG91" i="54" s="1"/>
  <c r="BG92" i="54" s="1"/>
  <c r="BG93" i="54" s="1"/>
  <c r="BG94" i="54" s="1"/>
  <c r="BG95" i="54" s="1"/>
  <c r="BG96" i="54" s="1"/>
  <c r="BG97" i="54" s="1"/>
  <c r="BG98" i="54" s="1"/>
  <c r="BG99" i="54" s="1"/>
  <c r="BG100" i="54" s="1"/>
  <c r="BG101" i="54" s="1"/>
  <c r="BG102" i="54" s="1"/>
  <c r="BG103" i="54" s="1"/>
  <c r="BG104" i="54" s="1"/>
  <c r="BG105" i="54" s="1"/>
  <c r="BG106" i="54" s="1"/>
  <c r="BG107" i="54" s="1"/>
  <c r="BG108" i="54" s="1"/>
  <c r="BG109" i="54" s="1"/>
  <c r="BG110" i="54" s="1"/>
  <c r="BG111" i="54" s="1"/>
  <c r="BG112" i="54" s="1"/>
  <c r="BG113" i="54" s="1"/>
  <c r="BG114" i="54" s="1"/>
  <c r="BG115" i="54" s="1"/>
  <c r="BG116" i="54" s="1"/>
  <c r="BG117" i="54" s="1"/>
  <c r="BG118" i="54" s="1"/>
  <c r="BG119" i="54" s="1"/>
  <c r="BG120" i="54" s="1"/>
  <c r="BG121" i="54" s="1"/>
  <c r="AQ3" i="54"/>
  <c r="AP3" i="54"/>
  <c r="AO3" i="54"/>
  <c r="AN3" i="54"/>
  <c r="AM3" i="54"/>
  <c r="AL3" i="54"/>
  <c r="AK3" i="54"/>
  <c r="AJ3" i="54"/>
  <c r="AI3" i="54"/>
  <c r="AH3" i="54"/>
  <c r="AG3" i="54"/>
  <c r="AF3" i="54"/>
  <c r="AE3" i="54"/>
  <c r="AD3" i="54"/>
  <c r="AC3" i="54"/>
  <c r="AB3" i="54"/>
  <c r="AA3" i="54"/>
  <c r="Z3" i="54"/>
  <c r="Y3" i="54"/>
  <c r="X3" i="54"/>
  <c r="W3" i="54"/>
  <c r="V3" i="54"/>
  <c r="I3" i="54"/>
  <c r="J3" i="54" s="1"/>
  <c r="D3" i="54"/>
  <c r="E3" i="54" s="1"/>
  <c r="B3" i="54"/>
  <c r="L3" i="54" s="1"/>
  <c r="M3" i="54" s="1"/>
  <c r="AQ2" i="54"/>
  <c r="AP2" i="54"/>
  <c r="AO2" i="54"/>
  <c r="AN2" i="54"/>
  <c r="AM2" i="54"/>
  <c r="AL2" i="54"/>
  <c r="AK2" i="54"/>
  <c r="AJ2" i="54"/>
  <c r="AI2" i="54"/>
  <c r="AH2" i="54"/>
  <c r="AG2" i="54"/>
  <c r="AF2" i="54"/>
  <c r="AE2" i="54"/>
  <c r="AD2" i="54"/>
  <c r="AC2" i="54"/>
  <c r="AB2" i="54"/>
  <c r="AA2" i="54"/>
  <c r="Z2" i="54"/>
  <c r="Y2" i="54"/>
  <c r="X2" i="54"/>
  <c r="W2" i="54"/>
  <c r="V2" i="54"/>
  <c r="B2" i="54"/>
  <c r="L2" i="54" s="1"/>
  <c r="M2" i="54" s="1"/>
  <c r="AQ1" i="54"/>
  <c r="AP1" i="54"/>
  <c r="AO1" i="54"/>
  <c r="AN1" i="54"/>
  <c r="AM1" i="54"/>
  <c r="AL1" i="54"/>
  <c r="AK1" i="54"/>
  <c r="AJ1" i="54"/>
  <c r="AI1" i="54"/>
  <c r="AH1" i="54"/>
  <c r="AG1" i="54"/>
  <c r="AF1" i="54"/>
  <c r="AE1" i="54"/>
  <c r="AD1" i="54"/>
  <c r="AC1" i="54"/>
  <c r="AB1" i="54"/>
  <c r="AA1" i="54"/>
  <c r="Z1" i="54"/>
  <c r="Y1" i="54"/>
  <c r="X1" i="54"/>
  <c r="W1" i="54"/>
  <c r="V1" i="54"/>
  <c r="D125" i="54" l="1"/>
  <c r="E125" i="54" s="1"/>
  <c r="D125" i="58" s="1"/>
  <c r="D122" i="54"/>
  <c r="E122" i="54" s="1"/>
  <c r="D126" i="54"/>
  <c r="E126" i="54" s="1"/>
  <c r="D126" i="58" s="1"/>
  <c r="D123" i="54"/>
  <c r="E123" i="54" s="1"/>
  <c r="D127" i="54"/>
  <c r="E127" i="54" s="1"/>
  <c r="D127" i="58" s="1"/>
  <c r="D124" i="54"/>
  <c r="E124" i="54" s="1"/>
  <c r="D125" i="38"/>
  <c r="D5" i="54"/>
  <c r="E5" i="54" s="1"/>
  <c r="BL5" i="54" s="1"/>
  <c r="I2" i="54"/>
  <c r="J2" i="54" s="1"/>
  <c r="BO2" i="54" s="1"/>
  <c r="I5" i="54"/>
  <c r="J5" i="54" s="1"/>
  <c r="BO5" i="54" s="1"/>
  <c r="D7" i="54"/>
  <c r="E7" i="54" s="1"/>
  <c r="BJ7" i="54" s="1"/>
  <c r="BK7" i="54" s="1"/>
  <c r="D2" i="54"/>
  <c r="E2" i="54" s="1"/>
  <c r="BL2" i="54" s="1"/>
  <c r="BS7" i="54"/>
  <c r="BT7" i="54"/>
  <c r="BP7" i="54"/>
  <c r="BT9" i="54"/>
  <c r="BP9" i="54"/>
  <c r="BS9" i="54"/>
  <c r="BO11" i="54"/>
  <c r="BM11" i="54"/>
  <c r="BN11" i="54" s="1"/>
  <c r="BM12" i="54"/>
  <c r="BN12" i="54" s="1"/>
  <c r="BO12" i="54"/>
  <c r="BS3" i="54"/>
  <c r="BT3" i="54"/>
  <c r="BP3" i="54"/>
  <c r="BT4" i="54"/>
  <c r="BP4" i="54"/>
  <c r="BS4" i="54"/>
  <c r="BT11" i="54"/>
  <c r="BP11" i="54"/>
  <c r="BS11" i="54"/>
  <c r="BO3" i="54"/>
  <c r="BM3" i="54"/>
  <c r="BN3" i="54" s="1"/>
  <c r="BM5" i="54"/>
  <c r="BN5" i="54" s="1"/>
  <c r="BO6" i="54"/>
  <c r="BM6" i="54"/>
  <c r="BN6" i="54" s="1"/>
  <c r="BM9" i="54"/>
  <c r="BN9" i="54" s="1"/>
  <c r="BO9" i="54"/>
  <c r="BT2" i="54"/>
  <c r="BP2" i="54"/>
  <c r="BS2" i="54"/>
  <c r="BJ3" i="54"/>
  <c r="BK3" i="54" s="1"/>
  <c r="BL3" i="54"/>
  <c r="BT5" i="54"/>
  <c r="BP5" i="54"/>
  <c r="BS5" i="54"/>
  <c r="BO7" i="54"/>
  <c r="BM7" i="54"/>
  <c r="BN7" i="54" s="1"/>
  <c r="BT8" i="54"/>
  <c r="BP8" i="54"/>
  <c r="BS8" i="54"/>
  <c r="BL9" i="54"/>
  <c r="BJ9" i="54"/>
  <c r="BK9" i="54" s="1"/>
  <c r="BO10" i="54"/>
  <c r="BM10" i="54"/>
  <c r="BN10" i="54" s="1"/>
  <c r="BL11" i="54"/>
  <c r="BJ11" i="54"/>
  <c r="BK11" i="54" s="1"/>
  <c r="I4" i="54"/>
  <c r="J4" i="54" s="1"/>
  <c r="D6" i="54"/>
  <c r="E6" i="54" s="1"/>
  <c r="L6" i="54"/>
  <c r="M6" i="54" s="1"/>
  <c r="I8" i="54"/>
  <c r="J8" i="54" s="1"/>
  <c r="D10" i="54"/>
  <c r="E10" i="54" s="1"/>
  <c r="L10" i="54"/>
  <c r="M10" i="54" s="1"/>
  <c r="BM13" i="54"/>
  <c r="BN13" i="54" s="1"/>
  <c r="BL13" i="54"/>
  <c r="BJ13" i="54"/>
  <c r="BK13" i="54" s="1"/>
  <c r="D4" i="54"/>
  <c r="E4" i="54" s="1"/>
  <c r="D8" i="54"/>
  <c r="E8" i="54" s="1"/>
  <c r="L12" i="54"/>
  <c r="M12" i="54" s="1"/>
  <c r="D12" i="54"/>
  <c r="E12" i="54" s="1"/>
  <c r="BT13" i="54"/>
  <c r="BP13" i="54"/>
  <c r="BS13" i="54"/>
  <c r="Q39" i="2"/>
  <c r="Q40" i="2"/>
  <c r="R40" i="2" s="1"/>
  <c r="Q41" i="2"/>
  <c r="R41" i="2" s="1"/>
  <c r="Q42" i="2"/>
  <c r="Q38" i="2"/>
  <c r="BL125" i="54" l="1"/>
  <c r="BL7" i="54"/>
  <c r="D126" i="38"/>
  <c r="D123" i="38"/>
  <c r="D123" i="58"/>
  <c r="BJ125" i="54"/>
  <c r="BK125" i="54" s="1"/>
  <c r="D124" i="38"/>
  <c r="D124" i="58"/>
  <c r="BJ122" i="54"/>
  <c r="BK122" i="54" s="1"/>
  <c r="D122" i="58"/>
  <c r="BJ123" i="54"/>
  <c r="BK123" i="54" s="1"/>
  <c r="BJ5" i="54"/>
  <c r="BK5" i="54" s="1"/>
  <c r="BJ124" i="54"/>
  <c r="BK124" i="54" s="1"/>
  <c r="BL123" i="54"/>
  <c r="BL122" i="54"/>
  <c r="BM2" i="54"/>
  <c r="BN2" i="54" s="1"/>
  <c r="BL126" i="54"/>
  <c r="BL124" i="54"/>
  <c r="BJ126" i="54"/>
  <c r="BK126" i="54" s="1"/>
  <c r="D122" i="38"/>
  <c r="D127" i="38"/>
  <c r="BL127" i="54"/>
  <c r="BJ127" i="54"/>
  <c r="BK127" i="54" s="1"/>
  <c r="BJ2" i="54"/>
  <c r="BK2" i="54" s="1"/>
  <c r="R39" i="2"/>
  <c r="K136" i="2" s="1"/>
  <c r="H124" i="60" s="1"/>
  <c r="O124" i="60" s="1"/>
  <c r="S41" i="2"/>
  <c r="R42" i="2"/>
  <c r="S42" i="2"/>
  <c r="Q44" i="2" a="1"/>
  <c r="Q44" i="2" s="1"/>
  <c r="BT10" i="54"/>
  <c r="BP10" i="54"/>
  <c r="BS10" i="54"/>
  <c r="BL6" i="54"/>
  <c r="BJ6" i="54"/>
  <c r="BK6" i="54" s="1"/>
  <c r="BL10" i="54"/>
  <c r="BJ10" i="54"/>
  <c r="BK10" i="54" s="1"/>
  <c r="BM4" i="54"/>
  <c r="BN4" i="54" s="1"/>
  <c r="BO4" i="54"/>
  <c r="BR8" i="54"/>
  <c r="BQ8" i="54"/>
  <c r="BR3" i="54"/>
  <c r="BQ3" i="54"/>
  <c r="BR7" i="54"/>
  <c r="BQ7" i="54"/>
  <c r="BR13" i="54"/>
  <c r="BQ13" i="54"/>
  <c r="BJ4" i="54"/>
  <c r="BK4" i="54" s="1"/>
  <c r="BL4" i="54"/>
  <c r="BL12" i="54"/>
  <c r="BJ12" i="54"/>
  <c r="BK12" i="54" s="1"/>
  <c r="BS12" i="54"/>
  <c r="BT12" i="54"/>
  <c r="BP12" i="54"/>
  <c r="BM8" i="54"/>
  <c r="BN8" i="54" s="1"/>
  <c r="BO8" i="54"/>
  <c r="BQ5" i="54"/>
  <c r="BR5" i="54"/>
  <c r="BQ11" i="54"/>
  <c r="BR11" i="54"/>
  <c r="BJ8" i="54"/>
  <c r="BK8" i="54" s="1"/>
  <c r="BL8" i="54"/>
  <c r="BT6" i="54"/>
  <c r="BP6" i="54"/>
  <c r="BS6" i="54"/>
  <c r="BR2" i="54"/>
  <c r="BQ2" i="54"/>
  <c r="BR4" i="54"/>
  <c r="BQ4" i="54"/>
  <c r="BQ9" i="54"/>
  <c r="BR9" i="54"/>
  <c r="R136" i="2" l="1"/>
  <c r="R135" i="2"/>
  <c r="K139" i="2"/>
  <c r="H127" i="60" s="1"/>
  <c r="O127" i="60" s="1"/>
  <c r="K137" i="2"/>
  <c r="H125" i="60" s="1"/>
  <c r="O125" i="60" s="1"/>
  <c r="K138" i="2"/>
  <c r="H126" i="60" s="1"/>
  <c r="O126" i="60" s="1"/>
  <c r="O141" i="2"/>
  <c r="O144" i="2" s="1"/>
  <c r="N143" i="2"/>
  <c r="M143" i="2"/>
  <c r="P143" i="2"/>
  <c r="L141" i="2"/>
  <c r="L144" i="2" s="1"/>
  <c r="M142" i="2"/>
  <c r="M145" i="2" s="1"/>
  <c r="L142" i="2"/>
  <c r="L145" i="2" s="1"/>
  <c r="O142" i="2"/>
  <c r="O145" i="2" s="1"/>
  <c r="L143" i="2"/>
  <c r="Q143" i="2"/>
  <c r="P142" i="2"/>
  <c r="P145" i="2" s="1"/>
  <c r="Q141" i="2"/>
  <c r="Q144" i="2" s="1"/>
  <c r="N142" i="2"/>
  <c r="N145" i="2" s="1"/>
  <c r="O143" i="2"/>
  <c r="N141" i="2"/>
  <c r="N144" i="2" s="1"/>
  <c r="M141" i="2"/>
  <c r="M144" i="2" s="1"/>
  <c r="P141" i="2"/>
  <c r="P144" i="2" s="1"/>
  <c r="Q142" i="2"/>
  <c r="Q145" i="2" s="1"/>
  <c r="S44" i="2" a="1"/>
  <c r="S44" i="2" s="1"/>
  <c r="K142" i="2"/>
  <c r="K141" i="2"/>
  <c r="K140" i="2"/>
  <c r="BR6" i="54"/>
  <c r="BQ6" i="54"/>
  <c r="BQ12" i="54"/>
  <c r="BR12" i="54"/>
  <c r="BR10" i="54"/>
  <c r="BQ10" i="54"/>
  <c r="K143" i="2" l="1"/>
  <c r="H131" i="60" s="1"/>
  <c r="O131" i="60" s="1"/>
  <c r="H128" i="60"/>
  <c r="O128" i="60" s="1"/>
  <c r="K144" i="2"/>
  <c r="H132" i="60" s="1"/>
  <c r="O132" i="60" s="1"/>
  <c r="H129" i="60"/>
  <c r="O129" i="60" s="1"/>
  <c r="R138" i="2"/>
  <c r="H123" i="59"/>
  <c r="O123" i="59" s="1"/>
  <c r="K145" i="2"/>
  <c r="H133" i="60" s="1"/>
  <c r="O133" i="60" s="1"/>
  <c r="H130" i="60"/>
  <c r="O130" i="60" s="1"/>
  <c r="H122" i="59"/>
  <c r="O122" i="59" s="1"/>
  <c r="R139" i="2"/>
  <c r="H124" i="59"/>
  <c r="O124" i="59" s="1"/>
  <c r="H124" i="34"/>
  <c r="H122" i="34"/>
  <c r="H123" i="34"/>
  <c r="L15" i="5"/>
  <c r="J16" i="5"/>
  <c r="H15" i="61"/>
  <c r="H16" i="61"/>
  <c r="Q16" i="61"/>
  <c r="Z16" i="61"/>
  <c r="Q15" i="61"/>
  <c r="Z15" i="61"/>
  <c r="R142" i="2" l="1"/>
  <c r="H127" i="59"/>
  <c r="O127" i="59" s="1"/>
  <c r="H125" i="59"/>
  <c r="O125" i="59" s="1"/>
  <c r="R141" i="2"/>
  <c r="H126" i="59"/>
  <c r="O126" i="59" s="1"/>
  <c r="H125" i="34"/>
  <c r="H126" i="34"/>
  <c r="H127" i="34"/>
  <c r="L123" i="54"/>
  <c r="M123" i="54" s="1"/>
  <c r="D123" i="60" s="1"/>
  <c r="L124" i="54"/>
  <c r="M124" i="54" s="1"/>
  <c r="D124" i="60" s="1"/>
  <c r="L127" i="54"/>
  <c r="M127" i="54" s="1"/>
  <c r="D127" i="60" s="1"/>
  <c r="L125" i="54"/>
  <c r="M125" i="54" s="1"/>
  <c r="D125" i="60" s="1"/>
  <c r="L122" i="54"/>
  <c r="M122" i="54" s="1"/>
  <c r="D122" i="60" s="1"/>
  <c r="L126" i="54"/>
  <c r="M126" i="54" s="1"/>
  <c r="D126" i="60" s="1"/>
  <c r="R143" i="2" l="1"/>
  <c r="H131" i="59" s="1"/>
  <c r="O131" i="59" s="1"/>
  <c r="H128" i="59"/>
  <c r="O128" i="59" s="1"/>
  <c r="R144" i="2"/>
  <c r="H132" i="59" s="1"/>
  <c r="O132" i="59" s="1"/>
  <c r="H129" i="59"/>
  <c r="O129" i="59" s="1"/>
  <c r="R145" i="2"/>
  <c r="H133" i="59" s="1"/>
  <c r="O133" i="59" s="1"/>
  <c r="H130" i="59"/>
  <c r="O130" i="59" s="1"/>
  <c r="D126" i="36"/>
  <c r="BT126" i="54"/>
  <c r="BP126" i="54"/>
  <c r="BS126" i="54"/>
  <c r="D124" i="36"/>
  <c r="BS124" i="54"/>
  <c r="BT124" i="54"/>
  <c r="BP124" i="54"/>
  <c r="H132" i="34"/>
  <c r="H129" i="34"/>
  <c r="D122" i="36"/>
  <c r="BS122" i="54"/>
  <c r="BT122" i="54"/>
  <c r="BP122" i="54"/>
  <c r="D123" i="36"/>
  <c r="BT123" i="54"/>
  <c r="BP123" i="54"/>
  <c r="BS123" i="54"/>
  <c r="D125" i="36"/>
  <c r="BP125" i="54"/>
  <c r="BT125" i="54"/>
  <c r="BS125" i="54"/>
  <c r="H128" i="34"/>
  <c r="H131" i="34"/>
  <c r="D127" i="36"/>
  <c r="BS127" i="54"/>
  <c r="BP127" i="54"/>
  <c r="BT127" i="54"/>
  <c r="H133" i="34"/>
  <c r="H130" i="34"/>
  <c r="R7" i="2"/>
  <c r="M13" i="2"/>
  <c r="Q13" i="2" s="1"/>
  <c r="C134" i="2" s="1"/>
  <c r="H134" i="60" s="1"/>
  <c r="O134" i="60" s="1"/>
  <c r="BQ127" i="54" l="1"/>
  <c r="BR127" i="54"/>
  <c r="BQ125" i="54"/>
  <c r="BR125" i="54"/>
  <c r="BR123" i="54"/>
  <c r="BQ123" i="54"/>
  <c r="BR122" i="54"/>
  <c r="BQ122" i="54"/>
  <c r="BR126" i="54"/>
  <c r="BQ126" i="54"/>
  <c r="C135" i="2"/>
  <c r="R45" i="2"/>
  <c r="Q46" i="2"/>
  <c r="BR124" i="54"/>
  <c r="BQ124" i="54"/>
  <c r="C25" i="23"/>
  <c r="C26" i="23"/>
  <c r="C27" i="23"/>
  <c r="C28" i="23"/>
  <c r="C29" i="23"/>
  <c r="C30" i="23"/>
  <c r="C31" i="23"/>
  <c r="C24" i="23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34" i="2"/>
  <c r="U3" i="2"/>
  <c r="W3" i="2"/>
  <c r="X3" i="2"/>
  <c r="Y3" i="2"/>
  <c r="Z3" i="2"/>
  <c r="AA3" i="2"/>
  <c r="AB3" i="2"/>
  <c r="AC3" i="2"/>
  <c r="U4" i="2"/>
  <c r="W4" i="2"/>
  <c r="X4" i="2"/>
  <c r="Y4" i="2"/>
  <c r="Z4" i="2"/>
  <c r="AA4" i="2"/>
  <c r="AB4" i="2"/>
  <c r="AC4" i="2"/>
  <c r="U5" i="2"/>
  <c r="W5" i="2"/>
  <c r="X5" i="2"/>
  <c r="Y5" i="2"/>
  <c r="Z5" i="2"/>
  <c r="AA5" i="2"/>
  <c r="AB5" i="2"/>
  <c r="AC5" i="2"/>
  <c r="U6" i="2"/>
  <c r="W6" i="2"/>
  <c r="X6" i="2"/>
  <c r="Y6" i="2"/>
  <c r="Z6" i="2"/>
  <c r="AA6" i="2"/>
  <c r="AB6" i="2"/>
  <c r="AC6" i="2"/>
  <c r="U7" i="2"/>
  <c r="W7" i="2"/>
  <c r="X7" i="2"/>
  <c r="Y7" i="2"/>
  <c r="Z7" i="2"/>
  <c r="AA7" i="2"/>
  <c r="AB7" i="2"/>
  <c r="AC7" i="2"/>
  <c r="U8" i="2"/>
  <c r="W8" i="2"/>
  <c r="X8" i="2"/>
  <c r="Y8" i="2"/>
  <c r="Z8" i="2"/>
  <c r="AA8" i="2"/>
  <c r="AB8" i="2"/>
  <c r="AC8" i="2"/>
  <c r="U9" i="2"/>
  <c r="W9" i="2"/>
  <c r="X9" i="2"/>
  <c r="Y9" i="2"/>
  <c r="Z9" i="2"/>
  <c r="AA9" i="2"/>
  <c r="AB9" i="2"/>
  <c r="AC9" i="2"/>
  <c r="U10" i="2"/>
  <c r="W10" i="2"/>
  <c r="X10" i="2"/>
  <c r="Y10" i="2"/>
  <c r="Z10" i="2"/>
  <c r="AA10" i="2"/>
  <c r="AB10" i="2"/>
  <c r="AC10" i="2"/>
  <c r="U11" i="2"/>
  <c r="W11" i="2"/>
  <c r="X11" i="2"/>
  <c r="Y11" i="2"/>
  <c r="Z11" i="2"/>
  <c r="AA11" i="2"/>
  <c r="AB11" i="2"/>
  <c r="AC11" i="2"/>
  <c r="U12" i="2"/>
  <c r="W12" i="2"/>
  <c r="X12" i="2"/>
  <c r="Y12" i="2"/>
  <c r="Z12" i="2"/>
  <c r="AA12" i="2"/>
  <c r="AB12" i="2"/>
  <c r="AC12" i="2"/>
  <c r="U13" i="2"/>
  <c r="W13" i="2"/>
  <c r="X13" i="2"/>
  <c r="Y13" i="2"/>
  <c r="Z13" i="2"/>
  <c r="AA13" i="2"/>
  <c r="AB13" i="2"/>
  <c r="AC13" i="2"/>
  <c r="U14" i="2"/>
  <c r="W14" i="2"/>
  <c r="X14" i="2"/>
  <c r="Y14" i="2"/>
  <c r="Z14" i="2"/>
  <c r="AA14" i="2"/>
  <c r="AB14" i="2"/>
  <c r="AC14" i="2"/>
  <c r="U15" i="2"/>
  <c r="W15" i="2"/>
  <c r="X15" i="2"/>
  <c r="Y15" i="2"/>
  <c r="Z15" i="2"/>
  <c r="AA15" i="2"/>
  <c r="AB15" i="2"/>
  <c r="AC15" i="2"/>
  <c r="U16" i="2"/>
  <c r="W16" i="2"/>
  <c r="X16" i="2"/>
  <c r="Y16" i="2"/>
  <c r="Z16" i="2"/>
  <c r="AA16" i="2"/>
  <c r="AB16" i="2"/>
  <c r="AC16" i="2"/>
  <c r="U17" i="2"/>
  <c r="W17" i="2"/>
  <c r="X17" i="2"/>
  <c r="Y17" i="2"/>
  <c r="Z17" i="2"/>
  <c r="AA17" i="2"/>
  <c r="AB17" i="2"/>
  <c r="AC17" i="2"/>
  <c r="U18" i="2"/>
  <c r="W18" i="2"/>
  <c r="X18" i="2"/>
  <c r="Y18" i="2"/>
  <c r="Z18" i="2"/>
  <c r="AA18" i="2"/>
  <c r="AB18" i="2"/>
  <c r="AC18" i="2"/>
  <c r="U19" i="2"/>
  <c r="W19" i="2"/>
  <c r="X19" i="2"/>
  <c r="Y19" i="2"/>
  <c r="Z19" i="2"/>
  <c r="AA19" i="2"/>
  <c r="AB19" i="2"/>
  <c r="AC19" i="2"/>
  <c r="U20" i="2"/>
  <c r="W20" i="2"/>
  <c r="X20" i="2"/>
  <c r="Y20" i="2"/>
  <c r="Z20" i="2"/>
  <c r="AA20" i="2"/>
  <c r="AB20" i="2"/>
  <c r="AC20" i="2"/>
  <c r="U21" i="2"/>
  <c r="W21" i="2"/>
  <c r="X21" i="2"/>
  <c r="Y21" i="2"/>
  <c r="Z21" i="2"/>
  <c r="AA21" i="2"/>
  <c r="AB21" i="2"/>
  <c r="AC21" i="2"/>
  <c r="U22" i="2"/>
  <c r="W22" i="2"/>
  <c r="X22" i="2"/>
  <c r="Y22" i="2"/>
  <c r="Z22" i="2"/>
  <c r="AA22" i="2"/>
  <c r="AB22" i="2"/>
  <c r="AC22" i="2"/>
  <c r="U23" i="2"/>
  <c r="W23" i="2"/>
  <c r="X23" i="2"/>
  <c r="Y23" i="2"/>
  <c r="Z23" i="2"/>
  <c r="AA23" i="2"/>
  <c r="AB23" i="2"/>
  <c r="AC23" i="2"/>
  <c r="U24" i="2"/>
  <c r="W24" i="2"/>
  <c r="X24" i="2"/>
  <c r="Y24" i="2"/>
  <c r="Z24" i="2"/>
  <c r="AA24" i="2"/>
  <c r="AB24" i="2"/>
  <c r="AC24" i="2"/>
  <c r="U25" i="2"/>
  <c r="W25" i="2"/>
  <c r="X25" i="2"/>
  <c r="Y25" i="2"/>
  <c r="Z25" i="2"/>
  <c r="AA25" i="2"/>
  <c r="AB25" i="2"/>
  <c r="AC25" i="2"/>
  <c r="U26" i="2"/>
  <c r="W26" i="2"/>
  <c r="X26" i="2"/>
  <c r="Y26" i="2"/>
  <c r="Z26" i="2"/>
  <c r="AA26" i="2"/>
  <c r="AB26" i="2"/>
  <c r="AC26" i="2"/>
  <c r="U27" i="2"/>
  <c r="W27" i="2"/>
  <c r="X27" i="2"/>
  <c r="Y27" i="2"/>
  <c r="Z27" i="2"/>
  <c r="AA27" i="2"/>
  <c r="AB27" i="2"/>
  <c r="AC27" i="2"/>
  <c r="U28" i="2"/>
  <c r="W28" i="2"/>
  <c r="X28" i="2"/>
  <c r="Y28" i="2"/>
  <c r="Z28" i="2"/>
  <c r="AA28" i="2"/>
  <c r="AB28" i="2"/>
  <c r="AC28" i="2"/>
  <c r="U29" i="2"/>
  <c r="W29" i="2"/>
  <c r="X29" i="2"/>
  <c r="Y29" i="2"/>
  <c r="Z29" i="2"/>
  <c r="AA29" i="2"/>
  <c r="AB29" i="2"/>
  <c r="AC29" i="2"/>
  <c r="U30" i="2"/>
  <c r="W30" i="2"/>
  <c r="X30" i="2"/>
  <c r="Y30" i="2"/>
  <c r="Z30" i="2"/>
  <c r="AA30" i="2"/>
  <c r="AB30" i="2"/>
  <c r="AC30" i="2"/>
  <c r="U31" i="2"/>
  <c r="W31" i="2"/>
  <c r="X31" i="2"/>
  <c r="Y31" i="2"/>
  <c r="Z31" i="2"/>
  <c r="AA31" i="2"/>
  <c r="AB31" i="2"/>
  <c r="AC31" i="2"/>
  <c r="U32" i="2"/>
  <c r="W32" i="2"/>
  <c r="X32" i="2"/>
  <c r="Y32" i="2"/>
  <c r="Z32" i="2"/>
  <c r="AA32" i="2"/>
  <c r="AB32" i="2"/>
  <c r="AC32" i="2"/>
  <c r="U33" i="2"/>
  <c r="W33" i="2"/>
  <c r="X33" i="2"/>
  <c r="Y33" i="2"/>
  <c r="Z33" i="2"/>
  <c r="AA33" i="2"/>
  <c r="AB33" i="2"/>
  <c r="AC33" i="2"/>
  <c r="U34" i="2"/>
  <c r="W34" i="2"/>
  <c r="X34" i="2"/>
  <c r="Y34" i="2"/>
  <c r="Z34" i="2"/>
  <c r="AA34" i="2"/>
  <c r="AB34" i="2"/>
  <c r="AC34" i="2"/>
  <c r="U35" i="2"/>
  <c r="W35" i="2"/>
  <c r="X35" i="2"/>
  <c r="Y35" i="2"/>
  <c r="Z35" i="2"/>
  <c r="AA35" i="2"/>
  <c r="AB35" i="2"/>
  <c r="AC35" i="2"/>
  <c r="U36" i="2"/>
  <c r="W36" i="2"/>
  <c r="X36" i="2"/>
  <c r="Y36" i="2"/>
  <c r="Z36" i="2"/>
  <c r="AA36" i="2"/>
  <c r="AB36" i="2"/>
  <c r="AC36" i="2"/>
  <c r="U37" i="2"/>
  <c r="W37" i="2"/>
  <c r="X37" i="2"/>
  <c r="Y37" i="2"/>
  <c r="Z37" i="2"/>
  <c r="AA37" i="2"/>
  <c r="AB37" i="2"/>
  <c r="AC37" i="2"/>
  <c r="U38" i="2"/>
  <c r="W38" i="2"/>
  <c r="X38" i="2"/>
  <c r="Y38" i="2"/>
  <c r="Z38" i="2"/>
  <c r="AA38" i="2"/>
  <c r="AB38" i="2"/>
  <c r="AC38" i="2"/>
  <c r="U39" i="2"/>
  <c r="W39" i="2"/>
  <c r="X39" i="2"/>
  <c r="Y39" i="2"/>
  <c r="Z39" i="2"/>
  <c r="AA39" i="2"/>
  <c r="AB39" i="2"/>
  <c r="AC39" i="2"/>
  <c r="U40" i="2"/>
  <c r="W40" i="2"/>
  <c r="X40" i="2"/>
  <c r="Y40" i="2"/>
  <c r="Z40" i="2"/>
  <c r="AA40" i="2"/>
  <c r="AB40" i="2"/>
  <c r="AC40" i="2"/>
  <c r="U41" i="2"/>
  <c r="W41" i="2"/>
  <c r="X41" i="2"/>
  <c r="Y41" i="2"/>
  <c r="Z41" i="2"/>
  <c r="AA41" i="2"/>
  <c r="AB41" i="2"/>
  <c r="AC41" i="2"/>
  <c r="U42" i="2"/>
  <c r="W42" i="2"/>
  <c r="X42" i="2"/>
  <c r="Y42" i="2"/>
  <c r="Z42" i="2"/>
  <c r="AA42" i="2"/>
  <c r="AB42" i="2"/>
  <c r="AC42" i="2"/>
  <c r="U43" i="2"/>
  <c r="W43" i="2"/>
  <c r="X43" i="2"/>
  <c r="Y43" i="2"/>
  <c r="Z43" i="2"/>
  <c r="AA43" i="2"/>
  <c r="AB43" i="2"/>
  <c r="AC43" i="2"/>
  <c r="U44" i="2"/>
  <c r="W44" i="2"/>
  <c r="X44" i="2"/>
  <c r="Y44" i="2"/>
  <c r="Z44" i="2"/>
  <c r="AA44" i="2"/>
  <c r="AB44" i="2"/>
  <c r="AC44" i="2"/>
  <c r="U45" i="2"/>
  <c r="W45" i="2"/>
  <c r="X45" i="2"/>
  <c r="Y45" i="2"/>
  <c r="Z45" i="2"/>
  <c r="AA45" i="2"/>
  <c r="AB45" i="2"/>
  <c r="AC45" i="2"/>
  <c r="U46" i="2"/>
  <c r="W46" i="2"/>
  <c r="X46" i="2"/>
  <c r="Y46" i="2"/>
  <c r="Z46" i="2"/>
  <c r="AA46" i="2"/>
  <c r="AB46" i="2"/>
  <c r="AC46" i="2"/>
  <c r="U47" i="2"/>
  <c r="W47" i="2"/>
  <c r="X47" i="2"/>
  <c r="Y47" i="2"/>
  <c r="Z47" i="2"/>
  <c r="AA47" i="2"/>
  <c r="AB47" i="2"/>
  <c r="AC47" i="2"/>
  <c r="U48" i="2"/>
  <c r="W48" i="2"/>
  <c r="X48" i="2"/>
  <c r="Y48" i="2"/>
  <c r="Z48" i="2"/>
  <c r="AA48" i="2"/>
  <c r="AB48" i="2"/>
  <c r="AC48" i="2"/>
  <c r="U49" i="2"/>
  <c r="W49" i="2"/>
  <c r="X49" i="2"/>
  <c r="Y49" i="2"/>
  <c r="Z49" i="2"/>
  <c r="AA49" i="2"/>
  <c r="AB49" i="2"/>
  <c r="AC49" i="2"/>
  <c r="U50" i="2"/>
  <c r="W50" i="2"/>
  <c r="X50" i="2"/>
  <c r="Y50" i="2"/>
  <c r="Z50" i="2"/>
  <c r="AA50" i="2"/>
  <c r="AB50" i="2"/>
  <c r="AC50" i="2"/>
  <c r="U51" i="2"/>
  <c r="W51" i="2"/>
  <c r="X51" i="2"/>
  <c r="Y51" i="2"/>
  <c r="Z51" i="2"/>
  <c r="AA51" i="2"/>
  <c r="AB51" i="2"/>
  <c r="AC51" i="2"/>
  <c r="U52" i="2"/>
  <c r="W52" i="2"/>
  <c r="X52" i="2"/>
  <c r="Y52" i="2"/>
  <c r="Z52" i="2"/>
  <c r="AA52" i="2"/>
  <c r="AB52" i="2"/>
  <c r="AC52" i="2"/>
  <c r="U53" i="2"/>
  <c r="W53" i="2"/>
  <c r="X53" i="2"/>
  <c r="Y53" i="2"/>
  <c r="Z53" i="2"/>
  <c r="AA53" i="2"/>
  <c r="AB53" i="2"/>
  <c r="AC53" i="2"/>
  <c r="U54" i="2"/>
  <c r="W54" i="2"/>
  <c r="X54" i="2"/>
  <c r="Y54" i="2"/>
  <c r="Z54" i="2"/>
  <c r="AA54" i="2"/>
  <c r="AB54" i="2"/>
  <c r="AC54" i="2"/>
  <c r="U55" i="2"/>
  <c r="W55" i="2"/>
  <c r="X55" i="2"/>
  <c r="Y55" i="2"/>
  <c r="Z55" i="2"/>
  <c r="AA55" i="2"/>
  <c r="AB55" i="2"/>
  <c r="AC55" i="2"/>
  <c r="U56" i="2"/>
  <c r="W56" i="2"/>
  <c r="X56" i="2"/>
  <c r="Y56" i="2"/>
  <c r="Z56" i="2"/>
  <c r="AA56" i="2"/>
  <c r="AB56" i="2"/>
  <c r="AC56" i="2"/>
  <c r="U57" i="2"/>
  <c r="W57" i="2"/>
  <c r="X57" i="2"/>
  <c r="Y57" i="2"/>
  <c r="Z57" i="2"/>
  <c r="AA57" i="2"/>
  <c r="AB57" i="2"/>
  <c r="AC57" i="2"/>
  <c r="U58" i="2"/>
  <c r="W58" i="2"/>
  <c r="X58" i="2"/>
  <c r="Y58" i="2"/>
  <c r="Z58" i="2"/>
  <c r="AA58" i="2"/>
  <c r="AB58" i="2"/>
  <c r="AC58" i="2"/>
  <c r="U59" i="2"/>
  <c r="W59" i="2"/>
  <c r="X59" i="2"/>
  <c r="Y59" i="2"/>
  <c r="Z59" i="2"/>
  <c r="AA59" i="2"/>
  <c r="AB59" i="2"/>
  <c r="AC59" i="2"/>
  <c r="U60" i="2"/>
  <c r="W60" i="2"/>
  <c r="X60" i="2"/>
  <c r="Y60" i="2"/>
  <c r="Z60" i="2"/>
  <c r="AA60" i="2"/>
  <c r="AB60" i="2"/>
  <c r="AC60" i="2"/>
  <c r="U61" i="2"/>
  <c r="W61" i="2"/>
  <c r="X61" i="2"/>
  <c r="Y61" i="2"/>
  <c r="Z61" i="2"/>
  <c r="AA61" i="2"/>
  <c r="AB61" i="2"/>
  <c r="AC61" i="2"/>
  <c r="U62" i="2"/>
  <c r="W62" i="2"/>
  <c r="X62" i="2"/>
  <c r="Y62" i="2"/>
  <c r="Z62" i="2"/>
  <c r="AA62" i="2"/>
  <c r="AB62" i="2"/>
  <c r="AC62" i="2"/>
  <c r="U63" i="2"/>
  <c r="W63" i="2"/>
  <c r="X63" i="2"/>
  <c r="Y63" i="2"/>
  <c r="Z63" i="2"/>
  <c r="AA63" i="2"/>
  <c r="AB63" i="2"/>
  <c r="AC63" i="2"/>
  <c r="U64" i="2"/>
  <c r="W64" i="2"/>
  <c r="X64" i="2"/>
  <c r="Y64" i="2"/>
  <c r="Z64" i="2"/>
  <c r="AA64" i="2"/>
  <c r="AB64" i="2"/>
  <c r="AC64" i="2"/>
  <c r="U65" i="2"/>
  <c r="W65" i="2"/>
  <c r="X65" i="2"/>
  <c r="Y65" i="2"/>
  <c r="Z65" i="2"/>
  <c r="AA65" i="2"/>
  <c r="AB65" i="2"/>
  <c r="AC65" i="2"/>
  <c r="U66" i="2"/>
  <c r="W66" i="2"/>
  <c r="X66" i="2"/>
  <c r="Y66" i="2"/>
  <c r="Z66" i="2"/>
  <c r="AA66" i="2"/>
  <c r="AB66" i="2"/>
  <c r="AC66" i="2"/>
  <c r="U67" i="2"/>
  <c r="W67" i="2"/>
  <c r="X67" i="2"/>
  <c r="Y67" i="2"/>
  <c r="Z67" i="2"/>
  <c r="AA67" i="2"/>
  <c r="AB67" i="2"/>
  <c r="AC67" i="2"/>
  <c r="U68" i="2"/>
  <c r="W68" i="2"/>
  <c r="X68" i="2"/>
  <c r="Y68" i="2"/>
  <c r="Z68" i="2"/>
  <c r="AA68" i="2"/>
  <c r="AB68" i="2"/>
  <c r="AC68" i="2"/>
  <c r="U69" i="2"/>
  <c r="W69" i="2"/>
  <c r="X69" i="2"/>
  <c r="Y69" i="2"/>
  <c r="Z69" i="2"/>
  <c r="AA69" i="2"/>
  <c r="AB69" i="2"/>
  <c r="AC69" i="2"/>
  <c r="U70" i="2"/>
  <c r="W70" i="2"/>
  <c r="X70" i="2"/>
  <c r="Y70" i="2"/>
  <c r="Z70" i="2"/>
  <c r="AA70" i="2"/>
  <c r="AB70" i="2"/>
  <c r="AC70" i="2"/>
  <c r="U71" i="2"/>
  <c r="W71" i="2"/>
  <c r="X71" i="2"/>
  <c r="Y71" i="2"/>
  <c r="Z71" i="2"/>
  <c r="AA71" i="2"/>
  <c r="AB71" i="2"/>
  <c r="AC71" i="2"/>
  <c r="U72" i="2"/>
  <c r="W72" i="2"/>
  <c r="X72" i="2"/>
  <c r="Y72" i="2"/>
  <c r="Z72" i="2"/>
  <c r="AA72" i="2"/>
  <c r="AB72" i="2"/>
  <c r="AC72" i="2"/>
  <c r="U73" i="2"/>
  <c r="W73" i="2"/>
  <c r="X73" i="2"/>
  <c r="Y73" i="2"/>
  <c r="Z73" i="2"/>
  <c r="AA73" i="2"/>
  <c r="AB73" i="2"/>
  <c r="AC73" i="2"/>
  <c r="U74" i="2"/>
  <c r="W74" i="2"/>
  <c r="X74" i="2"/>
  <c r="Y74" i="2"/>
  <c r="Z74" i="2"/>
  <c r="AA74" i="2"/>
  <c r="AB74" i="2"/>
  <c r="AC74" i="2"/>
  <c r="U75" i="2"/>
  <c r="W75" i="2"/>
  <c r="X75" i="2"/>
  <c r="Y75" i="2"/>
  <c r="Z75" i="2"/>
  <c r="AA75" i="2"/>
  <c r="AB75" i="2"/>
  <c r="AC75" i="2"/>
  <c r="U76" i="2"/>
  <c r="W76" i="2"/>
  <c r="X76" i="2"/>
  <c r="Y76" i="2"/>
  <c r="Z76" i="2"/>
  <c r="AA76" i="2"/>
  <c r="AB76" i="2"/>
  <c r="AC76" i="2"/>
  <c r="U77" i="2"/>
  <c r="W77" i="2"/>
  <c r="X77" i="2"/>
  <c r="Y77" i="2"/>
  <c r="Z77" i="2"/>
  <c r="AA77" i="2"/>
  <c r="AB77" i="2"/>
  <c r="AC77" i="2"/>
  <c r="U78" i="2"/>
  <c r="W78" i="2"/>
  <c r="X78" i="2"/>
  <c r="Y78" i="2"/>
  <c r="Z78" i="2"/>
  <c r="AA78" i="2"/>
  <c r="AB78" i="2"/>
  <c r="AC78" i="2"/>
  <c r="U79" i="2"/>
  <c r="W79" i="2"/>
  <c r="X79" i="2"/>
  <c r="Y79" i="2"/>
  <c r="Z79" i="2"/>
  <c r="AA79" i="2"/>
  <c r="AB79" i="2"/>
  <c r="AC79" i="2"/>
  <c r="U80" i="2"/>
  <c r="W80" i="2"/>
  <c r="X80" i="2"/>
  <c r="Y80" i="2"/>
  <c r="Z80" i="2"/>
  <c r="AA80" i="2"/>
  <c r="AB80" i="2"/>
  <c r="AC80" i="2"/>
  <c r="U81" i="2"/>
  <c r="W81" i="2"/>
  <c r="X81" i="2"/>
  <c r="Y81" i="2"/>
  <c r="Z81" i="2"/>
  <c r="AA81" i="2"/>
  <c r="AB81" i="2"/>
  <c r="AC81" i="2"/>
  <c r="U82" i="2"/>
  <c r="W82" i="2"/>
  <c r="X82" i="2"/>
  <c r="Y82" i="2"/>
  <c r="Z82" i="2"/>
  <c r="AA82" i="2"/>
  <c r="AB82" i="2"/>
  <c r="AC82" i="2"/>
  <c r="U83" i="2"/>
  <c r="W83" i="2"/>
  <c r="X83" i="2"/>
  <c r="Y83" i="2"/>
  <c r="Z83" i="2"/>
  <c r="AA83" i="2"/>
  <c r="AB83" i="2"/>
  <c r="AC83" i="2"/>
  <c r="U84" i="2"/>
  <c r="W84" i="2"/>
  <c r="X84" i="2"/>
  <c r="Y84" i="2"/>
  <c r="Z84" i="2"/>
  <c r="AA84" i="2"/>
  <c r="AB84" i="2"/>
  <c r="AC84" i="2"/>
  <c r="U85" i="2"/>
  <c r="W85" i="2"/>
  <c r="X85" i="2"/>
  <c r="Y85" i="2"/>
  <c r="Z85" i="2"/>
  <c r="AA85" i="2"/>
  <c r="AB85" i="2"/>
  <c r="AC85" i="2"/>
  <c r="U86" i="2"/>
  <c r="W86" i="2"/>
  <c r="X86" i="2"/>
  <c r="Y86" i="2"/>
  <c r="Z86" i="2"/>
  <c r="AA86" i="2"/>
  <c r="AB86" i="2"/>
  <c r="AC86" i="2"/>
  <c r="U87" i="2"/>
  <c r="W87" i="2"/>
  <c r="X87" i="2"/>
  <c r="Y87" i="2"/>
  <c r="Z87" i="2"/>
  <c r="AA87" i="2"/>
  <c r="AB87" i="2"/>
  <c r="AC87" i="2"/>
  <c r="U88" i="2"/>
  <c r="W88" i="2"/>
  <c r="X88" i="2"/>
  <c r="Y88" i="2"/>
  <c r="Z88" i="2"/>
  <c r="AA88" i="2"/>
  <c r="AB88" i="2"/>
  <c r="AC88" i="2"/>
  <c r="U89" i="2"/>
  <c r="W89" i="2"/>
  <c r="X89" i="2"/>
  <c r="Y89" i="2"/>
  <c r="Z89" i="2"/>
  <c r="AA89" i="2"/>
  <c r="AB89" i="2"/>
  <c r="AC89" i="2"/>
  <c r="U90" i="2"/>
  <c r="W90" i="2"/>
  <c r="X90" i="2"/>
  <c r="Y90" i="2"/>
  <c r="Z90" i="2"/>
  <c r="AA90" i="2"/>
  <c r="AB90" i="2"/>
  <c r="AC90" i="2"/>
  <c r="U91" i="2"/>
  <c r="W91" i="2"/>
  <c r="X91" i="2"/>
  <c r="Y91" i="2"/>
  <c r="Z91" i="2"/>
  <c r="AA91" i="2"/>
  <c r="AB91" i="2"/>
  <c r="AC91" i="2"/>
  <c r="U92" i="2"/>
  <c r="W92" i="2"/>
  <c r="X92" i="2"/>
  <c r="Y92" i="2"/>
  <c r="Z92" i="2"/>
  <c r="AA92" i="2"/>
  <c r="AB92" i="2"/>
  <c r="AC92" i="2"/>
  <c r="U93" i="2"/>
  <c r="W93" i="2"/>
  <c r="X93" i="2"/>
  <c r="Y93" i="2"/>
  <c r="Z93" i="2"/>
  <c r="AA93" i="2"/>
  <c r="AB93" i="2"/>
  <c r="AC93" i="2"/>
  <c r="U94" i="2"/>
  <c r="W94" i="2"/>
  <c r="X94" i="2"/>
  <c r="Y94" i="2"/>
  <c r="Z94" i="2"/>
  <c r="AA94" i="2"/>
  <c r="AB94" i="2"/>
  <c r="AC94" i="2"/>
  <c r="U95" i="2"/>
  <c r="W95" i="2"/>
  <c r="X95" i="2"/>
  <c r="Y95" i="2"/>
  <c r="Z95" i="2"/>
  <c r="AA95" i="2"/>
  <c r="AB95" i="2"/>
  <c r="AC95" i="2"/>
  <c r="U96" i="2"/>
  <c r="W96" i="2"/>
  <c r="X96" i="2"/>
  <c r="Y96" i="2"/>
  <c r="Z96" i="2"/>
  <c r="AA96" i="2"/>
  <c r="AB96" i="2"/>
  <c r="AC96" i="2"/>
  <c r="U97" i="2"/>
  <c r="W97" i="2"/>
  <c r="X97" i="2"/>
  <c r="Y97" i="2"/>
  <c r="Z97" i="2"/>
  <c r="AA97" i="2"/>
  <c r="AB97" i="2"/>
  <c r="AC97" i="2"/>
  <c r="U98" i="2"/>
  <c r="W98" i="2"/>
  <c r="X98" i="2"/>
  <c r="Y98" i="2"/>
  <c r="Z98" i="2"/>
  <c r="AA98" i="2"/>
  <c r="AB98" i="2"/>
  <c r="AC98" i="2"/>
  <c r="U99" i="2"/>
  <c r="W99" i="2"/>
  <c r="X99" i="2"/>
  <c r="Y99" i="2"/>
  <c r="Z99" i="2"/>
  <c r="AA99" i="2"/>
  <c r="AB99" i="2"/>
  <c r="AC99" i="2"/>
  <c r="U100" i="2"/>
  <c r="W100" i="2"/>
  <c r="X100" i="2"/>
  <c r="Y100" i="2"/>
  <c r="Z100" i="2"/>
  <c r="AA100" i="2"/>
  <c r="AB100" i="2"/>
  <c r="AC100" i="2"/>
  <c r="U101" i="2"/>
  <c r="W101" i="2"/>
  <c r="X101" i="2"/>
  <c r="Y101" i="2"/>
  <c r="Z101" i="2"/>
  <c r="AA101" i="2"/>
  <c r="AB101" i="2"/>
  <c r="AC101" i="2"/>
  <c r="U102" i="2"/>
  <c r="W102" i="2"/>
  <c r="X102" i="2"/>
  <c r="Y102" i="2"/>
  <c r="Z102" i="2"/>
  <c r="AA102" i="2"/>
  <c r="AB102" i="2"/>
  <c r="AC102" i="2"/>
  <c r="U103" i="2"/>
  <c r="W103" i="2"/>
  <c r="X103" i="2"/>
  <c r="Y103" i="2"/>
  <c r="Z103" i="2"/>
  <c r="AA103" i="2"/>
  <c r="AB103" i="2"/>
  <c r="AC103" i="2"/>
  <c r="U104" i="2"/>
  <c r="W104" i="2"/>
  <c r="X104" i="2"/>
  <c r="Y104" i="2"/>
  <c r="Z104" i="2"/>
  <c r="AA104" i="2"/>
  <c r="AB104" i="2"/>
  <c r="AC104" i="2"/>
  <c r="U105" i="2"/>
  <c r="W105" i="2"/>
  <c r="X105" i="2"/>
  <c r="Y105" i="2"/>
  <c r="Z105" i="2"/>
  <c r="AA105" i="2"/>
  <c r="AB105" i="2"/>
  <c r="AC105" i="2"/>
  <c r="U106" i="2"/>
  <c r="W106" i="2"/>
  <c r="X106" i="2"/>
  <c r="Y106" i="2"/>
  <c r="Z106" i="2"/>
  <c r="AA106" i="2"/>
  <c r="AB106" i="2"/>
  <c r="AC106" i="2"/>
  <c r="U107" i="2"/>
  <c r="W107" i="2"/>
  <c r="X107" i="2"/>
  <c r="Y107" i="2"/>
  <c r="Z107" i="2"/>
  <c r="AA107" i="2"/>
  <c r="AB107" i="2"/>
  <c r="AC107" i="2"/>
  <c r="U108" i="2"/>
  <c r="W108" i="2"/>
  <c r="X108" i="2"/>
  <c r="Y108" i="2"/>
  <c r="Z108" i="2"/>
  <c r="AA108" i="2"/>
  <c r="AB108" i="2"/>
  <c r="AC108" i="2"/>
  <c r="U109" i="2"/>
  <c r="W109" i="2"/>
  <c r="X109" i="2"/>
  <c r="Y109" i="2"/>
  <c r="Z109" i="2"/>
  <c r="AA109" i="2"/>
  <c r="AB109" i="2"/>
  <c r="AC109" i="2"/>
  <c r="U110" i="2"/>
  <c r="W110" i="2"/>
  <c r="X110" i="2"/>
  <c r="Y110" i="2"/>
  <c r="Z110" i="2"/>
  <c r="AA110" i="2"/>
  <c r="AB110" i="2"/>
  <c r="AC110" i="2"/>
  <c r="U111" i="2"/>
  <c r="W111" i="2"/>
  <c r="X111" i="2"/>
  <c r="Y111" i="2"/>
  <c r="Z111" i="2"/>
  <c r="AA111" i="2"/>
  <c r="AB111" i="2"/>
  <c r="AC111" i="2"/>
  <c r="U112" i="2"/>
  <c r="W112" i="2"/>
  <c r="X112" i="2"/>
  <c r="Y112" i="2"/>
  <c r="Z112" i="2"/>
  <c r="AA112" i="2"/>
  <c r="AB112" i="2"/>
  <c r="AC112" i="2"/>
  <c r="U113" i="2"/>
  <c r="W113" i="2"/>
  <c r="X113" i="2"/>
  <c r="Y113" i="2"/>
  <c r="Z113" i="2"/>
  <c r="AA113" i="2"/>
  <c r="AB113" i="2"/>
  <c r="AC113" i="2"/>
  <c r="U114" i="2"/>
  <c r="W114" i="2"/>
  <c r="X114" i="2"/>
  <c r="Y114" i="2"/>
  <c r="Z114" i="2"/>
  <c r="AA114" i="2"/>
  <c r="AB114" i="2"/>
  <c r="AC114" i="2"/>
  <c r="U115" i="2"/>
  <c r="W115" i="2"/>
  <c r="X115" i="2"/>
  <c r="Y115" i="2"/>
  <c r="Z115" i="2"/>
  <c r="AA115" i="2"/>
  <c r="AB115" i="2"/>
  <c r="AC115" i="2"/>
  <c r="U116" i="2"/>
  <c r="W116" i="2"/>
  <c r="X116" i="2"/>
  <c r="Y116" i="2"/>
  <c r="Z116" i="2"/>
  <c r="AA116" i="2"/>
  <c r="AB116" i="2"/>
  <c r="AC116" i="2"/>
  <c r="U117" i="2"/>
  <c r="W117" i="2"/>
  <c r="X117" i="2"/>
  <c r="Y117" i="2"/>
  <c r="Z117" i="2"/>
  <c r="AA117" i="2"/>
  <c r="AB117" i="2"/>
  <c r="AC117" i="2"/>
  <c r="U118" i="2"/>
  <c r="W118" i="2"/>
  <c r="X118" i="2"/>
  <c r="Y118" i="2"/>
  <c r="Z118" i="2"/>
  <c r="AA118" i="2"/>
  <c r="AB118" i="2"/>
  <c r="AC118" i="2"/>
  <c r="U119" i="2"/>
  <c r="W119" i="2"/>
  <c r="X119" i="2"/>
  <c r="Y119" i="2"/>
  <c r="Z119" i="2"/>
  <c r="AA119" i="2"/>
  <c r="AB119" i="2"/>
  <c r="AC119" i="2"/>
  <c r="U120" i="2"/>
  <c r="W120" i="2"/>
  <c r="X120" i="2"/>
  <c r="Y120" i="2"/>
  <c r="Z120" i="2"/>
  <c r="AA120" i="2"/>
  <c r="AB120" i="2"/>
  <c r="AC120" i="2"/>
  <c r="U121" i="2"/>
  <c r="W121" i="2"/>
  <c r="X121" i="2"/>
  <c r="Y121" i="2"/>
  <c r="Z121" i="2"/>
  <c r="AA121" i="2"/>
  <c r="AB121" i="2"/>
  <c r="AC121" i="2"/>
  <c r="U122" i="2"/>
  <c r="X122" i="2"/>
  <c r="Y122" i="2"/>
  <c r="Z122" i="2"/>
  <c r="AA122" i="2"/>
  <c r="AB122" i="2"/>
  <c r="AC122" i="2"/>
  <c r="U123" i="2"/>
  <c r="X123" i="2"/>
  <c r="Y123" i="2"/>
  <c r="Z123" i="2"/>
  <c r="AA123" i="2"/>
  <c r="AA135" i="2" s="1"/>
  <c r="AB123" i="2"/>
  <c r="AC123" i="2"/>
  <c r="U124" i="2"/>
  <c r="X124" i="2"/>
  <c r="Y124" i="2"/>
  <c r="Z124" i="2"/>
  <c r="AA124" i="2"/>
  <c r="AB124" i="2"/>
  <c r="AB136" i="2" s="1"/>
  <c r="AC124" i="2"/>
  <c r="U125" i="2"/>
  <c r="X125" i="2"/>
  <c r="Y125" i="2"/>
  <c r="Y137" i="2" s="1"/>
  <c r="Z125" i="2"/>
  <c r="AA125" i="2"/>
  <c r="AB125" i="2"/>
  <c r="AC125" i="2"/>
  <c r="AC137" i="2" s="1"/>
  <c r="U126" i="2"/>
  <c r="X126" i="2"/>
  <c r="Y126" i="2"/>
  <c r="Z126" i="2"/>
  <c r="AA126" i="2"/>
  <c r="AB126" i="2"/>
  <c r="AC126" i="2"/>
  <c r="U127" i="2"/>
  <c r="X127" i="2"/>
  <c r="Y127" i="2"/>
  <c r="Z127" i="2"/>
  <c r="AA127" i="2"/>
  <c r="AA139" i="2" s="1"/>
  <c r="AB127" i="2"/>
  <c r="AC127" i="2"/>
  <c r="U128" i="2"/>
  <c r="X128" i="2"/>
  <c r="Y128" i="2"/>
  <c r="Z128" i="2"/>
  <c r="AA128" i="2"/>
  <c r="AB128" i="2"/>
  <c r="AB140" i="2" s="1"/>
  <c r="AC128" i="2"/>
  <c r="U129" i="2"/>
  <c r="X129" i="2"/>
  <c r="Y129" i="2"/>
  <c r="Y141" i="2" s="1"/>
  <c r="Z129" i="2"/>
  <c r="AA129" i="2"/>
  <c r="AB129" i="2"/>
  <c r="AC129" i="2"/>
  <c r="AC141" i="2" s="1"/>
  <c r="U130" i="2"/>
  <c r="X130" i="2"/>
  <c r="Y130" i="2"/>
  <c r="Z130" i="2"/>
  <c r="AA130" i="2"/>
  <c r="AB130" i="2"/>
  <c r="AC130" i="2"/>
  <c r="U131" i="2"/>
  <c r="X131" i="2"/>
  <c r="Y131" i="2"/>
  <c r="Z131" i="2"/>
  <c r="AA131" i="2"/>
  <c r="AA143" i="2" s="1"/>
  <c r="AB131" i="2"/>
  <c r="AC131" i="2"/>
  <c r="U132" i="2"/>
  <c r="X132" i="2"/>
  <c r="Y132" i="2"/>
  <c r="Z132" i="2"/>
  <c r="AA132" i="2"/>
  <c r="AB132" i="2"/>
  <c r="AB144" i="2" s="1"/>
  <c r="AC132" i="2"/>
  <c r="U133" i="2"/>
  <c r="X133" i="2"/>
  <c r="Y133" i="2"/>
  <c r="Y145" i="2" s="1"/>
  <c r="Z133" i="2"/>
  <c r="AA133" i="2"/>
  <c r="AB133" i="2"/>
  <c r="AC133" i="2"/>
  <c r="AC145" i="2" s="1"/>
  <c r="AC1" i="2"/>
  <c r="AC2" i="2"/>
  <c r="U1" i="2"/>
  <c r="V1" i="2"/>
  <c r="W1" i="2"/>
  <c r="X1" i="2"/>
  <c r="Y1" i="2"/>
  <c r="Z1" i="2"/>
  <c r="AA1" i="2"/>
  <c r="AB1" i="2"/>
  <c r="W2" i="2"/>
  <c r="X2" i="2"/>
  <c r="Y2" i="2"/>
  <c r="Z2" i="2"/>
  <c r="AA2" i="2"/>
  <c r="AB2" i="2"/>
  <c r="U2" i="2"/>
  <c r="H122" i="38" l="1"/>
  <c r="H122" i="58"/>
  <c r="O122" i="58" s="1"/>
  <c r="AC144" i="2"/>
  <c r="Y144" i="2"/>
  <c r="AB143" i="2"/>
  <c r="AA142" i="2"/>
  <c r="AC140" i="2"/>
  <c r="Y140" i="2"/>
  <c r="AB139" i="2"/>
  <c r="AA138" i="2"/>
  <c r="Z137" i="2"/>
  <c r="AC136" i="2"/>
  <c r="Y136" i="2"/>
  <c r="AB135" i="2"/>
  <c r="AA134" i="2"/>
  <c r="AB145" i="2"/>
  <c r="AA144" i="2"/>
  <c r="AC142" i="2"/>
  <c r="Y142" i="2"/>
  <c r="AB141" i="2"/>
  <c r="AA140" i="2"/>
  <c r="AC138" i="2"/>
  <c r="Y138" i="2"/>
  <c r="AB137" i="2"/>
  <c r="AA145" i="2"/>
  <c r="AC143" i="2"/>
  <c r="Y143" i="2"/>
  <c r="AB142" i="2"/>
  <c r="AA141" i="2"/>
  <c r="AC139" i="2"/>
  <c r="Y139" i="2"/>
  <c r="AB138" i="2"/>
  <c r="AA137" i="2"/>
  <c r="AA136" i="2"/>
  <c r="AC134" i="2"/>
  <c r="Y134" i="2"/>
  <c r="AC135" i="2"/>
  <c r="Y135" i="2"/>
  <c r="AB134" i="2"/>
  <c r="Z143" i="2"/>
  <c r="Z135" i="2"/>
  <c r="Z139" i="2"/>
  <c r="X139" i="2"/>
  <c r="X144" i="2"/>
  <c r="X140" i="2"/>
  <c r="X136" i="2"/>
  <c r="X145" i="2"/>
  <c r="X141" i="2"/>
  <c r="X137" i="2"/>
  <c r="X135" i="2"/>
  <c r="X142" i="2"/>
  <c r="X138" i="2"/>
  <c r="X143" i="2"/>
  <c r="Z142" i="2"/>
  <c r="Z138" i="2"/>
  <c r="Z134" i="2"/>
  <c r="Z145" i="2"/>
  <c r="Z141" i="2"/>
  <c r="Z144" i="2"/>
  <c r="Z140" i="2"/>
  <c r="Z136" i="2"/>
  <c r="H126" i="38" l="1"/>
  <c r="H126" i="58"/>
  <c r="O126" i="58" s="1"/>
  <c r="H129" i="38"/>
  <c r="H129" i="58"/>
  <c r="O129" i="58" s="1"/>
  <c r="H132" i="38"/>
  <c r="H132" i="58"/>
  <c r="O132" i="58" s="1"/>
  <c r="H130" i="38"/>
  <c r="H130" i="58"/>
  <c r="O130" i="58" s="1"/>
  <c r="H133" i="38"/>
  <c r="H133" i="58"/>
  <c r="O133" i="58" s="1"/>
  <c r="H127" i="38"/>
  <c r="H127" i="58"/>
  <c r="O127" i="58" s="1"/>
  <c r="H131" i="38"/>
  <c r="H131" i="58"/>
  <c r="O131" i="58" s="1"/>
  <c r="H123" i="38"/>
  <c r="H123" i="58"/>
  <c r="O123" i="58" s="1"/>
  <c r="H124" i="38"/>
  <c r="H124" i="58"/>
  <c r="O124" i="58" s="1"/>
  <c r="H125" i="38"/>
  <c r="H125" i="58"/>
  <c r="O125" i="58" s="1"/>
  <c r="H128" i="38"/>
  <c r="H128" i="58"/>
  <c r="O128" i="58" s="1"/>
  <c r="H139" i="58"/>
  <c r="O139" i="58" s="1"/>
  <c r="H138" i="58"/>
  <c r="O138" i="58" s="1"/>
  <c r="H141" i="58"/>
  <c r="O141" i="58" s="1"/>
  <c r="H140" i="58"/>
  <c r="O140" i="58" s="1"/>
  <c r="H143" i="58"/>
  <c r="O143" i="58" s="1"/>
  <c r="H135" i="58"/>
  <c r="O135" i="58" s="1"/>
  <c r="H134" i="58"/>
  <c r="O134" i="58" s="1"/>
  <c r="H142" i="58"/>
  <c r="O142" i="58" s="1"/>
  <c r="H137" i="58"/>
  <c r="O137" i="58" s="1"/>
  <c r="H145" i="58"/>
  <c r="O145" i="58" s="1"/>
  <c r="H136" i="58"/>
  <c r="O136" i="58" s="1"/>
  <c r="H144" i="58"/>
  <c r="O144" i="58" s="1"/>
  <c r="H139" i="38" l="1"/>
  <c r="H144" i="38"/>
  <c r="H145" i="38"/>
  <c r="H142" i="38"/>
  <c r="H135" i="38"/>
  <c r="H141" i="38"/>
  <c r="H136" i="38"/>
  <c r="H137" i="38"/>
  <c r="H134" i="38"/>
  <c r="H143" i="38"/>
  <c r="H140" i="38"/>
  <c r="H138" i="38"/>
  <c r="K4" i="38" l="1"/>
  <c r="K5" i="38"/>
  <c r="K6" i="38"/>
  <c r="K7" i="38"/>
  <c r="K8" i="38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K53" i="38"/>
  <c r="K54" i="38"/>
  <c r="K55" i="38"/>
  <c r="K56" i="38"/>
  <c r="K57" i="38"/>
  <c r="K58" i="38"/>
  <c r="K59" i="38"/>
  <c r="K60" i="38"/>
  <c r="K61" i="38"/>
  <c r="K62" i="38"/>
  <c r="K63" i="38"/>
  <c r="K64" i="38"/>
  <c r="K65" i="38"/>
  <c r="K66" i="38"/>
  <c r="K67" i="38"/>
  <c r="K68" i="38"/>
  <c r="K69" i="38"/>
  <c r="K70" i="38"/>
  <c r="K71" i="38"/>
  <c r="K72" i="38"/>
  <c r="K73" i="38"/>
  <c r="K74" i="38"/>
  <c r="K75" i="38"/>
  <c r="K76" i="38"/>
  <c r="K77" i="38"/>
  <c r="K78" i="38"/>
  <c r="K79" i="38"/>
  <c r="K80" i="38"/>
  <c r="K81" i="38"/>
  <c r="K82" i="38"/>
  <c r="K83" i="38"/>
  <c r="K84" i="38"/>
  <c r="K85" i="38"/>
  <c r="K86" i="38"/>
  <c r="K87" i="38"/>
  <c r="K88" i="38"/>
  <c r="K89" i="38"/>
  <c r="K90" i="38"/>
  <c r="K91" i="38"/>
  <c r="K92" i="38"/>
  <c r="K93" i="38"/>
  <c r="K94" i="38"/>
  <c r="K95" i="38"/>
  <c r="K96" i="38"/>
  <c r="K97" i="38"/>
  <c r="K98" i="38"/>
  <c r="K99" i="38"/>
  <c r="K100" i="38"/>
  <c r="K101" i="38"/>
  <c r="K102" i="38"/>
  <c r="K103" i="38"/>
  <c r="K104" i="38"/>
  <c r="K105" i="38"/>
  <c r="K106" i="38"/>
  <c r="K107" i="38"/>
  <c r="K108" i="38"/>
  <c r="K109" i="38"/>
  <c r="K110" i="38"/>
  <c r="K111" i="38"/>
  <c r="K112" i="38"/>
  <c r="K113" i="38"/>
  <c r="K114" i="38"/>
  <c r="K115" i="38"/>
  <c r="K116" i="38"/>
  <c r="K117" i="38"/>
  <c r="K118" i="38"/>
  <c r="K119" i="38"/>
  <c r="K120" i="38"/>
  <c r="K121" i="38"/>
  <c r="K122" i="38"/>
  <c r="K123" i="38"/>
  <c r="K124" i="38"/>
  <c r="K125" i="38"/>
  <c r="K126" i="38"/>
  <c r="K127" i="38"/>
  <c r="K128" i="38"/>
  <c r="K129" i="38"/>
  <c r="K130" i="38"/>
  <c r="K131" i="38"/>
  <c r="K132" i="38"/>
  <c r="K133" i="38"/>
  <c r="K134" i="38"/>
  <c r="K135" i="38"/>
  <c r="K136" i="38"/>
  <c r="K137" i="38"/>
  <c r="K138" i="38"/>
  <c r="K139" i="38"/>
  <c r="K140" i="38"/>
  <c r="K141" i="38"/>
  <c r="K142" i="38"/>
  <c r="K143" i="38"/>
  <c r="K144" i="38"/>
  <c r="K145" i="38"/>
  <c r="Q4" i="38"/>
  <c r="R4" i="38"/>
  <c r="Q5" i="38"/>
  <c r="R5" i="38"/>
  <c r="Q6" i="38"/>
  <c r="R6" i="38"/>
  <c r="Q7" i="38"/>
  <c r="R7" i="38"/>
  <c r="Q8" i="38"/>
  <c r="R8" i="38"/>
  <c r="Q9" i="38"/>
  <c r="R9" i="38"/>
  <c r="Q10" i="38"/>
  <c r="R10" i="38"/>
  <c r="Q11" i="38"/>
  <c r="R11" i="38"/>
  <c r="Q12" i="38"/>
  <c r="R12" i="38"/>
  <c r="Q13" i="38"/>
  <c r="R13" i="38"/>
  <c r="Q14" i="38"/>
  <c r="R14" i="38"/>
  <c r="Q15" i="38"/>
  <c r="R15" i="38"/>
  <c r="Q16" i="38"/>
  <c r="R16" i="38"/>
  <c r="Q17" i="38"/>
  <c r="R17" i="38"/>
  <c r="Q18" i="38"/>
  <c r="R18" i="38"/>
  <c r="Q19" i="38"/>
  <c r="R19" i="38"/>
  <c r="Q20" i="38"/>
  <c r="R20" i="38"/>
  <c r="Q21" i="38"/>
  <c r="R21" i="38"/>
  <c r="Q22" i="38"/>
  <c r="R22" i="38"/>
  <c r="Q23" i="38"/>
  <c r="R23" i="38"/>
  <c r="Q24" i="38"/>
  <c r="R24" i="38"/>
  <c r="Q25" i="38"/>
  <c r="R25" i="38"/>
  <c r="Q26" i="38"/>
  <c r="R26" i="38"/>
  <c r="Q27" i="38"/>
  <c r="R27" i="38"/>
  <c r="Q28" i="38"/>
  <c r="R28" i="38"/>
  <c r="Q29" i="38"/>
  <c r="R29" i="38"/>
  <c r="Q30" i="38"/>
  <c r="R30" i="38"/>
  <c r="Q31" i="38"/>
  <c r="R31" i="38"/>
  <c r="Q32" i="38"/>
  <c r="R32" i="38"/>
  <c r="Q33" i="38"/>
  <c r="R33" i="38"/>
  <c r="Q34" i="38"/>
  <c r="R34" i="38"/>
  <c r="Q35" i="38"/>
  <c r="R35" i="38"/>
  <c r="Q36" i="38"/>
  <c r="R36" i="38"/>
  <c r="Q37" i="38"/>
  <c r="R37" i="38"/>
  <c r="Q38" i="38"/>
  <c r="R38" i="38"/>
  <c r="Q39" i="38"/>
  <c r="R39" i="38"/>
  <c r="Q40" i="38"/>
  <c r="R40" i="38"/>
  <c r="Q41" i="38"/>
  <c r="R41" i="38"/>
  <c r="Q42" i="38"/>
  <c r="R42" i="38"/>
  <c r="Q43" i="38"/>
  <c r="R43" i="38"/>
  <c r="Q44" i="38"/>
  <c r="R44" i="38"/>
  <c r="Q45" i="38"/>
  <c r="R45" i="38"/>
  <c r="Q46" i="38"/>
  <c r="R46" i="38"/>
  <c r="Q47" i="38"/>
  <c r="R47" i="38"/>
  <c r="Q48" i="38"/>
  <c r="R48" i="38"/>
  <c r="Q49" i="38"/>
  <c r="R49" i="38"/>
  <c r="Q50" i="38"/>
  <c r="R50" i="38"/>
  <c r="Q51" i="38"/>
  <c r="R51" i="38"/>
  <c r="Q52" i="38"/>
  <c r="R52" i="38"/>
  <c r="Q53" i="38"/>
  <c r="R53" i="38"/>
  <c r="Q54" i="38"/>
  <c r="R54" i="38"/>
  <c r="R55" i="38"/>
  <c r="Q56" i="38"/>
  <c r="R56" i="38"/>
  <c r="Q57" i="38"/>
  <c r="R57" i="38"/>
  <c r="Q58" i="38"/>
  <c r="R58" i="38"/>
  <c r="Q59" i="38"/>
  <c r="R59" i="38"/>
  <c r="Q60" i="38"/>
  <c r="R60" i="38"/>
  <c r="Q61" i="38"/>
  <c r="R61" i="38"/>
  <c r="Q62" i="38"/>
  <c r="R62" i="38"/>
  <c r="Q63" i="38"/>
  <c r="R63" i="38"/>
  <c r="Q64" i="38"/>
  <c r="R64" i="38"/>
  <c r="Q65" i="38"/>
  <c r="R65" i="38"/>
  <c r="Q66" i="38"/>
  <c r="R66" i="38"/>
  <c r="Q67" i="38"/>
  <c r="R67" i="38"/>
  <c r="Q68" i="38"/>
  <c r="R68" i="38"/>
  <c r="Q69" i="38"/>
  <c r="R69" i="38"/>
  <c r="Q70" i="38"/>
  <c r="R70" i="38"/>
  <c r="Q71" i="38"/>
  <c r="R71" i="38"/>
  <c r="Q72" i="38"/>
  <c r="R72" i="38"/>
  <c r="Q73" i="38"/>
  <c r="R73" i="38"/>
  <c r="Q74" i="38"/>
  <c r="R74" i="38"/>
  <c r="R122" i="38" s="1"/>
  <c r="Q75" i="38"/>
  <c r="R75" i="38"/>
  <c r="R123" i="38" s="1"/>
  <c r="Q76" i="38"/>
  <c r="R76" i="38"/>
  <c r="R124" i="38" s="1"/>
  <c r="Q77" i="38"/>
  <c r="R77" i="38"/>
  <c r="R125" i="38" s="1"/>
  <c r="Q78" i="38"/>
  <c r="R78" i="38"/>
  <c r="R126" i="38" s="1"/>
  <c r="Q79" i="38"/>
  <c r="R79" i="38"/>
  <c r="R127" i="38" s="1"/>
  <c r="Q80" i="38"/>
  <c r="R80" i="38"/>
  <c r="R128" i="38" s="1"/>
  <c r="Q81" i="38"/>
  <c r="R81" i="38"/>
  <c r="R129" i="38" s="1"/>
  <c r="Q82" i="38"/>
  <c r="R82" i="38"/>
  <c r="R130" i="38" s="1"/>
  <c r="Q83" i="38"/>
  <c r="R83" i="38"/>
  <c r="R131" i="38" s="1"/>
  <c r="Q84" i="38"/>
  <c r="R84" i="38"/>
  <c r="R132" i="38" s="1"/>
  <c r="Q85" i="38"/>
  <c r="R85" i="38"/>
  <c r="R133" i="38" s="1"/>
  <c r="Q86" i="38"/>
  <c r="R86" i="38"/>
  <c r="R134" i="38" s="1"/>
  <c r="Q87" i="38"/>
  <c r="R87" i="38"/>
  <c r="R135" i="38" s="1"/>
  <c r="Q88" i="38"/>
  <c r="R88" i="38"/>
  <c r="R136" i="38" s="1"/>
  <c r="Q89" i="38"/>
  <c r="R89" i="38"/>
  <c r="R137" i="38" s="1"/>
  <c r="Q90" i="38"/>
  <c r="R90" i="38"/>
  <c r="R138" i="38" s="1"/>
  <c r="Q91" i="38"/>
  <c r="R91" i="38"/>
  <c r="R139" i="38" s="1"/>
  <c r="Q92" i="38"/>
  <c r="R92" i="38"/>
  <c r="R140" i="38" s="1"/>
  <c r="Q93" i="38"/>
  <c r="R93" i="38"/>
  <c r="R141" i="38" s="1"/>
  <c r="Q94" i="38"/>
  <c r="R94" i="38"/>
  <c r="R142" i="38" s="1"/>
  <c r="Q95" i="38"/>
  <c r="R95" i="38"/>
  <c r="R143" i="38" s="1"/>
  <c r="Q96" i="38"/>
  <c r="R96" i="38"/>
  <c r="R144" i="38" s="1"/>
  <c r="Q97" i="38"/>
  <c r="R97" i="38"/>
  <c r="R145" i="38" s="1"/>
  <c r="Q98" i="38"/>
  <c r="R98" i="38"/>
  <c r="Q99" i="38"/>
  <c r="R99" i="38"/>
  <c r="Q100" i="38"/>
  <c r="R100" i="38"/>
  <c r="Q101" i="38"/>
  <c r="R101" i="38"/>
  <c r="Q102" i="38"/>
  <c r="R102" i="38"/>
  <c r="Q103" i="38"/>
  <c r="R103" i="38"/>
  <c r="Q104" i="38"/>
  <c r="R104" i="38"/>
  <c r="Q105" i="38"/>
  <c r="R105" i="38"/>
  <c r="Q106" i="38"/>
  <c r="R106" i="38"/>
  <c r="Q107" i="38"/>
  <c r="R107" i="38"/>
  <c r="Q108" i="38"/>
  <c r="R108" i="38"/>
  <c r="Q109" i="38"/>
  <c r="R109" i="38"/>
  <c r="Q110" i="38"/>
  <c r="Q111" i="38"/>
  <c r="Q112" i="38"/>
  <c r="Q113" i="38"/>
  <c r="Q114" i="38"/>
  <c r="Q115" i="38"/>
  <c r="Q116" i="38"/>
  <c r="Q117" i="38"/>
  <c r="Q118" i="38"/>
  <c r="Q119" i="38"/>
  <c r="Q120" i="38"/>
  <c r="Q121" i="38"/>
  <c r="K3" i="38"/>
  <c r="I4" i="38"/>
  <c r="P4" i="38" s="1"/>
  <c r="I5" i="38"/>
  <c r="P5" i="38" s="1"/>
  <c r="I6" i="38"/>
  <c r="P6" i="38" s="1"/>
  <c r="I7" i="38"/>
  <c r="P7" i="38" s="1"/>
  <c r="I8" i="38"/>
  <c r="P8" i="38" s="1"/>
  <c r="I9" i="38"/>
  <c r="P9" i="38" s="1"/>
  <c r="I10" i="38"/>
  <c r="P10" i="38" s="1"/>
  <c r="I11" i="38"/>
  <c r="P11" i="38" s="1"/>
  <c r="I12" i="38"/>
  <c r="P12" i="38" s="1"/>
  <c r="I13" i="38"/>
  <c r="P13" i="38" s="1"/>
  <c r="I14" i="38"/>
  <c r="P14" i="38" s="1"/>
  <c r="I15" i="38"/>
  <c r="P15" i="38" s="1"/>
  <c r="I16" i="38"/>
  <c r="P16" i="38" s="1"/>
  <c r="I17" i="38"/>
  <c r="P17" i="38" s="1"/>
  <c r="I18" i="38"/>
  <c r="P18" i="38" s="1"/>
  <c r="I19" i="38"/>
  <c r="P19" i="38" s="1"/>
  <c r="I20" i="38"/>
  <c r="P20" i="38" s="1"/>
  <c r="I21" i="38"/>
  <c r="P21" i="38" s="1"/>
  <c r="I22" i="38"/>
  <c r="P22" i="38" s="1"/>
  <c r="I23" i="38"/>
  <c r="P23" i="38" s="1"/>
  <c r="I24" i="38"/>
  <c r="P24" i="38" s="1"/>
  <c r="I25" i="38"/>
  <c r="P25" i="38" s="1"/>
  <c r="I26" i="38"/>
  <c r="P26" i="38" s="1"/>
  <c r="I27" i="38"/>
  <c r="P27" i="38" s="1"/>
  <c r="I28" i="38"/>
  <c r="P28" i="38" s="1"/>
  <c r="I29" i="38"/>
  <c r="P29" i="38" s="1"/>
  <c r="I30" i="38"/>
  <c r="P30" i="38" s="1"/>
  <c r="I31" i="38"/>
  <c r="P31" i="38" s="1"/>
  <c r="I32" i="38"/>
  <c r="P32" i="38" s="1"/>
  <c r="I33" i="38"/>
  <c r="P33" i="38" s="1"/>
  <c r="I34" i="38"/>
  <c r="P34" i="38" s="1"/>
  <c r="I35" i="38"/>
  <c r="P35" i="38" s="1"/>
  <c r="I36" i="38"/>
  <c r="P36" i="38" s="1"/>
  <c r="I37" i="38"/>
  <c r="P37" i="38" s="1"/>
  <c r="I38" i="38"/>
  <c r="P38" i="38" s="1"/>
  <c r="I39" i="38"/>
  <c r="P39" i="38" s="1"/>
  <c r="I40" i="38"/>
  <c r="P40" i="38" s="1"/>
  <c r="I41" i="38"/>
  <c r="P41" i="38" s="1"/>
  <c r="I42" i="38"/>
  <c r="P42" i="38" s="1"/>
  <c r="I43" i="38"/>
  <c r="P43" i="38" s="1"/>
  <c r="I44" i="38"/>
  <c r="P44" i="38" s="1"/>
  <c r="I45" i="38"/>
  <c r="P45" i="38" s="1"/>
  <c r="I46" i="38"/>
  <c r="P46" i="38" s="1"/>
  <c r="I47" i="38"/>
  <c r="P47" i="38" s="1"/>
  <c r="I48" i="38"/>
  <c r="P48" i="38" s="1"/>
  <c r="I49" i="38"/>
  <c r="P49" i="38" s="1"/>
  <c r="I50" i="38"/>
  <c r="P50" i="38" s="1"/>
  <c r="I51" i="38"/>
  <c r="P51" i="38" s="1"/>
  <c r="I52" i="38"/>
  <c r="P52" i="38" s="1"/>
  <c r="I53" i="38"/>
  <c r="P53" i="38" s="1"/>
  <c r="I54" i="38"/>
  <c r="P54" i="38" s="1"/>
  <c r="I55" i="38"/>
  <c r="P55" i="38" s="1"/>
  <c r="I56" i="38"/>
  <c r="P56" i="38" s="1"/>
  <c r="I57" i="38"/>
  <c r="P57" i="38" s="1"/>
  <c r="I58" i="38"/>
  <c r="P58" i="38" s="1"/>
  <c r="I59" i="38"/>
  <c r="P59" i="38" s="1"/>
  <c r="I60" i="38"/>
  <c r="P60" i="38" s="1"/>
  <c r="I61" i="38"/>
  <c r="P61" i="38" s="1"/>
  <c r="I62" i="38"/>
  <c r="P62" i="38" s="1"/>
  <c r="I63" i="38"/>
  <c r="P63" i="38" s="1"/>
  <c r="I64" i="38"/>
  <c r="P64" i="38" s="1"/>
  <c r="I65" i="38"/>
  <c r="P65" i="38" s="1"/>
  <c r="I66" i="38"/>
  <c r="P66" i="38" s="1"/>
  <c r="I67" i="38"/>
  <c r="P67" i="38" s="1"/>
  <c r="I68" i="38"/>
  <c r="P68" i="38" s="1"/>
  <c r="I69" i="38"/>
  <c r="P69" i="38" s="1"/>
  <c r="I70" i="38"/>
  <c r="P70" i="38" s="1"/>
  <c r="I71" i="38"/>
  <c r="P71" i="38" s="1"/>
  <c r="I72" i="38"/>
  <c r="P72" i="38" s="1"/>
  <c r="I73" i="38"/>
  <c r="P73" i="38" s="1"/>
  <c r="I74" i="38"/>
  <c r="P74" i="38" s="1"/>
  <c r="I75" i="38"/>
  <c r="P75" i="38" s="1"/>
  <c r="I76" i="38"/>
  <c r="P76" i="38" s="1"/>
  <c r="I77" i="38"/>
  <c r="P77" i="38" s="1"/>
  <c r="I78" i="38"/>
  <c r="P78" i="38" s="1"/>
  <c r="I79" i="38"/>
  <c r="P79" i="38" s="1"/>
  <c r="I80" i="38"/>
  <c r="P80" i="38" s="1"/>
  <c r="I81" i="38"/>
  <c r="P81" i="38" s="1"/>
  <c r="I82" i="38"/>
  <c r="P82" i="38" s="1"/>
  <c r="I83" i="38"/>
  <c r="P83" i="38" s="1"/>
  <c r="I84" i="38"/>
  <c r="P84" i="38" s="1"/>
  <c r="I85" i="38"/>
  <c r="P85" i="38" s="1"/>
  <c r="I86" i="38"/>
  <c r="P86" i="38" s="1"/>
  <c r="I87" i="38"/>
  <c r="P87" i="38" s="1"/>
  <c r="I88" i="38"/>
  <c r="P88" i="38" s="1"/>
  <c r="I89" i="38"/>
  <c r="P89" i="38" s="1"/>
  <c r="I90" i="38"/>
  <c r="P90" i="38" s="1"/>
  <c r="I91" i="38"/>
  <c r="P91" i="38" s="1"/>
  <c r="I92" i="38"/>
  <c r="P92" i="38" s="1"/>
  <c r="I93" i="38"/>
  <c r="P93" i="38" s="1"/>
  <c r="I94" i="38"/>
  <c r="P94" i="38" s="1"/>
  <c r="I95" i="38"/>
  <c r="P95" i="38" s="1"/>
  <c r="I96" i="38"/>
  <c r="P96" i="38" s="1"/>
  <c r="I97" i="38"/>
  <c r="P97" i="38" s="1"/>
  <c r="I98" i="38"/>
  <c r="P98" i="38" s="1"/>
  <c r="I99" i="38"/>
  <c r="P99" i="38" s="1"/>
  <c r="I100" i="38"/>
  <c r="P100" i="38" s="1"/>
  <c r="I101" i="38"/>
  <c r="P101" i="38" s="1"/>
  <c r="I102" i="38"/>
  <c r="P102" i="38" s="1"/>
  <c r="I103" i="38"/>
  <c r="P103" i="38" s="1"/>
  <c r="I104" i="38"/>
  <c r="P104" i="38" s="1"/>
  <c r="I105" i="38"/>
  <c r="P105" i="38" s="1"/>
  <c r="I106" i="38"/>
  <c r="P106" i="38" s="1"/>
  <c r="I107" i="38"/>
  <c r="P107" i="38" s="1"/>
  <c r="I108" i="38"/>
  <c r="P108" i="38" s="1"/>
  <c r="I109" i="38"/>
  <c r="P109" i="38" s="1"/>
  <c r="I3" i="38"/>
  <c r="P3" i="38" s="1"/>
  <c r="R3" i="38"/>
  <c r="Q3" i="38"/>
  <c r="A3" i="38"/>
  <c r="C3" i="38" s="1"/>
  <c r="R2" i="38"/>
  <c r="Q2" i="38"/>
  <c r="K2" i="38"/>
  <c r="I2" i="38"/>
  <c r="P2" i="38" s="1"/>
  <c r="G2" i="38"/>
  <c r="N2" i="38" s="1"/>
  <c r="A2" i="38"/>
  <c r="C2" i="38" s="1"/>
  <c r="R1" i="38"/>
  <c r="Q1" i="38"/>
  <c r="I1" i="38"/>
  <c r="P1" i="38" s="1"/>
  <c r="G1" i="38"/>
  <c r="N1" i="38" s="1"/>
  <c r="D1" i="38"/>
  <c r="A1" i="38"/>
  <c r="C145" i="38"/>
  <c r="B145" i="38"/>
  <c r="C144" i="38"/>
  <c r="B144" i="38"/>
  <c r="C143" i="38"/>
  <c r="B143" i="38"/>
  <c r="C142" i="38"/>
  <c r="B142" i="38"/>
  <c r="C141" i="38"/>
  <c r="B141" i="38"/>
  <c r="C140" i="38"/>
  <c r="B140" i="38"/>
  <c r="C139" i="38"/>
  <c r="B139" i="38"/>
  <c r="C138" i="38"/>
  <c r="B138" i="38"/>
  <c r="C137" i="38"/>
  <c r="B137" i="38"/>
  <c r="C136" i="38"/>
  <c r="B136" i="38"/>
  <c r="C135" i="38"/>
  <c r="B135" i="38"/>
  <c r="C134" i="38"/>
  <c r="B134" i="38"/>
  <c r="C133" i="38"/>
  <c r="B133" i="38"/>
  <c r="C132" i="38"/>
  <c r="B132" i="38"/>
  <c r="C131" i="38"/>
  <c r="B131" i="38"/>
  <c r="C130" i="38"/>
  <c r="B130" i="38"/>
  <c r="C129" i="38"/>
  <c r="B129" i="38"/>
  <c r="C128" i="38"/>
  <c r="B128" i="38"/>
  <c r="C127" i="38"/>
  <c r="B127" i="38"/>
  <c r="C126" i="38"/>
  <c r="B126" i="38"/>
  <c r="C125" i="38"/>
  <c r="B125" i="38"/>
  <c r="C124" i="38"/>
  <c r="B124" i="38"/>
  <c r="C123" i="38"/>
  <c r="B123" i="38"/>
  <c r="C122" i="38"/>
  <c r="B122" i="38"/>
  <c r="C121" i="38"/>
  <c r="B121" i="38"/>
  <c r="C120" i="38"/>
  <c r="B120" i="38"/>
  <c r="C119" i="38"/>
  <c r="B119" i="38"/>
  <c r="C118" i="38"/>
  <c r="B118" i="38"/>
  <c r="C117" i="38"/>
  <c r="B117" i="38"/>
  <c r="C116" i="38"/>
  <c r="B116" i="38"/>
  <c r="C115" i="38"/>
  <c r="B115" i="38"/>
  <c r="C114" i="38"/>
  <c r="B114" i="38"/>
  <c r="C113" i="38"/>
  <c r="B113" i="38"/>
  <c r="C112" i="38"/>
  <c r="B112" i="38"/>
  <c r="C111" i="38"/>
  <c r="B111" i="38"/>
  <c r="C110" i="38"/>
  <c r="B110" i="38"/>
  <c r="C109" i="38"/>
  <c r="B109" i="38"/>
  <c r="C108" i="38"/>
  <c r="B108" i="38"/>
  <c r="C107" i="38"/>
  <c r="B107" i="38"/>
  <c r="A106" i="38"/>
  <c r="C106" i="38" s="1"/>
  <c r="A105" i="38"/>
  <c r="B105" i="38" s="1"/>
  <c r="A104" i="38"/>
  <c r="C104" i="38" s="1"/>
  <c r="A103" i="38"/>
  <c r="B103" i="38" s="1"/>
  <c r="A102" i="38"/>
  <c r="C102" i="38" s="1"/>
  <c r="A101" i="38"/>
  <c r="B101" i="38" s="1"/>
  <c r="A100" i="38"/>
  <c r="C100" i="38" s="1"/>
  <c r="A99" i="38"/>
  <c r="B99" i="38" s="1"/>
  <c r="A98" i="38"/>
  <c r="C98" i="38" s="1"/>
  <c r="A97" i="38"/>
  <c r="A96" i="38"/>
  <c r="C96" i="38" s="1"/>
  <c r="A95" i="38"/>
  <c r="A94" i="38"/>
  <c r="C94" i="38" s="1"/>
  <c r="A93" i="38"/>
  <c r="A92" i="38"/>
  <c r="C92" i="38" s="1"/>
  <c r="A91" i="38"/>
  <c r="A90" i="38"/>
  <c r="C90" i="38" s="1"/>
  <c r="A89" i="38"/>
  <c r="B89" i="38" s="1"/>
  <c r="A88" i="38"/>
  <c r="C88" i="38" s="1"/>
  <c r="A87" i="38"/>
  <c r="B87" i="38" s="1"/>
  <c r="A86" i="38"/>
  <c r="C86" i="38" s="1"/>
  <c r="A85" i="38"/>
  <c r="B85" i="38" s="1"/>
  <c r="A84" i="38"/>
  <c r="C84" i="38" s="1"/>
  <c r="A83" i="38"/>
  <c r="A82" i="38"/>
  <c r="C82" i="38" s="1"/>
  <c r="A81" i="38"/>
  <c r="B81" i="38" s="1"/>
  <c r="A80" i="38"/>
  <c r="C80" i="38" s="1"/>
  <c r="A79" i="38"/>
  <c r="B79" i="38" s="1"/>
  <c r="A78" i="38"/>
  <c r="C78" i="38" s="1"/>
  <c r="A77" i="38"/>
  <c r="B77" i="38" s="1"/>
  <c r="A76" i="38"/>
  <c r="C76" i="38" s="1"/>
  <c r="A75" i="38"/>
  <c r="A74" i="38"/>
  <c r="C74" i="38" s="1"/>
  <c r="A73" i="38"/>
  <c r="B73" i="38" s="1"/>
  <c r="A72" i="38"/>
  <c r="C72" i="38" s="1"/>
  <c r="A71" i="38"/>
  <c r="B71" i="38" s="1"/>
  <c r="A70" i="38"/>
  <c r="C70" i="38" s="1"/>
  <c r="A69" i="38"/>
  <c r="B69" i="38" s="1"/>
  <c r="A68" i="38"/>
  <c r="C68" i="38" s="1"/>
  <c r="A67" i="38"/>
  <c r="A66" i="38"/>
  <c r="C66" i="38" s="1"/>
  <c r="A65" i="38"/>
  <c r="B65" i="38" s="1"/>
  <c r="A64" i="38"/>
  <c r="C64" i="38" s="1"/>
  <c r="A63" i="38"/>
  <c r="B63" i="38" s="1"/>
  <c r="A62" i="38"/>
  <c r="C62" i="38" s="1"/>
  <c r="A61" i="38"/>
  <c r="B61" i="38" s="1"/>
  <c r="A60" i="38"/>
  <c r="C60" i="38" s="1"/>
  <c r="A59" i="38"/>
  <c r="A58" i="38"/>
  <c r="C58" i="38" s="1"/>
  <c r="A57" i="38"/>
  <c r="B57" i="38" s="1"/>
  <c r="A56" i="38"/>
  <c r="C56" i="38" s="1"/>
  <c r="A55" i="38"/>
  <c r="B55" i="38" s="1"/>
  <c r="A54" i="38"/>
  <c r="A53" i="38"/>
  <c r="B53" i="38" s="1"/>
  <c r="A52" i="38"/>
  <c r="A51" i="38"/>
  <c r="A50" i="38"/>
  <c r="A49" i="38"/>
  <c r="B49" i="38" s="1"/>
  <c r="A48" i="38"/>
  <c r="C48" i="38" s="1"/>
  <c r="A47" i="38"/>
  <c r="B47" i="38" s="1"/>
  <c r="A46" i="38"/>
  <c r="C46" i="38" s="1"/>
  <c r="A45" i="38"/>
  <c r="B45" i="38" s="1"/>
  <c r="A44" i="38"/>
  <c r="A43" i="38"/>
  <c r="B43" i="38" s="1"/>
  <c r="A42" i="38"/>
  <c r="C42" i="38" s="1"/>
  <c r="A41" i="38"/>
  <c r="B41" i="38" s="1"/>
  <c r="A40" i="38"/>
  <c r="C40" i="38" s="1"/>
  <c r="A39" i="38"/>
  <c r="A38" i="38"/>
  <c r="C38" i="38" s="1"/>
  <c r="A37" i="38"/>
  <c r="B37" i="38" s="1"/>
  <c r="A36" i="38"/>
  <c r="C36" i="38" s="1"/>
  <c r="A35" i="38"/>
  <c r="B35" i="38" s="1"/>
  <c r="A34" i="38"/>
  <c r="C34" i="38" s="1"/>
  <c r="A33" i="38"/>
  <c r="B33" i="38" s="1"/>
  <c r="A32" i="38"/>
  <c r="C32" i="38" s="1"/>
  <c r="A31" i="38"/>
  <c r="A30" i="38"/>
  <c r="C30" i="38" s="1"/>
  <c r="A29" i="38"/>
  <c r="B29" i="38" s="1"/>
  <c r="A28" i="38"/>
  <c r="C28" i="38" s="1"/>
  <c r="A27" i="38"/>
  <c r="B27" i="38" s="1"/>
  <c r="A26" i="38"/>
  <c r="C26" i="38" s="1"/>
  <c r="A25" i="38"/>
  <c r="B25" i="38" s="1"/>
  <c r="A24" i="38"/>
  <c r="C24" i="38" s="1"/>
  <c r="A23" i="38"/>
  <c r="A22" i="38"/>
  <c r="C22" i="38" s="1"/>
  <c r="A21" i="38"/>
  <c r="B21" i="38" s="1"/>
  <c r="A20" i="38"/>
  <c r="C20" i="38" s="1"/>
  <c r="A19" i="38"/>
  <c r="B19" i="38" s="1"/>
  <c r="A18" i="38"/>
  <c r="C18" i="38" s="1"/>
  <c r="A17" i="38"/>
  <c r="B17" i="38" s="1"/>
  <c r="A16" i="38"/>
  <c r="C16" i="38" s="1"/>
  <c r="A15" i="38"/>
  <c r="A14" i="38"/>
  <c r="C14" i="38" s="1"/>
  <c r="A13" i="38"/>
  <c r="B13" i="38" s="1"/>
  <c r="A12" i="38"/>
  <c r="C12" i="38" s="1"/>
  <c r="A11" i="38"/>
  <c r="B11" i="38" s="1"/>
  <c r="A10" i="38"/>
  <c r="C10" i="38" s="1"/>
  <c r="A9" i="38"/>
  <c r="B9" i="38" s="1"/>
  <c r="A8" i="38"/>
  <c r="B8" i="38" s="1"/>
  <c r="A7" i="38"/>
  <c r="A6" i="38"/>
  <c r="B6" i="38" s="1"/>
  <c r="A5" i="38"/>
  <c r="B5" i="38" s="1"/>
  <c r="A4" i="38"/>
  <c r="B4" i="38" s="1"/>
  <c r="B102" i="38" l="1"/>
  <c r="C85" i="38"/>
  <c r="C63" i="38"/>
  <c r="C35" i="38"/>
  <c r="C53" i="38"/>
  <c r="C25" i="38"/>
  <c r="C43" i="38"/>
  <c r="B94" i="38"/>
  <c r="C71" i="38"/>
  <c r="C11" i="38"/>
  <c r="C27" i="38"/>
  <c r="C41" i="38"/>
  <c r="C87" i="38"/>
  <c r="B96" i="38"/>
  <c r="C9" i="38"/>
  <c r="C19" i="38"/>
  <c r="C45" i="38"/>
  <c r="C55" i="38"/>
  <c r="C69" i="38"/>
  <c r="C79" i="38"/>
  <c r="B92" i="38"/>
  <c r="C44" i="38"/>
  <c r="B44" i="38"/>
  <c r="B39" i="38"/>
  <c r="C39" i="38"/>
  <c r="C17" i="38"/>
  <c r="C33" i="38"/>
  <c r="B48" i="38"/>
  <c r="C61" i="38"/>
  <c r="C77" i="38"/>
  <c r="B93" i="38"/>
  <c r="C93" i="38"/>
  <c r="B98" i="38"/>
  <c r="B106" i="38"/>
  <c r="C97" i="38"/>
  <c r="B97" i="38"/>
  <c r="B7" i="38"/>
  <c r="C7" i="38"/>
  <c r="B23" i="38"/>
  <c r="C23" i="38"/>
  <c r="B51" i="38"/>
  <c r="C51" i="38"/>
  <c r="B67" i="38"/>
  <c r="C67" i="38"/>
  <c r="B83" i="38"/>
  <c r="C83" i="38"/>
  <c r="B95" i="38"/>
  <c r="C95" i="38"/>
  <c r="B100" i="38"/>
  <c r="B15" i="38"/>
  <c r="C15" i="38"/>
  <c r="B31" i="38"/>
  <c r="C31" i="38"/>
  <c r="B59" i="38"/>
  <c r="C59" i="38"/>
  <c r="B75" i="38"/>
  <c r="C75" i="38"/>
  <c r="B91" i="38"/>
  <c r="C91" i="38"/>
  <c r="B104" i="38"/>
  <c r="C5" i="38"/>
  <c r="C13" i="38"/>
  <c r="C21" i="38"/>
  <c r="C29" i="38"/>
  <c r="C37" i="38"/>
  <c r="C47" i="38"/>
  <c r="C49" i="38"/>
  <c r="C57" i="38"/>
  <c r="C65" i="38"/>
  <c r="C73" i="38"/>
  <c r="C81" i="38"/>
  <c r="C89" i="38"/>
  <c r="C99" i="38"/>
  <c r="C101" i="38"/>
  <c r="C103" i="38"/>
  <c r="C105" i="38"/>
  <c r="B2" i="38"/>
  <c r="B3" i="38"/>
  <c r="C4" i="38"/>
  <c r="C6" i="38"/>
  <c r="C8" i="38"/>
  <c r="B42" i="38"/>
  <c r="C52" i="38"/>
  <c r="B52" i="38"/>
  <c r="B10" i="38"/>
  <c r="B12" i="38"/>
  <c r="B14" i="38"/>
  <c r="B16" i="38"/>
  <c r="B18" i="38"/>
  <c r="B20" i="38"/>
  <c r="B22" i="38"/>
  <c r="B24" i="38"/>
  <c r="B26" i="38"/>
  <c r="B28" i="38"/>
  <c r="B30" i="38"/>
  <c r="B32" i="38"/>
  <c r="B34" i="38"/>
  <c r="B36" i="38"/>
  <c r="B38" i="38"/>
  <c r="B40" i="38"/>
  <c r="B46" i="38"/>
  <c r="C50" i="38"/>
  <c r="B50" i="38"/>
  <c r="C54" i="38"/>
  <c r="B54" i="38"/>
  <c r="B56" i="38"/>
  <c r="B58" i="38"/>
  <c r="B60" i="38"/>
  <c r="B62" i="38"/>
  <c r="B64" i="38"/>
  <c r="B66" i="38"/>
  <c r="B68" i="38"/>
  <c r="B70" i="38"/>
  <c r="B72" i="38"/>
  <c r="B74" i="38"/>
  <c r="B76" i="38"/>
  <c r="B78" i="38"/>
  <c r="B80" i="38"/>
  <c r="B82" i="38"/>
  <c r="B84" i="38"/>
  <c r="B86" i="38"/>
  <c r="B88" i="38"/>
  <c r="B90" i="38"/>
  <c r="S23" i="23" l="1"/>
  <c r="S24" i="23"/>
  <c r="S25" i="23"/>
  <c r="S26" i="23"/>
  <c r="S27" i="23"/>
  <c r="S28" i="23"/>
  <c r="S29" i="23"/>
  <c r="S30" i="23"/>
  <c r="S31" i="23"/>
  <c r="S32" i="23"/>
  <c r="S22" i="23"/>
  <c r="O23" i="23"/>
  <c r="O24" i="23"/>
  <c r="O25" i="23"/>
  <c r="O26" i="23"/>
  <c r="O27" i="23"/>
  <c r="O28" i="23"/>
  <c r="O29" i="23"/>
  <c r="O30" i="23"/>
  <c r="O31" i="23"/>
  <c r="O32" i="23"/>
  <c r="O22" i="23"/>
  <c r="K23" i="23"/>
  <c r="K24" i="23"/>
  <c r="K25" i="23"/>
  <c r="K26" i="23"/>
  <c r="K27" i="23"/>
  <c r="K28" i="23"/>
  <c r="K29" i="23"/>
  <c r="K30" i="23"/>
  <c r="K31" i="23"/>
  <c r="K32" i="23"/>
  <c r="K35" i="23" s="1"/>
  <c r="K22" i="23"/>
  <c r="G23" i="23"/>
  <c r="G24" i="23"/>
  <c r="G25" i="23"/>
  <c r="G26" i="23"/>
  <c r="G27" i="23"/>
  <c r="G28" i="23"/>
  <c r="G29" i="23"/>
  <c r="G30" i="23"/>
  <c r="G31" i="23"/>
  <c r="G32" i="23"/>
  <c r="G22" i="23"/>
  <c r="C23" i="23"/>
  <c r="C32" i="23"/>
  <c r="C33" i="23"/>
  <c r="C22" i="23"/>
  <c r="F9" i="26"/>
  <c r="F8" i="26"/>
  <c r="F7" i="26"/>
  <c r="E1" i="36"/>
  <c r="R3" i="36"/>
  <c r="S3" i="36"/>
  <c r="R4" i="36"/>
  <c r="S4" i="36"/>
  <c r="R5" i="36"/>
  <c r="S5" i="36"/>
  <c r="R6" i="36"/>
  <c r="S6" i="36"/>
  <c r="R7" i="36"/>
  <c r="S7" i="36"/>
  <c r="R8" i="36"/>
  <c r="S8" i="36"/>
  <c r="R9" i="36"/>
  <c r="S9" i="36"/>
  <c r="R10" i="36"/>
  <c r="S10" i="36"/>
  <c r="R11" i="36"/>
  <c r="S11" i="36"/>
  <c r="R12" i="36"/>
  <c r="S12" i="36"/>
  <c r="R13" i="36"/>
  <c r="S13" i="36"/>
  <c r="R14" i="36"/>
  <c r="S14" i="36"/>
  <c r="R15" i="36"/>
  <c r="S15" i="36"/>
  <c r="R16" i="36"/>
  <c r="S16" i="36"/>
  <c r="R17" i="36"/>
  <c r="S17" i="36"/>
  <c r="R18" i="36"/>
  <c r="S18" i="36"/>
  <c r="R19" i="36"/>
  <c r="S19" i="36"/>
  <c r="R20" i="36"/>
  <c r="S20" i="36"/>
  <c r="R21" i="36"/>
  <c r="S21" i="36"/>
  <c r="R22" i="36"/>
  <c r="S22" i="36"/>
  <c r="R23" i="36"/>
  <c r="S23" i="36"/>
  <c r="R24" i="36"/>
  <c r="S24" i="36"/>
  <c r="R25" i="36"/>
  <c r="S25" i="36"/>
  <c r="R26" i="36"/>
  <c r="S26" i="36"/>
  <c r="R27" i="36"/>
  <c r="S27" i="36"/>
  <c r="R28" i="36"/>
  <c r="S28" i="36"/>
  <c r="R29" i="36"/>
  <c r="S29" i="36"/>
  <c r="R30" i="36"/>
  <c r="S30" i="36"/>
  <c r="R31" i="36"/>
  <c r="S31" i="36"/>
  <c r="R32" i="36"/>
  <c r="S32" i="36"/>
  <c r="R33" i="36"/>
  <c r="S33" i="36"/>
  <c r="R34" i="36"/>
  <c r="S34" i="36"/>
  <c r="R35" i="36"/>
  <c r="S35" i="36"/>
  <c r="R36" i="36"/>
  <c r="S36" i="36"/>
  <c r="R37" i="36"/>
  <c r="S37" i="36"/>
  <c r="R38" i="36"/>
  <c r="S38" i="36"/>
  <c r="R39" i="36"/>
  <c r="S39" i="36"/>
  <c r="R40" i="36"/>
  <c r="S40" i="36"/>
  <c r="R41" i="36"/>
  <c r="S41" i="36"/>
  <c r="R42" i="36"/>
  <c r="S42" i="36"/>
  <c r="R43" i="36"/>
  <c r="S43" i="36"/>
  <c r="R44" i="36"/>
  <c r="S44" i="36"/>
  <c r="R45" i="36"/>
  <c r="S45" i="36"/>
  <c r="R46" i="36"/>
  <c r="S46" i="36"/>
  <c r="R47" i="36"/>
  <c r="S47" i="36"/>
  <c r="R48" i="36"/>
  <c r="S48" i="36"/>
  <c r="R49" i="36"/>
  <c r="S49" i="36"/>
  <c r="R50" i="36"/>
  <c r="S50" i="36"/>
  <c r="R51" i="36"/>
  <c r="S51" i="36"/>
  <c r="R52" i="36"/>
  <c r="S52" i="36"/>
  <c r="R53" i="36"/>
  <c r="S53" i="36"/>
  <c r="R54" i="36"/>
  <c r="S54" i="36"/>
  <c r="S55" i="36"/>
  <c r="R56" i="36"/>
  <c r="S56" i="36"/>
  <c r="R57" i="36"/>
  <c r="S57" i="36"/>
  <c r="R58" i="36"/>
  <c r="S58" i="36"/>
  <c r="R59" i="36"/>
  <c r="S59" i="36"/>
  <c r="R60" i="36"/>
  <c r="S60" i="36"/>
  <c r="R61" i="36"/>
  <c r="S61" i="36"/>
  <c r="R62" i="36"/>
  <c r="S62" i="36"/>
  <c r="R63" i="36"/>
  <c r="S63" i="36"/>
  <c r="R64" i="36"/>
  <c r="S64" i="36"/>
  <c r="R65" i="36"/>
  <c r="S65" i="36"/>
  <c r="R66" i="36"/>
  <c r="S66" i="36"/>
  <c r="R67" i="36"/>
  <c r="S67" i="36"/>
  <c r="R68" i="36"/>
  <c r="S68" i="36"/>
  <c r="R69" i="36"/>
  <c r="S69" i="36"/>
  <c r="R70" i="36"/>
  <c r="S70" i="36"/>
  <c r="R71" i="36"/>
  <c r="S71" i="36"/>
  <c r="R72" i="36"/>
  <c r="S72" i="36"/>
  <c r="R73" i="36"/>
  <c r="S73" i="36"/>
  <c r="R74" i="36"/>
  <c r="S74" i="36"/>
  <c r="R75" i="36"/>
  <c r="S75" i="36"/>
  <c r="R76" i="36"/>
  <c r="S76" i="36"/>
  <c r="S124" i="36" s="1"/>
  <c r="R77" i="36"/>
  <c r="S77" i="36"/>
  <c r="R78" i="36"/>
  <c r="S78" i="36"/>
  <c r="R79" i="36"/>
  <c r="S79" i="36"/>
  <c r="R80" i="36"/>
  <c r="S80" i="36"/>
  <c r="S128" i="36" s="1"/>
  <c r="R81" i="36"/>
  <c r="S81" i="36"/>
  <c r="R82" i="36"/>
  <c r="S82" i="36"/>
  <c r="R83" i="36"/>
  <c r="S83" i="36"/>
  <c r="R84" i="36"/>
  <c r="S84" i="36"/>
  <c r="S132" i="36" s="1"/>
  <c r="R85" i="36"/>
  <c r="S85" i="36"/>
  <c r="R86" i="36"/>
  <c r="S86" i="36"/>
  <c r="R87" i="36"/>
  <c r="S87" i="36"/>
  <c r="R88" i="36"/>
  <c r="S88" i="36"/>
  <c r="S136" i="36" s="1"/>
  <c r="R89" i="36"/>
  <c r="S89" i="36"/>
  <c r="R90" i="36"/>
  <c r="S90" i="36"/>
  <c r="R91" i="36"/>
  <c r="S91" i="36"/>
  <c r="R92" i="36"/>
  <c r="S92" i="36"/>
  <c r="S140" i="36" s="1"/>
  <c r="R93" i="36"/>
  <c r="S93" i="36"/>
  <c r="R94" i="36"/>
  <c r="S94" i="36"/>
  <c r="R95" i="36"/>
  <c r="S95" i="36"/>
  <c r="R96" i="36"/>
  <c r="S96" i="36"/>
  <c r="S144" i="36" s="1"/>
  <c r="R97" i="36"/>
  <c r="S97" i="36"/>
  <c r="R98" i="36"/>
  <c r="S98" i="36"/>
  <c r="R99" i="36"/>
  <c r="S99" i="36"/>
  <c r="R100" i="36"/>
  <c r="S100" i="36"/>
  <c r="R101" i="36"/>
  <c r="S101" i="36"/>
  <c r="R102" i="36"/>
  <c r="S102" i="36"/>
  <c r="R103" i="36"/>
  <c r="S103" i="36"/>
  <c r="R104" i="36"/>
  <c r="S104" i="36"/>
  <c r="R105" i="36"/>
  <c r="S105" i="36"/>
  <c r="R106" i="36"/>
  <c r="S106" i="36"/>
  <c r="R107" i="36"/>
  <c r="S107" i="36"/>
  <c r="R108" i="36"/>
  <c r="S108" i="36"/>
  <c r="R109" i="36"/>
  <c r="S109" i="36"/>
  <c r="R110" i="36"/>
  <c r="R111" i="36"/>
  <c r="R112" i="36"/>
  <c r="R113" i="36"/>
  <c r="R114" i="36"/>
  <c r="R115" i="36"/>
  <c r="R116" i="36"/>
  <c r="R117" i="36"/>
  <c r="R118" i="36"/>
  <c r="R119" i="36"/>
  <c r="R120" i="36"/>
  <c r="R121" i="36"/>
  <c r="R2" i="36"/>
  <c r="R1" i="36"/>
  <c r="D1" i="36"/>
  <c r="J2" i="36"/>
  <c r="Q2" i="36" s="1"/>
  <c r="J3" i="36"/>
  <c r="Q3" i="36" s="1"/>
  <c r="J4" i="36"/>
  <c r="Q4" i="36" s="1"/>
  <c r="J5" i="36"/>
  <c r="Q5" i="36" s="1"/>
  <c r="J6" i="36"/>
  <c r="Q6" i="36" s="1"/>
  <c r="J7" i="36"/>
  <c r="Q7" i="36" s="1"/>
  <c r="J8" i="36"/>
  <c r="Q8" i="36" s="1"/>
  <c r="J9" i="36"/>
  <c r="Q9" i="36" s="1"/>
  <c r="J10" i="36"/>
  <c r="Q10" i="36" s="1"/>
  <c r="J11" i="36"/>
  <c r="Q11" i="36" s="1"/>
  <c r="J12" i="36"/>
  <c r="Q12" i="36" s="1"/>
  <c r="J13" i="36"/>
  <c r="Q13" i="36" s="1"/>
  <c r="J14" i="36"/>
  <c r="Q14" i="36" s="1"/>
  <c r="J15" i="36"/>
  <c r="Q15" i="36" s="1"/>
  <c r="J16" i="36"/>
  <c r="Q16" i="36" s="1"/>
  <c r="J17" i="36"/>
  <c r="Q17" i="36" s="1"/>
  <c r="J18" i="36"/>
  <c r="Q18" i="36" s="1"/>
  <c r="J19" i="36"/>
  <c r="Q19" i="36" s="1"/>
  <c r="J20" i="36"/>
  <c r="Q20" i="36" s="1"/>
  <c r="J21" i="36"/>
  <c r="Q21" i="36" s="1"/>
  <c r="J22" i="36"/>
  <c r="Q22" i="36" s="1"/>
  <c r="J23" i="36"/>
  <c r="Q23" i="36" s="1"/>
  <c r="J24" i="36"/>
  <c r="Q24" i="36" s="1"/>
  <c r="J25" i="36"/>
  <c r="Q25" i="36" s="1"/>
  <c r="J26" i="36"/>
  <c r="Q26" i="36" s="1"/>
  <c r="J27" i="36"/>
  <c r="Q27" i="36" s="1"/>
  <c r="J28" i="36"/>
  <c r="Q28" i="36" s="1"/>
  <c r="J29" i="36"/>
  <c r="Q29" i="36" s="1"/>
  <c r="J30" i="36"/>
  <c r="Q30" i="36" s="1"/>
  <c r="J31" i="36"/>
  <c r="Q31" i="36" s="1"/>
  <c r="J32" i="36"/>
  <c r="Q32" i="36" s="1"/>
  <c r="J33" i="36"/>
  <c r="Q33" i="36" s="1"/>
  <c r="J34" i="36"/>
  <c r="Q34" i="36" s="1"/>
  <c r="J35" i="36"/>
  <c r="Q35" i="36" s="1"/>
  <c r="J36" i="36"/>
  <c r="Q36" i="36" s="1"/>
  <c r="J37" i="36"/>
  <c r="Q37" i="36" s="1"/>
  <c r="J38" i="36"/>
  <c r="Q38" i="36" s="1"/>
  <c r="J39" i="36"/>
  <c r="Q39" i="36" s="1"/>
  <c r="J40" i="36"/>
  <c r="Q40" i="36" s="1"/>
  <c r="J41" i="36"/>
  <c r="Q41" i="36" s="1"/>
  <c r="J42" i="36"/>
  <c r="Q42" i="36" s="1"/>
  <c r="J43" i="36"/>
  <c r="Q43" i="36" s="1"/>
  <c r="J44" i="36"/>
  <c r="Q44" i="36" s="1"/>
  <c r="J45" i="36"/>
  <c r="Q45" i="36" s="1"/>
  <c r="J46" i="36"/>
  <c r="Q46" i="36" s="1"/>
  <c r="J47" i="36"/>
  <c r="Q47" i="36" s="1"/>
  <c r="J48" i="36"/>
  <c r="Q48" i="36" s="1"/>
  <c r="J49" i="36"/>
  <c r="Q49" i="36" s="1"/>
  <c r="J50" i="36"/>
  <c r="Q50" i="36" s="1"/>
  <c r="J51" i="36"/>
  <c r="Q51" i="36" s="1"/>
  <c r="J52" i="36"/>
  <c r="Q52" i="36" s="1"/>
  <c r="J53" i="36"/>
  <c r="Q53" i="36" s="1"/>
  <c r="J54" i="36"/>
  <c r="Q54" i="36" s="1"/>
  <c r="J55" i="36"/>
  <c r="Q55" i="36" s="1"/>
  <c r="J56" i="36"/>
  <c r="Q56" i="36" s="1"/>
  <c r="J57" i="36"/>
  <c r="Q57" i="36" s="1"/>
  <c r="J58" i="36"/>
  <c r="Q58" i="36" s="1"/>
  <c r="J59" i="36"/>
  <c r="Q59" i="36" s="1"/>
  <c r="J60" i="36"/>
  <c r="Q60" i="36" s="1"/>
  <c r="J61" i="36"/>
  <c r="Q61" i="36" s="1"/>
  <c r="J62" i="36"/>
  <c r="Q62" i="36" s="1"/>
  <c r="J63" i="36"/>
  <c r="Q63" i="36" s="1"/>
  <c r="J64" i="36"/>
  <c r="Q64" i="36" s="1"/>
  <c r="J65" i="36"/>
  <c r="Q65" i="36" s="1"/>
  <c r="J66" i="36"/>
  <c r="Q66" i="36" s="1"/>
  <c r="J67" i="36"/>
  <c r="Q67" i="36" s="1"/>
  <c r="J68" i="36"/>
  <c r="Q68" i="36" s="1"/>
  <c r="J69" i="36"/>
  <c r="Q69" i="36" s="1"/>
  <c r="J70" i="36"/>
  <c r="Q70" i="36" s="1"/>
  <c r="J71" i="36"/>
  <c r="Q71" i="36" s="1"/>
  <c r="J72" i="36"/>
  <c r="Q72" i="36" s="1"/>
  <c r="J73" i="36"/>
  <c r="Q73" i="36" s="1"/>
  <c r="J74" i="36"/>
  <c r="Q74" i="36" s="1"/>
  <c r="J75" i="36"/>
  <c r="Q75" i="36" s="1"/>
  <c r="J76" i="36"/>
  <c r="Q76" i="36" s="1"/>
  <c r="J77" i="36"/>
  <c r="Q77" i="36" s="1"/>
  <c r="J78" i="36"/>
  <c r="Q78" i="36" s="1"/>
  <c r="J79" i="36"/>
  <c r="Q79" i="36" s="1"/>
  <c r="J80" i="36"/>
  <c r="Q80" i="36" s="1"/>
  <c r="J81" i="36"/>
  <c r="Q81" i="36" s="1"/>
  <c r="J82" i="36"/>
  <c r="Q82" i="36" s="1"/>
  <c r="J83" i="36"/>
  <c r="Q83" i="36" s="1"/>
  <c r="J84" i="36"/>
  <c r="Q84" i="36" s="1"/>
  <c r="J85" i="36"/>
  <c r="Q85" i="36" s="1"/>
  <c r="J86" i="36"/>
  <c r="Q86" i="36" s="1"/>
  <c r="J87" i="36"/>
  <c r="Q87" i="36" s="1"/>
  <c r="J88" i="36"/>
  <c r="Q88" i="36" s="1"/>
  <c r="J89" i="36"/>
  <c r="Q89" i="36" s="1"/>
  <c r="J90" i="36"/>
  <c r="Q90" i="36" s="1"/>
  <c r="J91" i="36"/>
  <c r="Q91" i="36" s="1"/>
  <c r="J92" i="36"/>
  <c r="Q92" i="36" s="1"/>
  <c r="J93" i="36"/>
  <c r="Q93" i="36" s="1"/>
  <c r="J94" i="36"/>
  <c r="Q94" i="36" s="1"/>
  <c r="J95" i="36"/>
  <c r="Q95" i="36" s="1"/>
  <c r="J96" i="36"/>
  <c r="Q96" i="36" s="1"/>
  <c r="J97" i="36"/>
  <c r="Q97" i="36" s="1"/>
  <c r="J98" i="36"/>
  <c r="Q98" i="36" s="1"/>
  <c r="J99" i="36"/>
  <c r="Q99" i="36" s="1"/>
  <c r="J100" i="36"/>
  <c r="Q100" i="36" s="1"/>
  <c r="J101" i="36"/>
  <c r="Q101" i="36" s="1"/>
  <c r="J102" i="36"/>
  <c r="Q102" i="36" s="1"/>
  <c r="J103" i="36"/>
  <c r="Q103" i="36" s="1"/>
  <c r="J104" i="36"/>
  <c r="Q104" i="36" s="1"/>
  <c r="J105" i="36"/>
  <c r="Q105" i="36" s="1"/>
  <c r="J106" i="36"/>
  <c r="Q106" i="36" s="1"/>
  <c r="J107" i="36"/>
  <c r="Q107" i="36" s="1"/>
  <c r="J108" i="36"/>
  <c r="Q108" i="36" s="1"/>
  <c r="J109" i="36"/>
  <c r="Q109" i="36" s="1"/>
  <c r="J110" i="36"/>
  <c r="J111" i="36"/>
  <c r="J112" i="36"/>
  <c r="Q112" i="36" s="1"/>
  <c r="J113" i="36"/>
  <c r="Q113" i="36" s="1"/>
  <c r="J114" i="36"/>
  <c r="J115" i="36"/>
  <c r="J116" i="36"/>
  <c r="Q116" i="36" s="1"/>
  <c r="J117" i="36"/>
  <c r="Q117" i="36" s="1"/>
  <c r="J118" i="36"/>
  <c r="J119" i="36"/>
  <c r="J120" i="36"/>
  <c r="Q120" i="36" s="1"/>
  <c r="J121" i="36"/>
  <c r="Q121" i="36" s="1"/>
  <c r="J1" i="36"/>
  <c r="Q1" i="36" s="1"/>
  <c r="I2" i="36"/>
  <c r="P2" i="36" s="1"/>
  <c r="I1" i="36"/>
  <c r="P1" i="36" s="1"/>
  <c r="C145" i="36"/>
  <c r="B145" i="36"/>
  <c r="C144" i="36"/>
  <c r="B144" i="36"/>
  <c r="C143" i="36"/>
  <c r="B143" i="36"/>
  <c r="C142" i="36"/>
  <c r="B142" i="36"/>
  <c r="C141" i="36"/>
  <c r="B141" i="36"/>
  <c r="C140" i="36"/>
  <c r="B140" i="36"/>
  <c r="C139" i="36"/>
  <c r="B139" i="36"/>
  <c r="C138" i="36"/>
  <c r="B138" i="36"/>
  <c r="C137" i="36"/>
  <c r="B137" i="36"/>
  <c r="C136" i="36"/>
  <c r="B136" i="36"/>
  <c r="C135" i="36"/>
  <c r="B135" i="36"/>
  <c r="C134" i="36"/>
  <c r="B134" i="36"/>
  <c r="C133" i="36"/>
  <c r="B133" i="36"/>
  <c r="C132" i="36"/>
  <c r="B132" i="36"/>
  <c r="C131" i="36"/>
  <c r="B131" i="36"/>
  <c r="C130" i="36"/>
  <c r="B130" i="36"/>
  <c r="C129" i="36"/>
  <c r="B129" i="36"/>
  <c r="C128" i="36"/>
  <c r="B128" i="36"/>
  <c r="C127" i="36"/>
  <c r="B127" i="36"/>
  <c r="C126" i="36"/>
  <c r="B126" i="36"/>
  <c r="C125" i="36"/>
  <c r="B125" i="36"/>
  <c r="C124" i="36"/>
  <c r="B124" i="36"/>
  <c r="C123" i="36"/>
  <c r="B123" i="36"/>
  <c r="C122" i="36"/>
  <c r="B122" i="36"/>
  <c r="C121" i="36"/>
  <c r="B121" i="36"/>
  <c r="C120" i="36"/>
  <c r="B120" i="36"/>
  <c r="C119" i="36"/>
  <c r="B119" i="36"/>
  <c r="C118" i="36"/>
  <c r="B118" i="36"/>
  <c r="C117" i="36"/>
  <c r="B117" i="36"/>
  <c r="C116" i="36"/>
  <c r="B116" i="36"/>
  <c r="C115" i="36"/>
  <c r="B115" i="36"/>
  <c r="C114" i="36"/>
  <c r="B114" i="36"/>
  <c r="C113" i="36"/>
  <c r="B113" i="36"/>
  <c r="C112" i="36"/>
  <c r="B112" i="36"/>
  <c r="C111" i="36"/>
  <c r="B111" i="36"/>
  <c r="C110" i="36"/>
  <c r="B110" i="36"/>
  <c r="C109" i="36"/>
  <c r="B109" i="36"/>
  <c r="C108" i="36"/>
  <c r="B108" i="36"/>
  <c r="C107" i="36"/>
  <c r="B107" i="36"/>
  <c r="A106" i="36"/>
  <c r="C106" i="36" s="1"/>
  <c r="A105" i="36"/>
  <c r="C105" i="36" s="1"/>
  <c r="A104" i="36"/>
  <c r="C104" i="36" s="1"/>
  <c r="A103" i="36"/>
  <c r="B103" i="36" s="1"/>
  <c r="A102" i="36"/>
  <c r="C102" i="36" s="1"/>
  <c r="A101" i="36"/>
  <c r="C101" i="36" s="1"/>
  <c r="A100" i="36"/>
  <c r="C100" i="36" s="1"/>
  <c r="A99" i="36"/>
  <c r="B99" i="36" s="1"/>
  <c r="A98" i="36"/>
  <c r="C98" i="36" s="1"/>
  <c r="A97" i="36"/>
  <c r="C97" i="36" s="1"/>
  <c r="A96" i="36"/>
  <c r="C96" i="36" s="1"/>
  <c r="A95" i="36"/>
  <c r="B95" i="36" s="1"/>
  <c r="A94" i="36"/>
  <c r="C94" i="36" s="1"/>
  <c r="A93" i="36"/>
  <c r="C93" i="36" s="1"/>
  <c r="A92" i="36"/>
  <c r="C92" i="36" s="1"/>
  <c r="A91" i="36"/>
  <c r="B91" i="36" s="1"/>
  <c r="A90" i="36"/>
  <c r="C90" i="36" s="1"/>
  <c r="A89" i="36"/>
  <c r="C89" i="36" s="1"/>
  <c r="A88" i="36"/>
  <c r="C88" i="36" s="1"/>
  <c r="A87" i="36"/>
  <c r="B87" i="36" s="1"/>
  <c r="A86" i="36"/>
  <c r="C86" i="36" s="1"/>
  <c r="A85" i="36"/>
  <c r="C85" i="36" s="1"/>
  <c r="A84" i="36"/>
  <c r="C84" i="36" s="1"/>
  <c r="A83" i="36"/>
  <c r="B83" i="36" s="1"/>
  <c r="A82" i="36"/>
  <c r="C82" i="36" s="1"/>
  <c r="A81" i="36"/>
  <c r="C81" i="36" s="1"/>
  <c r="A80" i="36"/>
  <c r="C80" i="36" s="1"/>
  <c r="A79" i="36"/>
  <c r="B79" i="36" s="1"/>
  <c r="A78" i="36"/>
  <c r="A77" i="36"/>
  <c r="C77" i="36" s="1"/>
  <c r="A76" i="36"/>
  <c r="A75" i="36"/>
  <c r="C75" i="36" s="1"/>
  <c r="A74" i="36"/>
  <c r="A73" i="36"/>
  <c r="C73" i="36" s="1"/>
  <c r="A72" i="36"/>
  <c r="A71" i="36"/>
  <c r="B71" i="36" s="1"/>
  <c r="A70" i="36"/>
  <c r="A69" i="36"/>
  <c r="C69" i="36" s="1"/>
  <c r="A68" i="36"/>
  <c r="A67" i="36"/>
  <c r="C67" i="36" s="1"/>
  <c r="A66" i="36"/>
  <c r="B66" i="36" s="1"/>
  <c r="A65" i="36"/>
  <c r="C65" i="36" s="1"/>
  <c r="A64" i="36"/>
  <c r="B64" i="36" s="1"/>
  <c r="A63" i="36"/>
  <c r="C63" i="36" s="1"/>
  <c r="A62" i="36"/>
  <c r="B62" i="36" s="1"/>
  <c r="A61" i="36"/>
  <c r="C61" i="36" s="1"/>
  <c r="A60" i="36"/>
  <c r="C60" i="36" s="1"/>
  <c r="A59" i="36"/>
  <c r="C59" i="36" s="1"/>
  <c r="A58" i="36"/>
  <c r="C58" i="36" s="1"/>
  <c r="A57" i="36"/>
  <c r="C57" i="36" s="1"/>
  <c r="A56" i="36"/>
  <c r="C56" i="36" s="1"/>
  <c r="A55" i="36"/>
  <c r="C55" i="36" s="1"/>
  <c r="A54" i="36"/>
  <c r="C54" i="36" s="1"/>
  <c r="A53" i="36"/>
  <c r="C53" i="36" s="1"/>
  <c r="A52" i="36"/>
  <c r="C52" i="36" s="1"/>
  <c r="A51" i="36"/>
  <c r="C51" i="36" s="1"/>
  <c r="A50" i="36"/>
  <c r="C50" i="36" s="1"/>
  <c r="A49" i="36"/>
  <c r="C49" i="36" s="1"/>
  <c r="A48" i="36"/>
  <c r="C48" i="36" s="1"/>
  <c r="A47" i="36"/>
  <c r="C47" i="36" s="1"/>
  <c r="A46" i="36"/>
  <c r="C46" i="36" s="1"/>
  <c r="A45" i="36"/>
  <c r="A44" i="36"/>
  <c r="C44" i="36" s="1"/>
  <c r="A43" i="36"/>
  <c r="C43" i="36" s="1"/>
  <c r="A42" i="36"/>
  <c r="C42" i="36" s="1"/>
  <c r="A41" i="36"/>
  <c r="C41" i="36" s="1"/>
  <c r="A40" i="36"/>
  <c r="C40" i="36" s="1"/>
  <c r="A39" i="36"/>
  <c r="C39" i="36" s="1"/>
  <c r="A38" i="36"/>
  <c r="C38" i="36" s="1"/>
  <c r="A37" i="36"/>
  <c r="C37" i="36" s="1"/>
  <c r="A36" i="36"/>
  <c r="C36" i="36" s="1"/>
  <c r="A35" i="36"/>
  <c r="C35" i="36" s="1"/>
  <c r="A34" i="36"/>
  <c r="C34" i="36" s="1"/>
  <c r="B33" i="36"/>
  <c r="A33" i="36"/>
  <c r="C33" i="36" s="1"/>
  <c r="A32" i="36"/>
  <c r="C32" i="36" s="1"/>
  <c r="A31" i="36"/>
  <c r="C31" i="36" s="1"/>
  <c r="A30" i="36"/>
  <c r="C30" i="36" s="1"/>
  <c r="A29" i="36"/>
  <c r="B29" i="36" s="1"/>
  <c r="A28" i="36"/>
  <c r="C28" i="36" s="1"/>
  <c r="A27" i="36"/>
  <c r="C27" i="36" s="1"/>
  <c r="A26" i="36"/>
  <c r="C26" i="36" s="1"/>
  <c r="A25" i="36"/>
  <c r="B25" i="36" s="1"/>
  <c r="A24" i="36"/>
  <c r="C24" i="36" s="1"/>
  <c r="A23" i="36"/>
  <c r="C23" i="36" s="1"/>
  <c r="A22" i="36"/>
  <c r="C22" i="36" s="1"/>
  <c r="A21" i="36"/>
  <c r="B21" i="36" s="1"/>
  <c r="A20" i="36"/>
  <c r="C20" i="36" s="1"/>
  <c r="A19" i="36"/>
  <c r="C19" i="36" s="1"/>
  <c r="A18" i="36"/>
  <c r="C18" i="36" s="1"/>
  <c r="A17" i="36"/>
  <c r="B17" i="36" s="1"/>
  <c r="A16" i="36"/>
  <c r="C16" i="36" s="1"/>
  <c r="A15" i="36"/>
  <c r="C15" i="36" s="1"/>
  <c r="A14" i="36"/>
  <c r="C14" i="36" s="1"/>
  <c r="A13" i="36"/>
  <c r="B13" i="36" s="1"/>
  <c r="A12" i="36"/>
  <c r="C12" i="36" s="1"/>
  <c r="A11" i="36"/>
  <c r="C11" i="36" s="1"/>
  <c r="A10" i="36"/>
  <c r="C10" i="36" s="1"/>
  <c r="A9" i="36"/>
  <c r="B9" i="36" s="1"/>
  <c r="A8" i="36"/>
  <c r="B8" i="36" s="1"/>
  <c r="A7" i="36"/>
  <c r="C7" i="36" s="1"/>
  <c r="A6" i="36"/>
  <c r="B6" i="36" s="1"/>
  <c r="A5" i="36"/>
  <c r="C5" i="36" s="1"/>
  <c r="A4" i="36"/>
  <c r="B4" i="36" s="1"/>
  <c r="A3" i="36"/>
  <c r="C3" i="36" s="1"/>
  <c r="S2" i="36"/>
  <c r="A2" i="36"/>
  <c r="B2" i="36" s="1"/>
  <c r="S1" i="36"/>
  <c r="A1" i="36"/>
  <c r="Q2" i="34"/>
  <c r="Q3" i="34"/>
  <c r="Q4" i="34"/>
  <c r="Q5" i="34"/>
  <c r="Q6" i="34"/>
  <c r="Q7" i="34"/>
  <c r="Q8" i="34"/>
  <c r="Q9" i="34"/>
  <c r="Q10" i="34"/>
  <c r="Q11" i="34"/>
  <c r="Q12" i="34"/>
  <c r="Q13" i="34"/>
  <c r="Q14" i="34"/>
  <c r="Q15" i="34"/>
  <c r="Q16" i="34"/>
  <c r="Q17" i="34"/>
  <c r="Q18" i="34"/>
  <c r="Q19" i="34"/>
  <c r="Q20" i="34"/>
  <c r="Q21" i="34"/>
  <c r="Q22" i="34"/>
  <c r="Q23" i="34"/>
  <c r="Q24" i="34"/>
  <c r="Q25" i="34"/>
  <c r="Q26" i="34"/>
  <c r="Q27" i="34"/>
  <c r="Q28" i="34"/>
  <c r="Q29" i="34"/>
  <c r="Q30" i="34"/>
  <c r="Q31" i="34"/>
  <c r="Q32" i="34"/>
  <c r="Q33" i="34"/>
  <c r="Q34" i="34"/>
  <c r="Q35" i="34"/>
  <c r="Q36" i="34"/>
  <c r="Q37" i="34"/>
  <c r="Q38" i="34"/>
  <c r="Q39" i="34"/>
  <c r="Q40" i="34"/>
  <c r="Q41" i="34"/>
  <c r="Q42" i="34"/>
  <c r="Q43" i="34"/>
  <c r="Q44" i="34"/>
  <c r="Q45" i="34"/>
  <c r="Q46" i="34"/>
  <c r="Q47" i="34"/>
  <c r="Q48" i="34"/>
  <c r="Q49" i="34"/>
  <c r="Q50" i="34"/>
  <c r="Q51" i="34"/>
  <c r="Q52" i="34"/>
  <c r="Q53" i="34"/>
  <c r="Q54" i="34"/>
  <c r="Q56" i="34"/>
  <c r="Q57" i="34"/>
  <c r="Q58" i="34"/>
  <c r="Q59" i="34"/>
  <c r="Q60" i="34"/>
  <c r="Q61" i="34"/>
  <c r="Q62" i="34"/>
  <c r="Q63" i="34"/>
  <c r="Q64" i="34"/>
  <c r="Q65" i="34"/>
  <c r="Q66" i="34"/>
  <c r="Q67" i="34"/>
  <c r="Q68" i="34"/>
  <c r="Q69" i="34"/>
  <c r="Q70" i="34"/>
  <c r="Q71" i="34"/>
  <c r="Q72" i="34"/>
  <c r="Q73" i="34"/>
  <c r="Q74" i="34"/>
  <c r="Q75" i="34"/>
  <c r="Q76" i="34"/>
  <c r="Q77" i="34"/>
  <c r="Q78" i="34"/>
  <c r="Q79" i="34"/>
  <c r="Q80" i="34"/>
  <c r="Q81" i="34"/>
  <c r="Q82" i="34"/>
  <c r="Q83" i="34"/>
  <c r="Q84" i="34"/>
  <c r="Q85" i="34"/>
  <c r="Q86" i="34"/>
  <c r="Q87" i="34"/>
  <c r="Q88" i="34"/>
  <c r="Q89" i="34"/>
  <c r="Q90" i="34"/>
  <c r="Q91" i="34"/>
  <c r="Q92" i="34"/>
  <c r="Q93" i="34"/>
  <c r="Q94" i="34"/>
  <c r="Q95" i="34"/>
  <c r="Q96" i="34"/>
  <c r="Q97" i="34"/>
  <c r="Q98" i="34"/>
  <c r="Q99" i="34"/>
  <c r="Q100" i="34"/>
  <c r="Q101" i="34"/>
  <c r="Q102" i="34"/>
  <c r="Q103" i="34"/>
  <c r="Q104" i="34"/>
  <c r="Q105" i="34"/>
  <c r="Q106" i="34"/>
  <c r="Q107" i="34"/>
  <c r="Q108" i="34"/>
  <c r="Q109" i="34"/>
  <c r="Q110" i="34"/>
  <c r="Q111" i="34"/>
  <c r="Q112" i="34"/>
  <c r="Q113" i="34"/>
  <c r="Q114" i="34"/>
  <c r="Q115" i="34"/>
  <c r="Q116" i="34"/>
  <c r="Q117" i="34"/>
  <c r="Q118" i="34"/>
  <c r="Q119" i="34"/>
  <c r="Q120" i="34"/>
  <c r="Q121" i="34"/>
  <c r="Q1" i="34"/>
  <c r="K3" i="34"/>
  <c r="K4" i="34"/>
  <c r="K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53" i="34"/>
  <c r="K54" i="34"/>
  <c r="K55" i="34"/>
  <c r="K56" i="34"/>
  <c r="K57" i="34"/>
  <c r="K58" i="34"/>
  <c r="K59" i="34"/>
  <c r="K60" i="34"/>
  <c r="K61" i="34"/>
  <c r="K62" i="34"/>
  <c r="K63" i="34"/>
  <c r="K64" i="34"/>
  <c r="K65" i="34"/>
  <c r="K66" i="34"/>
  <c r="K67" i="34"/>
  <c r="K68" i="34"/>
  <c r="K69" i="34"/>
  <c r="K70" i="34"/>
  <c r="K71" i="34"/>
  <c r="K72" i="34"/>
  <c r="K73" i="34"/>
  <c r="K74" i="34"/>
  <c r="K75" i="34"/>
  <c r="K76" i="34"/>
  <c r="K77" i="34"/>
  <c r="K78" i="34"/>
  <c r="K79" i="34"/>
  <c r="K80" i="34"/>
  <c r="K81" i="34"/>
  <c r="K82" i="34"/>
  <c r="K83" i="34"/>
  <c r="K84" i="34"/>
  <c r="K85" i="34"/>
  <c r="K86" i="34"/>
  <c r="K87" i="34"/>
  <c r="K88" i="34"/>
  <c r="K89" i="34"/>
  <c r="K90" i="34"/>
  <c r="K91" i="34"/>
  <c r="K92" i="34"/>
  <c r="K93" i="34"/>
  <c r="K94" i="34"/>
  <c r="K95" i="34"/>
  <c r="K96" i="34"/>
  <c r="K97" i="34"/>
  <c r="K98" i="34"/>
  <c r="K99" i="34"/>
  <c r="K100" i="34"/>
  <c r="K101" i="34"/>
  <c r="K102" i="34"/>
  <c r="K103" i="34"/>
  <c r="K104" i="34"/>
  <c r="K105" i="34"/>
  <c r="K106" i="34"/>
  <c r="K107" i="34"/>
  <c r="K108" i="34"/>
  <c r="K109" i="34"/>
  <c r="K110" i="34"/>
  <c r="K111" i="34"/>
  <c r="K112" i="34"/>
  <c r="K113" i="34"/>
  <c r="K114" i="34"/>
  <c r="K115" i="34"/>
  <c r="K116" i="34"/>
  <c r="K117" i="34"/>
  <c r="K118" i="34"/>
  <c r="K119" i="34"/>
  <c r="K120" i="34"/>
  <c r="K121" i="34"/>
  <c r="K122" i="34"/>
  <c r="K123" i="34"/>
  <c r="K124" i="34"/>
  <c r="K125" i="34"/>
  <c r="K126" i="34"/>
  <c r="K127" i="34"/>
  <c r="K128" i="34"/>
  <c r="K129" i="34"/>
  <c r="K130" i="34"/>
  <c r="K131" i="34"/>
  <c r="K132" i="34"/>
  <c r="K133" i="34"/>
  <c r="K134" i="34"/>
  <c r="K135" i="34"/>
  <c r="K136" i="34"/>
  <c r="K137" i="34"/>
  <c r="K138" i="34"/>
  <c r="K139" i="34"/>
  <c r="K140" i="34"/>
  <c r="K141" i="34"/>
  <c r="K142" i="34"/>
  <c r="K143" i="34"/>
  <c r="K144" i="34"/>
  <c r="K145" i="34"/>
  <c r="K2" i="34"/>
  <c r="I2" i="34"/>
  <c r="P2" i="34" s="1"/>
  <c r="I3" i="34"/>
  <c r="P3" i="34" s="1"/>
  <c r="I4" i="34"/>
  <c r="P4" i="34" s="1"/>
  <c r="I5" i="34"/>
  <c r="P5" i="34" s="1"/>
  <c r="I6" i="34"/>
  <c r="P6" i="34" s="1"/>
  <c r="I7" i="34"/>
  <c r="P7" i="34" s="1"/>
  <c r="I8" i="34"/>
  <c r="P8" i="34" s="1"/>
  <c r="I9" i="34"/>
  <c r="P9" i="34" s="1"/>
  <c r="I10" i="34"/>
  <c r="P10" i="34" s="1"/>
  <c r="I11" i="34"/>
  <c r="P11" i="34" s="1"/>
  <c r="I12" i="34"/>
  <c r="P12" i="34" s="1"/>
  <c r="I13" i="34"/>
  <c r="P13" i="34" s="1"/>
  <c r="I14" i="34"/>
  <c r="P14" i="34" s="1"/>
  <c r="I15" i="34"/>
  <c r="P15" i="34" s="1"/>
  <c r="I16" i="34"/>
  <c r="P16" i="34" s="1"/>
  <c r="I17" i="34"/>
  <c r="P17" i="34" s="1"/>
  <c r="I18" i="34"/>
  <c r="P18" i="34" s="1"/>
  <c r="I19" i="34"/>
  <c r="P19" i="34" s="1"/>
  <c r="I20" i="34"/>
  <c r="P20" i="34" s="1"/>
  <c r="I21" i="34"/>
  <c r="P21" i="34" s="1"/>
  <c r="I22" i="34"/>
  <c r="P22" i="34" s="1"/>
  <c r="I23" i="34"/>
  <c r="P23" i="34" s="1"/>
  <c r="I24" i="34"/>
  <c r="P24" i="34" s="1"/>
  <c r="I25" i="34"/>
  <c r="P25" i="34" s="1"/>
  <c r="I26" i="34"/>
  <c r="P26" i="34" s="1"/>
  <c r="I27" i="34"/>
  <c r="P27" i="34" s="1"/>
  <c r="I28" i="34"/>
  <c r="P28" i="34" s="1"/>
  <c r="I29" i="34"/>
  <c r="P29" i="34" s="1"/>
  <c r="I30" i="34"/>
  <c r="P30" i="34" s="1"/>
  <c r="I31" i="34"/>
  <c r="P31" i="34" s="1"/>
  <c r="I32" i="34"/>
  <c r="P32" i="34" s="1"/>
  <c r="I33" i="34"/>
  <c r="P33" i="34" s="1"/>
  <c r="I34" i="34"/>
  <c r="P34" i="34" s="1"/>
  <c r="I35" i="34"/>
  <c r="P35" i="34" s="1"/>
  <c r="I36" i="34"/>
  <c r="P36" i="34" s="1"/>
  <c r="I37" i="34"/>
  <c r="P37" i="34" s="1"/>
  <c r="I38" i="34"/>
  <c r="P38" i="34" s="1"/>
  <c r="I39" i="34"/>
  <c r="P39" i="34" s="1"/>
  <c r="I40" i="34"/>
  <c r="P40" i="34" s="1"/>
  <c r="I41" i="34"/>
  <c r="P41" i="34" s="1"/>
  <c r="I42" i="34"/>
  <c r="P42" i="34" s="1"/>
  <c r="I43" i="34"/>
  <c r="P43" i="34" s="1"/>
  <c r="I44" i="34"/>
  <c r="P44" i="34" s="1"/>
  <c r="I45" i="34"/>
  <c r="P45" i="34" s="1"/>
  <c r="I46" i="34"/>
  <c r="P46" i="34" s="1"/>
  <c r="I47" i="34"/>
  <c r="P47" i="34" s="1"/>
  <c r="I48" i="34"/>
  <c r="P48" i="34" s="1"/>
  <c r="I49" i="34"/>
  <c r="P49" i="34" s="1"/>
  <c r="I50" i="34"/>
  <c r="P50" i="34" s="1"/>
  <c r="I51" i="34"/>
  <c r="P51" i="34" s="1"/>
  <c r="I52" i="34"/>
  <c r="P52" i="34" s="1"/>
  <c r="I53" i="34"/>
  <c r="P53" i="34" s="1"/>
  <c r="I54" i="34"/>
  <c r="P54" i="34" s="1"/>
  <c r="I55" i="34"/>
  <c r="P55" i="34" s="1"/>
  <c r="I56" i="34"/>
  <c r="P56" i="34" s="1"/>
  <c r="I57" i="34"/>
  <c r="P57" i="34" s="1"/>
  <c r="I58" i="34"/>
  <c r="P58" i="34" s="1"/>
  <c r="I59" i="34"/>
  <c r="P59" i="34" s="1"/>
  <c r="I60" i="34"/>
  <c r="P60" i="34" s="1"/>
  <c r="I61" i="34"/>
  <c r="P61" i="34" s="1"/>
  <c r="I62" i="34"/>
  <c r="P62" i="34" s="1"/>
  <c r="I63" i="34"/>
  <c r="P63" i="34" s="1"/>
  <c r="I64" i="34"/>
  <c r="P64" i="34" s="1"/>
  <c r="I65" i="34"/>
  <c r="P65" i="34" s="1"/>
  <c r="I66" i="34"/>
  <c r="P66" i="34" s="1"/>
  <c r="I67" i="34"/>
  <c r="P67" i="34" s="1"/>
  <c r="I68" i="34"/>
  <c r="P68" i="34" s="1"/>
  <c r="I69" i="34"/>
  <c r="P69" i="34" s="1"/>
  <c r="I70" i="34"/>
  <c r="P70" i="34" s="1"/>
  <c r="I71" i="34"/>
  <c r="P71" i="34" s="1"/>
  <c r="I72" i="34"/>
  <c r="P72" i="34" s="1"/>
  <c r="I73" i="34"/>
  <c r="P73" i="34" s="1"/>
  <c r="I74" i="34"/>
  <c r="P74" i="34" s="1"/>
  <c r="I75" i="34"/>
  <c r="P75" i="34" s="1"/>
  <c r="I76" i="34"/>
  <c r="P76" i="34" s="1"/>
  <c r="I77" i="34"/>
  <c r="P77" i="34" s="1"/>
  <c r="I78" i="34"/>
  <c r="P78" i="34" s="1"/>
  <c r="I79" i="34"/>
  <c r="P79" i="34" s="1"/>
  <c r="I80" i="34"/>
  <c r="P80" i="34" s="1"/>
  <c r="I81" i="34"/>
  <c r="P81" i="34" s="1"/>
  <c r="I82" i="34"/>
  <c r="P82" i="34" s="1"/>
  <c r="I83" i="34"/>
  <c r="P83" i="34" s="1"/>
  <c r="I84" i="34"/>
  <c r="P84" i="34" s="1"/>
  <c r="I85" i="34"/>
  <c r="P85" i="34" s="1"/>
  <c r="I86" i="34"/>
  <c r="P86" i="34" s="1"/>
  <c r="I87" i="34"/>
  <c r="P87" i="34" s="1"/>
  <c r="I88" i="34"/>
  <c r="P88" i="34" s="1"/>
  <c r="I89" i="34"/>
  <c r="P89" i="34" s="1"/>
  <c r="I90" i="34"/>
  <c r="P90" i="34" s="1"/>
  <c r="I91" i="34"/>
  <c r="P91" i="34" s="1"/>
  <c r="I92" i="34"/>
  <c r="P92" i="34" s="1"/>
  <c r="I93" i="34"/>
  <c r="P93" i="34" s="1"/>
  <c r="I94" i="34"/>
  <c r="P94" i="34" s="1"/>
  <c r="I95" i="34"/>
  <c r="P95" i="34" s="1"/>
  <c r="I96" i="34"/>
  <c r="P96" i="34" s="1"/>
  <c r="I97" i="34"/>
  <c r="P97" i="34" s="1"/>
  <c r="I98" i="34"/>
  <c r="P98" i="34" s="1"/>
  <c r="I99" i="34"/>
  <c r="P99" i="34" s="1"/>
  <c r="I100" i="34"/>
  <c r="P100" i="34" s="1"/>
  <c r="I101" i="34"/>
  <c r="P101" i="34" s="1"/>
  <c r="I102" i="34"/>
  <c r="P102" i="34" s="1"/>
  <c r="I103" i="34"/>
  <c r="P103" i="34" s="1"/>
  <c r="I104" i="34"/>
  <c r="P104" i="34" s="1"/>
  <c r="I105" i="34"/>
  <c r="P105" i="34" s="1"/>
  <c r="I106" i="34"/>
  <c r="P106" i="34" s="1"/>
  <c r="I107" i="34"/>
  <c r="P107" i="34" s="1"/>
  <c r="I108" i="34"/>
  <c r="P108" i="34" s="1"/>
  <c r="I109" i="34"/>
  <c r="P109" i="34" s="1"/>
  <c r="I1" i="34"/>
  <c r="P1" i="34" s="1"/>
  <c r="G2" i="34"/>
  <c r="N2" i="34" s="1"/>
  <c r="G1" i="34"/>
  <c r="N1" i="34" s="1"/>
  <c r="C145" i="34"/>
  <c r="B145" i="34"/>
  <c r="C144" i="34"/>
  <c r="B144" i="34"/>
  <c r="C143" i="34"/>
  <c r="B143" i="34"/>
  <c r="C142" i="34"/>
  <c r="B142" i="34"/>
  <c r="C141" i="34"/>
  <c r="B141" i="34"/>
  <c r="C140" i="34"/>
  <c r="B140" i="34"/>
  <c r="C139" i="34"/>
  <c r="B139" i="34"/>
  <c r="C138" i="34"/>
  <c r="B138" i="34"/>
  <c r="C137" i="34"/>
  <c r="B137" i="34"/>
  <c r="C136" i="34"/>
  <c r="B136" i="34"/>
  <c r="C135" i="34"/>
  <c r="B135" i="34"/>
  <c r="C134" i="34"/>
  <c r="B134" i="34"/>
  <c r="C133" i="34"/>
  <c r="B133" i="34"/>
  <c r="C132" i="34"/>
  <c r="B132" i="34"/>
  <c r="C131" i="34"/>
  <c r="B131" i="34"/>
  <c r="C130" i="34"/>
  <c r="B130" i="34"/>
  <c r="C129" i="34"/>
  <c r="B129" i="34"/>
  <c r="C128" i="34"/>
  <c r="B128" i="34"/>
  <c r="C127" i="34"/>
  <c r="B127" i="34"/>
  <c r="C126" i="34"/>
  <c r="B126" i="34"/>
  <c r="C125" i="34"/>
  <c r="B125" i="34"/>
  <c r="C124" i="34"/>
  <c r="B124" i="34"/>
  <c r="C123" i="34"/>
  <c r="B123" i="34"/>
  <c r="C122" i="34"/>
  <c r="B122" i="34"/>
  <c r="C121" i="34"/>
  <c r="B121" i="34"/>
  <c r="C120" i="34"/>
  <c r="B120" i="34"/>
  <c r="C119" i="34"/>
  <c r="B119" i="34"/>
  <c r="C118" i="34"/>
  <c r="B118" i="34"/>
  <c r="C117" i="34"/>
  <c r="B117" i="34"/>
  <c r="C116" i="34"/>
  <c r="B116" i="34"/>
  <c r="C115" i="34"/>
  <c r="B115" i="34"/>
  <c r="C114" i="34"/>
  <c r="B114" i="34"/>
  <c r="C113" i="34"/>
  <c r="B113" i="34"/>
  <c r="C112" i="34"/>
  <c r="B112" i="34"/>
  <c r="C111" i="34"/>
  <c r="B111" i="34"/>
  <c r="C110" i="34"/>
  <c r="B110" i="34"/>
  <c r="R109" i="34"/>
  <c r="C109" i="34"/>
  <c r="B109" i="34"/>
  <c r="R108" i="34"/>
  <c r="C108" i="34"/>
  <c r="B108" i="34"/>
  <c r="R107" i="34"/>
  <c r="C107" i="34"/>
  <c r="B107" i="34"/>
  <c r="R106" i="34"/>
  <c r="A106" i="34"/>
  <c r="C106" i="34" s="1"/>
  <c r="R105" i="34"/>
  <c r="A105" i="34"/>
  <c r="C105" i="34" s="1"/>
  <c r="R104" i="34"/>
  <c r="A104" i="34"/>
  <c r="C104" i="34" s="1"/>
  <c r="R103" i="34"/>
  <c r="A103" i="34"/>
  <c r="C103" i="34" s="1"/>
  <c r="R102" i="34"/>
  <c r="A102" i="34"/>
  <c r="C102" i="34" s="1"/>
  <c r="R101" i="34"/>
  <c r="A101" i="34"/>
  <c r="B101" i="34" s="1"/>
  <c r="R100" i="34"/>
  <c r="A100" i="34"/>
  <c r="C100" i="34" s="1"/>
  <c r="R99" i="34"/>
  <c r="A99" i="34"/>
  <c r="B99" i="34" s="1"/>
  <c r="R98" i="34"/>
  <c r="A98" i="34"/>
  <c r="C98" i="34" s="1"/>
  <c r="R97" i="34"/>
  <c r="A97" i="34"/>
  <c r="B97" i="34" s="1"/>
  <c r="R96" i="34"/>
  <c r="A96" i="34"/>
  <c r="C96" i="34" s="1"/>
  <c r="R95" i="34"/>
  <c r="A95" i="34"/>
  <c r="B95" i="34" s="1"/>
  <c r="R94" i="34"/>
  <c r="A94" i="34"/>
  <c r="C94" i="34" s="1"/>
  <c r="R93" i="34"/>
  <c r="A93" i="34"/>
  <c r="B93" i="34" s="1"/>
  <c r="R92" i="34"/>
  <c r="R140" i="34" s="1"/>
  <c r="A92" i="34"/>
  <c r="B92" i="34" s="1"/>
  <c r="R91" i="34"/>
  <c r="A91" i="34"/>
  <c r="R90" i="34"/>
  <c r="R138" i="34" s="1"/>
  <c r="A90" i="34"/>
  <c r="C90" i="34" s="1"/>
  <c r="R89" i="34"/>
  <c r="A89" i="34"/>
  <c r="C89" i="34" s="1"/>
  <c r="R88" i="34"/>
  <c r="R136" i="34" s="1"/>
  <c r="A88" i="34"/>
  <c r="C88" i="34" s="1"/>
  <c r="R87" i="34"/>
  <c r="A87" i="34"/>
  <c r="C87" i="34" s="1"/>
  <c r="R86" i="34"/>
  <c r="R134" i="34" s="1"/>
  <c r="A86" i="34"/>
  <c r="C86" i="34" s="1"/>
  <c r="R85" i="34"/>
  <c r="A85" i="34"/>
  <c r="C85" i="34" s="1"/>
  <c r="R84" i="34"/>
  <c r="R132" i="34" s="1"/>
  <c r="A84" i="34"/>
  <c r="C84" i="34" s="1"/>
  <c r="R83" i="34"/>
  <c r="A83" i="34"/>
  <c r="R82" i="34"/>
  <c r="R130" i="34" s="1"/>
  <c r="A82" i="34"/>
  <c r="C82" i="34" s="1"/>
  <c r="R81" i="34"/>
  <c r="A81" i="34"/>
  <c r="C81" i="34" s="1"/>
  <c r="R80" i="34"/>
  <c r="R128" i="34" s="1"/>
  <c r="A80" i="34"/>
  <c r="C80" i="34" s="1"/>
  <c r="R79" i="34"/>
  <c r="A79" i="34"/>
  <c r="C79" i="34" s="1"/>
  <c r="R78" i="34"/>
  <c r="R126" i="34" s="1"/>
  <c r="A78" i="34"/>
  <c r="C78" i="34" s="1"/>
  <c r="R77" i="34"/>
  <c r="A77" i="34"/>
  <c r="C77" i="34" s="1"/>
  <c r="R76" i="34"/>
  <c r="R124" i="34" s="1"/>
  <c r="A76" i="34"/>
  <c r="C76" i="34" s="1"/>
  <c r="R75" i="34"/>
  <c r="A75" i="34"/>
  <c r="R74" i="34"/>
  <c r="R122" i="34" s="1"/>
  <c r="A74" i="34"/>
  <c r="C74" i="34" s="1"/>
  <c r="R73" i="34"/>
  <c r="A73" i="34"/>
  <c r="C73" i="34" s="1"/>
  <c r="R72" i="34"/>
  <c r="R120" i="34" s="1"/>
  <c r="A72" i="34"/>
  <c r="C72" i="34" s="1"/>
  <c r="R71" i="34"/>
  <c r="A71" i="34"/>
  <c r="C71" i="34" s="1"/>
  <c r="R70" i="34"/>
  <c r="R118" i="34" s="1"/>
  <c r="A70" i="34"/>
  <c r="C70" i="34" s="1"/>
  <c r="R69" i="34"/>
  <c r="A69" i="34"/>
  <c r="C69" i="34" s="1"/>
  <c r="R68" i="34"/>
  <c r="R116" i="34" s="1"/>
  <c r="A68" i="34"/>
  <c r="C68" i="34" s="1"/>
  <c r="R67" i="34"/>
  <c r="A67" i="34"/>
  <c r="R66" i="34"/>
  <c r="R114" i="34" s="1"/>
  <c r="A66" i="34"/>
  <c r="C66" i="34" s="1"/>
  <c r="R65" i="34"/>
  <c r="A65" i="34"/>
  <c r="C65" i="34" s="1"/>
  <c r="R64" i="34"/>
  <c r="A64" i="34"/>
  <c r="C64" i="34" s="1"/>
  <c r="R63" i="34"/>
  <c r="A63" i="34"/>
  <c r="C63" i="34" s="1"/>
  <c r="R62" i="34"/>
  <c r="R110" i="34" s="1"/>
  <c r="A62" i="34"/>
  <c r="C62" i="34" s="1"/>
  <c r="R61" i="34"/>
  <c r="A61" i="34"/>
  <c r="C61" i="34" s="1"/>
  <c r="R60" i="34"/>
  <c r="A60" i="34"/>
  <c r="C60" i="34" s="1"/>
  <c r="R59" i="34"/>
  <c r="A59" i="34"/>
  <c r="R58" i="34"/>
  <c r="A58" i="34"/>
  <c r="C58" i="34" s="1"/>
  <c r="R57" i="34"/>
  <c r="A57" i="34"/>
  <c r="C57" i="34" s="1"/>
  <c r="R56" i="34"/>
  <c r="A56" i="34"/>
  <c r="C56" i="34" s="1"/>
  <c r="R55" i="34"/>
  <c r="A55" i="34"/>
  <c r="C55" i="34" s="1"/>
  <c r="R54" i="34"/>
  <c r="A54" i="34"/>
  <c r="C54" i="34" s="1"/>
  <c r="R53" i="34"/>
  <c r="A53" i="34"/>
  <c r="C53" i="34" s="1"/>
  <c r="R52" i="34"/>
  <c r="A52" i="34"/>
  <c r="C52" i="34" s="1"/>
  <c r="R51" i="34"/>
  <c r="A51" i="34"/>
  <c r="R50" i="34"/>
  <c r="A50" i="34"/>
  <c r="C50" i="34" s="1"/>
  <c r="R49" i="34"/>
  <c r="A49" i="34"/>
  <c r="C49" i="34" s="1"/>
  <c r="R48" i="34"/>
  <c r="A48" i="34"/>
  <c r="C48" i="34" s="1"/>
  <c r="R47" i="34"/>
  <c r="A47" i="34"/>
  <c r="C47" i="34" s="1"/>
  <c r="R46" i="34"/>
  <c r="A46" i="34"/>
  <c r="C46" i="34" s="1"/>
  <c r="R45" i="34"/>
  <c r="A45" i="34"/>
  <c r="C45" i="34" s="1"/>
  <c r="R44" i="34"/>
  <c r="A44" i="34"/>
  <c r="C44" i="34" s="1"/>
  <c r="R43" i="34"/>
  <c r="A43" i="34"/>
  <c r="C43" i="34" s="1"/>
  <c r="R42" i="34"/>
  <c r="A42" i="34"/>
  <c r="C42" i="34" s="1"/>
  <c r="R41" i="34"/>
  <c r="A41" i="34"/>
  <c r="C41" i="34" s="1"/>
  <c r="R40" i="34"/>
  <c r="A40" i="34"/>
  <c r="C40" i="34" s="1"/>
  <c r="R39" i="34"/>
  <c r="A39" i="34"/>
  <c r="C39" i="34" s="1"/>
  <c r="R38" i="34"/>
  <c r="A38" i="34"/>
  <c r="C38" i="34" s="1"/>
  <c r="R37" i="34"/>
  <c r="A37" i="34"/>
  <c r="C37" i="34" s="1"/>
  <c r="R36" i="34"/>
  <c r="A36" i="34"/>
  <c r="C36" i="34" s="1"/>
  <c r="R35" i="34"/>
  <c r="A35" i="34"/>
  <c r="C35" i="34" s="1"/>
  <c r="R34" i="34"/>
  <c r="A34" i="34"/>
  <c r="C34" i="34" s="1"/>
  <c r="R33" i="34"/>
  <c r="A33" i="34"/>
  <c r="C33" i="34" s="1"/>
  <c r="R32" i="34"/>
  <c r="A32" i="34"/>
  <c r="C32" i="34" s="1"/>
  <c r="R31" i="34"/>
  <c r="A31" i="34"/>
  <c r="C31" i="34" s="1"/>
  <c r="R30" i="34"/>
  <c r="A30" i="34"/>
  <c r="C30" i="34" s="1"/>
  <c r="R29" i="34"/>
  <c r="A29" i="34"/>
  <c r="C29" i="34" s="1"/>
  <c r="R28" i="34"/>
  <c r="A28" i="34"/>
  <c r="C28" i="34" s="1"/>
  <c r="R27" i="34"/>
  <c r="A27" i="34"/>
  <c r="C27" i="34" s="1"/>
  <c r="R26" i="34"/>
  <c r="A26" i="34"/>
  <c r="C26" i="34" s="1"/>
  <c r="R25" i="34"/>
  <c r="A25" i="34"/>
  <c r="C25" i="34" s="1"/>
  <c r="R24" i="34"/>
  <c r="A24" i="34"/>
  <c r="C24" i="34" s="1"/>
  <c r="R23" i="34"/>
  <c r="A23" i="34"/>
  <c r="C23" i="34" s="1"/>
  <c r="R22" i="34"/>
  <c r="A22" i="34"/>
  <c r="C22" i="34" s="1"/>
  <c r="R21" i="34"/>
  <c r="A21" i="34"/>
  <c r="C21" i="34" s="1"/>
  <c r="R20" i="34"/>
  <c r="A20" i="34"/>
  <c r="C20" i="34" s="1"/>
  <c r="R19" i="34"/>
  <c r="A19" i="34"/>
  <c r="C19" i="34" s="1"/>
  <c r="R18" i="34"/>
  <c r="A18" i="34"/>
  <c r="C18" i="34" s="1"/>
  <c r="R17" i="34"/>
  <c r="A17" i="34"/>
  <c r="C17" i="34" s="1"/>
  <c r="R16" i="34"/>
  <c r="A16" i="34"/>
  <c r="C16" i="34" s="1"/>
  <c r="R15" i="34"/>
  <c r="A15" i="34"/>
  <c r="C15" i="34" s="1"/>
  <c r="R14" i="34"/>
  <c r="A14" i="34"/>
  <c r="C14" i="34" s="1"/>
  <c r="R13" i="34"/>
  <c r="A13" i="34"/>
  <c r="C13" i="34" s="1"/>
  <c r="R12" i="34"/>
  <c r="A12" i="34"/>
  <c r="C12" i="34" s="1"/>
  <c r="R11" i="34"/>
  <c r="A11" i="34"/>
  <c r="C11" i="34" s="1"/>
  <c r="R10" i="34"/>
  <c r="A10" i="34"/>
  <c r="C10" i="34" s="1"/>
  <c r="R9" i="34"/>
  <c r="A9" i="34"/>
  <c r="C9" i="34" s="1"/>
  <c r="R8" i="34"/>
  <c r="A8" i="34"/>
  <c r="C8" i="34" s="1"/>
  <c r="R7" i="34"/>
  <c r="A7" i="34"/>
  <c r="C7" i="34" s="1"/>
  <c r="R6" i="34"/>
  <c r="A6" i="34"/>
  <c r="C6" i="34" s="1"/>
  <c r="R5" i="34"/>
  <c r="A5" i="34"/>
  <c r="C5" i="34" s="1"/>
  <c r="R4" i="34"/>
  <c r="A4" i="34"/>
  <c r="C4" i="34" s="1"/>
  <c r="R3" i="34"/>
  <c r="A3" i="34"/>
  <c r="C3" i="34" s="1"/>
  <c r="R2" i="34"/>
  <c r="A2" i="34"/>
  <c r="C2" i="34" s="1"/>
  <c r="R1" i="34"/>
  <c r="D1" i="34"/>
  <c r="A1" i="34"/>
  <c r="K3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I2" i="28"/>
  <c r="P2" i="28" s="1"/>
  <c r="I3" i="28"/>
  <c r="P3" i="28" s="1"/>
  <c r="I4" i="28"/>
  <c r="P4" i="28" s="1"/>
  <c r="I5" i="28"/>
  <c r="P5" i="28" s="1"/>
  <c r="I6" i="28"/>
  <c r="P6" i="28" s="1"/>
  <c r="I7" i="28"/>
  <c r="P7" i="28" s="1"/>
  <c r="I8" i="28"/>
  <c r="P8" i="28" s="1"/>
  <c r="I9" i="28"/>
  <c r="P9" i="28" s="1"/>
  <c r="I10" i="28"/>
  <c r="P10" i="28" s="1"/>
  <c r="I11" i="28"/>
  <c r="P11" i="28" s="1"/>
  <c r="I12" i="28"/>
  <c r="P12" i="28" s="1"/>
  <c r="I13" i="28"/>
  <c r="P13" i="28" s="1"/>
  <c r="I14" i="28"/>
  <c r="P14" i="28" s="1"/>
  <c r="I15" i="28"/>
  <c r="P15" i="28" s="1"/>
  <c r="I16" i="28"/>
  <c r="P16" i="28" s="1"/>
  <c r="I17" i="28"/>
  <c r="P17" i="28" s="1"/>
  <c r="I18" i="28"/>
  <c r="P18" i="28" s="1"/>
  <c r="I19" i="28"/>
  <c r="P19" i="28" s="1"/>
  <c r="I20" i="28"/>
  <c r="P20" i="28" s="1"/>
  <c r="I21" i="28"/>
  <c r="P21" i="28" s="1"/>
  <c r="I22" i="28"/>
  <c r="P22" i="28" s="1"/>
  <c r="I23" i="28"/>
  <c r="P23" i="28" s="1"/>
  <c r="I24" i="28"/>
  <c r="P24" i="28" s="1"/>
  <c r="I25" i="28"/>
  <c r="P25" i="28" s="1"/>
  <c r="I26" i="28"/>
  <c r="P26" i="28" s="1"/>
  <c r="I27" i="28"/>
  <c r="P27" i="28" s="1"/>
  <c r="I28" i="28"/>
  <c r="P28" i="28" s="1"/>
  <c r="I29" i="28"/>
  <c r="P29" i="28" s="1"/>
  <c r="I30" i="28"/>
  <c r="P30" i="28" s="1"/>
  <c r="I31" i="28"/>
  <c r="P31" i="28" s="1"/>
  <c r="I32" i="28"/>
  <c r="P32" i="28" s="1"/>
  <c r="I33" i="28"/>
  <c r="P33" i="28" s="1"/>
  <c r="I34" i="28"/>
  <c r="P34" i="28" s="1"/>
  <c r="I35" i="28"/>
  <c r="P35" i="28" s="1"/>
  <c r="I36" i="28"/>
  <c r="P36" i="28" s="1"/>
  <c r="I37" i="28"/>
  <c r="P37" i="28" s="1"/>
  <c r="I38" i="28"/>
  <c r="P38" i="28" s="1"/>
  <c r="I39" i="28"/>
  <c r="P39" i="28" s="1"/>
  <c r="I40" i="28"/>
  <c r="P40" i="28" s="1"/>
  <c r="I41" i="28"/>
  <c r="P41" i="28" s="1"/>
  <c r="I42" i="28"/>
  <c r="P42" i="28" s="1"/>
  <c r="I43" i="28"/>
  <c r="P43" i="28" s="1"/>
  <c r="I44" i="28"/>
  <c r="P44" i="28" s="1"/>
  <c r="I45" i="28"/>
  <c r="P45" i="28" s="1"/>
  <c r="I46" i="28"/>
  <c r="P46" i="28" s="1"/>
  <c r="I47" i="28"/>
  <c r="P47" i="28" s="1"/>
  <c r="I48" i="28"/>
  <c r="P48" i="28" s="1"/>
  <c r="I49" i="28"/>
  <c r="P49" i="28" s="1"/>
  <c r="I50" i="28"/>
  <c r="P50" i="28" s="1"/>
  <c r="I51" i="28"/>
  <c r="P51" i="28" s="1"/>
  <c r="I52" i="28"/>
  <c r="P52" i="28" s="1"/>
  <c r="I53" i="28"/>
  <c r="P53" i="28" s="1"/>
  <c r="I54" i="28"/>
  <c r="P54" i="28" s="1"/>
  <c r="I55" i="28"/>
  <c r="P55" i="28" s="1"/>
  <c r="I56" i="28"/>
  <c r="P56" i="28" s="1"/>
  <c r="I57" i="28"/>
  <c r="P57" i="28" s="1"/>
  <c r="I58" i="28"/>
  <c r="P58" i="28" s="1"/>
  <c r="I59" i="28"/>
  <c r="P59" i="28" s="1"/>
  <c r="I60" i="28"/>
  <c r="P60" i="28" s="1"/>
  <c r="I61" i="28"/>
  <c r="P61" i="28" s="1"/>
  <c r="I62" i="28"/>
  <c r="P62" i="28" s="1"/>
  <c r="I63" i="28"/>
  <c r="P63" i="28" s="1"/>
  <c r="I64" i="28"/>
  <c r="P64" i="28" s="1"/>
  <c r="I65" i="28"/>
  <c r="P65" i="28" s="1"/>
  <c r="I66" i="28"/>
  <c r="P66" i="28" s="1"/>
  <c r="I67" i="28"/>
  <c r="P67" i="28" s="1"/>
  <c r="I68" i="28"/>
  <c r="P68" i="28" s="1"/>
  <c r="I69" i="28"/>
  <c r="P69" i="28" s="1"/>
  <c r="I70" i="28"/>
  <c r="P70" i="28" s="1"/>
  <c r="I71" i="28"/>
  <c r="P71" i="28" s="1"/>
  <c r="I72" i="28"/>
  <c r="P72" i="28" s="1"/>
  <c r="I73" i="28"/>
  <c r="P73" i="28" s="1"/>
  <c r="I74" i="28"/>
  <c r="P74" i="28" s="1"/>
  <c r="I75" i="28"/>
  <c r="P75" i="28" s="1"/>
  <c r="I76" i="28"/>
  <c r="P76" i="28" s="1"/>
  <c r="I77" i="28"/>
  <c r="P77" i="28" s="1"/>
  <c r="I78" i="28"/>
  <c r="P78" i="28" s="1"/>
  <c r="I79" i="28"/>
  <c r="P79" i="28" s="1"/>
  <c r="I80" i="28"/>
  <c r="P80" i="28" s="1"/>
  <c r="I81" i="28"/>
  <c r="P81" i="28" s="1"/>
  <c r="I82" i="28"/>
  <c r="P82" i="28" s="1"/>
  <c r="I83" i="28"/>
  <c r="P83" i="28" s="1"/>
  <c r="I84" i="28"/>
  <c r="P84" i="28" s="1"/>
  <c r="I85" i="28"/>
  <c r="P85" i="28" s="1"/>
  <c r="I86" i="28"/>
  <c r="P86" i="28" s="1"/>
  <c r="I87" i="28"/>
  <c r="P87" i="28" s="1"/>
  <c r="I88" i="28"/>
  <c r="P88" i="28" s="1"/>
  <c r="I89" i="28"/>
  <c r="P89" i="28" s="1"/>
  <c r="I90" i="28"/>
  <c r="P90" i="28" s="1"/>
  <c r="I91" i="28"/>
  <c r="P91" i="28" s="1"/>
  <c r="I92" i="28"/>
  <c r="P92" i="28" s="1"/>
  <c r="I93" i="28"/>
  <c r="P93" i="28" s="1"/>
  <c r="I94" i="28"/>
  <c r="P94" i="28" s="1"/>
  <c r="I95" i="28"/>
  <c r="P95" i="28" s="1"/>
  <c r="I96" i="28"/>
  <c r="P96" i="28" s="1"/>
  <c r="I97" i="28"/>
  <c r="P97" i="28" s="1"/>
  <c r="I98" i="28"/>
  <c r="P98" i="28" s="1"/>
  <c r="I99" i="28"/>
  <c r="P99" i="28" s="1"/>
  <c r="I100" i="28"/>
  <c r="P100" i="28" s="1"/>
  <c r="I101" i="28"/>
  <c r="P101" i="28" s="1"/>
  <c r="I102" i="28"/>
  <c r="P102" i="28" s="1"/>
  <c r="I103" i="28"/>
  <c r="P103" i="28" s="1"/>
  <c r="I104" i="28"/>
  <c r="P104" i="28" s="1"/>
  <c r="I105" i="28"/>
  <c r="P105" i="28" s="1"/>
  <c r="I106" i="28"/>
  <c r="P106" i="28" s="1"/>
  <c r="I107" i="28"/>
  <c r="P107" i="28" s="1"/>
  <c r="I108" i="28"/>
  <c r="P108" i="28" s="1"/>
  <c r="I109" i="28"/>
  <c r="P109" i="28" s="1"/>
  <c r="I1" i="28"/>
  <c r="P1" i="28" s="1"/>
  <c r="Q2" i="28"/>
  <c r="I2" i="30"/>
  <c r="P2" i="30" s="1"/>
  <c r="I3" i="30"/>
  <c r="P3" i="30" s="1"/>
  <c r="I4" i="30"/>
  <c r="P4" i="30" s="1"/>
  <c r="I5" i="30"/>
  <c r="P5" i="30" s="1"/>
  <c r="I6" i="30"/>
  <c r="P6" i="30" s="1"/>
  <c r="I7" i="30"/>
  <c r="P7" i="30" s="1"/>
  <c r="I8" i="30"/>
  <c r="P8" i="30" s="1"/>
  <c r="I9" i="30"/>
  <c r="P9" i="30" s="1"/>
  <c r="I10" i="30"/>
  <c r="P10" i="30" s="1"/>
  <c r="I11" i="30"/>
  <c r="P11" i="30" s="1"/>
  <c r="I12" i="30"/>
  <c r="P12" i="30" s="1"/>
  <c r="I13" i="30"/>
  <c r="P13" i="30" s="1"/>
  <c r="I14" i="30"/>
  <c r="P14" i="30" s="1"/>
  <c r="I15" i="30"/>
  <c r="P15" i="30" s="1"/>
  <c r="I16" i="30"/>
  <c r="P16" i="30" s="1"/>
  <c r="I17" i="30"/>
  <c r="P17" i="30" s="1"/>
  <c r="I18" i="30"/>
  <c r="P18" i="30" s="1"/>
  <c r="I19" i="30"/>
  <c r="P19" i="30" s="1"/>
  <c r="I20" i="30"/>
  <c r="P20" i="30" s="1"/>
  <c r="I21" i="30"/>
  <c r="P21" i="30" s="1"/>
  <c r="I22" i="30"/>
  <c r="P22" i="30" s="1"/>
  <c r="I23" i="30"/>
  <c r="P23" i="30" s="1"/>
  <c r="I24" i="30"/>
  <c r="P24" i="30" s="1"/>
  <c r="I25" i="30"/>
  <c r="P25" i="30" s="1"/>
  <c r="I26" i="30"/>
  <c r="P26" i="30" s="1"/>
  <c r="I27" i="30"/>
  <c r="P27" i="30" s="1"/>
  <c r="I28" i="30"/>
  <c r="P28" i="30" s="1"/>
  <c r="I29" i="30"/>
  <c r="P29" i="30" s="1"/>
  <c r="I30" i="30"/>
  <c r="P30" i="30" s="1"/>
  <c r="I31" i="30"/>
  <c r="P31" i="30" s="1"/>
  <c r="I32" i="30"/>
  <c r="P32" i="30" s="1"/>
  <c r="I33" i="30"/>
  <c r="P33" i="30" s="1"/>
  <c r="I34" i="30"/>
  <c r="P34" i="30" s="1"/>
  <c r="I35" i="30"/>
  <c r="P35" i="30" s="1"/>
  <c r="I36" i="30"/>
  <c r="P36" i="30" s="1"/>
  <c r="I37" i="30"/>
  <c r="P37" i="30" s="1"/>
  <c r="I38" i="30"/>
  <c r="P38" i="30" s="1"/>
  <c r="I39" i="30"/>
  <c r="P39" i="30" s="1"/>
  <c r="I40" i="30"/>
  <c r="P40" i="30" s="1"/>
  <c r="I41" i="30"/>
  <c r="P41" i="30" s="1"/>
  <c r="I42" i="30"/>
  <c r="P42" i="30" s="1"/>
  <c r="I43" i="30"/>
  <c r="P43" i="30" s="1"/>
  <c r="I44" i="30"/>
  <c r="P44" i="30" s="1"/>
  <c r="I45" i="30"/>
  <c r="P45" i="30" s="1"/>
  <c r="I46" i="30"/>
  <c r="P46" i="30" s="1"/>
  <c r="I47" i="30"/>
  <c r="P47" i="30" s="1"/>
  <c r="I48" i="30"/>
  <c r="P48" i="30" s="1"/>
  <c r="I49" i="30"/>
  <c r="P49" i="30" s="1"/>
  <c r="I50" i="30"/>
  <c r="P50" i="30" s="1"/>
  <c r="I51" i="30"/>
  <c r="P51" i="30" s="1"/>
  <c r="I52" i="30"/>
  <c r="P52" i="30" s="1"/>
  <c r="I53" i="30"/>
  <c r="P53" i="30" s="1"/>
  <c r="I54" i="30"/>
  <c r="P54" i="30" s="1"/>
  <c r="I55" i="30"/>
  <c r="P55" i="30" s="1"/>
  <c r="I56" i="30"/>
  <c r="P56" i="30" s="1"/>
  <c r="I57" i="30"/>
  <c r="P57" i="30" s="1"/>
  <c r="I58" i="30"/>
  <c r="P58" i="30" s="1"/>
  <c r="I59" i="30"/>
  <c r="P59" i="30" s="1"/>
  <c r="I60" i="30"/>
  <c r="P60" i="30" s="1"/>
  <c r="I61" i="30"/>
  <c r="P61" i="30" s="1"/>
  <c r="I62" i="30"/>
  <c r="P62" i="30" s="1"/>
  <c r="I63" i="30"/>
  <c r="P63" i="30" s="1"/>
  <c r="I64" i="30"/>
  <c r="P64" i="30" s="1"/>
  <c r="I65" i="30"/>
  <c r="P65" i="30" s="1"/>
  <c r="I66" i="30"/>
  <c r="P66" i="30" s="1"/>
  <c r="I67" i="30"/>
  <c r="P67" i="30" s="1"/>
  <c r="I68" i="30"/>
  <c r="P68" i="30" s="1"/>
  <c r="I69" i="30"/>
  <c r="P69" i="30" s="1"/>
  <c r="I70" i="30"/>
  <c r="P70" i="30" s="1"/>
  <c r="I71" i="30"/>
  <c r="P71" i="30" s="1"/>
  <c r="I72" i="30"/>
  <c r="P72" i="30" s="1"/>
  <c r="I73" i="30"/>
  <c r="P73" i="30" s="1"/>
  <c r="I74" i="30"/>
  <c r="P74" i="30" s="1"/>
  <c r="I75" i="30"/>
  <c r="P75" i="30" s="1"/>
  <c r="I76" i="30"/>
  <c r="P76" i="30" s="1"/>
  <c r="I77" i="30"/>
  <c r="P77" i="30" s="1"/>
  <c r="I78" i="30"/>
  <c r="P78" i="30" s="1"/>
  <c r="I79" i="30"/>
  <c r="P79" i="30" s="1"/>
  <c r="I80" i="30"/>
  <c r="P80" i="30" s="1"/>
  <c r="I81" i="30"/>
  <c r="P81" i="30" s="1"/>
  <c r="I82" i="30"/>
  <c r="P82" i="30" s="1"/>
  <c r="I83" i="30"/>
  <c r="P83" i="30" s="1"/>
  <c r="I84" i="30"/>
  <c r="P84" i="30" s="1"/>
  <c r="I85" i="30"/>
  <c r="P85" i="30" s="1"/>
  <c r="I86" i="30"/>
  <c r="P86" i="30" s="1"/>
  <c r="I87" i="30"/>
  <c r="P87" i="30" s="1"/>
  <c r="I88" i="30"/>
  <c r="P88" i="30" s="1"/>
  <c r="I89" i="30"/>
  <c r="P89" i="30" s="1"/>
  <c r="I90" i="30"/>
  <c r="P90" i="30" s="1"/>
  <c r="I91" i="30"/>
  <c r="P91" i="30" s="1"/>
  <c r="I92" i="30"/>
  <c r="P92" i="30" s="1"/>
  <c r="I93" i="30"/>
  <c r="P93" i="30" s="1"/>
  <c r="I94" i="30"/>
  <c r="P94" i="30" s="1"/>
  <c r="I95" i="30"/>
  <c r="P95" i="30" s="1"/>
  <c r="I96" i="30"/>
  <c r="P96" i="30" s="1"/>
  <c r="I97" i="30"/>
  <c r="P97" i="30" s="1"/>
  <c r="I98" i="30"/>
  <c r="P98" i="30" s="1"/>
  <c r="I99" i="30"/>
  <c r="P99" i="30" s="1"/>
  <c r="I100" i="30"/>
  <c r="P100" i="30" s="1"/>
  <c r="I101" i="30"/>
  <c r="P101" i="30" s="1"/>
  <c r="I102" i="30"/>
  <c r="P102" i="30" s="1"/>
  <c r="I103" i="30"/>
  <c r="P103" i="30" s="1"/>
  <c r="I104" i="30"/>
  <c r="P104" i="30" s="1"/>
  <c r="I105" i="30"/>
  <c r="P105" i="30" s="1"/>
  <c r="I106" i="30"/>
  <c r="P106" i="30" s="1"/>
  <c r="I107" i="30"/>
  <c r="P107" i="30" s="1"/>
  <c r="I108" i="30"/>
  <c r="P108" i="30" s="1"/>
  <c r="I109" i="30"/>
  <c r="P109" i="30" s="1"/>
  <c r="I1" i="30"/>
  <c r="P1" i="30" s="1"/>
  <c r="Q3" i="32"/>
  <c r="R3" i="32"/>
  <c r="Q4" i="32"/>
  <c r="R4" i="32"/>
  <c r="Q5" i="32"/>
  <c r="R5" i="32"/>
  <c r="Q6" i="32"/>
  <c r="R6" i="32"/>
  <c r="Q7" i="32"/>
  <c r="R7" i="32"/>
  <c r="Q8" i="32"/>
  <c r="R8" i="32"/>
  <c r="Q9" i="32"/>
  <c r="R9" i="32"/>
  <c r="Q10" i="32"/>
  <c r="R10" i="32"/>
  <c r="Q11" i="32"/>
  <c r="R11" i="32"/>
  <c r="Q12" i="32"/>
  <c r="R12" i="32"/>
  <c r="Q13" i="32"/>
  <c r="R13" i="32"/>
  <c r="Q14" i="32"/>
  <c r="R14" i="32"/>
  <c r="Q15" i="32"/>
  <c r="R15" i="32"/>
  <c r="Q16" i="32"/>
  <c r="R16" i="32"/>
  <c r="Q17" i="32"/>
  <c r="R17" i="32"/>
  <c r="Q18" i="32"/>
  <c r="R18" i="32"/>
  <c r="Q19" i="32"/>
  <c r="R19" i="32"/>
  <c r="Q20" i="32"/>
  <c r="R20" i="32"/>
  <c r="Q21" i="32"/>
  <c r="R21" i="32"/>
  <c r="Q22" i="32"/>
  <c r="R22" i="32"/>
  <c r="Q23" i="32"/>
  <c r="R23" i="32"/>
  <c r="Q24" i="32"/>
  <c r="R24" i="32"/>
  <c r="Q25" i="32"/>
  <c r="R25" i="32"/>
  <c r="Q26" i="32"/>
  <c r="R26" i="32"/>
  <c r="Q27" i="32"/>
  <c r="R27" i="32"/>
  <c r="Q28" i="32"/>
  <c r="R28" i="32"/>
  <c r="Q29" i="32"/>
  <c r="R29" i="32"/>
  <c r="Q30" i="32"/>
  <c r="R30" i="32"/>
  <c r="Q31" i="32"/>
  <c r="R31" i="32"/>
  <c r="Q32" i="32"/>
  <c r="R32" i="32"/>
  <c r="Q33" i="32"/>
  <c r="R33" i="32"/>
  <c r="Q34" i="32"/>
  <c r="R34" i="32"/>
  <c r="Q35" i="32"/>
  <c r="R35" i="32"/>
  <c r="Q36" i="32"/>
  <c r="R36" i="32"/>
  <c r="Q37" i="32"/>
  <c r="R37" i="32"/>
  <c r="Q38" i="32"/>
  <c r="R38" i="32"/>
  <c r="Q39" i="32"/>
  <c r="R39" i="32"/>
  <c r="Q40" i="32"/>
  <c r="R40" i="32"/>
  <c r="Q41" i="32"/>
  <c r="R41" i="32"/>
  <c r="Q42" i="32"/>
  <c r="R42" i="32"/>
  <c r="Q43" i="32"/>
  <c r="R43" i="32"/>
  <c r="Q44" i="32"/>
  <c r="R44" i="32"/>
  <c r="Q45" i="32"/>
  <c r="R45" i="32"/>
  <c r="Q46" i="32"/>
  <c r="R46" i="32"/>
  <c r="Q47" i="32"/>
  <c r="R47" i="32"/>
  <c r="Q48" i="32"/>
  <c r="R48" i="32"/>
  <c r="Q49" i="32"/>
  <c r="R49" i="32"/>
  <c r="Q50" i="32"/>
  <c r="R50" i="32"/>
  <c r="Q51" i="32"/>
  <c r="R51" i="32"/>
  <c r="Q52" i="32"/>
  <c r="R52" i="32"/>
  <c r="Q53" i="32"/>
  <c r="R53" i="32"/>
  <c r="Q54" i="32"/>
  <c r="R54" i="32"/>
  <c r="Q55" i="32"/>
  <c r="Q56" i="32"/>
  <c r="R56" i="32"/>
  <c r="Q57" i="32"/>
  <c r="R57" i="32"/>
  <c r="Q58" i="32"/>
  <c r="R58" i="32"/>
  <c r="Q59" i="32"/>
  <c r="R59" i="32"/>
  <c r="Q60" i="32"/>
  <c r="R60" i="32"/>
  <c r="Q61" i="32"/>
  <c r="R61" i="32"/>
  <c r="Q62" i="32"/>
  <c r="R62" i="32"/>
  <c r="Q63" i="32"/>
  <c r="R63" i="32"/>
  <c r="Q64" i="32"/>
  <c r="R64" i="32"/>
  <c r="Q65" i="32"/>
  <c r="R65" i="32"/>
  <c r="Q66" i="32"/>
  <c r="R66" i="32"/>
  <c r="Q67" i="32"/>
  <c r="R67" i="32"/>
  <c r="Q68" i="32"/>
  <c r="R68" i="32"/>
  <c r="Q69" i="32"/>
  <c r="R69" i="32"/>
  <c r="Q70" i="32"/>
  <c r="R70" i="32"/>
  <c r="Q71" i="32"/>
  <c r="R71" i="32"/>
  <c r="Q72" i="32"/>
  <c r="R72" i="32"/>
  <c r="Q73" i="32"/>
  <c r="R73" i="32"/>
  <c r="Q74" i="32"/>
  <c r="R74" i="32"/>
  <c r="Q75" i="32"/>
  <c r="R75" i="32"/>
  <c r="Q76" i="32"/>
  <c r="R76" i="32"/>
  <c r="Q77" i="32"/>
  <c r="R77" i="32"/>
  <c r="Q78" i="32"/>
  <c r="R78" i="32"/>
  <c r="Q79" i="32"/>
  <c r="R79" i="32"/>
  <c r="Q80" i="32"/>
  <c r="R80" i="32"/>
  <c r="Q81" i="32"/>
  <c r="R81" i="32"/>
  <c r="Q82" i="32"/>
  <c r="R82" i="32"/>
  <c r="Q83" i="32"/>
  <c r="R83" i="32"/>
  <c r="Q84" i="32"/>
  <c r="R84" i="32"/>
  <c r="Q85" i="32"/>
  <c r="R85" i="32"/>
  <c r="Q86" i="32"/>
  <c r="R86" i="32"/>
  <c r="Q87" i="32"/>
  <c r="R87" i="32"/>
  <c r="Q88" i="32"/>
  <c r="R88" i="32"/>
  <c r="Q89" i="32"/>
  <c r="R89" i="32"/>
  <c r="Q90" i="32"/>
  <c r="R90" i="32"/>
  <c r="Q91" i="32"/>
  <c r="R91" i="32"/>
  <c r="Q92" i="32"/>
  <c r="R92" i="32"/>
  <c r="Q93" i="32"/>
  <c r="R93" i="32"/>
  <c r="Q94" i="32"/>
  <c r="R94" i="32"/>
  <c r="Q95" i="32"/>
  <c r="R95" i="32"/>
  <c r="Q96" i="32"/>
  <c r="R96" i="32"/>
  <c r="Q97" i="32"/>
  <c r="R97" i="32"/>
  <c r="Q98" i="32"/>
  <c r="R98" i="32"/>
  <c r="Q99" i="32"/>
  <c r="R99" i="32"/>
  <c r="Q100" i="32"/>
  <c r="R100" i="32"/>
  <c r="Q101" i="32"/>
  <c r="R101" i="32"/>
  <c r="Q102" i="32"/>
  <c r="R102" i="32"/>
  <c r="Q103" i="32"/>
  <c r="R103" i="32"/>
  <c r="Q104" i="32"/>
  <c r="R104" i="32"/>
  <c r="Q105" i="32"/>
  <c r="R105" i="32"/>
  <c r="Q106" i="32"/>
  <c r="R106" i="32"/>
  <c r="Q107" i="32"/>
  <c r="R107" i="32"/>
  <c r="Q108" i="32"/>
  <c r="R108" i="32"/>
  <c r="Q109" i="32"/>
  <c r="R109" i="32"/>
  <c r="R110" i="32"/>
  <c r="R111" i="32"/>
  <c r="R112" i="32"/>
  <c r="R113" i="32"/>
  <c r="R114" i="32"/>
  <c r="R115" i="32"/>
  <c r="R116" i="32"/>
  <c r="R117" i="32"/>
  <c r="R118" i="32"/>
  <c r="R119" i="32"/>
  <c r="R120" i="32"/>
  <c r="R121" i="32"/>
  <c r="I2" i="32"/>
  <c r="P2" i="32" s="1"/>
  <c r="I3" i="32"/>
  <c r="P3" i="32" s="1"/>
  <c r="I4" i="32"/>
  <c r="P4" i="32" s="1"/>
  <c r="I5" i="32"/>
  <c r="P5" i="32" s="1"/>
  <c r="I6" i="32"/>
  <c r="P6" i="32" s="1"/>
  <c r="I7" i="32"/>
  <c r="P7" i="32" s="1"/>
  <c r="I8" i="32"/>
  <c r="P8" i="32" s="1"/>
  <c r="I9" i="32"/>
  <c r="P9" i="32" s="1"/>
  <c r="I10" i="32"/>
  <c r="P10" i="32" s="1"/>
  <c r="I11" i="32"/>
  <c r="P11" i="32" s="1"/>
  <c r="I12" i="32"/>
  <c r="P12" i="32" s="1"/>
  <c r="I13" i="32"/>
  <c r="P13" i="32" s="1"/>
  <c r="I14" i="32"/>
  <c r="P14" i="32" s="1"/>
  <c r="I15" i="32"/>
  <c r="P15" i="32" s="1"/>
  <c r="I16" i="32"/>
  <c r="P16" i="32" s="1"/>
  <c r="I17" i="32"/>
  <c r="P17" i="32" s="1"/>
  <c r="I18" i="32"/>
  <c r="P18" i="32" s="1"/>
  <c r="I19" i="32"/>
  <c r="P19" i="32" s="1"/>
  <c r="I20" i="32"/>
  <c r="P20" i="32" s="1"/>
  <c r="I21" i="32"/>
  <c r="P21" i="32" s="1"/>
  <c r="I22" i="32"/>
  <c r="P22" i="32" s="1"/>
  <c r="I23" i="32"/>
  <c r="P23" i="32" s="1"/>
  <c r="I24" i="32"/>
  <c r="P24" i="32" s="1"/>
  <c r="I25" i="32"/>
  <c r="P25" i="32" s="1"/>
  <c r="I26" i="32"/>
  <c r="P26" i="32" s="1"/>
  <c r="I27" i="32"/>
  <c r="P27" i="32" s="1"/>
  <c r="I28" i="32"/>
  <c r="P28" i="32" s="1"/>
  <c r="I29" i="32"/>
  <c r="P29" i="32" s="1"/>
  <c r="I30" i="32"/>
  <c r="P30" i="32" s="1"/>
  <c r="I31" i="32"/>
  <c r="P31" i="32" s="1"/>
  <c r="I32" i="32"/>
  <c r="P32" i="32" s="1"/>
  <c r="I33" i="32"/>
  <c r="P33" i="32" s="1"/>
  <c r="I34" i="32"/>
  <c r="P34" i="32" s="1"/>
  <c r="I35" i="32"/>
  <c r="P35" i="32" s="1"/>
  <c r="I36" i="32"/>
  <c r="P36" i="32" s="1"/>
  <c r="I37" i="32"/>
  <c r="P37" i="32" s="1"/>
  <c r="I38" i="32"/>
  <c r="P38" i="32" s="1"/>
  <c r="I39" i="32"/>
  <c r="P39" i="32" s="1"/>
  <c r="I40" i="32"/>
  <c r="P40" i="32" s="1"/>
  <c r="I41" i="32"/>
  <c r="P41" i="32" s="1"/>
  <c r="I42" i="32"/>
  <c r="P42" i="32" s="1"/>
  <c r="I43" i="32"/>
  <c r="P43" i="32" s="1"/>
  <c r="I44" i="32"/>
  <c r="P44" i="32" s="1"/>
  <c r="I45" i="32"/>
  <c r="P45" i="32" s="1"/>
  <c r="I46" i="32"/>
  <c r="P46" i="32" s="1"/>
  <c r="I47" i="32"/>
  <c r="P47" i="32" s="1"/>
  <c r="I48" i="32"/>
  <c r="P48" i="32" s="1"/>
  <c r="I49" i="32"/>
  <c r="P49" i="32" s="1"/>
  <c r="I50" i="32"/>
  <c r="P50" i="32" s="1"/>
  <c r="I51" i="32"/>
  <c r="P51" i="32" s="1"/>
  <c r="I52" i="32"/>
  <c r="P52" i="32" s="1"/>
  <c r="I53" i="32"/>
  <c r="P53" i="32" s="1"/>
  <c r="I54" i="32"/>
  <c r="P54" i="32" s="1"/>
  <c r="I55" i="32"/>
  <c r="P55" i="32" s="1"/>
  <c r="I56" i="32"/>
  <c r="P56" i="32" s="1"/>
  <c r="I57" i="32"/>
  <c r="P57" i="32" s="1"/>
  <c r="I58" i="32"/>
  <c r="P58" i="32" s="1"/>
  <c r="I59" i="32"/>
  <c r="P59" i="32" s="1"/>
  <c r="I60" i="32"/>
  <c r="P60" i="32" s="1"/>
  <c r="I61" i="32"/>
  <c r="P61" i="32" s="1"/>
  <c r="I62" i="32"/>
  <c r="P62" i="32" s="1"/>
  <c r="I63" i="32"/>
  <c r="P63" i="32" s="1"/>
  <c r="I64" i="32"/>
  <c r="P64" i="32" s="1"/>
  <c r="I65" i="32"/>
  <c r="P65" i="32" s="1"/>
  <c r="I66" i="32"/>
  <c r="P66" i="32" s="1"/>
  <c r="I67" i="32"/>
  <c r="P67" i="32" s="1"/>
  <c r="I68" i="32"/>
  <c r="P68" i="32" s="1"/>
  <c r="I69" i="32"/>
  <c r="P69" i="32" s="1"/>
  <c r="I70" i="32"/>
  <c r="P70" i="32" s="1"/>
  <c r="I71" i="32"/>
  <c r="P71" i="32" s="1"/>
  <c r="I72" i="32"/>
  <c r="P72" i="32" s="1"/>
  <c r="I73" i="32"/>
  <c r="P73" i="32" s="1"/>
  <c r="I74" i="32"/>
  <c r="P74" i="32" s="1"/>
  <c r="I75" i="32"/>
  <c r="P75" i="32" s="1"/>
  <c r="I76" i="32"/>
  <c r="P76" i="32" s="1"/>
  <c r="I77" i="32"/>
  <c r="P77" i="32" s="1"/>
  <c r="I78" i="32"/>
  <c r="P78" i="32" s="1"/>
  <c r="I79" i="32"/>
  <c r="P79" i="32" s="1"/>
  <c r="I80" i="32"/>
  <c r="P80" i="32" s="1"/>
  <c r="I81" i="32"/>
  <c r="P81" i="32" s="1"/>
  <c r="I82" i="32"/>
  <c r="P82" i="32" s="1"/>
  <c r="I83" i="32"/>
  <c r="P83" i="32" s="1"/>
  <c r="I84" i="32"/>
  <c r="P84" i="32" s="1"/>
  <c r="I85" i="32"/>
  <c r="P85" i="32" s="1"/>
  <c r="I86" i="32"/>
  <c r="P86" i="32" s="1"/>
  <c r="I87" i="32"/>
  <c r="P87" i="32" s="1"/>
  <c r="I88" i="32"/>
  <c r="P88" i="32" s="1"/>
  <c r="I89" i="32"/>
  <c r="P89" i="32" s="1"/>
  <c r="I90" i="32"/>
  <c r="P90" i="32" s="1"/>
  <c r="I91" i="32"/>
  <c r="P91" i="32" s="1"/>
  <c r="I92" i="32"/>
  <c r="P92" i="32" s="1"/>
  <c r="I93" i="32"/>
  <c r="P93" i="32" s="1"/>
  <c r="I94" i="32"/>
  <c r="P94" i="32" s="1"/>
  <c r="I95" i="32"/>
  <c r="P95" i="32" s="1"/>
  <c r="I96" i="32"/>
  <c r="P96" i="32" s="1"/>
  <c r="I97" i="32"/>
  <c r="P97" i="32" s="1"/>
  <c r="I98" i="32"/>
  <c r="P98" i="32" s="1"/>
  <c r="I99" i="32"/>
  <c r="P99" i="32" s="1"/>
  <c r="I100" i="32"/>
  <c r="P100" i="32" s="1"/>
  <c r="I101" i="32"/>
  <c r="P101" i="32" s="1"/>
  <c r="I102" i="32"/>
  <c r="P102" i="32" s="1"/>
  <c r="I103" i="32"/>
  <c r="P103" i="32" s="1"/>
  <c r="I104" i="32"/>
  <c r="P104" i="32" s="1"/>
  <c r="I105" i="32"/>
  <c r="P105" i="32" s="1"/>
  <c r="I106" i="32"/>
  <c r="P106" i="32" s="1"/>
  <c r="I107" i="32"/>
  <c r="P107" i="32" s="1"/>
  <c r="I108" i="32"/>
  <c r="P108" i="32" s="1"/>
  <c r="I109" i="32"/>
  <c r="P109" i="32" s="1"/>
  <c r="I110" i="32"/>
  <c r="P110" i="32" s="1"/>
  <c r="I111" i="32"/>
  <c r="P111" i="32" s="1"/>
  <c r="I112" i="32"/>
  <c r="P112" i="32" s="1"/>
  <c r="I113" i="32"/>
  <c r="P113" i="32" s="1"/>
  <c r="I114" i="32"/>
  <c r="P114" i="32" s="1"/>
  <c r="I115" i="32"/>
  <c r="P115" i="32" s="1"/>
  <c r="I116" i="32"/>
  <c r="P116" i="32" s="1"/>
  <c r="I117" i="32"/>
  <c r="P117" i="32" s="1"/>
  <c r="I118" i="32"/>
  <c r="P118" i="32" s="1"/>
  <c r="I119" i="32"/>
  <c r="P119" i="32" s="1"/>
  <c r="I120" i="32"/>
  <c r="P120" i="32" s="1"/>
  <c r="I121" i="32"/>
  <c r="P121" i="32" s="1"/>
  <c r="I1" i="32"/>
  <c r="P1" i="32" s="1"/>
  <c r="H2" i="32"/>
  <c r="O2" i="32" s="1"/>
  <c r="H1" i="32"/>
  <c r="O1" i="32" s="1"/>
  <c r="A121" i="32"/>
  <c r="A120" i="32"/>
  <c r="A119" i="32"/>
  <c r="C119" i="32" s="1"/>
  <c r="A118" i="32"/>
  <c r="A117" i="32"/>
  <c r="C117" i="32" s="1"/>
  <c r="A116" i="32"/>
  <c r="A115" i="32"/>
  <c r="C115" i="32" s="1"/>
  <c r="A114" i="32"/>
  <c r="A113" i="32"/>
  <c r="A112" i="32"/>
  <c r="A111" i="32"/>
  <c r="B111" i="32" s="1"/>
  <c r="A110" i="32"/>
  <c r="A109" i="32"/>
  <c r="B109" i="32" s="1"/>
  <c r="A108" i="32"/>
  <c r="A107" i="32"/>
  <c r="C107" i="32" s="1"/>
  <c r="A106" i="32"/>
  <c r="A105" i="32"/>
  <c r="A104" i="32"/>
  <c r="A103" i="32"/>
  <c r="A102" i="32"/>
  <c r="A101" i="32"/>
  <c r="C101" i="32" s="1"/>
  <c r="A100" i="32"/>
  <c r="A99" i="32"/>
  <c r="C99" i="32" s="1"/>
  <c r="A98" i="32"/>
  <c r="A97" i="32"/>
  <c r="A96" i="32"/>
  <c r="A95" i="32"/>
  <c r="B95" i="32" s="1"/>
  <c r="A94" i="32"/>
  <c r="A93" i="32"/>
  <c r="B93" i="32" s="1"/>
  <c r="A92" i="32"/>
  <c r="A91" i="32"/>
  <c r="C91" i="32" s="1"/>
  <c r="A90" i="32"/>
  <c r="A89" i="32"/>
  <c r="C89" i="32" s="1"/>
  <c r="A88" i="32"/>
  <c r="B88" i="32" s="1"/>
  <c r="A87" i="32"/>
  <c r="C87" i="32" s="1"/>
  <c r="A86" i="32"/>
  <c r="B86" i="32" s="1"/>
  <c r="A85" i="32"/>
  <c r="C85" i="32" s="1"/>
  <c r="A84" i="32"/>
  <c r="B84" i="32" s="1"/>
  <c r="A83" i="32"/>
  <c r="A82" i="32"/>
  <c r="A81" i="32"/>
  <c r="C81" i="32" s="1"/>
  <c r="A80" i="32"/>
  <c r="B80" i="32" s="1"/>
  <c r="A79" i="32"/>
  <c r="C79" i="32" s="1"/>
  <c r="A78" i="32"/>
  <c r="B78" i="32" s="1"/>
  <c r="A77" i="32"/>
  <c r="C77" i="32" s="1"/>
  <c r="A76" i="32"/>
  <c r="B76" i="32" s="1"/>
  <c r="A75" i="32"/>
  <c r="A74" i="32"/>
  <c r="B74" i="32" s="1"/>
  <c r="A73" i="32"/>
  <c r="C73" i="32" s="1"/>
  <c r="A72" i="32"/>
  <c r="B72" i="32" s="1"/>
  <c r="A71" i="32"/>
  <c r="A70" i="32"/>
  <c r="A69" i="32"/>
  <c r="C69" i="32" s="1"/>
  <c r="A68" i="32"/>
  <c r="B68" i="32" s="1"/>
  <c r="A67" i="32"/>
  <c r="C67" i="32" s="1"/>
  <c r="A66" i="32"/>
  <c r="C66" i="32" s="1"/>
  <c r="A65" i="32"/>
  <c r="C65" i="32" s="1"/>
  <c r="A64" i="32"/>
  <c r="C64" i="32" s="1"/>
  <c r="A63" i="32"/>
  <c r="C63" i="32" s="1"/>
  <c r="A62" i="32"/>
  <c r="A61" i="32"/>
  <c r="C61" i="32" s="1"/>
  <c r="A60" i="32"/>
  <c r="A59" i="32"/>
  <c r="C59" i="32" s="1"/>
  <c r="A58" i="32"/>
  <c r="C58" i="32" s="1"/>
  <c r="A57" i="32"/>
  <c r="C57" i="32" s="1"/>
  <c r="A56" i="32"/>
  <c r="C56" i="32" s="1"/>
  <c r="A55" i="32"/>
  <c r="C55" i="32" s="1"/>
  <c r="A54" i="32"/>
  <c r="A53" i="32"/>
  <c r="C53" i="32" s="1"/>
  <c r="A52" i="32"/>
  <c r="B52" i="32" s="1"/>
  <c r="A51" i="32"/>
  <c r="C51" i="32" s="1"/>
  <c r="A50" i="32"/>
  <c r="C50" i="32" s="1"/>
  <c r="A49" i="32"/>
  <c r="C49" i="32" s="1"/>
  <c r="A48" i="32"/>
  <c r="C48" i="32" s="1"/>
  <c r="A47" i="32"/>
  <c r="C47" i="32" s="1"/>
  <c r="A46" i="32"/>
  <c r="A45" i="32"/>
  <c r="C45" i="32" s="1"/>
  <c r="A44" i="32"/>
  <c r="A43" i="32"/>
  <c r="C43" i="32" s="1"/>
  <c r="A42" i="32"/>
  <c r="C42" i="32" s="1"/>
  <c r="A41" i="32"/>
  <c r="C41" i="32" s="1"/>
  <c r="A40" i="32"/>
  <c r="C40" i="32" s="1"/>
  <c r="A39" i="32"/>
  <c r="C39" i="32" s="1"/>
  <c r="A38" i="32"/>
  <c r="A37" i="32"/>
  <c r="C37" i="32" s="1"/>
  <c r="A36" i="32"/>
  <c r="B36" i="32" s="1"/>
  <c r="A35" i="32"/>
  <c r="C35" i="32" s="1"/>
  <c r="A34" i="32"/>
  <c r="C34" i="32" s="1"/>
  <c r="A33" i="32"/>
  <c r="C33" i="32" s="1"/>
  <c r="A32" i="32"/>
  <c r="C32" i="32" s="1"/>
  <c r="A31" i="32"/>
  <c r="A30" i="32"/>
  <c r="A29" i="32"/>
  <c r="A28" i="32"/>
  <c r="B28" i="32" s="1"/>
  <c r="A27" i="32"/>
  <c r="A26" i="32"/>
  <c r="C26" i="32" s="1"/>
  <c r="A25" i="32"/>
  <c r="A24" i="32"/>
  <c r="C24" i="32" s="1"/>
  <c r="A23" i="32"/>
  <c r="A22" i="32"/>
  <c r="C22" i="32" s="1"/>
  <c r="A21" i="32"/>
  <c r="A20" i="32"/>
  <c r="C20" i="32" s="1"/>
  <c r="A19" i="32"/>
  <c r="A18" i="32"/>
  <c r="C18" i="32" s="1"/>
  <c r="A17" i="32"/>
  <c r="A16" i="32"/>
  <c r="B16" i="32" s="1"/>
  <c r="A15" i="32"/>
  <c r="A14" i="32"/>
  <c r="C14" i="32" s="1"/>
  <c r="A13" i="32"/>
  <c r="A12" i="32"/>
  <c r="C12" i="32" s="1"/>
  <c r="A11" i="32"/>
  <c r="A10" i="32"/>
  <c r="C10" i="32" s="1"/>
  <c r="A9" i="32"/>
  <c r="A8" i="32"/>
  <c r="B8" i="32" s="1"/>
  <c r="A7" i="32"/>
  <c r="A6" i="32"/>
  <c r="B6" i="32" s="1"/>
  <c r="A5" i="32"/>
  <c r="A4" i="32"/>
  <c r="B4" i="32" s="1"/>
  <c r="A3" i="32"/>
  <c r="C3" i="32" s="1"/>
  <c r="R2" i="32"/>
  <c r="A2" i="32"/>
  <c r="C2" i="32" s="1"/>
  <c r="R1" i="32"/>
  <c r="Q1" i="32"/>
  <c r="D1" i="32"/>
  <c r="A1" i="32"/>
  <c r="K3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K66" i="30"/>
  <c r="K67" i="30"/>
  <c r="K68" i="30"/>
  <c r="K69" i="30"/>
  <c r="K70" i="30"/>
  <c r="K71" i="30"/>
  <c r="K72" i="30"/>
  <c r="K73" i="30"/>
  <c r="K74" i="30"/>
  <c r="K75" i="30"/>
  <c r="K76" i="30"/>
  <c r="K77" i="30"/>
  <c r="K78" i="30"/>
  <c r="K79" i="30"/>
  <c r="K80" i="30"/>
  <c r="K81" i="30"/>
  <c r="K82" i="30"/>
  <c r="K83" i="30"/>
  <c r="K84" i="30"/>
  <c r="K85" i="30"/>
  <c r="K86" i="30"/>
  <c r="K87" i="30"/>
  <c r="K88" i="30"/>
  <c r="K89" i="30"/>
  <c r="K90" i="30"/>
  <c r="K91" i="30"/>
  <c r="K92" i="30"/>
  <c r="K93" i="30"/>
  <c r="K94" i="30"/>
  <c r="K95" i="30"/>
  <c r="K96" i="30"/>
  <c r="K97" i="30"/>
  <c r="K98" i="30"/>
  <c r="K99" i="30"/>
  <c r="K100" i="30"/>
  <c r="K101" i="30"/>
  <c r="K102" i="30"/>
  <c r="K103" i="30"/>
  <c r="K104" i="30"/>
  <c r="K105" i="30"/>
  <c r="K106" i="30"/>
  <c r="K107" i="30"/>
  <c r="K108" i="30"/>
  <c r="K109" i="30"/>
  <c r="K110" i="30"/>
  <c r="K111" i="30"/>
  <c r="K112" i="30"/>
  <c r="K113" i="30"/>
  <c r="K114" i="30"/>
  <c r="K115" i="30"/>
  <c r="K116" i="30"/>
  <c r="K117" i="30"/>
  <c r="K118" i="30"/>
  <c r="K119" i="30"/>
  <c r="K120" i="30"/>
  <c r="K121" i="30"/>
  <c r="Q121" i="30"/>
  <c r="A121" i="30"/>
  <c r="C121" i="30" s="1"/>
  <c r="Q120" i="30"/>
  <c r="A120" i="30"/>
  <c r="Q119" i="30"/>
  <c r="A119" i="30"/>
  <c r="C119" i="30" s="1"/>
  <c r="Q118" i="30"/>
  <c r="A118" i="30"/>
  <c r="C118" i="30" s="1"/>
  <c r="Q117" i="30"/>
  <c r="A117" i="30"/>
  <c r="C117" i="30" s="1"/>
  <c r="Q116" i="30"/>
  <c r="A116" i="30"/>
  <c r="C116" i="30" s="1"/>
  <c r="Q115" i="30"/>
  <c r="A115" i="30"/>
  <c r="C115" i="30" s="1"/>
  <c r="Q114" i="30"/>
  <c r="A114" i="30"/>
  <c r="C114" i="30" s="1"/>
  <c r="Q113" i="30"/>
  <c r="A113" i="30"/>
  <c r="C113" i="30" s="1"/>
  <c r="Q112" i="30"/>
  <c r="A112" i="30"/>
  <c r="Q111" i="30"/>
  <c r="A111" i="30"/>
  <c r="C111" i="30" s="1"/>
  <c r="Q110" i="30"/>
  <c r="A110" i="30"/>
  <c r="C110" i="30" s="1"/>
  <c r="R109" i="30"/>
  <c r="Q109" i="30"/>
  <c r="A109" i="30"/>
  <c r="C109" i="30" s="1"/>
  <c r="R108" i="30"/>
  <c r="Q108" i="30"/>
  <c r="A108" i="30"/>
  <c r="C108" i="30" s="1"/>
  <c r="R107" i="30"/>
  <c r="Q107" i="30"/>
  <c r="A107" i="30"/>
  <c r="C107" i="30" s="1"/>
  <c r="R106" i="30"/>
  <c r="Q106" i="30"/>
  <c r="A106" i="30"/>
  <c r="C106" i="30" s="1"/>
  <c r="R105" i="30"/>
  <c r="Q105" i="30"/>
  <c r="A105" i="30"/>
  <c r="C105" i="30" s="1"/>
  <c r="R104" i="30"/>
  <c r="Q104" i="30"/>
  <c r="A104" i="30"/>
  <c r="R103" i="30"/>
  <c r="Q103" i="30"/>
  <c r="A103" i="30"/>
  <c r="C103" i="30" s="1"/>
  <c r="R102" i="30"/>
  <c r="Q102" i="30"/>
  <c r="A102" i="30"/>
  <c r="B102" i="30" s="1"/>
  <c r="R101" i="30"/>
  <c r="Q101" i="30"/>
  <c r="A101" i="30"/>
  <c r="C101" i="30" s="1"/>
  <c r="R100" i="30"/>
  <c r="Q100" i="30"/>
  <c r="A100" i="30"/>
  <c r="C100" i="30" s="1"/>
  <c r="R99" i="30"/>
  <c r="Q99" i="30"/>
  <c r="A99" i="30"/>
  <c r="R98" i="30"/>
  <c r="Q98" i="30"/>
  <c r="A98" i="30"/>
  <c r="C98" i="30" s="1"/>
  <c r="R97" i="30"/>
  <c r="Q97" i="30"/>
  <c r="A97" i="30"/>
  <c r="R96" i="30"/>
  <c r="Q96" i="30"/>
  <c r="A96" i="30"/>
  <c r="R95" i="30"/>
  <c r="Q95" i="30"/>
  <c r="A95" i="30"/>
  <c r="R94" i="30"/>
  <c r="Q94" i="30"/>
  <c r="A94" i="30"/>
  <c r="C94" i="30" s="1"/>
  <c r="R93" i="30"/>
  <c r="Q93" i="30"/>
  <c r="A93" i="30"/>
  <c r="R92" i="30"/>
  <c r="Q92" i="30"/>
  <c r="A92" i="30"/>
  <c r="C92" i="30" s="1"/>
  <c r="R91" i="30"/>
  <c r="Q91" i="30"/>
  <c r="A91" i="30"/>
  <c r="R90" i="30"/>
  <c r="Q90" i="30"/>
  <c r="A90" i="30"/>
  <c r="C90" i="30" s="1"/>
  <c r="R89" i="30"/>
  <c r="Q89" i="30"/>
  <c r="A89" i="30"/>
  <c r="R88" i="30"/>
  <c r="Q88" i="30"/>
  <c r="A88" i="30"/>
  <c r="R87" i="30"/>
  <c r="Q87" i="30"/>
  <c r="A87" i="30"/>
  <c r="R86" i="30"/>
  <c r="Q86" i="30"/>
  <c r="A86" i="30"/>
  <c r="B86" i="30" s="1"/>
  <c r="R85" i="30"/>
  <c r="Q85" i="30"/>
  <c r="A85" i="30"/>
  <c r="R84" i="30"/>
  <c r="Q84" i="30"/>
  <c r="A84" i="30"/>
  <c r="B84" i="30" s="1"/>
  <c r="R83" i="30"/>
  <c r="Q83" i="30"/>
  <c r="A83" i="30"/>
  <c r="R82" i="30"/>
  <c r="Q82" i="30"/>
  <c r="A82" i="30"/>
  <c r="C82" i="30" s="1"/>
  <c r="R81" i="30"/>
  <c r="Q81" i="30"/>
  <c r="A81" i="30"/>
  <c r="R80" i="30"/>
  <c r="Q80" i="30"/>
  <c r="A80" i="30"/>
  <c r="R79" i="30"/>
  <c r="Q79" i="30"/>
  <c r="A79" i="30"/>
  <c r="R78" i="30"/>
  <c r="Q78" i="30"/>
  <c r="A78" i="30"/>
  <c r="B78" i="30" s="1"/>
  <c r="R77" i="30"/>
  <c r="Q77" i="30"/>
  <c r="A77" i="30"/>
  <c r="R76" i="30"/>
  <c r="Q76" i="30"/>
  <c r="A76" i="30"/>
  <c r="B76" i="30" s="1"/>
  <c r="R75" i="30"/>
  <c r="Q75" i="30"/>
  <c r="A75" i="30"/>
  <c r="R74" i="30"/>
  <c r="Q74" i="30"/>
  <c r="A74" i="30"/>
  <c r="C74" i="30" s="1"/>
  <c r="R73" i="30"/>
  <c r="Q73" i="30"/>
  <c r="A73" i="30"/>
  <c r="R72" i="30"/>
  <c r="Q72" i="30"/>
  <c r="A72" i="30"/>
  <c r="R71" i="30"/>
  <c r="Q71" i="30"/>
  <c r="A71" i="30"/>
  <c r="R70" i="30"/>
  <c r="Q70" i="30"/>
  <c r="A70" i="30"/>
  <c r="B70" i="30" s="1"/>
  <c r="R69" i="30"/>
  <c r="Q69" i="30"/>
  <c r="A69" i="30"/>
  <c r="C69" i="30" s="1"/>
  <c r="R68" i="30"/>
  <c r="Q68" i="30"/>
  <c r="A68" i="30"/>
  <c r="C68" i="30" s="1"/>
  <c r="R67" i="30"/>
  <c r="Q67" i="30"/>
  <c r="A67" i="30"/>
  <c r="C67" i="30" s="1"/>
  <c r="R66" i="30"/>
  <c r="Q66" i="30"/>
  <c r="A66" i="30"/>
  <c r="C66" i="30" s="1"/>
  <c r="R65" i="30"/>
  <c r="Q65" i="30"/>
  <c r="A65" i="30"/>
  <c r="C65" i="30" s="1"/>
  <c r="R64" i="30"/>
  <c r="Q64" i="30"/>
  <c r="A64" i="30"/>
  <c r="R63" i="30"/>
  <c r="Q63" i="30"/>
  <c r="A63" i="30"/>
  <c r="C63" i="30" s="1"/>
  <c r="R62" i="30"/>
  <c r="Q62" i="30"/>
  <c r="A62" i="30"/>
  <c r="R61" i="30"/>
  <c r="Q61" i="30"/>
  <c r="A61" i="30"/>
  <c r="C61" i="30" s="1"/>
  <c r="R60" i="30"/>
  <c r="Q60" i="30"/>
  <c r="A60" i="30"/>
  <c r="R59" i="30"/>
  <c r="Q59" i="30"/>
  <c r="A59" i="30"/>
  <c r="C59" i="30" s="1"/>
  <c r="R58" i="30"/>
  <c r="Q58" i="30"/>
  <c r="A58" i="30"/>
  <c r="C58" i="30" s="1"/>
  <c r="R57" i="30"/>
  <c r="Q57" i="30"/>
  <c r="A57" i="30"/>
  <c r="R56" i="30"/>
  <c r="Q56" i="30"/>
  <c r="A56" i="30"/>
  <c r="C56" i="30" s="1"/>
  <c r="R55" i="30"/>
  <c r="A55" i="30"/>
  <c r="C55" i="30" s="1"/>
  <c r="R54" i="30"/>
  <c r="Q54" i="30"/>
  <c r="A54" i="30"/>
  <c r="C54" i="30" s="1"/>
  <c r="R53" i="30"/>
  <c r="Q53" i="30"/>
  <c r="A53" i="30"/>
  <c r="C53" i="30" s="1"/>
  <c r="R52" i="30"/>
  <c r="Q52" i="30"/>
  <c r="A52" i="30"/>
  <c r="C52" i="30" s="1"/>
  <c r="R51" i="30"/>
  <c r="Q51" i="30"/>
  <c r="A51" i="30"/>
  <c r="C51" i="30" s="1"/>
  <c r="R50" i="30"/>
  <c r="Q50" i="30"/>
  <c r="A50" i="30"/>
  <c r="C50" i="30" s="1"/>
  <c r="R49" i="30"/>
  <c r="Q49" i="30"/>
  <c r="A49" i="30"/>
  <c r="R48" i="30"/>
  <c r="Q48" i="30"/>
  <c r="A48" i="30"/>
  <c r="C48" i="30" s="1"/>
  <c r="R47" i="30"/>
  <c r="Q47" i="30"/>
  <c r="A47" i="30"/>
  <c r="B47" i="30" s="1"/>
  <c r="R46" i="30"/>
  <c r="Q46" i="30"/>
  <c r="A46" i="30"/>
  <c r="C46" i="30" s="1"/>
  <c r="R45" i="30"/>
  <c r="Q45" i="30"/>
  <c r="A45" i="30"/>
  <c r="C45" i="30" s="1"/>
  <c r="R44" i="30"/>
  <c r="Q44" i="30"/>
  <c r="A44" i="30"/>
  <c r="C44" i="30" s="1"/>
  <c r="R43" i="30"/>
  <c r="Q43" i="30"/>
  <c r="A43" i="30"/>
  <c r="C43" i="30" s="1"/>
  <c r="R42" i="30"/>
  <c r="Q42" i="30"/>
  <c r="A42" i="30"/>
  <c r="C42" i="30" s="1"/>
  <c r="R41" i="30"/>
  <c r="Q41" i="30"/>
  <c r="A41" i="30"/>
  <c r="R40" i="30"/>
  <c r="Q40" i="30"/>
  <c r="A40" i="30"/>
  <c r="C40" i="30" s="1"/>
  <c r="R39" i="30"/>
  <c r="Q39" i="30"/>
  <c r="A39" i="30"/>
  <c r="B39" i="30" s="1"/>
  <c r="R38" i="30"/>
  <c r="Q38" i="30"/>
  <c r="A38" i="30"/>
  <c r="C38" i="30" s="1"/>
  <c r="R37" i="30"/>
  <c r="Q37" i="30"/>
  <c r="A37" i="30"/>
  <c r="C37" i="30" s="1"/>
  <c r="R36" i="30"/>
  <c r="Q36" i="30"/>
  <c r="A36" i="30"/>
  <c r="C36" i="30" s="1"/>
  <c r="R35" i="30"/>
  <c r="Q35" i="30"/>
  <c r="A35" i="30"/>
  <c r="C35" i="30" s="1"/>
  <c r="R34" i="30"/>
  <c r="Q34" i="30"/>
  <c r="A34" i="30"/>
  <c r="C34" i="30" s="1"/>
  <c r="R33" i="30"/>
  <c r="Q33" i="30"/>
  <c r="A33" i="30"/>
  <c r="C33" i="30" s="1"/>
  <c r="R32" i="30"/>
  <c r="Q32" i="30"/>
  <c r="A32" i="30"/>
  <c r="C32" i="30" s="1"/>
  <c r="R31" i="30"/>
  <c r="Q31" i="30"/>
  <c r="A31" i="30"/>
  <c r="C31" i="30" s="1"/>
  <c r="R30" i="30"/>
  <c r="Q30" i="30"/>
  <c r="A30" i="30"/>
  <c r="C30" i="30" s="1"/>
  <c r="R29" i="30"/>
  <c r="Q29" i="30"/>
  <c r="A29" i="30"/>
  <c r="B29" i="30" s="1"/>
  <c r="R28" i="30"/>
  <c r="Q28" i="30"/>
  <c r="A28" i="30"/>
  <c r="C28" i="30" s="1"/>
  <c r="R27" i="30"/>
  <c r="Q27" i="30"/>
  <c r="A27" i="30"/>
  <c r="C27" i="30" s="1"/>
  <c r="R26" i="30"/>
  <c r="Q26" i="30"/>
  <c r="A26" i="30"/>
  <c r="C26" i="30" s="1"/>
  <c r="R25" i="30"/>
  <c r="Q25" i="30"/>
  <c r="A25" i="30"/>
  <c r="C25" i="30" s="1"/>
  <c r="R24" i="30"/>
  <c r="Q24" i="30"/>
  <c r="A24" i="30"/>
  <c r="B24" i="30" s="1"/>
  <c r="R23" i="30"/>
  <c r="Q23" i="30"/>
  <c r="A23" i="30"/>
  <c r="C23" i="30" s="1"/>
  <c r="R22" i="30"/>
  <c r="Q22" i="30"/>
  <c r="A22" i="30"/>
  <c r="B22" i="30" s="1"/>
  <c r="R21" i="30"/>
  <c r="Q21" i="30"/>
  <c r="A21" i="30"/>
  <c r="C21" i="30" s="1"/>
  <c r="R20" i="30"/>
  <c r="Q20" i="30"/>
  <c r="A20" i="30"/>
  <c r="B20" i="30" s="1"/>
  <c r="R19" i="30"/>
  <c r="Q19" i="30"/>
  <c r="A19" i="30"/>
  <c r="C19" i="30" s="1"/>
  <c r="R18" i="30"/>
  <c r="Q18" i="30"/>
  <c r="A18" i="30"/>
  <c r="B18" i="30" s="1"/>
  <c r="R17" i="30"/>
  <c r="Q17" i="30"/>
  <c r="A17" i="30"/>
  <c r="C17" i="30" s="1"/>
  <c r="R16" i="30"/>
  <c r="Q16" i="30"/>
  <c r="A16" i="30"/>
  <c r="B16" i="30" s="1"/>
  <c r="R15" i="30"/>
  <c r="Q15" i="30"/>
  <c r="A15" i="30"/>
  <c r="C15" i="30" s="1"/>
  <c r="R14" i="30"/>
  <c r="Q14" i="30"/>
  <c r="A14" i="30"/>
  <c r="B14" i="30" s="1"/>
  <c r="R13" i="30"/>
  <c r="Q13" i="30"/>
  <c r="A13" i="30"/>
  <c r="C13" i="30" s="1"/>
  <c r="R12" i="30"/>
  <c r="Q12" i="30"/>
  <c r="A12" i="30"/>
  <c r="B12" i="30" s="1"/>
  <c r="R11" i="30"/>
  <c r="Q11" i="30"/>
  <c r="A11" i="30"/>
  <c r="C11" i="30" s="1"/>
  <c r="R10" i="30"/>
  <c r="Q10" i="30"/>
  <c r="A10" i="30"/>
  <c r="B10" i="30" s="1"/>
  <c r="R9" i="30"/>
  <c r="Q9" i="30"/>
  <c r="A9" i="30"/>
  <c r="C9" i="30" s="1"/>
  <c r="R8" i="30"/>
  <c r="Q8" i="30"/>
  <c r="A8" i="30"/>
  <c r="B8" i="30" s="1"/>
  <c r="R7" i="30"/>
  <c r="Q7" i="30"/>
  <c r="A7" i="30"/>
  <c r="C7" i="30" s="1"/>
  <c r="R6" i="30"/>
  <c r="Q6" i="30"/>
  <c r="A6" i="30"/>
  <c r="B6" i="30" s="1"/>
  <c r="R5" i="30"/>
  <c r="Q5" i="30"/>
  <c r="A5" i="30"/>
  <c r="C5" i="30" s="1"/>
  <c r="R4" i="30"/>
  <c r="Q4" i="30"/>
  <c r="A4" i="30"/>
  <c r="C4" i="30" s="1"/>
  <c r="R3" i="30"/>
  <c r="Q3" i="30"/>
  <c r="A3" i="30"/>
  <c r="C3" i="30" s="1"/>
  <c r="K2" i="30"/>
  <c r="G2" i="30"/>
  <c r="R2" i="30"/>
  <c r="Q2" i="30"/>
  <c r="A2" i="30"/>
  <c r="C2" i="30" s="1"/>
  <c r="G1" i="30"/>
  <c r="R1" i="30"/>
  <c r="Q1" i="30"/>
  <c r="D1" i="30"/>
  <c r="A1" i="30"/>
  <c r="Q3" i="28"/>
  <c r="R3" i="28"/>
  <c r="Q4" i="28"/>
  <c r="R4" i="28"/>
  <c r="Q5" i="28"/>
  <c r="R5" i="28"/>
  <c r="Q6" i="28"/>
  <c r="R6" i="28"/>
  <c r="Q7" i="28"/>
  <c r="R7" i="28"/>
  <c r="Q8" i="28"/>
  <c r="R8" i="28"/>
  <c r="Q9" i="28"/>
  <c r="R9" i="28"/>
  <c r="Q10" i="28"/>
  <c r="R10" i="28"/>
  <c r="Q11" i="28"/>
  <c r="R11" i="28"/>
  <c r="Q12" i="28"/>
  <c r="R12" i="28"/>
  <c r="Q13" i="28"/>
  <c r="R13" i="28"/>
  <c r="Q14" i="28"/>
  <c r="R14" i="28"/>
  <c r="Q15" i="28"/>
  <c r="R15" i="28"/>
  <c r="Q16" i="28"/>
  <c r="R16" i="28"/>
  <c r="Q17" i="28"/>
  <c r="R17" i="28"/>
  <c r="Q18" i="28"/>
  <c r="R18" i="28"/>
  <c r="Q19" i="28"/>
  <c r="R19" i="28"/>
  <c r="Q20" i="28"/>
  <c r="R20" i="28"/>
  <c r="Q21" i="28"/>
  <c r="R21" i="28"/>
  <c r="Q22" i="28"/>
  <c r="R22" i="28"/>
  <c r="Q23" i="28"/>
  <c r="R23" i="28"/>
  <c r="Q24" i="28"/>
  <c r="R24" i="28"/>
  <c r="Q25" i="28"/>
  <c r="R25" i="28"/>
  <c r="Q26" i="28"/>
  <c r="R26" i="28"/>
  <c r="Q27" i="28"/>
  <c r="R27" i="28"/>
  <c r="Q28" i="28"/>
  <c r="R28" i="28"/>
  <c r="Q29" i="28"/>
  <c r="R29" i="28"/>
  <c r="Q30" i="28"/>
  <c r="R30" i="28"/>
  <c r="Q31" i="28"/>
  <c r="R31" i="28"/>
  <c r="Q32" i="28"/>
  <c r="R32" i="28"/>
  <c r="Q33" i="28"/>
  <c r="R33" i="28"/>
  <c r="Q34" i="28"/>
  <c r="R34" i="28"/>
  <c r="Q35" i="28"/>
  <c r="R35" i="28"/>
  <c r="Q36" i="28"/>
  <c r="R36" i="28"/>
  <c r="Q37" i="28"/>
  <c r="R37" i="28"/>
  <c r="Q38" i="28"/>
  <c r="R38" i="28"/>
  <c r="Q39" i="28"/>
  <c r="R39" i="28"/>
  <c r="Q40" i="28"/>
  <c r="R40" i="28"/>
  <c r="Q41" i="28"/>
  <c r="R41" i="28"/>
  <c r="Q42" i="28"/>
  <c r="R42" i="28"/>
  <c r="Q43" i="28"/>
  <c r="R43" i="28"/>
  <c r="Q44" i="28"/>
  <c r="R44" i="28"/>
  <c r="Q45" i="28"/>
  <c r="R45" i="28"/>
  <c r="Q46" i="28"/>
  <c r="R46" i="28"/>
  <c r="Q47" i="28"/>
  <c r="R47" i="28"/>
  <c r="Q48" i="28"/>
  <c r="R48" i="28"/>
  <c r="Q49" i="28"/>
  <c r="R49" i="28"/>
  <c r="Q50" i="28"/>
  <c r="R50" i="28"/>
  <c r="Q51" i="28"/>
  <c r="R51" i="28"/>
  <c r="Q52" i="28"/>
  <c r="R52" i="28"/>
  <c r="Q53" i="28"/>
  <c r="R53" i="28"/>
  <c r="Q54" i="28"/>
  <c r="R54" i="28"/>
  <c r="R55" i="28"/>
  <c r="Q56" i="28"/>
  <c r="R56" i="28"/>
  <c r="Q57" i="28"/>
  <c r="R57" i="28"/>
  <c r="Q58" i="28"/>
  <c r="R58" i="28"/>
  <c r="Q59" i="28"/>
  <c r="R59" i="28"/>
  <c r="Q60" i="28"/>
  <c r="R60" i="28"/>
  <c r="Q61" i="28"/>
  <c r="R61" i="28"/>
  <c r="Q62" i="28"/>
  <c r="R62" i="28"/>
  <c r="Q63" i="28"/>
  <c r="R63" i="28"/>
  <c r="Q64" i="28"/>
  <c r="R64" i="28"/>
  <c r="Q65" i="28"/>
  <c r="R65" i="28"/>
  <c r="Q66" i="28"/>
  <c r="R66" i="28"/>
  <c r="Q67" i="28"/>
  <c r="R67" i="28"/>
  <c r="Q68" i="28"/>
  <c r="R68" i="28"/>
  <c r="Q69" i="28"/>
  <c r="R69" i="28"/>
  <c r="Q70" i="28"/>
  <c r="R70" i="28"/>
  <c r="Q71" i="28"/>
  <c r="R71" i="28"/>
  <c r="Q72" i="28"/>
  <c r="R72" i="28"/>
  <c r="Q73" i="28"/>
  <c r="R73" i="28"/>
  <c r="Q74" i="28"/>
  <c r="R74" i="28"/>
  <c r="Q75" i="28"/>
  <c r="R75" i="28"/>
  <c r="Q76" i="28"/>
  <c r="R76" i="28"/>
  <c r="Q77" i="28"/>
  <c r="R77" i="28"/>
  <c r="Q78" i="28"/>
  <c r="R78" i="28"/>
  <c r="Q79" i="28"/>
  <c r="R79" i="28"/>
  <c r="Q80" i="28"/>
  <c r="R80" i="28"/>
  <c r="Q81" i="28"/>
  <c r="R81" i="28"/>
  <c r="Q82" i="28"/>
  <c r="R82" i="28"/>
  <c r="Q83" i="28"/>
  <c r="R83" i="28"/>
  <c r="Q84" i="28"/>
  <c r="R84" i="28"/>
  <c r="Q85" i="28"/>
  <c r="R85" i="28"/>
  <c r="Q86" i="28"/>
  <c r="R86" i="28"/>
  <c r="Q87" i="28"/>
  <c r="R87" i="28"/>
  <c r="Q88" i="28"/>
  <c r="R88" i="28"/>
  <c r="Q89" i="28"/>
  <c r="R89" i="28"/>
  <c r="Q90" i="28"/>
  <c r="R90" i="28"/>
  <c r="Q91" i="28"/>
  <c r="R91" i="28"/>
  <c r="Q92" i="28"/>
  <c r="R92" i="28"/>
  <c r="Q93" i="28"/>
  <c r="R93" i="28"/>
  <c r="Q94" i="28"/>
  <c r="R94" i="28"/>
  <c r="Q95" i="28"/>
  <c r="R95" i="28"/>
  <c r="Q96" i="28"/>
  <c r="R96" i="28"/>
  <c r="Q97" i="28"/>
  <c r="R97" i="28"/>
  <c r="Q98" i="28"/>
  <c r="R98" i="28"/>
  <c r="Q99" i="28"/>
  <c r="R99" i="28"/>
  <c r="Q100" i="28"/>
  <c r="R100" i="28"/>
  <c r="Q101" i="28"/>
  <c r="R101" i="28"/>
  <c r="Q102" i="28"/>
  <c r="R102" i="28"/>
  <c r="Q103" i="28"/>
  <c r="R103" i="28"/>
  <c r="Q104" i="28"/>
  <c r="R104" i="28"/>
  <c r="Q105" i="28"/>
  <c r="R105" i="28"/>
  <c r="Q106" i="28"/>
  <c r="R106" i="28"/>
  <c r="Q107" i="28"/>
  <c r="R107" i="28"/>
  <c r="Q108" i="28"/>
  <c r="R108" i="28"/>
  <c r="Q109" i="28"/>
  <c r="R109" i="28"/>
  <c r="Q110" i="28"/>
  <c r="Q111" i="28"/>
  <c r="Q112" i="28"/>
  <c r="Q113" i="28"/>
  <c r="Q114" i="28"/>
  <c r="Q115" i="28"/>
  <c r="Q116" i="28"/>
  <c r="Q117" i="28"/>
  <c r="Q118" i="28"/>
  <c r="Q119" i="28"/>
  <c r="Q120" i="28"/>
  <c r="Q121" i="28"/>
  <c r="R2" i="28"/>
  <c r="R1" i="28"/>
  <c r="G1" i="28"/>
  <c r="N1" i="28" s="1"/>
  <c r="Q1" i="28"/>
  <c r="G2" i="28"/>
  <c r="N2" i="28" s="1"/>
  <c r="A121" i="28"/>
  <c r="C121" i="28" s="1"/>
  <c r="A120" i="28"/>
  <c r="C120" i="28" s="1"/>
  <c r="A119" i="28"/>
  <c r="C119" i="28" s="1"/>
  <c r="A118" i="28"/>
  <c r="C118" i="28" s="1"/>
  <c r="A117" i="28"/>
  <c r="C117" i="28" s="1"/>
  <c r="A116" i="28"/>
  <c r="C116" i="28" s="1"/>
  <c r="A115" i="28"/>
  <c r="C115" i="28" s="1"/>
  <c r="A114" i="28"/>
  <c r="C114" i="28" s="1"/>
  <c r="A113" i="28"/>
  <c r="C113" i="28" s="1"/>
  <c r="A112" i="28"/>
  <c r="C112" i="28" s="1"/>
  <c r="A111" i="28"/>
  <c r="C111" i="28" s="1"/>
  <c r="A110" i="28"/>
  <c r="C110" i="28" s="1"/>
  <c r="A109" i="28"/>
  <c r="C109" i="28" s="1"/>
  <c r="A108" i="28"/>
  <c r="C108" i="28" s="1"/>
  <c r="A107" i="28"/>
  <c r="C107" i="28" s="1"/>
  <c r="A106" i="28"/>
  <c r="C106" i="28" s="1"/>
  <c r="A105" i="28"/>
  <c r="C105" i="28" s="1"/>
  <c r="A104" i="28"/>
  <c r="C104" i="28" s="1"/>
  <c r="A103" i="28"/>
  <c r="C103" i="28" s="1"/>
  <c r="A102" i="28"/>
  <c r="C102" i="28" s="1"/>
  <c r="A101" i="28"/>
  <c r="C101" i="28" s="1"/>
  <c r="A100" i="28"/>
  <c r="C100" i="28" s="1"/>
  <c r="A99" i="28"/>
  <c r="A98" i="28"/>
  <c r="C98" i="28" s="1"/>
  <c r="A97" i="28"/>
  <c r="B97" i="28" s="1"/>
  <c r="A96" i="28"/>
  <c r="C96" i="28" s="1"/>
  <c r="A95" i="28"/>
  <c r="C95" i="28" s="1"/>
  <c r="A94" i="28"/>
  <c r="C94" i="28" s="1"/>
  <c r="A93" i="28"/>
  <c r="C93" i="28" s="1"/>
  <c r="A92" i="28"/>
  <c r="C92" i="28" s="1"/>
  <c r="A91" i="28"/>
  <c r="C91" i="28" s="1"/>
  <c r="A90" i="28"/>
  <c r="C90" i="28" s="1"/>
  <c r="A89" i="28"/>
  <c r="C89" i="28" s="1"/>
  <c r="A88" i="28"/>
  <c r="C88" i="28" s="1"/>
  <c r="A87" i="28"/>
  <c r="C87" i="28" s="1"/>
  <c r="A86" i="28"/>
  <c r="C86" i="28" s="1"/>
  <c r="A85" i="28"/>
  <c r="C85" i="28" s="1"/>
  <c r="A84" i="28"/>
  <c r="C84" i="28" s="1"/>
  <c r="A83" i="28"/>
  <c r="C83" i="28" s="1"/>
  <c r="A82" i="28"/>
  <c r="C82" i="28" s="1"/>
  <c r="A81" i="28"/>
  <c r="C81" i="28" s="1"/>
  <c r="A80" i="28"/>
  <c r="C80" i="28" s="1"/>
  <c r="A79" i="28"/>
  <c r="C79" i="28" s="1"/>
  <c r="A78" i="28"/>
  <c r="C78" i="28" s="1"/>
  <c r="A77" i="28"/>
  <c r="C77" i="28" s="1"/>
  <c r="A76" i="28"/>
  <c r="C76" i="28" s="1"/>
  <c r="A75" i="28"/>
  <c r="C75" i="28" s="1"/>
  <c r="A74" i="28"/>
  <c r="C74" i="28" s="1"/>
  <c r="A73" i="28"/>
  <c r="C73" i="28" s="1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B36" i="28" s="1"/>
  <c r="A35" i="28"/>
  <c r="B35" i="28" s="1"/>
  <c r="A34" i="28"/>
  <c r="B34" i="28" s="1"/>
  <c r="A33" i="28"/>
  <c r="B33" i="28" s="1"/>
  <c r="A32" i="28"/>
  <c r="B32" i="28" s="1"/>
  <c r="A31" i="28"/>
  <c r="B31" i="28" s="1"/>
  <c r="A30" i="28"/>
  <c r="B30" i="28" s="1"/>
  <c r="A29" i="28"/>
  <c r="B29" i="28" s="1"/>
  <c r="A28" i="28"/>
  <c r="B28" i="28" s="1"/>
  <c r="A27" i="28"/>
  <c r="C27" i="28" s="1"/>
  <c r="A26" i="28"/>
  <c r="C26" i="28" s="1"/>
  <c r="A25" i="28"/>
  <c r="C25" i="28" s="1"/>
  <c r="A24" i="28"/>
  <c r="C24" i="28" s="1"/>
  <c r="A23" i="28"/>
  <c r="C23" i="28" s="1"/>
  <c r="A22" i="28"/>
  <c r="C22" i="28" s="1"/>
  <c r="A21" i="28"/>
  <c r="C21" i="28" s="1"/>
  <c r="A20" i="28"/>
  <c r="C20" i="28" s="1"/>
  <c r="A19" i="28"/>
  <c r="C19" i="28" s="1"/>
  <c r="A18" i="28"/>
  <c r="C18" i="28" s="1"/>
  <c r="A17" i="28"/>
  <c r="C17" i="28" s="1"/>
  <c r="A16" i="28"/>
  <c r="C16" i="28" s="1"/>
  <c r="A15" i="28"/>
  <c r="C15" i="28" s="1"/>
  <c r="A14" i="28"/>
  <c r="C14" i="28" s="1"/>
  <c r="A13" i="28"/>
  <c r="C13" i="28" s="1"/>
  <c r="A12" i="28"/>
  <c r="C12" i="28" s="1"/>
  <c r="A11" i="28"/>
  <c r="C11" i="28" s="1"/>
  <c r="A10" i="28"/>
  <c r="C10" i="28" s="1"/>
  <c r="A9" i="28"/>
  <c r="C9" i="28" s="1"/>
  <c r="A8" i="28"/>
  <c r="C8" i="28" s="1"/>
  <c r="A7" i="28"/>
  <c r="C7" i="28" s="1"/>
  <c r="A6" i="28"/>
  <c r="C6" i="28" s="1"/>
  <c r="A5" i="28"/>
  <c r="C5" i="28" s="1"/>
  <c r="A4" i="28"/>
  <c r="C4" i="28" s="1"/>
  <c r="A3" i="28"/>
  <c r="C3" i="28" s="1"/>
  <c r="K2" i="28"/>
  <c r="A2" i="28"/>
  <c r="C2" i="28" s="1"/>
  <c r="D1" i="28"/>
  <c r="A1" i="28"/>
  <c r="G9" i="26"/>
  <c r="G8" i="26"/>
  <c r="G7" i="26"/>
  <c r="J14" i="5"/>
  <c r="N14" i="5"/>
  <c r="AJ16" i="17"/>
  <c r="J130" i="36" l="1"/>
  <c r="Q130" i="36" s="1"/>
  <c r="Q118" i="36"/>
  <c r="J126" i="36"/>
  <c r="Q126" i="36" s="1"/>
  <c r="Q114" i="36"/>
  <c r="J122" i="36"/>
  <c r="Q122" i="36" s="1"/>
  <c r="Q110" i="36"/>
  <c r="D120" i="54"/>
  <c r="E120" i="54" s="1"/>
  <c r="D112" i="54"/>
  <c r="E112" i="54" s="1"/>
  <c r="D119" i="54"/>
  <c r="E119" i="54" s="1"/>
  <c r="D111" i="54"/>
  <c r="E111" i="54" s="1"/>
  <c r="D115" i="54"/>
  <c r="E115" i="54" s="1"/>
  <c r="D121" i="54"/>
  <c r="E121" i="54" s="1"/>
  <c r="D113" i="54"/>
  <c r="E113" i="54" s="1"/>
  <c r="D114" i="54"/>
  <c r="E114" i="54" s="1"/>
  <c r="D116" i="54"/>
  <c r="E116" i="54" s="1"/>
  <c r="D118" i="54"/>
  <c r="E118" i="54" s="1"/>
  <c r="D117" i="54"/>
  <c r="E117" i="54" s="1"/>
  <c r="D110" i="54"/>
  <c r="E110" i="54" s="1"/>
  <c r="J131" i="36"/>
  <c r="Q131" i="36" s="1"/>
  <c r="Q119" i="36"/>
  <c r="J127" i="36"/>
  <c r="Q127" i="36" s="1"/>
  <c r="Q115" i="36"/>
  <c r="J123" i="36"/>
  <c r="Q123" i="36" s="1"/>
  <c r="Q111" i="36"/>
  <c r="B68" i="30"/>
  <c r="J129" i="36"/>
  <c r="Q129" i="36" s="1"/>
  <c r="S135" i="36"/>
  <c r="B14" i="32"/>
  <c r="B39" i="34"/>
  <c r="B69" i="36"/>
  <c r="J125" i="36"/>
  <c r="Q125" i="36" s="1"/>
  <c r="S131" i="36"/>
  <c r="J141" i="36"/>
  <c r="Q141" i="36" s="1"/>
  <c r="S143" i="36"/>
  <c r="S127" i="36"/>
  <c r="B116" i="30"/>
  <c r="C111" i="32"/>
  <c r="J133" i="36"/>
  <c r="Q133" i="36" s="1"/>
  <c r="S139" i="36"/>
  <c r="G35" i="23"/>
  <c r="B60" i="32"/>
  <c r="C60" i="32"/>
  <c r="R111" i="34"/>
  <c r="R113" i="34"/>
  <c r="R115" i="34"/>
  <c r="R117" i="34"/>
  <c r="R119" i="34"/>
  <c r="R121" i="34"/>
  <c r="R123" i="34"/>
  <c r="R125" i="34"/>
  <c r="R127" i="34"/>
  <c r="R129" i="34"/>
  <c r="R131" i="34"/>
  <c r="R133" i="34"/>
  <c r="R135" i="34"/>
  <c r="R137" i="34"/>
  <c r="R139" i="34"/>
  <c r="R141" i="34"/>
  <c r="R143" i="34"/>
  <c r="R145" i="34"/>
  <c r="J145" i="36"/>
  <c r="Q145" i="36" s="1"/>
  <c r="B45" i="36"/>
  <c r="C45" i="36"/>
  <c r="J142" i="36"/>
  <c r="Q142" i="36" s="1"/>
  <c r="J138" i="36"/>
  <c r="Q138" i="36" s="1"/>
  <c r="J134" i="36"/>
  <c r="Q134" i="36" s="1"/>
  <c r="S145" i="36"/>
  <c r="S137" i="36"/>
  <c r="S129" i="36"/>
  <c r="J143" i="36"/>
  <c r="Q143" i="36" s="1"/>
  <c r="J139" i="36"/>
  <c r="Q139" i="36" s="1"/>
  <c r="J135" i="36"/>
  <c r="Q135" i="36" s="1"/>
  <c r="S141" i="36"/>
  <c r="S133" i="36"/>
  <c r="S125" i="36"/>
  <c r="J137" i="36"/>
  <c r="Q137" i="36" s="1"/>
  <c r="J132" i="36"/>
  <c r="Q132" i="36" s="1"/>
  <c r="J128" i="36"/>
  <c r="Q128" i="36" s="1"/>
  <c r="J124" i="36"/>
  <c r="Q124" i="36" s="1"/>
  <c r="S122" i="36"/>
  <c r="S142" i="36"/>
  <c r="S138" i="36"/>
  <c r="S134" i="36"/>
  <c r="S130" i="36"/>
  <c r="S126" i="36"/>
  <c r="S123" i="36"/>
  <c r="B35" i="36"/>
  <c r="B47" i="36"/>
  <c r="B77" i="36"/>
  <c r="B57" i="36"/>
  <c r="C99" i="36"/>
  <c r="B5" i="36"/>
  <c r="B65" i="36"/>
  <c r="C95" i="36"/>
  <c r="C8" i="36"/>
  <c r="C29" i="36"/>
  <c r="B31" i="36"/>
  <c r="B49" i="36"/>
  <c r="B55" i="36"/>
  <c r="C71" i="36"/>
  <c r="B73" i="36"/>
  <c r="C83" i="36"/>
  <c r="C9" i="36"/>
  <c r="B37" i="36"/>
  <c r="C91" i="36"/>
  <c r="C103" i="36"/>
  <c r="C4" i="36"/>
  <c r="B39" i="36"/>
  <c r="B41" i="36"/>
  <c r="B51" i="36"/>
  <c r="B53" i="36"/>
  <c r="B59" i="36"/>
  <c r="C79" i="36"/>
  <c r="C87" i="36"/>
  <c r="B11" i="36"/>
  <c r="C13" i="36"/>
  <c r="B15" i="36"/>
  <c r="C17" i="36"/>
  <c r="B19" i="36"/>
  <c r="C21" i="36"/>
  <c r="B23" i="36"/>
  <c r="C25" i="36"/>
  <c r="B27" i="36"/>
  <c r="B43" i="36"/>
  <c r="B3" i="36"/>
  <c r="B7" i="36"/>
  <c r="B67" i="36"/>
  <c r="B75" i="36"/>
  <c r="B81" i="36"/>
  <c r="B85" i="36"/>
  <c r="B89" i="36"/>
  <c r="B93" i="36"/>
  <c r="B97" i="36"/>
  <c r="B101" i="36"/>
  <c r="B105" i="36"/>
  <c r="C2" i="36"/>
  <c r="C6" i="36"/>
  <c r="C62" i="36"/>
  <c r="B63" i="36"/>
  <c r="C66" i="36"/>
  <c r="B10" i="36"/>
  <c r="B12" i="36"/>
  <c r="B14" i="36"/>
  <c r="B16" i="36"/>
  <c r="B18" i="36"/>
  <c r="B20" i="36"/>
  <c r="B22" i="36"/>
  <c r="B24" i="36"/>
  <c r="B26" i="36"/>
  <c r="B28" i="36"/>
  <c r="B30" i="36"/>
  <c r="B32" i="36"/>
  <c r="B34" i="36"/>
  <c r="B36" i="36"/>
  <c r="B38" i="36"/>
  <c r="B40" i="36"/>
  <c r="B42" i="36"/>
  <c r="B44" i="36"/>
  <c r="B46" i="36"/>
  <c r="B48" i="36"/>
  <c r="B50" i="36"/>
  <c r="B52" i="36"/>
  <c r="B54" i="36"/>
  <c r="B56" i="36"/>
  <c r="B58" i="36"/>
  <c r="B60" i="36"/>
  <c r="B61" i="36"/>
  <c r="C64" i="36"/>
  <c r="C68" i="36"/>
  <c r="B68" i="36"/>
  <c r="C70" i="36"/>
  <c r="B70" i="36"/>
  <c r="C72" i="36"/>
  <c r="B72" i="36"/>
  <c r="C74" i="36"/>
  <c r="B74" i="36"/>
  <c r="C76" i="36"/>
  <c r="B76" i="36"/>
  <c r="C78" i="36"/>
  <c r="B78" i="36"/>
  <c r="B80" i="36"/>
  <c r="B82" i="36"/>
  <c r="B84" i="36"/>
  <c r="B86" i="36"/>
  <c r="B88" i="36"/>
  <c r="B90" i="36"/>
  <c r="B92" i="36"/>
  <c r="B94" i="36"/>
  <c r="B96" i="36"/>
  <c r="B98" i="36"/>
  <c r="B100" i="36"/>
  <c r="B102" i="36"/>
  <c r="B104" i="36"/>
  <c r="B106" i="36"/>
  <c r="B23" i="34"/>
  <c r="B47" i="34"/>
  <c r="B90" i="34"/>
  <c r="B31" i="34"/>
  <c r="B61" i="34"/>
  <c r="B65" i="34"/>
  <c r="B5" i="34"/>
  <c r="B41" i="34"/>
  <c r="B87" i="34"/>
  <c r="B19" i="34"/>
  <c r="B27" i="34"/>
  <c r="B35" i="34"/>
  <c r="B43" i="34"/>
  <c r="B71" i="34"/>
  <c r="C92" i="34"/>
  <c r="B25" i="34"/>
  <c r="B33" i="34"/>
  <c r="B55" i="34"/>
  <c r="C93" i="34"/>
  <c r="C97" i="34"/>
  <c r="B100" i="34"/>
  <c r="C101" i="34"/>
  <c r="B21" i="34"/>
  <c r="B29" i="34"/>
  <c r="B37" i="34"/>
  <c r="B45" i="34"/>
  <c r="B81" i="34"/>
  <c r="C95" i="34"/>
  <c r="B15" i="34"/>
  <c r="B20" i="34"/>
  <c r="B24" i="34"/>
  <c r="B28" i="34"/>
  <c r="B32" i="34"/>
  <c r="B36" i="34"/>
  <c r="B40" i="34"/>
  <c r="B44" i="34"/>
  <c r="B53" i="34"/>
  <c r="B73" i="34"/>
  <c r="B89" i="34"/>
  <c r="B102" i="34"/>
  <c r="B103" i="34"/>
  <c r="B104" i="34"/>
  <c r="B105" i="34"/>
  <c r="B106" i="34"/>
  <c r="B22" i="34"/>
  <c r="B26" i="34"/>
  <c r="B30" i="34"/>
  <c r="B34" i="34"/>
  <c r="B38" i="34"/>
  <c r="B42" i="34"/>
  <c r="B46" i="34"/>
  <c r="B49" i="34"/>
  <c r="B57" i="34"/>
  <c r="B63" i="34"/>
  <c r="B69" i="34"/>
  <c r="B79" i="34"/>
  <c r="B85" i="34"/>
  <c r="B94" i="34"/>
  <c r="B96" i="34"/>
  <c r="B98" i="34"/>
  <c r="C99" i="34"/>
  <c r="C83" i="34"/>
  <c r="B83" i="34"/>
  <c r="R142" i="34"/>
  <c r="R144" i="34"/>
  <c r="B4" i="34"/>
  <c r="B14" i="34"/>
  <c r="C91" i="34"/>
  <c r="B91" i="34"/>
  <c r="B3" i="34"/>
  <c r="B13" i="34"/>
  <c r="B17" i="34"/>
  <c r="C75" i="34"/>
  <c r="B75" i="34"/>
  <c r="C59" i="34"/>
  <c r="B59" i="34"/>
  <c r="B18" i="34"/>
  <c r="C51" i="34"/>
  <c r="B51" i="34"/>
  <c r="B2" i="34"/>
  <c r="B6" i="34"/>
  <c r="B7" i="34"/>
  <c r="B8" i="34"/>
  <c r="B9" i="34"/>
  <c r="B10" i="34"/>
  <c r="B11" i="34"/>
  <c r="B12" i="34"/>
  <c r="B16" i="34"/>
  <c r="C67" i="34"/>
  <c r="B67" i="34"/>
  <c r="R112" i="34"/>
  <c r="B77" i="34"/>
  <c r="B50" i="34"/>
  <c r="B54" i="34"/>
  <c r="B58" i="34"/>
  <c r="B62" i="34"/>
  <c r="B66" i="34"/>
  <c r="B70" i="34"/>
  <c r="B74" i="34"/>
  <c r="B78" i="34"/>
  <c r="B82" i="34"/>
  <c r="B86" i="34"/>
  <c r="B48" i="34"/>
  <c r="B52" i="34"/>
  <c r="B56" i="34"/>
  <c r="B60" i="34"/>
  <c r="B64" i="34"/>
  <c r="B68" i="34"/>
  <c r="B72" i="34"/>
  <c r="B76" i="34"/>
  <c r="B80" i="34"/>
  <c r="B84" i="34"/>
  <c r="B88" i="34"/>
  <c r="B55" i="30"/>
  <c r="B92" i="30"/>
  <c r="B63" i="30"/>
  <c r="C76" i="30"/>
  <c r="B110" i="30"/>
  <c r="C78" i="30"/>
  <c r="C16" i="30"/>
  <c r="B82" i="30"/>
  <c r="B114" i="30"/>
  <c r="C16" i="32"/>
  <c r="B85" i="32"/>
  <c r="B101" i="32"/>
  <c r="B103" i="32"/>
  <c r="C103" i="32"/>
  <c r="B44" i="32"/>
  <c r="C44" i="32"/>
  <c r="B79" i="32"/>
  <c r="C109" i="32"/>
  <c r="C6" i="32"/>
  <c r="C28" i="32"/>
  <c r="B73" i="32"/>
  <c r="B69" i="32"/>
  <c r="B87" i="32"/>
  <c r="C93" i="32"/>
  <c r="C95" i="32"/>
  <c r="B2" i="32"/>
  <c r="C4" i="32"/>
  <c r="B22" i="32"/>
  <c r="B26" i="32"/>
  <c r="B34" i="32"/>
  <c r="C36" i="32"/>
  <c r="B42" i="32"/>
  <c r="B50" i="32"/>
  <c r="C52" i="32"/>
  <c r="B58" i="32"/>
  <c r="B66" i="32"/>
  <c r="C68" i="32"/>
  <c r="C76" i="32"/>
  <c r="C86" i="32"/>
  <c r="B117" i="32"/>
  <c r="B119" i="32"/>
  <c r="C8" i="32"/>
  <c r="B32" i="32"/>
  <c r="B48" i="32"/>
  <c r="C72" i="32"/>
  <c r="C78" i="32"/>
  <c r="B89" i="32"/>
  <c r="B115" i="32"/>
  <c r="B12" i="32"/>
  <c r="B20" i="32"/>
  <c r="C46" i="32"/>
  <c r="B46" i="32"/>
  <c r="B10" i="32"/>
  <c r="B18" i="32"/>
  <c r="B40" i="32"/>
  <c r="B56" i="32"/>
  <c r="C62" i="32"/>
  <c r="B62" i="32"/>
  <c r="B77" i="32"/>
  <c r="C84" i="32"/>
  <c r="C97" i="32"/>
  <c r="B97" i="32"/>
  <c r="B99" i="32"/>
  <c r="B82" i="32"/>
  <c r="C82" i="32"/>
  <c r="C113" i="32"/>
  <c r="B113" i="32"/>
  <c r="C121" i="32"/>
  <c r="B121" i="32"/>
  <c r="C30" i="32"/>
  <c r="B30" i="32"/>
  <c r="B64" i="32"/>
  <c r="B70" i="32"/>
  <c r="C70" i="32"/>
  <c r="C83" i="32"/>
  <c r="B83" i="32"/>
  <c r="B91" i="32"/>
  <c r="B24" i="32"/>
  <c r="C38" i="32"/>
  <c r="B38" i="32"/>
  <c r="C54" i="32"/>
  <c r="B54" i="32"/>
  <c r="B90" i="32"/>
  <c r="C90" i="32"/>
  <c r="C105" i="32"/>
  <c r="B105" i="32"/>
  <c r="B107" i="32"/>
  <c r="C74" i="32"/>
  <c r="C80" i="32"/>
  <c r="B81" i="32"/>
  <c r="C88" i="32"/>
  <c r="C5" i="32"/>
  <c r="B5" i="32"/>
  <c r="C9" i="32"/>
  <c r="B9" i="32"/>
  <c r="C13" i="32"/>
  <c r="B13" i="32"/>
  <c r="C17" i="32"/>
  <c r="B17" i="32"/>
  <c r="C21" i="32"/>
  <c r="B21" i="32"/>
  <c r="C25" i="32"/>
  <c r="B25" i="32"/>
  <c r="C29" i="32"/>
  <c r="B29" i="32"/>
  <c r="C71" i="32"/>
  <c r="B71" i="32"/>
  <c r="B3" i="32"/>
  <c r="C75" i="32"/>
  <c r="B75" i="32"/>
  <c r="C7" i="32"/>
  <c r="B7" i="32"/>
  <c r="C11" i="32"/>
  <c r="B11" i="32"/>
  <c r="C15" i="32"/>
  <c r="B15" i="32"/>
  <c r="C19" i="32"/>
  <c r="B19" i="32"/>
  <c r="C23" i="32"/>
  <c r="B23" i="32"/>
  <c r="C27" i="32"/>
  <c r="B27" i="32"/>
  <c r="C31" i="32"/>
  <c r="B31" i="32"/>
  <c r="B33" i="32"/>
  <c r="B35" i="32"/>
  <c r="B37" i="32"/>
  <c r="B39" i="32"/>
  <c r="B41" i="32"/>
  <c r="B43" i="32"/>
  <c r="B45" i="32"/>
  <c r="B47" i="32"/>
  <c r="B49" i="32"/>
  <c r="B51" i="32"/>
  <c r="B53" i="32"/>
  <c r="B55" i="32"/>
  <c r="B57" i="32"/>
  <c r="B59" i="32"/>
  <c r="B61" i="32"/>
  <c r="B63" i="32"/>
  <c r="B65" i="32"/>
  <c r="B67" i="32"/>
  <c r="C94" i="32"/>
  <c r="B94" i="32"/>
  <c r="C98" i="32"/>
  <c r="B98" i="32"/>
  <c r="C102" i="32"/>
  <c r="B102" i="32"/>
  <c r="C106" i="32"/>
  <c r="B106" i="32"/>
  <c r="C110" i="32"/>
  <c r="B110" i="32"/>
  <c r="C114" i="32"/>
  <c r="B114" i="32"/>
  <c r="C118" i="32"/>
  <c r="B118" i="32"/>
  <c r="C92" i="32"/>
  <c r="B92" i="32"/>
  <c r="C96" i="32"/>
  <c r="B96" i="32"/>
  <c r="C100" i="32"/>
  <c r="B100" i="32"/>
  <c r="C104" i="32"/>
  <c r="B104" i="32"/>
  <c r="C108" i="32"/>
  <c r="B108" i="32"/>
  <c r="C112" i="32"/>
  <c r="B112" i="32"/>
  <c r="C116" i="32"/>
  <c r="B116" i="32"/>
  <c r="C120" i="32"/>
  <c r="B120" i="32"/>
  <c r="C39" i="30"/>
  <c r="B45" i="30"/>
  <c r="B66" i="30"/>
  <c r="B74" i="30"/>
  <c r="B98" i="30"/>
  <c r="C102" i="30"/>
  <c r="N1" i="30"/>
  <c r="B37" i="30"/>
  <c r="B43" i="30"/>
  <c r="C47" i="30"/>
  <c r="B59" i="30"/>
  <c r="B69" i="30"/>
  <c r="C84" i="30"/>
  <c r="B100" i="30"/>
  <c r="N2" i="30"/>
  <c r="B4" i="30"/>
  <c r="C6" i="30"/>
  <c r="B17" i="30"/>
  <c r="B31" i="30"/>
  <c r="B33" i="30"/>
  <c r="B53" i="30"/>
  <c r="B65" i="30"/>
  <c r="C70" i="30"/>
  <c r="B94" i="30"/>
  <c r="B108" i="30"/>
  <c r="B118" i="30"/>
  <c r="B51" i="30"/>
  <c r="B61" i="30"/>
  <c r="C86" i="30"/>
  <c r="B90" i="30"/>
  <c r="B106" i="30"/>
  <c r="C96" i="30"/>
  <c r="B96" i="30"/>
  <c r="B2" i="30"/>
  <c r="C8" i="30"/>
  <c r="C14" i="30"/>
  <c r="B35" i="30"/>
  <c r="C88" i="30"/>
  <c r="B88" i="30"/>
  <c r="C12" i="30"/>
  <c r="B13" i="30"/>
  <c r="C20" i="30"/>
  <c r="B21" i="30"/>
  <c r="C22" i="30"/>
  <c r="B23" i="30"/>
  <c r="B27" i="30"/>
  <c r="C29" i="30"/>
  <c r="C49" i="30"/>
  <c r="B49" i="30"/>
  <c r="C62" i="30"/>
  <c r="B62" i="30"/>
  <c r="C80" i="30"/>
  <c r="B80" i="30"/>
  <c r="C104" i="30"/>
  <c r="B104" i="30"/>
  <c r="C120" i="30"/>
  <c r="B120" i="30"/>
  <c r="B15" i="30"/>
  <c r="C24" i="30"/>
  <c r="C41" i="30"/>
  <c r="B41" i="30"/>
  <c r="C60" i="30"/>
  <c r="B60" i="30"/>
  <c r="C10" i="30"/>
  <c r="B11" i="30"/>
  <c r="C18" i="30"/>
  <c r="B19" i="30"/>
  <c r="B25" i="30"/>
  <c r="C57" i="30"/>
  <c r="B57" i="30"/>
  <c r="C64" i="30"/>
  <c r="B64" i="30"/>
  <c r="C72" i="30"/>
  <c r="B72" i="30"/>
  <c r="C112" i="30"/>
  <c r="B112" i="30"/>
  <c r="C77" i="30"/>
  <c r="B77" i="30"/>
  <c r="C85" i="30"/>
  <c r="B85" i="30"/>
  <c r="C71" i="30"/>
  <c r="B71" i="30"/>
  <c r="B3" i="30"/>
  <c r="B5" i="30"/>
  <c r="B7" i="30"/>
  <c r="B9" i="30"/>
  <c r="C75" i="30"/>
  <c r="B75" i="30"/>
  <c r="C83" i="30"/>
  <c r="B83" i="30"/>
  <c r="C91" i="30"/>
  <c r="B91" i="30"/>
  <c r="C79" i="30"/>
  <c r="B79" i="30"/>
  <c r="C87" i="30"/>
  <c r="B87" i="30"/>
  <c r="C73" i="30"/>
  <c r="B73" i="30"/>
  <c r="C81" i="30"/>
  <c r="B81" i="30"/>
  <c r="C89" i="30"/>
  <c r="B89" i="30"/>
  <c r="B26" i="30"/>
  <c r="B28" i="30"/>
  <c r="B30" i="30"/>
  <c r="B32" i="30"/>
  <c r="B34" i="30"/>
  <c r="B36" i="30"/>
  <c r="B38" i="30"/>
  <c r="B40" i="30"/>
  <c r="B42" i="30"/>
  <c r="B44" i="30"/>
  <c r="B46" i="30"/>
  <c r="B48" i="30"/>
  <c r="B50" i="30"/>
  <c r="B52" i="30"/>
  <c r="B54" i="30"/>
  <c r="B56" i="30"/>
  <c r="B58" i="30"/>
  <c r="B67" i="30"/>
  <c r="C95" i="30"/>
  <c r="B95" i="30"/>
  <c r="C99" i="30"/>
  <c r="B99" i="30"/>
  <c r="C93" i="30"/>
  <c r="B93" i="30"/>
  <c r="C97" i="30"/>
  <c r="B97" i="30"/>
  <c r="B101" i="30"/>
  <c r="B103" i="30"/>
  <c r="B105" i="30"/>
  <c r="B107" i="30"/>
  <c r="B109" i="30"/>
  <c r="B111" i="30"/>
  <c r="B113" i="30"/>
  <c r="B115" i="30"/>
  <c r="B117" i="30"/>
  <c r="B119" i="30"/>
  <c r="B121" i="30"/>
  <c r="B75" i="28"/>
  <c r="B77" i="28"/>
  <c r="B79" i="28"/>
  <c r="B81" i="28"/>
  <c r="B82" i="28"/>
  <c r="B85" i="28"/>
  <c r="B88" i="28"/>
  <c r="B90" i="28"/>
  <c r="B93" i="28"/>
  <c r="C35" i="28"/>
  <c r="B74" i="28"/>
  <c r="B76" i="28"/>
  <c r="B78" i="28"/>
  <c r="B80" i="28"/>
  <c r="B83" i="28"/>
  <c r="B84" i="28"/>
  <c r="B86" i="28"/>
  <c r="B87" i="28"/>
  <c r="B89" i="28"/>
  <c r="B91" i="28"/>
  <c r="B92" i="28"/>
  <c r="B94" i="28"/>
  <c r="B95" i="28"/>
  <c r="B96" i="28"/>
  <c r="C31" i="28"/>
  <c r="C97" i="28"/>
  <c r="B120" i="28"/>
  <c r="B121" i="28"/>
  <c r="C29" i="28"/>
  <c r="B98" i="28"/>
  <c r="B101" i="28"/>
  <c r="B103" i="28"/>
  <c r="B105" i="28"/>
  <c r="B107" i="28"/>
  <c r="B109" i="28"/>
  <c r="B111" i="28"/>
  <c r="B113" i="28"/>
  <c r="B115" i="28"/>
  <c r="B117" i="28"/>
  <c r="B119" i="28"/>
  <c r="C33" i="28"/>
  <c r="B100" i="28"/>
  <c r="B102" i="28"/>
  <c r="B104" i="28"/>
  <c r="B106" i="28"/>
  <c r="B108" i="28"/>
  <c r="B110" i="28"/>
  <c r="B112" i="28"/>
  <c r="B114" i="28"/>
  <c r="B116" i="28"/>
  <c r="B118" i="28"/>
  <c r="C38" i="28"/>
  <c r="B38" i="28"/>
  <c r="C42" i="28"/>
  <c r="B42" i="28"/>
  <c r="C46" i="28"/>
  <c r="B46" i="28"/>
  <c r="C50" i="28"/>
  <c r="B50" i="28"/>
  <c r="C62" i="28"/>
  <c r="B62" i="28"/>
  <c r="B2" i="28"/>
  <c r="B3" i="28"/>
  <c r="B4" i="28"/>
  <c r="B5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C28" i="28"/>
  <c r="C32" i="28"/>
  <c r="C36" i="28"/>
  <c r="C39" i="28"/>
  <c r="B39" i="28"/>
  <c r="C43" i="28"/>
  <c r="B43" i="28"/>
  <c r="C47" i="28"/>
  <c r="B47" i="28"/>
  <c r="C51" i="28"/>
  <c r="B51" i="28"/>
  <c r="C55" i="28"/>
  <c r="B55" i="28"/>
  <c r="C59" i="28"/>
  <c r="B59" i="28"/>
  <c r="C63" i="28"/>
  <c r="B63" i="28"/>
  <c r="C67" i="28"/>
  <c r="B67" i="28"/>
  <c r="C71" i="28"/>
  <c r="B71" i="28"/>
  <c r="C54" i="28"/>
  <c r="B54" i="28"/>
  <c r="C58" i="28"/>
  <c r="B58" i="28"/>
  <c r="C40" i="28"/>
  <c r="B40" i="28"/>
  <c r="C44" i="28"/>
  <c r="B44" i="28"/>
  <c r="C48" i="28"/>
  <c r="B48" i="28"/>
  <c r="C52" i="28"/>
  <c r="B52" i="28"/>
  <c r="C56" i="28"/>
  <c r="B56" i="28"/>
  <c r="C60" i="28"/>
  <c r="B60" i="28"/>
  <c r="C64" i="28"/>
  <c r="B64" i="28"/>
  <c r="C68" i="28"/>
  <c r="B68" i="28"/>
  <c r="C72" i="28"/>
  <c r="B72" i="28"/>
  <c r="C66" i="28"/>
  <c r="B66" i="28"/>
  <c r="C70" i="28"/>
  <c r="B70" i="28"/>
  <c r="C30" i="28"/>
  <c r="C34" i="28"/>
  <c r="C37" i="28"/>
  <c r="B37" i="28"/>
  <c r="C41" i="28"/>
  <c r="B41" i="28"/>
  <c r="C45" i="28"/>
  <c r="B45" i="28"/>
  <c r="C49" i="28"/>
  <c r="B49" i="28"/>
  <c r="C53" i="28"/>
  <c r="B53" i="28"/>
  <c r="C57" i="28"/>
  <c r="B57" i="28"/>
  <c r="C61" i="28"/>
  <c r="B61" i="28"/>
  <c r="C65" i="28"/>
  <c r="B65" i="28"/>
  <c r="C69" i="28"/>
  <c r="B69" i="28"/>
  <c r="C99" i="28"/>
  <c r="B99" i="28"/>
  <c r="B73" i="28"/>
  <c r="BL116" i="54" l="1"/>
  <c r="BJ116" i="54"/>
  <c r="BK116" i="54" s="1"/>
  <c r="BJ115" i="54"/>
  <c r="BK115" i="54" s="1"/>
  <c r="BL115" i="54"/>
  <c r="BL120" i="54"/>
  <c r="BJ120" i="54"/>
  <c r="BK120" i="54" s="1"/>
  <c r="BJ110" i="54"/>
  <c r="BK110" i="54" s="1"/>
  <c r="BL110" i="54"/>
  <c r="BJ114" i="54"/>
  <c r="BK114" i="54" s="1"/>
  <c r="BL114" i="54"/>
  <c r="BL111" i="54"/>
  <c r="BJ111" i="54"/>
  <c r="BK111" i="54" s="1"/>
  <c r="BL117" i="54"/>
  <c r="BJ117" i="54"/>
  <c r="BK117" i="54" s="1"/>
  <c r="BL113" i="54"/>
  <c r="BJ113" i="54"/>
  <c r="BK113" i="54" s="1"/>
  <c r="BL119" i="54"/>
  <c r="BJ119" i="54"/>
  <c r="BK119" i="54" s="1"/>
  <c r="BL118" i="54"/>
  <c r="BJ118" i="54"/>
  <c r="BK118" i="54" s="1"/>
  <c r="BJ121" i="54"/>
  <c r="BK121" i="54" s="1"/>
  <c r="BL121" i="54"/>
  <c r="BJ112" i="54"/>
  <c r="BK112" i="54" s="1"/>
  <c r="BL112" i="54"/>
  <c r="J136" i="36"/>
  <c r="Q136" i="36" s="1"/>
  <c r="J140" i="36"/>
  <c r="Q140" i="36" s="1"/>
  <c r="J144" i="36"/>
  <c r="Q144" i="36" s="1"/>
  <c r="AJ14" i="17" l="1"/>
  <c r="J10" i="5"/>
  <c r="K16" i="5"/>
  <c r="L16" i="5"/>
  <c r="M16" i="5"/>
  <c r="N16" i="5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D111" i="1"/>
  <c r="BE111" i="1"/>
  <c r="BF111" i="1"/>
  <c r="BD112" i="1"/>
  <c r="BE112" i="1"/>
  <c r="BF112" i="1"/>
  <c r="BD113" i="1"/>
  <c r="BE113" i="1"/>
  <c r="BF113" i="1"/>
  <c r="BD114" i="1"/>
  <c r="BE114" i="1"/>
  <c r="BF114" i="1"/>
  <c r="BD115" i="1"/>
  <c r="BE115" i="1"/>
  <c r="BF115" i="1"/>
  <c r="BD116" i="1"/>
  <c r="BE116" i="1"/>
  <c r="BF116" i="1"/>
  <c r="BD117" i="1"/>
  <c r="BE117" i="1"/>
  <c r="BF117" i="1"/>
  <c r="BD118" i="1"/>
  <c r="BE118" i="1"/>
  <c r="BF118" i="1"/>
  <c r="BD119" i="1"/>
  <c r="BE119" i="1"/>
  <c r="BF119" i="1"/>
  <c r="BD120" i="1"/>
  <c r="BE120" i="1"/>
  <c r="BF120" i="1"/>
  <c r="BD121" i="1"/>
  <c r="BE121" i="1"/>
  <c r="BF121" i="1"/>
  <c r="BE110" i="1"/>
  <c r="BF110" i="1"/>
  <c r="BD110" i="1"/>
  <c r="W110" i="1"/>
  <c r="H110" i="58" s="1"/>
  <c r="O110" i="58" s="1"/>
  <c r="X110" i="1"/>
  <c r="H110" i="59" s="1"/>
  <c r="O110" i="59" s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W111" i="1"/>
  <c r="H111" i="58" s="1"/>
  <c r="O111" i="58" s="1"/>
  <c r="X111" i="1"/>
  <c r="H111" i="59" s="1"/>
  <c r="O111" i="59" s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W112" i="1"/>
  <c r="H112" i="58" s="1"/>
  <c r="O112" i="58" s="1"/>
  <c r="X112" i="1"/>
  <c r="H112" i="59" s="1"/>
  <c r="O112" i="59" s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W113" i="1"/>
  <c r="H113" i="58" s="1"/>
  <c r="O113" i="58" s="1"/>
  <c r="X113" i="1"/>
  <c r="H113" i="59" s="1"/>
  <c r="O113" i="59" s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W114" i="1"/>
  <c r="H114" i="58" s="1"/>
  <c r="O114" i="58" s="1"/>
  <c r="X114" i="1"/>
  <c r="H114" i="59" s="1"/>
  <c r="O114" i="59" s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W115" i="1"/>
  <c r="H115" i="58" s="1"/>
  <c r="O115" i="58" s="1"/>
  <c r="X115" i="1"/>
  <c r="H115" i="59" s="1"/>
  <c r="O115" i="59" s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W116" i="1"/>
  <c r="H116" i="58" s="1"/>
  <c r="O116" i="58" s="1"/>
  <c r="X116" i="1"/>
  <c r="H116" i="59" s="1"/>
  <c r="O116" i="59" s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W117" i="1"/>
  <c r="H117" i="58" s="1"/>
  <c r="O117" i="58" s="1"/>
  <c r="X117" i="1"/>
  <c r="H117" i="59" s="1"/>
  <c r="O117" i="59" s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W118" i="1"/>
  <c r="H118" i="58" s="1"/>
  <c r="O118" i="58" s="1"/>
  <c r="X118" i="1"/>
  <c r="H118" i="59" s="1"/>
  <c r="O118" i="59" s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W119" i="1"/>
  <c r="H119" i="58" s="1"/>
  <c r="O119" i="58" s="1"/>
  <c r="X119" i="1"/>
  <c r="H119" i="59" s="1"/>
  <c r="O119" i="59" s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W120" i="1"/>
  <c r="H120" i="58" s="1"/>
  <c r="O120" i="58" s="1"/>
  <c r="X120" i="1"/>
  <c r="H120" i="59" s="1"/>
  <c r="O120" i="59" s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W121" i="1"/>
  <c r="H121" i="58" s="1"/>
  <c r="O121" i="58" s="1"/>
  <c r="X121" i="1"/>
  <c r="H121" i="59" s="1"/>
  <c r="O121" i="59" s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B120" i="1"/>
  <c r="B121" i="1"/>
  <c r="B110" i="1"/>
  <c r="B111" i="1"/>
  <c r="B112" i="1"/>
  <c r="B113" i="1"/>
  <c r="B114" i="1"/>
  <c r="B115" i="1"/>
  <c r="B116" i="1"/>
  <c r="B117" i="1"/>
  <c r="B118" i="1"/>
  <c r="B119" i="1"/>
  <c r="AM1" i="1"/>
  <c r="AN1" i="1"/>
  <c r="AO1" i="1"/>
  <c r="AP1" i="1"/>
  <c r="AQ1" i="1"/>
  <c r="AM2" i="1"/>
  <c r="AN2" i="1"/>
  <c r="AO2" i="1"/>
  <c r="AP2" i="1"/>
  <c r="AQ2" i="1"/>
  <c r="AM3" i="1"/>
  <c r="AN3" i="1"/>
  <c r="AO3" i="1"/>
  <c r="AP3" i="1"/>
  <c r="AQ3" i="1"/>
  <c r="AM4" i="1"/>
  <c r="AN4" i="1"/>
  <c r="AO4" i="1"/>
  <c r="AP4" i="1"/>
  <c r="AQ4" i="1"/>
  <c r="AM5" i="1"/>
  <c r="AN5" i="1"/>
  <c r="AO5" i="1"/>
  <c r="AP5" i="1"/>
  <c r="AQ5" i="1"/>
  <c r="AM6" i="1"/>
  <c r="AN6" i="1"/>
  <c r="AO6" i="1"/>
  <c r="AP6" i="1"/>
  <c r="AQ6" i="1"/>
  <c r="AM7" i="1"/>
  <c r="AN7" i="1"/>
  <c r="AO7" i="1"/>
  <c r="AP7" i="1"/>
  <c r="AQ7" i="1"/>
  <c r="AM8" i="1"/>
  <c r="AN8" i="1"/>
  <c r="AO8" i="1"/>
  <c r="AP8" i="1"/>
  <c r="AQ8" i="1"/>
  <c r="AM9" i="1"/>
  <c r="AN9" i="1"/>
  <c r="AO9" i="1"/>
  <c r="AP9" i="1"/>
  <c r="AQ9" i="1"/>
  <c r="AM10" i="1"/>
  <c r="AN10" i="1"/>
  <c r="AO10" i="1"/>
  <c r="AP10" i="1"/>
  <c r="AQ10" i="1"/>
  <c r="AM11" i="1"/>
  <c r="AN11" i="1"/>
  <c r="AO11" i="1"/>
  <c r="AP11" i="1"/>
  <c r="AQ11" i="1"/>
  <c r="AM12" i="1"/>
  <c r="AN12" i="1"/>
  <c r="AO12" i="1"/>
  <c r="AP12" i="1"/>
  <c r="AQ12" i="1"/>
  <c r="AM13" i="1"/>
  <c r="AN13" i="1"/>
  <c r="AO13" i="1"/>
  <c r="AP13" i="1"/>
  <c r="AQ13" i="1"/>
  <c r="AM14" i="1"/>
  <c r="AN14" i="1"/>
  <c r="AO14" i="1"/>
  <c r="AP14" i="1"/>
  <c r="AQ14" i="1"/>
  <c r="AM15" i="1"/>
  <c r="AN15" i="1"/>
  <c r="AO15" i="1"/>
  <c r="AP15" i="1"/>
  <c r="AQ15" i="1"/>
  <c r="AM16" i="1"/>
  <c r="AN16" i="1"/>
  <c r="AO16" i="1"/>
  <c r="AP16" i="1"/>
  <c r="AQ16" i="1"/>
  <c r="AM17" i="1"/>
  <c r="AN17" i="1"/>
  <c r="AO17" i="1"/>
  <c r="AP17" i="1"/>
  <c r="AQ17" i="1"/>
  <c r="AM18" i="1"/>
  <c r="AN18" i="1"/>
  <c r="AO18" i="1"/>
  <c r="AP18" i="1"/>
  <c r="AQ18" i="1"/>
  <c r="AM19" i="1"/>
  <c r="AN19" i="1"/>
  <c r="AO19" i="1"/>
  <c r="AP19" i="1"/>
  <c r="AQ19" i="1"/>
  <c r="AM20" i="1"/>
  <c r="AN20" i="1"/>
  <c r="AO20" i="1"/>
  <c r="AP20" i="1"/>
  <c r="AQ20" i="1"/>
  <c r="AM21" i="1"/>
  <c r="AN21" i="1"/>
  <c r="AO21" i="1"/>
  <c r="AP21" i="1"/>
  <c r="AQ21" i="1"/>
  <c r="AM22" i="1"/>
  <c r="AN22" i="1"/>
  <c r="AO22" i="1"/>
  <c r="AP22" i="1"/>
  <c r="AQ22" i="1"/>
  <c r="AM23" i="1"/>
  <c r="AN23" i="1"/>
  <c r="AO23" i="1"/>
  <c r="AP23" i="1"/>
  <c r="AQ23" i="1"/>
  <c r="AM24" i="1"/>
  <c r="AN24" i="1"/>
  <c r="AO24" i="1"/>
  <c r="AP24" i="1"/>
  <c r="AQ24" i="1"/>
  <c r="AM25" i="1"/>
  <c r="AN25" i="1"/>
  <c r="AO25" i="1"/>
  <c r="AP25" i="1"/>
  <c r="AQ25" i="1"/>
  <c r="AM26" i="1"/>
  <c r="AN26" i="1"/>
  <c r="AO26" i="1"/>
  <c r="AP26" i="1"/>
  <c r="AQ26" i="1"/>
  <c r="AM27" i="1"/>
  <c r="AN27" i="1"/>
  <c r="AO27" i="1"/>
  <c r="AP27" i="1"/>
  <c r="AQ27" i="1"/>
  <c r="AM28" i="1"/>
  <c r="AN28" i="1"/>
  <c r="AO28" i="1"/>
  <c r="AP28" i="1"/>
  <c r="AQ28" i="1"/>
  <c r="AM29" i="1"/>
  <c r="AN29" i="1"/>
  <c r="AO29" i="1"/>
  <c r="AP29" i="1"/>
  <c r="AQ29" i="1"/>
  <c r="AM30" i="1"/>
  <c r="AN30" i="1"/>
  <c r="AO30" i="1"/>
  <c r="AP30" i="1"/>
  <c r="AQ30" i="1"/>
  <c r="AM31" i="1"/>
  <c r="AN31" i="1"/>
  <c r="AO31" i="1"/>
  <c r="AP31" i="1"/>
  <c r="AQ31" i="1"/>
  <c r="AM32" i="1"/>
  <c r="AN32" i="1"/>
  <c r="AO32" i="1"/>
  <c r="AP32" i="1"/>
  <c r="AQ32" i="1"/>
  <c r="AM33" i="1"/>
  <c r="AN33" i="1"/>
  <c r="AO33" i="1"/>
  <c r="AP33" i="1"/>
  <c r="AQ33" i="1"/>
  <c r="AM34" i="1"/>
  <c r="AN34" i="1"/>
  <c r="AO34" i="1"/>
  <c r="AP34" i="1"/>
  <c r="AQ34" i="1"/>
  <c r="AM35" i="1"/>
  <c r="AN35" i="1"/>
  <c r="AO35" i="1"/>
  <c r="AP35" i="1"/>
  <c r="AQ35" i="1"/>
  <c r="AM36" i="1"/>
  <c r="AN36" i="1"/>
  <c r="AO36" i="1"/>
  <c r="AP36" i="1"/>
  <c r="AQ36" i="1"/>
  <c r="AM37" i="1"/>
  <c r="AN37" i="1"/>
  <c r="AO37" i="1"/>
  <c r="AP37" i="1"/>
  <c r="AQ37" i="1"/>
  <c r="AM38" i="1"/>
  <c r="AN38" i="1"/>
  <c r="AO38" i="1"/>
  <c r="AP38" i="1"/>
  <c r="AQ38" i="1"/>
  <c r="AM39" i="1"/>
  <c r="AN39" i="1"/>
  <c r="AO39" i="1"/>
  <c r="AP39" i="1"/>
  <c r="AQ39" i="1"/>
  <c r="AM40" i="1"/>
  <c r="AN40" i="1"/>
  <c r="AO40" i="1"/>
  <c r="AP40" i="1"/>
  <c r="AQ40" i="1"/>
  <c r="AM41" i="1"/>
  <c r="AN41" i="1"/>
  <c r="AO41" i="1"/>
  <c r="AP41" i="1"/>
  <c r="AQ41" i="1"/>
  <c r="AM42" i="1"/>
  <c r="AN42" i="1"/>
  <c r="AO42" i="1"/>
  <c r="AP42" i="1"/>
  <c r="AQ42" i="1"/>
  <c r="AM43" i="1"/>
  <c r="AN43" i="1"/>
  <c r="AO43" i="1"/>
  <c r="AP43" i="1"/>
  <c r="AQ43" i="1"/>
  <c r="AM44" i="1"/>
  <c r="AN44" i="1"/>
  <c r="AO44" i="1"/>
  <c r="AP44" i="1"/>
  <c r="AQ44" i="1"/>
  <c r="AM45" i="1"/>
  <c r="AN45" i="1"/>
  <c r="AO45" i="1"/>
  <c r="AP45" i="1"/>
  <c r="AQ45" i="1"/>
  <c r="AM46" i="1"/>
  <c r="AN46" i="1"/>
  <c r="AO46" i="1"/>
  <c r="AP46" i="1"/>
  <c r="AQ46" i="1"/>
  <c r="AM47" i="1"/>
  <c r="AN47" i="1"/>
  <c r="AO47" i="1"/>
  <c r="AP47" i="1"/>
  <c r="AQ47" i="1"/>
  <c r="AM48" i="1"/>
  <c r="AN48" i="1"/>
  <c r="AO48" i="1"/>
  <c r="AP48" i="1"/>
  <c r="AQ48" i="1"/>
  <c r="AM49" i="1"/>
  <c r="AN49" i="1"/>
  <c r="AO49" i="1"/>
  <c r="AP49" i="1"/>
  <c r="AQ49" i="1"/>
  <c r="AM50" i="1"/>
  <c r="AN50" i="1"/>
  <c r="AO50" i="1"/>
  <c r="AP50" i="1"/>
  <c r="AQ50" i="1"/>
  <c r="AM51" i="1"/>
  <c r="AN51" i="1"/>
  <c r="AO51" i="1"/>
  <c r="AP51" i="1"/>
  <c r="AQ51" i="1"/>
  <c r="AM52" i="1"/>
  <c r="AN52" i="1"/>
  <c r="AO52" i="1"/>
  <c r="AP52" i="1"/>
  <c r="AQ52" i="1"/>
  <c r="AM53" i="1"/>
  <c r="AN53" i="1"/>
  <c r="AO53" i="1"/>
  <c r="AP53" i="1"/>
  <c r="AQ53" i="1"/>
  <c r="AM54" i="1"/>
  <c r="AN54" i="1"/>
  <c r="AO54" i="1"/>
  <c r="AP54" i="1"/>
  <c r="AQ54" i="1"/>
  <c r="AM55" i="1"/>
  <c r="AN55" i="1"/>
  <c r="AO55" i="1"/>
  <c r="AP55" i="1"/>
  <c r="AQ55" i="1"/>
  <c r="AM56" i="1"/>
  <c r="AN56" i="1"/>
  <c r="AO56" i="1"/>
  <c r="AP56" i="1"/>
  <c r="AQ56" i="1"/>
  <c r="AM57" i="1"/>
  <c r="AN57" i="1"/>
  <c r="AO57" i="1"/>
  <c r="AP57" i="1"/>
  <c r="AQ57" i="1"/>
  <c r="AM58" i="1"/>
  <c r="AN58" i="1"/>
  <c r="AO58" i="1"/>
  <c r="AP58" i="1"/>
  <c r="AQ58" i="1"/>
  <c r="AM59" i="1"/>
  <c r="AN59" i="1"/>
  <c r="AO59" i="1"/>
  <c r="AP59" i="1"/>
  <c r="AQ59" i="1"/>
  <c r="AM60" i="1"/>
  <c r="AN60" i="1"/>
  <c r="AO60" i="1"/>
  <c r="AP60" i="1"/>
  <c r="AQ60" i="1"/>
  <c r="AM61" i="1"/>
  <c r="AN61" i="1"/>
  <c r="AO61" i="1"/>
  <c r="AP61" i="1"/>
  <c r="AQ61" i="1"/>
  <c r="AM62" i="1"/>
  <c r="AN62" i="1"/>
  <c r="AO62" i="1"/>
  <c r="AP62" i="1"/>
  <c r="AQ62" i="1"/>
  <c r="AM63" i="1"/>
  <c r="AN63" i="1"/>
  <c r="AO63" i="1"/>
  <c r="AP63" i="1"/>
  <c r="AQ63" i="1"/>
  <c r="AM64" i="1"/>
  <c r="AN64" i="1"/>
  <c r="AO64" i="1"/>
  <c r="AP64" i="1"/>
  <c r="AQ64" i="1"/>
  <c r="AM65" i="1"/>
  <c r="AN65" i="1"/>
  <c r="AO65" i="1"/>
  <c r="AP65" i="1"/>
  <c r="AQ65" i="1"/>
  <c r="AM66" i="1"/>
  <c r="AN66" i="1"/>
  <c r="AO66" i="1"/>
  <c r="AP66" i="1"/>
  <c r="AQ66" i="1"/>
  <c r="AM67" i="1"/>
  <c r="AN67" i="1"/>
  <c r="AO67" i="1"/>
  <c r="AP67" i="1"/>
  <c r="AQ67" i="1"/>
  <c r="AM68" i="1"/>
  <c r="AN68" i="1"/>
  <c r="AO68" i="1"/>
  <c r="AP68" i="1"/>
  <c r="AQ68" i="1"/>
  <c r="AM69" i="1"/>
  <c r="AN69" i="1"/>
  <c r="AO69" i="1"/>
  <c r="AP69" i="1"/>
  <c r="AQ69" i="1"/>
  <c r="AM70" i="1"/>
  <c r="AN70" i="1"/>
  <c r="AO70" i="1"/>
  <c r="AP70" i="1"/>
  <c r="AQ70" i="1"/>
  <c r="AM71" i="1"/>
  <c r="AN71" i="1"/>
  <c r="AO71" i="1"/>
  <c r="AP71" i="1"/>
  <c r="AQ71" i="1"/>
  <c r="AM72" i="1"/>
  <c r="AN72" i="1"/>
  <c r="AO72" i="1"/>
  <c r="AP72" i="1"/>
  <c r="AQ72" i="1"/>
  <c r="AM73" i="1"/>
  <c r="AN73" i="1"/>
  <c r="AO73" i="1"/>
  <c r="AP73" i="1"/>
  <c r="AQ73" i="1"/>
  <c r="AM74" i="1"/>
  <c r="AN74" i="1"/>
  <c r="AO74" i="1"/>
  <c r="AP74" i="1"/>
  <c r="AQ74" i="1"/>
  <c r="AM75" i="1"/>
  <c r="AN75" i="1"/>
  <c r="AO75" i="1"/>
  <c r="AP75" i="1"/>
  <c r="AQ75" i="1"/>
  <c r="AM76" i="1"/>
  <c r="AN76" i="1"/>
  <c r="AO76" i="1"/>
  <c r="AP76" i="1"/>
  <c r="AQ76" i="1"/>
  <c r="AM77" i="1"/>
  <c r="AN77" i="1"/>
  <c r="AO77" i="1"/>
  <c r="AP77" i="1"/>
  <c r="AQ77" i="1"/>
  <c r="AM78" i="1"/>
  <c r="AN78" i="1"/>
  <c r="AO78" i="1"/>
  <c r="AP78" i="1"/>
  <c r="AQ78" i="1"/>
  <c r="AM79" i="1"/>
  <c r="AN79" i="1"/>
  <c r="AO79" i="1"/>
  <c r="AP79" i="1"/>
  <c r="AQ79" i="1"/>
  <c r="AM80" i="1"/>
  <c r="AN80" i="1"/>
  <c r="AO80" i="1"/>
  <c r="AP80" i="1"/>
  <c r="AQ80" i="1"/>
  <c r="AM81" i="1"/>
  <c r="AN81" i="1"/>
  <c r="AO81" i="1"/>
  <c r="AP81" i="1"/>
  <c r="AQ81" i="1"/>
  <c r="AM82" i="1"/>
  <c r="AN82" i="1"/>
  <c r="AO82" i="1"/>
  <c r="AP82" i="1"/>
  <c r="AQ82" i="1"/>
  <c r="AM83" i="1"/>
  <c r="AN83" i="1"/>
  <c r="AO83" i="1"/>
  <c r="AP83" i="1"/>
  <c r="AQ83" i="1"/>
  <c r="AM84" i="1"/>
  <c r="AN84" i="1"/>
  <c r="AO84" i="1"/>
  <c r="AP84" i="1"/>
  <c r="AQ84" i="1"/>
  <c r="AM85" i="1"/>
  <c r="AN85" i="1"/>
  <c r="AO85" i="1"/>
  <c r="AP85" i="1"/>
  <c r="AQ85" i="1"/>
  <c r="AM86" i="1"/>
  <c r="AN86" i="1"/>
  <c r="AO86" i="1"/>
  <c r="AP86" i="1"/>
  <c r="AQ86" i="1"/>
  <c r="AM87" i="1"/>
  <c r="AN87" i="1"/>
  <c r="AO87" i="1"/>
  <c r="AP87" i="1"/>
  <c r="AQ87" i="1"/>
  <c r="AM88" i="1"/>
  <c r="AN88" i="1"/>
  <c r="AO88" i="1"/>
  <c r="AP88" i="1"/>
  <c r="AQ88" i="1"/>
  <c r="AM89" i="1"/>
  <c r="AN89" i="1"/>
  <c r="AO89" i="1"/>
  <c r="AP89" i="1"/>
  <c r="AQ89" i="1"/>
  <c r="AM90" i="1"/>
  <c r="AN90" i="1"/>
  <c r="AO90" i="1"/>
  <c r="AP90" i="1"/>
  <c r="AQ90" i="1"/>
  <c r="AM91" i="1"/>
  <c r="AN91" i="1"/>
  <c r="AO91" i="1"/>
  <c r="AP91" i="1"/>
  <c r="AQ91" i="1"/>
  <c r="AM92" i="1"/>
  <c r="AN92" i="1"/>
  <c r="AO92" i="1"/>
  <c r="AP92" i="1"/>
  <c r="AQ92" i="1"/>
  <c r="AM93" i="1"/>
  <c r="AN93" i="1"/>
  <c r="AO93" i="1"/>
  <c r="AP93" i="1"/>
  <c r="AQ93" i="1"/>
  <c r="AM94" i="1"/>
  <c r="AN94" i="1"/>
  <c r="AO94" i="1"/>
  <c r="AP94" i="1"/>
  <c r="AQ94" i="1"/>
  <c r="AM95" i="1"/>
  <c r="AN95" i="1"/>
  <c r="AO95" i="1"/>
  <c r="AP95" i="1"/>
  <c r="AQ95" i="1"/>
  <c r="AM96" i="1"/>
  <c r="AN96" i="1"/>
  <c r="AO96" i="1"/>
  <c r="AP96" i="1"/>
  <c r="AQ96" i="1"/>
  <c r="AM97" i="1"/>
  <c r="AN97" i="1"/>
  <c r="AO97" i="1"/>
  <c r="AP97" i="1"/>
  <c r="AQ97" i="1"/>
  <c r="AM98" i="1"/>
  <c r="AN98" i="1"/>
  <c r="AO98" i="1"/>
  <c r="AP98" i="1"/>
  <c r="AQ98" i="1"/>
  <c r="AM99" i="1"/>
  <c r="AN99" i="1"/>
  <c r="AO99" i="1"/>
  <c r="AP99" i="1"/>
  <c r="AQ99" i="1"/>
  <c r="AM100" i="1"/>
  <c r="AN100" i="1"/>
  <c r="AO100" i="1"/>
  <c r="AP100" i="1"/>
  <c r="AQ100" i="1"/>
  <c r="AM101" i="1"/>
  <c r="AN101" i="1"/>
  <c r="AO101" i="1"/>
  <c r="AP101" i="1"/>
  <c r="AQ101" i="1"/>
  <c r="AM102" i="1"/>
  <c r="AN102" i="1"/>
  <c r="AO102" i="1"/>
  <c r="AP102" i="1"/>
  <c r="AQ102" i="1"/>
  <c r="AM103" i="1"/>
  <c r="AN103" i="1"/>
  <c r="AO103" i="1"/>
  <c r="AP103" i="1"/>
  <c r="AQ103" i="1"/>
  <c r="AM104" i="1"/>
  <c r="AN104" i="1"/>
  <c r="AO104" i="1"/>
  <c r="AP104" i="1"/>
  <c r="AQ104" i="1"/>
  <c r="AM105" i="1"/>
  <c r="AN105" i="1"/>
  <c r="AO105" i="1"/>
  <c r="AP105" i="1"/>
  <c r="AQ105" i="1"/>
  <c r="AM106" i="1"/>
  <c r="AN106" i="1"/>
  <c r="AO106" i="1"/>
  <c r="AP106" i="1"/>
  <c r="AQ106" i="1"/>
  <c r="AM107" i="1"/>
  <c r="AN107" i="1"/>
  <c r="AO107" i="1"/>
  <c r="AP107" i="1"/>
  <c r="AQ107" i="1"/>
  <c r="AM108" i="1"/>
  <c r="AN108" i="1"/>
  <c r="AO108" i="1"/>
  <c r="AP108" i="1"/>
  <c r="AQ108" i="1"/>
  <c r="AM109" i="1"/>
  <c r="AN109" i="1"/>
  <c r="AO109" i="1"/>
  <c r="AP109" i="1"/>
  <c r="AQ109" i="1"/>
  <c r="AG1" i="1"/>
  <c r="AH1" i="1"/>
  <c r="AI1" i="1"/>
  <c r="F1" i="59" s="1"/>
  <c r="M1" i="59" s="1"/>
  <c r="AJ1" i="1"/>
  <c r="F1" i="60" s="1"/>
  <c r="M1" i="60" s="1"/>
  <c r="AK1" i="1"/>
  <c r="AL1" i="1"/>
  <c r="AG2" i="1"/>
  <c r="AH2" i="1"/>
  <c r="AI2" i="1"/>
  <c r="AJ2" i="1"/>
  <c r="AK2" i="1"/>
  <c r="AL2" i="1"/>
  <c r="AG3" i="1"/>
  <c r="AH3" i="1"/>
  <c r="AI3" i="1"/>
  <c r="AJ3" i="1"/>
  <c r="AK3" i="1"/>
  <c r="AL3" i="1"/>
  <c r="AG4" i="1"/>
  <c r="AH4" i="1"/>
  <c r="AI4" i="1"/>
  <c r="AJ4" i="1"/>
  <c r="AK4" i="1"/>
  <c r="AL4" i="1"/>
  <c r="AG5" i="1"/>
  <c r="AH5" i="1"/>
  <c r="AI5" i="1"/>
  <c r="AJ5" i="1"/>
  <c r="AK5" i="1"/>
  <c r="AL5" i="1"/>
  <c r="AG6" i="1"/>
  <c r="AH6" i="1"/>
  <c r="AI6" i="1"/>
  <c r="AJ6" i="1"/>
  <c r="AK6" i="1"/>
  <c r="AL6" i="1"/>
  <c r="AG7" i="1"/>
  <c r="AH7" i="1"/>
  <c r="AI7" i="1"/>
  <c r="AJ7" i="1"/>
  <c r="AK7" i="1"/>
  <c r="AL7" i="1"/>
  <c r="AG8" i="1"/>
  <c r="AH8" i="1"/>
  <c r="AI8" i="1"/>
  <c r="AJ8" i="1"/>
  <c r="AK8" i="1"/>
  <c r="AL8" i="1"/>
  <c r="AG9" i="1"/>
  <c r="AH9" i="1"/>
  <c r="AI9" i="1"/>
  <c r="AJ9" i="1"/>
  <c r="AK9" i="1"/>
  <c r="AL9" i="1"/>
  <c r="AG10" i="1"/>
  <c r="AH10" i="1"/>
  <c r="AI10" i="1"/>
  <c r="AJ10" i="1"/>
  <c r="AK10" i="1"/>
  <c r="AL10" i="1"/>
  <c r="AG11" i="1"/>
  <c r="AH11" i="1"/>
  <c r="AI11" i="1"/>
  <c r="AJ11" i="1"/>
  <c r="AK11" i="1"/>
  <c r="AL11" i="1"/>
  <c r="AG12" i="1"/>
  <c r="AH12" i="1"/>
  <c r="AI12" i="1"/>
  <c r="AJ12" i="1"/>
  <c r="AK12" i="1"/>
  <c r="AL12" i="1"/>
  <c r="AG13" i="1"/>
  <c r="AH13" i="1"/>
  <c r="AI13" i="1"/>
  <c r="AJ13" i="1"/>
  <c r="AK13" i="1"/>
  <c r="AL13" i="1"/>
  <c r="AG14" i="1"/>
  <c r="AH14" i="1"/>
  <c r="AI14" i="1"/>
  <c r="AJ14" i="1"/>
  <c r="AK14" i="1"/>
  <c r="AL14" i="1"/>
  <c r="AG15" i="1"/>
  <c r="AH15" i="1"/>
  <c r="AI15" i="1"/>
  <c r="AJ15" i="1"/>
  <c r="AK15" i="1"/>
  <c r="AL15" i="1"/>
  <c r="AG16" i="1"/>
  <c r="AH16" i="1"/>
  <c r="AI16" i="1"/>
  <c r="AJ16" i="1"/>
  <c r="AK16" i="1"/>
  <c r="AL16" i="1"/>
  <c r="AG17" i="1"/>
  <c r="AH17" i="1"/>
  <c r="AI17" i="1"/>
  <c r="AJ17" i="1"/>
  <c r="AK17" i="1"/>
  <c r="AL17" i="1"/>
  <c r="AG18" i="1"/>
  <c r="AH18" i="1"/>
  <c r="AI18" i="1"/>
  <c r="AJ18" i="1"/>
  <c r="AK18" i="1"/>
  <c r="AL18" i="1"/>
  <c r="AG19" i="1"/>
  <c r="AH19" i="1"/>
  <c r="AI19" i="1"/>
  <c r="AJ19" i="1"/>
  <c r="AK19" i="1"/>
  <c r="AL19" i="1"/>
  <c r="AG20" i="1"/>
  <c r="AH20" i="1"/>
  <c r="AI20" i="1"/>
  <c r="AJ20" i="1"/>
  <c r="AK20" i="1"/>
  <c r="AL20" i="1"/>
  <c r="AG21" i="1"/>
  <c r="AH21" i="1"/>
  <c r="AI21" i="1"/>
  <c r="AJ21" i="1"/>
  <c r="AK21" i="1"/>
  <c r="AL21" i="1"/>
  <c r="AG22" i="1"/>
  <c r="AH22" i="1"/>
  <c r="AI22" i="1"/>
  <c r="AJ22" i="1"/>
  <c r="AK22" i="1"/>
  <c r="AL22" i="1"/>
  <c r="AG23" i="1"/>
  <c r="AH23" i="1"/>
  <c r="AI23" i="1"/>
  <c r="AJ23" i="1"/>
  <c r="AK23" i="1"/>
  <c r="AL23" i="1"/>
  <c r="AG24" i="1"/>
  <c r="AH24" i="1"/>
  <c r="AI24" i="1"/>
  <c r="AJ24" i="1"/>
  <c r="AK24" i="1"/>
  <c r="AL24" i="1"/>
  <c r="AG25" i="1"/>
  <c r="AH25" i="1"/>
  <c r="AI25" i="1"/>
  <c r="AJ25" i="1"/>
  <c r="AK25" i="1"/>
  <c r="AL25" i="1"/>
  <c r="AG26" i="1"/>
  <c r="AH26" i="1"/>
  <c r="AI26" i="1"/>
  <c r="AJ26" i="1"/>
  <c r="AK26" i="1"/>
  <c r="AL26" i="1"/>
  <c r="AG27" i="1"/>
  <c r="AH27" i="1"/>
  <c r="AI27" i="1"/>
  <c r="AJ27" i="1"/>
  <c r="AK27" i="1"/>
  <c r="AL27" i="1"/>
  <c r="AG28" i="1"/>
  <c r="AH28" i="1"/>
  <c r="AI28" i="1"/>
  <c r="AJ28" i="1"/>
  <c r="AK28" i="1"/>
  <c r="AL28" i="1"/>
  <c r="AG29" i="1"/>
  <c r="AH29" i="1"/>
  <c r="AI29" i="1"/>
  <c r="AJ29" i="1"/>
  <c r="AK29" i="1"/>
  <c r="AL29" i="1"/>
  <c r="AG30" i="1"/>
  <c r="AH30" i="1"/>
  <c r="AI30" i="1"/>
  <c r="AJ30" i="1"/>
  <c r="AK30" i="1"/>
  <c r="AL30" i="1"/>
  <c r="AG31" i="1"/>
  <c r="AH31" i="1"/>
  <c r="AI31" i="1"/>
  <c r="AJ31" i="1"/>
  <c r="AK31" i="1"/>
  <c r="AL31" i="1"/>
  <c r="AG32" i="1"/>
  <c r="AH32" i="1"/>
  <c r="AI32" i="1"/>
  <c r="AJ32" i="1"/>
  <c r="AK32" i="1"/>
  <c r="AL32" i="1"/>
  <c r="AG33" i="1"/>
  <c r="AH33" i="1"/>
  <c r="AI33" i="1"/>
  <c r="AJ33" i="1"/>
  <c r="AK33" i="1"/>
  <c r="AL33" i="1"/>
  <c r="AG34" i="1"/>
  <c r="AH34" i="1"/>
  <c r="AI34" i="1"/>
  <c r="AJ34" i="1"/>
  <c r="AK34" i="1"/>
  <c r="AL34" i="1"/>
  <c r="AG35" i="1"/>
  <c r="AH35" i="1"/>
  <c r="AI35" i="1"/>
  <c r="AJ35" i="1"/>
  <c r="AK35" i="1"/>
  <c r="AL35" i="1"/>
  <c r="AG36" i="1"/>
  <c r="AH36" i="1"/>
  <c r="AI36" i="1"/>
  <c r="AJ36" i="1"/>
  <c r="AK36" i="1"/>
  <c r="AL36" i="1"/>
  <c r="AG37" i="1"/>
  <c r="AH37" i="1"/>
  <c r="AI37" i="1"/>
  <c r="AJ37" i="1"/>
  <c r="AK37" i="1"/>
  <c r="AL37" i="1"/>
  <c r="AG38" i="1"/>
  <c r="AH38" i="1"/>
  <c r="AI38" i="1"/>
  <c r="AJ38" i="1"/>
  <c r="AK38" i="1"/>
  <c r="AL38" i="1"/>
  <c r="AG39" i="1"/>
  <c r="AH39" i="1"/>
  <c r="AI39" i="1"/>
  <c r="AJ39" i="1"/>
  <c r="AK39" i="1"/>
  <c r="AL39" i="1"/>
  <c r="AG40" i="1"/>
  <c r="AH40" i="1"/>
  <c r="AI40" i="1"/>
  <c r="AJ40" i="1"/>
  <c r="AK40" i="1"/>
  <c r="AL40" i="1"/>
  <c r="AG41" i="1"/>
  <c r="AH41" i="1"/>
  <c r="AI41" i="1"/>
  <c r="AJ41" i="1"/>
  <c r="AK41" i="1"/>
  <c r="AL41" i="1"/>
  <c r="AG42" i="1"/>
  <c r="AH42" i="1"/>
  <c r="AI42" i="1"/>
  <c r="AJ42" i="1"/>
  <c r="AK42" i="1"/>
  <c r="AL42" i="1"/>
  <c r="AG43" i="1"/>
  <c r="AH43" i="1"/>
  <c r="AI43" i="1"/>
  <c r="AJ43" i="1"/>
  <c r="AK43" i="1"/>
  <c r="AL43" i="1"/>
  <c r="AG44" i="1"/>
  <c r="AH44" i="1"/>
  <c r="AI44" i="1"/>
  <c r="AJ44" i="1"/>
  <c r="AK44" i="1"/>
  <c r="AL44" i="1"/>
  <c r="AG45" i="1"/>
  <c r="AH45" i="1"/>
  <c r="AI45" i="1"/>
  <c r="AJ45" i="1"/>
  <c r="AK45" i="1"/>
  <c r="AL45" i="1"/>
  <c r="AG46" i="1"/>
  <c r="AH46" i="1"/>
  <c r="AI46" i="1"/>
  <c r="AJ46" i="1"/>
  <c r="AK46" i="1"/>
  <c r="AL46" i="1"/>
  <c r="AG47" i="1"/>
  <c r="AH47" i="1"/>
  <c r="AI47" i="1"/>
  <c r="AJ47" i="1"/>
  <c r="AK47" i="1"/>
  <c r="AL47" i="1"/>
  <c r="AG48" i="1"/>
  <c r="AH48" i="1"/>
  <c r="AI48" i="1"/>
  <c r="AJ48" i="1"/>
  <c r="AK48" i="1"/>
  <c r="AL48" i="1"/>
  <c r="AG49" i="1"/>
  <c r="AH49" i="1"/>
  <c r="AI49" i="1"/>
  <c r="AJ49" i="1"/>
  <c r="AK49" i="1"/>
  <c r="AL49" i="1"/>
  <c r="AG50" i="1"/>
  <c r="AH50" i="1"/>
  <c r="AI50" i="1"/>
  <c r="AJ50" i="1"/>
  <c r="AK50" i="1"/>
  <c r="AL50" i="1"/>
  <c r="AG51" i="1"/>
  <c r="AH51" i="1"/>
  <c r="AI51" i="1"/>
  <c r="AJ51" i="1"/>
  <c r="AK51" i="1"/>
  <c r="AL51" i="1"/>
  <c r="AG52" i="1"/>
  <c r="AH52" i="1"/>
  <c r="AI52" i="1"/>
  <c r="AJ52" i="1"/>
  <c r="AK52" i="1"/>
  <c r="AL52" i="1"/>
  <c r="AG53" i="1"/>
  <c r="AH53" i="1"/>
  <c r="AI53" i="1"/>
  <c r="AJ53" i="1"/>
  <c r="AK53" i="1"/>
  <c r="AL53" i="1"/>
  <c r="AG54" i="1"/>
  <c r="AH54" i="1"/>
  <c r="AI54" i="1"/>
  <c r="AJ54" i="1"/>
  <c r="AK54" i="1"/>
  <c r="AL54" i="1"/>
  <c r="AG55" i="1"/>
  <c r="AH55" i="1"/>
  <c r="AI55" i="1"/>
  <c r="AJ55" i="1"/>
  <c r="AK55" i="1"/>
  <c r="AL55" i="1"/>
  <c r="AG56" i="1"/>
  <c r="AH56" i="1"/>
  <c r="AI56" i="1"/>
  <c r="AJ56" i="1"/>
  <c r="AK56" i="1"/>
  <c r="AL56" i="1"/>
  <c r="AG57" i="1"/>
  <c r="AH57" i="1"/>
  <c r="AI57" i="1"/>
  <c r="AJ57" i="1"/>
  <c r="AK57" i="1"/>
  <c r="AL57" i="1"/>
  <c r="AG58" i="1"/>
  <c r="AH58" i="1"/>
  <c r="AI58" i="1"/>
  <c r="AJ58" i="1"/>
  <c r="AK58" i="1"/>
  <c r="AL58" i="1"/>
  <c r="AG59" i="1"/>
  <c r="AH59" i="1"/>
  <c r="AI59" i="1"/>
  <c r="AJ59" i="1"/>
  <c r="AK59" i="1"/>
  <c r="AL59" i="1"/>
  <c r="AG60" i="1"/>
  <c r="AH60" i="1"/>
  <c r="AI60" i="1"/>
  <c r="AJ60" i="1"/>
  <c r="AK60" i="1"/>
  <c r="AL60" i="1"/>
  <c r="AG61" i="1"/>
  <c r="AH61" i="1"/>
  <c r="AI61" i="1"/>
  <c r="AJ61" i="1"/>
  <c r="AK61" i="1"/>
  <c r="AL61" i="1"/>
  <c r="AG62" i="1"/>
  <c r="AH62" i="1"/>
  <c r="AI62" i="1"/>
  <c r="AJ62" i="1"/>
  <c r="AK62" i="1"/>
  <c r="AL62" i="1"/>
  <c r="AG63" i="1"/>
  <c r="AH63" i="1"/>
  <c r="AI63" i="1"/>
  <c r="AJ63" i="1"/>
  <c r="AK63" i="1"/>
  <c r="AL63" i="1"/>
  <c r="AG64" i="1"/>
  <c r="AH64" i="1"/>
  <c r="AI64" i="1"/>
  <c r="AJ64" i="1"/>
  <c r="AK64" i="1"/>
  <c r="AL64" i="1"/>
  <c r="AG65" i="1"/>
  <c r="AH65" i="1"/>
  <c r="AI65" i="1"/>
  <c r="AJ65" i="1"/>
  <c r="AK65" i="1"/>
  <c r="AL65" i="1"/>
  <c r="AG66" i="1"/>
  <c r="AH66" i="1"/>
  <c r="AI66" i="1"/>
  <c r="AJ66" i="1"/>
  <c r="AK66" i="1"/>
  <c r="AL66" i="1"/>
  <c r="AG67" i="1"/>
  <c r="AH67" i="1"/>
  <c r="AI67" i="1"/>
  <c r="AJ67" i="1"/>
  <c r="AK67" i="1"/>
  <c r="AL67" i="1"/>
  <c r="AG68" i="1"/>
  <c r="AH68" i="1"/>
  <c r="AI68" i="1"/>
  <c r="AJ68" i="1"/>
  <c r="AK68" i="1"/>
  <c r="AL68" i="1"/>
  <c r="AG69" i="1"/>
  <c r="AH69" i="1"/>
  <c r="AI69" i="1"/>
  <c r="AJ69" i="1"/>
  <c r="AK69" i="1"/>
  <c r="AL69" i="1"/>
  <c r="AG70" i="1"/>
  <c r="AH70" i="1"/>
  <c r="AI70" i="1"/>
  <c r="AJ70" i="1"/>
  <c r="AK70" i="1"/>
  <c r="AL70" i="1"/>
  <c r="AG71" i="1"/>
  <c r="AH71" i="1"/>
  <c r="AI71" i="1"/>
  <c r="AJ71" i="1"/>
  <c r="AK71" i="1"/>
  <c r="AL71" i="1"/>
  <c r="AG72" i="1"/>
  <c r="AH72" i="1"/>
  <c r="AI72" i="1"/>
  <c r="AJ72" i="1"/>
  <c r="AK72" i="1"/>
  <c r="AL72" i="1"/>
  <c r="AG73" i="1"/>
  <c r="AH73" i="1"/>
  <c r="AI73" i="1"/>
  <c r="AJ73" i="1"/>
  <c r="AK73" i="1"/>
  <c r="AL73" i="1"/>
  <c r="AG74" i="1"/>
  <c r="AH74" i="1"/>
  <c r="AI74" i="1"/>
  <c r="AJ74" i="1"/>
  <c r="AK74" i="1"/>
  <c r="AL74" i="1"/>
  <c r="AG75" i="1"/>
  <c r="AH75" i="1"/>
  <c r="AI75" i="1"/>
  <c r="AJ75" i="1"/>
  <c r="AK75" i="1"/>
  <c r="AL75" i="1"/>
  <c r="AG76" i="1"/>
  <c r="AH76" i="1"/>
  <c r="AI76" i="1"/>
  <c r="AJ76" i="1"/>
  <c r="AK76" i="1"/>
  <c r="AL76" i="1"/>
  <c r="AG77" i="1"/>
  <c r="AH77" i="1"/>
  <c r="AI77" i="1"/>
  <c r="AJ77" i="1"/>
  <c r="AK77" i="1"/>
  <c r="AL77" i="1"/>
  <c r="AG78" i="1"/>
  <c r="AH78" i="1"/>
  <c r="AI78" i="1"/>
  <c r="AJ78" i="1"/>
  <c r="AK78" i="1"/>
  <c r="AL78" i="1"/>
  <c r="AG79" i="1"/>
  <c r="AH79" i="1"/>
  <c r="AI79" i="1"/>
  <c r="AJ79" i="1"/>
  <c r="AK79" i="1"/>
  <c r="AL79" i="1"/>
  <c r="AG80" i="1"/>
  <c r="AH80" i="1"/>
  <c r="AI80" i="1"/>
  <c r="AJ80" i="1"/>
  <c r="AK80" i="1"/>
  <c r="AL80" i="1"/>
  <c r="AG81" i="1"/>
  <c r="AH81" i="1"/>
  <c r="AI81" i="1"/>
  <c r="AJ81" i="1"/>
  <c r="AK81" i="1"/>
  <c r="AL81" i="1"/>
  <c r="AG82" i="1"/>
  <c r="AH82" i="1"/>
  <c r="AI82" i="1"/>
  <c r="AJ82" i="1"/>
  <c r="AK82" i="1"/>
  <c r="AL82" i="1"/>
  <c r="AG83" i="1"/>
  <c r="AH83" i="1"/>
  <c r="AI83" i="1"/>
  <c r="AJ83" i="1"/>
  <c r="AK83" i="1"/>
  <c r="AL83" i="1"/>
  <c r="AG84" i="1"/>
  <c r="AH84" i="1"/>
  <c r="AI84" i="1"/>
  <c r="AJ84" i="1"/>
  <c r="AK84" i="1"/>
  <c r="AL84" i="1"/>
  <c r="AG85" i="1"/>
  <c r="AH85" i="1"/>
  <c r="AI85" i="1"/>
  <c r="AJ85" i="1"/>
  <c r="AK85" i="1"/>
  <c r="AL85" i="1"/>
  <c r="AG86" i="1"/>
  <c r="AH86" i="1"/>
  <c r="AI86" i="1"/>
  <c r="AJ86" i="1"/>
  <c r="AK86" i="1"/>
  <c r="AL86" i="1"/>
  <c r="AG87" i="1"/>
  <c r="AH87" i="1"/>
  <c r="AI87" i="1"/>
  <c r="AJ87" i="1"/>
  <c r="AK87" i="1"/>
  <c r="AL87" i="1"/>
  <c r="AG88" i="1"/>
  <c r="AH88" i="1"/>
  <c r="AI88" i="1"/>
  <c r="AJ88" i="1"/>
  <c r="AK88" i="1"/>
  <c r="AL88" i="1"/>
  <c r="AG89" i="1"/>
  <c r="AH89" i="1"/>
  <c r="AI89" i="1"/>
  <c r="AJ89" i="1"/>
  <c r="AK89" i="1"/>
  <c r="AL89" i="1"/>
  <c r="AG90" i="1"/>
  <c r="AH90" i="1"/>
  <c r="AI90" i="1"/>
  <c r="AJ90" i="1"/>
  <c r="AK90" i="1"/>
  <c r="AL90" i="1"/>
  <c r="AG91" i="1"/>
  <c r="AH91" i="1"/>
  <c r="AI91" i="1"/>
  <c r="AJ91" i="1"/>
  <c r="AK91" i="1"/>
  <c r="AL91" i="1"/>
  <c r="AG92" i="1"/>
  <c r="AH92" i="1"/>
  <c r="AI92" i="1"/>
  <c r="AJ92" i="1"/>
  <c r="AK92" i="1"/>
  <c r="AL92" i="1"/>
  <c r="AG93" i="1"/>
  <c r="AH93" i="1"/>
  <c r="AI93" i="1"/>
  <c r="AJ93" i="1"/>
  <c r="AK93" i="1"/>
  <c r="AL93" i="1"/>
  <c r="AG94" i="1"/>
  <c r="AH94" i="1"/>
  <c r="AI94" i="1"/>
  <c r="AJ94" i="1"/>
  <c r="AK94" i="1"/>
  <c r="AL94" i="1"/>
  <c r="AG95" i="1"/>
  <c r="AH95" i="1"/>
  <c r="AI95" i="1"/>
  <c r="AJ95" i="1"/>
  <c r="AK95" i="1"/>
  <c r="AL95" i="1"/>
  <c r="AG96" i="1"/>
  <c r="AH96" i="1"/>
  <c r="AI96" i="1"/>
  <c r="AJ96" i="1"/>
  <c r="AK96" i="1"/>
  <c r="AL96" i="1"/>
  <c r="AG97" i="1"/>
  <c r="AH97" i="1"/>
  <c r="AI97" i="1"/>
  <c r="AJ97" i="1"/>
  <c r="AK97" i="1"/>
  <c r="AL97" i="1"/>
  <c r="AG98" i="1"/>
  <c r="AH98" i="1"/>
  <c r="AI98" i="1"/>
  <c r="AJ98" i="1"/>
  <c r="AK98" i="1"/>
  <c r="AL98" i="1"/>
  <c r="AG99" i="1"/>
  <c r="AH99" i="1"/>
  <c r="AI99" i="1"/>
  <c r="AJ99" i="1"/>
  <c r="AK99" i="1"/>
  <c r="AL99" i="1"/>
  <c r="AG100" i="1"/>
  <c r="AH100" i="1"/>
  <c r="AI100" i="1"/>
  <c r="AJ100" i="1"/>
  <c r="AK100" i="1"/>
  <c r="AL100" i="1"/>
  <c r="AG101" i="1"/>
  <c r="AH101" i="1"/>
  <c r="AI101" i="1"/>
  <c r="AJ101" i="1"/>
  <c r="AK101" i="1"/>
  <c r="AL101" i="1"/>
  <c r="AG102" i="1"/>
  <c r="AH102" i="1"/>
  <c r="AI102" i="1"/>
  <c r="AJ102" i="1"/>
  <c r="AK102" i="1"/>
  <c r="AL102" i="1"/>
  <c r="AG103" i="1"/>
  <c r="AH103" i="1"/>
  <c r="AI103" i="1"/>
  <c r="AJ103" i="1"/>
  <c r="AK103" i="1"/>
  <c r="AL103" i="1"/>
  <c r="AG104" i="1"/>
  <c r="AH104" i="1"/>
  <c r="AI104" i="1"/>
  <c r="AJ104" i="1"/>
  <c r="AK104" i="1"/>
  <c r="AL104" i="1"/>
  <c r="AG105" i="1"/>
  <c r="AH105" i="1"/>
  <c r="AI105" i="1"/>
  <c r="AJ105" i="1"/>
  <c r="AK105" i="1"/>
  <c r="AL105" i="1"/>
  <c r="AG106" i="1"/>
  <c r="AH106" i="1"/>
  <c r="AI106" i="1"/>
  <c r="AJ106" i="1"/>
  <c r="AK106" i="1"/>
  <c r="AL106" i="1"/>
  <c r="AG107" i="1"/>
  <c r="AH107" i="1"/>
  <c r="AI107" i="1"/>
  <c r="AJ107" i="1"/>
  <c r="AK107" i="1"/>
  <c r="AL107" i="1"/>
  <c r="AG108" i="1"/>
  <c r="AH108" i="1"/>
  <c r="AI108" i="1"/>
  <c r="AJ108" i="1"/>
  <c r="AK108" i="1"/>
  <c r="AL108" i="1"/>
  <c r="AG109" i="1"/>
  <c r="AH109" i="1"/>
  <c r="AI109" i="1"/>
  <c r="AJ109" i="1"/>
  <c r="AK109" i="1"/>
  <c r="AL109" i="1"/>
  <c r="AD1" i="1"/>
  <c r="AE1" i="1"/>
  <c r="AD2" i="1"/>
  <c r="AE2" i="1"/>
  <c r="AD3" i="1"/>
  <c r="AE3" i="1"/>
  <c r="AD4" i="1"/>
  <c r="AE4" i="1"/>
  <c r="AD5" i="1"/>
  <c r="AE5" i="1"/>
  <c r="AD6" i="1"/>
  <c r="AE6" i="1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D34" i="1"/>
  <c r="AE34" i="1"/>
  <c r="AD35" i="1"/>
  <c r="AE35" i="1"/>
  <c r="AD36" i="1"/>
  <c r="AE36" i="1"/>
  <c r="AD37" i="1"/>
  <c r="AE37" i="1"/>
  <c r="AD38" i="1"/>
  <c r="AE38" i="1"/>
  <c r="AD39" i="1"/>
  <c r="AE39" i="1"/>
  <c r="AD40" i="1"/>
  <c r="AE40" i="1"/>
  <c r="AD41" i="1"/>
  <c r="AE41" i="1"/>
  <c r="AD42" i="1"/>
  <c r="AE42" i="1"/>
  <c r="AD43" i="1"/>
  <c r="AE43" i="1"/>
  <c r="AD44" i="1"/>
  <c r="AE44" i="1"/>
  <c r="AD45" i="1"/>
  <c r="AE45" i="1"/>
  <c r="AD46" i="1"/>
  <c r="AE46" i="1"/>
  <c r="AD47" i="1"/>
  <c r="AE47" i="1"/>
  <c r="AD48" i="1"/>
  <c r="AE48" i="1"/>
  <c r="AD49" i="1"/>
  <c r="AE49" i="1"/>
  <c r="AD50" i="1"/>
  <c r="AE50" i="1"/>
  <c r="AD51" i="1"/>
  <c r="AE51" i="1"/>
  <c r="AD52" i="1"/>
  <c r="AE52" i="1"/>
  <c r="AD53" i="1"/>
  <c r="AE53" i="1"/>
  <c r="AD54" i="1"/>
  <c r="AE54" i="1"/>
  <c r="AD55" i="1"/>
  <c r="AE55" i="1"/>
  <c r="AD56" i="1"/>
  <c r="AE56" i="1"/>
  <c r="AD57" i="1"/>
  <c r="AE57" i="1"/>
  <c r="AD58" i="1"/>
  <c r="AE58" i="1"/>
  <c r="AD59" i="1"/>
  <c r="AE59" i="1"/>
  <c r="AD60" i="1"/>
  <c r="AE60" i="1"/>
  <c r="AD61" i="1"/>
  <c r="AE61" i="1"/>
  <c r="AD62" i="1"/>
  <c r="AE62" i="1"/>
  <c r="AD63" i="1"/>
  <c r="AE63" i="1"/>
  <c r="AD64" i="1"/>
  <c r="AE64" i="1"/>
  <c r="AD65" i="1"/>
  <c r="AE65" i="1"/>
  <c r="AD66" i="1"/>
  <c r="AE66" i="1"/>
  <c r="AD67" i="1"/>
  <c r="AE67" i="1"/>
  <c r="AD68" i="1"/>
  <c r="AE68" i="1"/>
  <c r="AD69" i="1"/>
  <c r="AE69" i="1"/>
  <c r="AD70" i="1"/>
  <c r="AE70" i="1"/>
  <c r="AD71" i="1"/>
  <c r="AE71" i="1"/>
  <c r="AD72" i="1"/>
  <c r="AE72" i="1"/>
  <c r="AD73" i="1"/>
  <c r="AE73" i="1"/>
  <c r="AD74" i="1"/>
  <c r="AE74" i="1"/>
  <c r="AD75" i="1"/>
  <c r="AE75" i="1"/>
  <c r="AD76" i="1"/>
  <c r="AE76" i="1"/>
  <c r="AD77" i="1"/>
  <c r="AE77" i="1"/>
  <c r="AD78" i="1"/>
  <c r="AE78" i="1"/>
  <c r="AD79" i="1"/>
  <c r="AE79" i="1"/>
  <c r="AD80" i="1"/>
  <c r="AE80" i="1"/>
  <c r="AD81" i="1"/>
  <c r="AE81" i="1"/>
  <c r="AD82" i="1"/>
  <c r="AE82" i="1"/>
  <c r="AD83" i="1"/>
  <c r="AE83" i="1"/>
  <c r="AD84" i="1"/>
  <c r="AE84" i="1"/>
  <c r="AD85" i="1"/>
  <c r="AE85" i="1"/>
  <c r="AD86" i="1"/>
  <c r="AE86" i="1"/>
  <c r="AD87" i="1"/>
  <c r="AE87" i="1"/>
  <c r="AD88" i="1"/>
  <c r="AE88" i="1"/>
  <c r="AD89" i="1"/>
  <c r="AE89" i="1"/>
  <c r="AD90" i="1"/>
  <c r="AE90" i="1"/>
  <c r="AD91" i="1"/>
  <c r="AE91" i="1"/>
  <c r="AD92" i="1"/>
  <c r="AE92" i="1"/>
  <c r="AD93" i="1"/>
  <c r="AE93" i="1"/>
  <c r="AD94" i="1"/>
  <c r="AE94" i="1"/>
  <c r="AD95" i="1"/>
  <c r="AE95" i="1"/>
  <c r="AD96" i="1"/>
  <c r="AE96" i="1"/>
  <c r="AD97" i="1"/>
  <c r="AE97" i="1"/>
  <c r="AD98" i="1"/>
  <c r="AE98" i="1"/>
  <c r="AD99" i="1"/>
  <c r="AE99" i="1"/>
  <c r="AD100" i="1"/>
  <c r="AE100" i="1"/>
  <c r="AD101" i="1"/>
  <c r="AE101" i="1"/>
  <c r="AD102" i="1"/>
  <c r="AE102" i="1"/>
  <c r="AD103" i="1"/>
  <c r="AE103" i="1"/>
  <c r="AD104" i="1"/>
  <c r="AE104" i="1"/>
  <c r="AD105" i="1"/>
  <c r="AE105" i="1"/>
  <c r="AD106" i="1"/>
  <c r="AE106" i="1"/>
  <c r="AD107" i="1"/>
  <c r="AE107" i="1"/>
  <c r="AD108" i="1"/>
  <c r="AE108" i="1"/>
  <c r="AD109" i="1"/>
  <c r="AE109" i="1"/>
  <c r="I145" i="2"/>
  <c r="H145" i="2"/>
  <c r="G145" i="2"/>
  <c r="F145" i="2"/>
  <c r="E145" i="2"/>
  <c r="D145" i="2"/>
  <c r="O133" i="38" s="1"/>
  <c r="I144" i="2"/>
  <c r="H144" i="2"/>
  <c r="G144" i="2"/>
  <c r="F144" i="2"/>
  <c r="E144" i="2"/>
  <c r="D144" i="2"/>
  <c r="O132" i="38" s="1"/>
  <c r="I143" i="2"/>
  <c r="H143" i="2"/>
  <c r="G143" i="2"/>
  <c r="F143" i="2"/>
  <c r="E143" i="2"/>
  <c r="D143" i="2"/>
  <c r="O131" i="38" s="1"/>
  <c r="I142" i="2"/>
  <c r="H142" i="2"/>
  <c r="G142" i="2"/>
  <c r="F142" i="2"/>
  <c r="E142" i="2"/>
  <c r="D142" i="2"/>
  <c r="O130" i="38" s="1"/>
  <c r="I141" i="2"/>
  <c r="H141" i="2"/>
  <c r="G141" i="2"/>
  <c r="E141" i="2"/>
  <c r="D141" i="2"/>
  <c r="O129" i="38" s="1"/>
  <c r="O128" i="34"/>
  <c r="O127" i="34"/>
  <c r="O127" i="38"/>
  <c r="O126" i="34"/>
  <c r="O126" i="38"/>
  <c r="O125" i="34"/>
  <c r="O125" i="38"/>
  <c r="O124" i="34"/>
  <c r="O124" i="38"/>
  <c r="O123" i="34"/>
  <c r="R14" i="2"/>
  <c r="R13" i="2"/>
  <c r="R12" i="2"/>
  <c r="R9" i="2"/>
  <c r="R8" i="2"/>
  <c r="G1" i="60" l="1"/>
  <c r="N1" i="60" s="1"/>
  <c r="F1" i="58"/>
  <c r="M1" i="58" s="1"/>
  <c r="I120" i="59"/>
  <c r="I120" i="58"/>
  <c r="I116" i="59"/>
  <c r="I116" i="58"/>
  <c r="I112" i="59"/>
  <c r="I112" i="58"/>
  <c r="S112" i="60"/>
  <c r="R112" i="58"/>
  <c r="S116" i="60"/>
  <c r="R116" i="58"/>
  <c r="S120" i="60"/>
  <c r="R120" i="58"/>
  <c r="I121" i="59"/>
  <c r="I121" i="58"/>
  <c r="I117" i="59"/>
  <c r="I117" i="58"/>
  <c r="I113" i="59"/>
  <c r="I113" i="58"/>
  <c r="S113" i="60"/>
  <c r="R113" i="58"/>
  <c r="S117" i="60"/>
  <c r="R117" i="58"/>
  <c r="S121" i="60"/>
  <c r="R121" i="58"/>
  <c r="I118" i="59"/>
  <c r="I118" i="58"/>
  <c r="I114" i="59"/>
  <c r="I114" i="58"/>
  <c r="S110" i="60"/>
  <c r="R110" i="58"/>
  <c r="S114" i="60"/>
  <c r="R114" i="58"/>
  <c r="S118" i="60"/>
  <c r="R118" i="58"/>
  <c r="E1" i="59"/>
  <c r="L1" i="59" s="1"/>
  <c r="E1" i="58"/>
  <c r="L1" i="58" s="1"/>
  <c r="I110" i="59"/>
  <c r="I110" i="58"/>
  <c r="I119" i="59"/>
  <c r="I119" i="58"/>
  <c r="I115" i="59"/>
  <c r="I115" i="58"/>
  <c r="I111" i="59"/>
  <c r="I111" i="58"/>
  <c r="S111" i="60"/>
  <c r="R111" i="58"/>
  <c r="S115" i="60"/>
  <c r="R115" i="58"/>
  <c r="S119" i="60"/>
  <c r="R119" i="58"/>
  <c r="O16" i="5"/>
  <c r="D68" i="54"/>
  <c r="E68" i="54" s="1"/>
  <c r="D67" i="54"/>
  <c r="E67" i="54" s="1"/>
  <c r="D66" i="54"/>
  <c r="E66" i="54" s="1"/>
  <c r="D63" i="54"/>
  <c r="E63" i="54" s="1"/>
  <c r="D65" i="54"/>
  <c r="E65" i="54" s="1"/>
  <c r="D70" i="54"/>
  <c r="E70" i="54" s="1"/>
  <c r="D64" i="54"/>
  <c r="E64" i="54" s="1"/>
  <c r="D71" i="54"/>
  <c r="E71" i="54" s="1"/>
  <c r="D69" i="54"/>
  <c r="E69" i="54" s="1"/>
  <c r="D72" i="54"/>
  <c r="E72" i="54" s="1"/>
  <c r="D73" i="54"/>
  <c r="E73" i="54" s="1"/>
  <c r="D62" i="54"/>
  <c r="E62" i="54" s="1"/>
  <c r="S45" i="2"/>
  <c r="Q146" i="2"/>
  <c r="L146" i="2"/>
  <c r="L147" i="2"/>
  <c r="P146" i="2"/>
  <c r="O129" i="34"/>
  <c r="O131" i="34"/>
  <c r="O133" i="34"/>
  <c r="O130" i="34"/>
  <c r="O132" i="34"/>
  <c r="W132" i="2"/>
  <c r="V120" i="54"/>
  <c r="O123" i="38"/>
  <c r="O122" i="38"/>
  <c r="O122" i="34"/>
  <c r="W144" i="2"/>
  <c r="M108" i="30"/>
  <c r="F107" i="32"/>
  <c r="M107" i="32" s="1"/>
  <c r="F107" i="28"/>
  <c r="M107" i="28" s="1"/>
  <c r="F103" i="28"/>
  <c r="M103" i="28" s="1"/>
  <c r="F103" i="32"/>
  <c r="M103" i="32" s="1"/>
  <c r="F101" i="32"/>
  <c r="M101" i="32" s="1"/>
  <c r="F101" i="28"/>
  <c r="M101" i="28" s="1"/>
  <c r="F99" i="32"/>
  <c r="M99" i="32" s="1"/>
  <c r="F99" i="28"/>
  <c r="M99" i="28" s="1"/>
  <c r="F97" i="32"/>
  <c r="M97" i="32" s="1"/>
  <c r="F97" i="28"/>
  <c r="M97" i="28" s="1"/>
  <c r="F95" i="28"/>
  <c r="M95" i="28" s="1"/>
  <c r="F95" i="32"/>
  <c r="M95" i="32" s="1"/>
  <c r="M94" i="30"/>
  <c r="F83" i="32"/>
  <c r="M83" i="32" s="1"/>
  <c r="F83" i="28"/>
  <c r="M83" i="28" s="1"/>
  <c r="F81" i="32"/>
  <c r="M81" i="32" s="1"/>
  <c r="F81" i="28"/>
  <c r="M81" i="28" s="1"/>
  <c r="F79" i="32"/>
  <c r="M79" i="32" s="1"/>
  <c r="F79" i="28"/>
  <c r="M79" i="28" s="1"/>
  <c r="F77" i="32"/>
  <c r="M77" i="32" s="1"/>
  <c r="F77" i="28"/>
  <c r="M77" i="28" s="1"/>
  <c r="M76" i="30"/>
  <c r="M74" i="30"/>
  <c r="M72" i="30"/>
  <c r="F71" i="28"/>
  <c r="M71" i="28" s="1"/>
  <c r="F71" i="32"/>
  <c r="M71" i="32" s="1"/>
  <c r="F69" i="32"/>
  <c r="M69" i="32" s="1"/>
  <c r="F69" i="28"/>
  <c r="M69" i="28" s="1"/>
  <c r="M68" i="30"/>
  <c r="M66" i="30"/>
  <c r="M64" i="30"/>
  <c r="F61" i="32"/>
  <c r="M61" i="32" s="1"/>
  <c r="F61" i="28"/>
  <c r="M61" i="28" s="1"/>
  <c r="F57" i="32"/>
  <c r="M57" i="32" s="1"/>
  <c r="F57" i="28"/>
  <c r="M57" i="28" s="1"/>
  <c r="F53" i="32"/>
  <c r="M53" i="32" s="1"/>
  <c r="F53" i="28"/>
  <c r="M53" i="28" s="1"/>
  <c r="F51" i="32"/>
  <c r="M51" i="32" s="1"/>
  <c r="F51" i="28"/>
  <c r="M51" i="28" s="1"/>
  <c r="M50" i="30"/>
  <c r="M48" i="30"/>
  <c r="F47" i="32"/>
  <c r="M47" i="32" s="1"/>
  <c r="F47" i="28"/>
  <c r="M47" i="28" s="1"/>
  <c r="F45" i="32"/>
  <c r="M45" i="32" s="1"/>
  <c r="F45" i="28"/>
  <c r="M45" i="28" s="1"/>
  <c r="F43" i="32"/>
  <c r="M43" i="32" s="1"/>
  <c r="F43" i="28"/>
  <c r="M43" i="28" s="1"/>
  <c r="F41" i="32"/>
  <c r="M41" i="32" s="1"/>
  <c r="F41" i="28"/>
  <c r="M41" i="28" s="1"/>
  <c r="F29" i="32"/>
  <c r="M29" i="32" s="1"/>
  <c r="F29" i="28"/>
  <c r="M29" i="28" s="1"/>
  <c r="F19" i="32"/>
  <c r="M19" i="32" s="1"/>
  <c r="F19" i="28"/>
  <c r="M19" i="28" s="1"/>
  <c r="F9" i="28"/>
  <c r="M9" i="28" s="1"/>
  <c r="F9" i="32"/>
  <c r="M9" i="32" s="1"/>
  <c r="F3" i="32"/>
  <c r="M3" i="32" s="1"/>
  <c r="F3" i="28"/>
  <c r="M3" i="28" s="1"/>
  <c r="F121" i="32"/>
  <c r="M121" i="32" s="1"/>
  <c r="F121" i="28"/>
  <c r="M121" i="28" s="1"/>
  <c r="E118" i="32"/>
  <c r="L118" i="32" s="1"/>
  <c r="E116" i="28"/>
  <c r="L116" i="28" s="1"/>
  <c r="L116" i="30"/>
  <c r="M115" i="30"/>
  <c r="F113" i="32"/>
  <c r="M113" i="32" s="1"/>
  <c r="F113" i="28"/>
  <c r="M113" i="28" s="1"/>
  <c r="E112" i="28"/>
  <c r="L112" i="28" s="1"/>
  <c r="L112" i="30"/>
  <c r="M111" i="30"/>
  <c r="I120" i="38"/>
  <c r="I120" i="34"/>
  <c r="I120" i="28"/>
  <c r="P120" i="28" s="1"/>
  <c r="I120" i="30"/>
  <c r="P120" i="30" s="1"/>
  <c r="R112" i="38"/>
  <c r="S112" i="36"/>
  <c r="R112" i="30"/>
  <c r="Q112" i="32"/>
  <c r="R112" i="28"/>
  <c r="R120" i="38"/>
  <c r="S120" i="36"/>
  <c r="R120" i="30"/>
  <c r="Q120" i="32"/>
  <c r="R120" i="28"/>
  <c r="E109" i="32"/>
  <c r="L109" i="32" s="1"/>
  <c r="E108" i="28"/>
  <c r="L108" i="28" s="1"/>
  <c r="L108" i="30"/>
  <c r="E107" i="32"/>
  <c r="L107" i="32" s="1"/>
  <c r="E106" i="28"/>
  <c r="L106" i="28" s="1"/>
  <c r="L106" i="30"/>
  <c r="E105" i="32"/>
  <c r="L105" i="32" s="1"/>
  <c r="E104" i="28"/>
  <c r="L104" i="28" s="1"/>
  <c r="L104" i="30"/>
  <c r="E103" i="32"/>
  <c r="L103" i="32" s="1"/>
  <c r="E102" i="28"/>
  <c r="L102" i="28" s="1"/>
  <c r="L102" i="30"/>
  <c r="E101" i="32"/>
  <c r="L101" i="32" s="1"/>
  <c r="E100" i="28"/>
  <c r="L100" i="28" s="1"/>
  <c r="L100" i="30"/>
  <c r="E99" i="32"/>
  <c r="L99" i="32" s="1"/>
  <c r="E98" i="28"/>
  <c r="L98" i="28" s="1"/>
  <c r="L98" i="30"/>
  <c r="E97" i="32"/>
  <c r="L97" i="32" s="1"/>
  <c r="E96" i="28"/>
  <c r="L96" i="28" s="1"/>
  <c r="L96" i="30"/>
  <c r="E95" i="32"/>
  <c r="L95" i="32" s="1"/>
  <c r="E94" i="28"/>
  <c r="L94" i="28" s="1"/>
  <c r="L94" i="30"/>
  <c r="E93" i="32"/>
  <c r="L93" i="32" s="1"/>
  <c r="E92" i="28"/>
  <c r="L92" i="28" s="1"/>
  <c r="L92" i="30"/>
  <c r="E91" i="32"/>
  <c r="L91" i="32" s="1"/>
  <c r="E90" i="28"/>
  <c r="L90" i="28" s="1"/>
  <c r="L90" i="30"/>
  <c r="E89" i="32"/>
  <c r="L89" i="32" s="1"/>
  <c r="E88" i="28"/>
  <c r="L88" i="28" s="1"/>
  <c r="L88" i="30"/>
  <c r="E87" i="32"/>
  <c r="L87" i="32" s="1"/>
  <c r="E86" i="28"/>
  <c r="L86" i="28" s="1"/>
  <c r="L86" i="30"/>
  <c r="E85" i="32"/>
  <c r="L85" i="32" s="1"/>
  <c r="E84" i="28"/>
  <c r="L84" i="28" s="1"/>
  <c r="L84" i="30"/>
  <c r="E83" i="32"/>
  <c r="L83" i="32" s="1"/>
  <c r="E82" i="28"/>
  <c r="L82" i="28" s="1"/>
  <c r="L82" i="30"/>
  <c r="E81" i="32"/>
  <c r="L81" i="32" s="1"/>
  <c r="E80" i="28"/>
  <c r="L80" i="28" s="1"/>
  <c r="L80" i="30"/>
  <c r="E79" i="32"/>
  <c r="L79" i="32" s="1"/>
  <c r="E78" i="28"/>
  <c r="L78" i="28" s="1"/>
  <c r="L78" i="30"/>
  <c r="E77" i="32"/>
  <c r="L77" i="32" s="1"/>
  <c r="E76" i="28"/>
  <c r="L76" i="28" s="1"/>
  <c r="L76" i="30"/>
  <c r="E75" i="32"/>
  <c r="L75" i="32" s="1"/>
  <c r="E74" i="28"/>
  <c r="L74" i="28" s="1"/>
  <c r="L74" i="30"/>
  <c r="E73" i="32"/>
  <c r="L73" i="32" s="1"/>
  <c r="E72" i="28"/>
  <c r="L72" i="28" s="1"/>
  <c r="L72" i="30"/>
  <c r="E71" i="32"/>
  <c r="L71" i="32" s="1"/>
  <c r="E70" i="28"/>
  <c r="L70" i="28" s="1"/>
  <c r="L70" i="30"/>
  <c r="E69" i="32"/>
  <c r="L69" i="32" s="1"/>
  <c r="E68" i="28"/>
  <c r="L68" i="28" s="1"/>
  <c r="L68" i="30"/>
  <c r="E67" i="32"/>
  <c r="L67" i="32" s="1"/>
  <c r="E66" i="28"/>
  <c r="L66" i="28" s="1"/>
  <c r="L66" i="30"/>
  <c r="E65" i="32"/>
  <c r="L65" i="32" s="1"/>
  <c r="E64" i="28"/>
  <c r="L64" i="28" s="1"/>
  <c r="L64" i="30"/>
  <c r="E63" i="32"/>
  <c r="L63" i="32" s="1"/>
  <c r="E62" i="28"/>
  <c r="L62" i="28" s="1"/>
  <c r="L62" i="30"/>
  <c r="E61" i="32"/>
  <c r="L61" i="32" s="1"/>
  <c r="E60" i="28"/>
  <c r="L60" i="28" s="1"/>
  <c r="L60" i="30"/>
  <c r="E59" i="32"/>
  <c r="L59" i="32" s="1"/>
  <c r="E58" i="28"/>
  <c r="L58" i="28" s="1"/>
  <c r="L58" i="30"/>
  <c r="E57" i="32"/>
  <c r="L57" i="32" s="1"/>
  <c r="E56" i="28"/>
  <c r="L56" i="28" s="1"/>
  <c r="L56" i="30"/>
  <c r="E55" i="32"/>
  <c r="L55" i="32" s="1"/>
  <c r="E54" i="28"/>
  <c r="L54" i="28" s="1"/>
  <c r="L54" i="30"/>
  <c r="E53" i="32"/>
  <c r="L53" i="32" s="1"/>
  <c r="E52" i="28"/>
  <c r="L52" i="28" s="1"/>
  <c r="L52" i="30"/>
  <c r="E51" i="32"/>
  <c r="L51" i="32" s="1"/>
  <c r="E50" i="28"/>
  <c r="L50" i="28" s="1"/>
  <c r="L50" i="30"/>
  <c r="E49" i="32"/>
  <c r="L49" i="32" s="1"/>
  <c r="E48" i="28"/>
  <c r="L48" i="28" s="1"/>
  <c r="L48" i="30"/>
  <c r="E47" i="32"/>
  <c r="L47" i="32" s="1"/>
  <c r="E46" i="28"/>
  <c r="L46" i="28" s="1"/>
  <c r="L46" i="30"/>
  <c r="E45" i="32"/>
  <c r="L45" i="32" s="1"/>
  <c r="E44" i="28"/>
  <c r="L44" i="28" s="1"/>
  <c r="L44" i="30"/>
  <c r="E43" i="32"/>
  <c r="L43" i="32" s="1"/>
  <c r="E42" i="28"/>
  <c r="L42" i="28" s="1"/>
  <c r="L42" i="30"/>
  <c r="E41" i="32"/>
  <c r="L41" i="32" s="1"/>
  <c r="E40" i="28"/>
  <c r="L40" i="28" s="1"/>
  <c r="L40" i="30"/>
  <c r="E39" i="32"/>
  <c r="L39" i="32" s="1"/>
  <c r="E38" i="28"/>
  <c r="L38" i="28" s="1"/>
  <c r="L38" i="30"/>
  <c r="E37" i="32"/>
  <c r="L37" i="32" s="1"/>
  <c r="E36" i="28"/>
  <c r="L36" i="28" s="1"/>
  <c r="L36" i="30"/>
  <c r="E35" i="32"/>
  <c r="L35" i="32" s="1"/>
  <c r="E34" i="28"/>
  <c r="L34" i="28" s="1"/>
  <c r="L34" i="30"/>
  <c r="E33" i="32"/>
  <c r="L33" i="32" s="1"/>
  <c r="E32" i="28"/>
  <c r="L32" i="28" s="1"/>
  <c r="L32" i="30"/>
  <c r="E31" i="32"/>
  <c r="L31" i="32" s="1"/>
  <c r="E30" i="28"/>
  <c r="L30" i="28" s="1"/>
  <c r="L30" i="30"/>
  <c r="E29" i="32"/>
  <c r="L29" i="32" s="1"/>
  <c r="E28" i="28"/>
  <c r="L28" i="28" s="1"/>
  <c r="L28" i="30"/>
  <c r="E27" i="32"/>
  <c r="L27" i="32" s="1"/>
  <c r="E26" i="28"/>
  <c r="L26" i="28" s="1"/>
  <c r="L26" i="30"/>
  <c r="E25" i="32"/>
  <c r="L25" i="32" s="1"/>
  <c r="E24" i="28"/>
  <c r="L24" i="28" s="1"/>
  <c r="L24" i="30"/>
  <c r="E23" i="32"/>
  <c r="L23" i="32" s="1"/>
  <c r="E22" i="28"/>
  <c r="L22" i="28" s="1"/>
  <c r="L22" i="30"/>
  <c r="E21" i="32"/>
  <c r="L21" i="32" s="1"/>
  <c r="E20" i="28"/>
  <c r="L20" i="28" s="1"/>
  <c r="L20" i="30"/>
  <c r="E19" i="32"/>
  <c r="L19" i="32" s="1"/>
  <c r="E18" i="28"/>
  <c r="L18" i="28" s="1"/>
  <c r="L18" i="30"/>
  <c r="E17" i="32"/>
  <c r="L17" i="32" s="1"/>
  <c r="E16" i="28"/>
  <c r="L16" i="28" s="1"/>
  <c r="L16" i="30"/>
  <c r="E15" i="32"/>
  <c r="L15" i="32" s="1"/>
  <c r="E14" i="28"/>
  <c r="L14" i="28" s="1"/>
  <c r="L14" i="30"/>
  <c r="E13" i="32"/>
  <c r="L13" i="32" s="1"/>
  <c r="E12" i="28"/>
  <c r="L12" i="28" s="1"/>
  <c r="L12" i="30"/>
  <c r="E11" i="32"/>
  <c r="L11" i="32" s="1"/>
  <c r="E10" i="28"/>
  <c r="L10" i="28" s="1"/>
  <c r="L10" i="30"/>
  <c r="E9" i="32"/>
  <c r="L9" i="32" s="1"/>
  <c r="E8" i="28"/>
  <c r="L8" i="28" s="1"/>
  <c r="L8" i="30"/>
  <c r="E7" i="32"/>
  <c r="L7" i="32" s="1"/>
  <c r="E6" i="28"/>
  <c r="L6" i="28" s="1"/>
  <c r="L6" i="30"/>
  <c r="E5" i="32"/>
  <c r="L5" i="32" s="1"/>
  <c r="E4" i="28"/>
  <c r="L4" i="28" s="1"/>
  <c r="L4" i="30"/>
  <c r="E3" i="32"/>
  <c r="L3" i="32" s="1"/>
  <c r="E2" i="28"/>
  <c r="L2" i="28" s="1"/>
  <c r="E2" i="30"/>
  <c r="F1" i="36"/>
  <c r="M1" i="36" s="1"/>
  <c r="E1" i="32"/>
  <c r="L1" i="32" s="1"/>
  <c r="E121" i="32"/>
  <c r="L121" i="32" s="1"/>
  <c r="F120" i="28"/>
  <c r="M120" i="28" s="1"/>
  <c r="F120" i="32"/>
  <c r="M120" i="32" s="1"/>
  <c r="E119" i="28"/>
  <c r="L119" i="28" s="1"/>
  <c r="L119" i="30"/>
  <c r="M118" i="30"/>
  <c r="E117" i="32"/>
  <c r="L117" i="32" s="1"/>
  <c r="F116" i="28"/>
  <c r="M116" i="28" s="1"/>
  <c r="F116" i="32"/>
  <c r="M116" i="32" s="1"/>
  <c r="L115" i="30"/>
  <c r="E115" i="28"/>
  <c r="L115" i="28" s="1"/>
  <c r="M114" i="30"/>
  <c r="E113" i="32"/>
  <c r="L113" i="32" s="1"/>
  <c r="F112" i="28"/>
  <c r="M112" i="28" s="1"/>
  <c r="F112" i="32"/>
  <c r="M112" i="32" s="1"/>
  <c r="L111" i="30"/>
  <c r="E111" i="28"/>
  <c r="L111" i="28" s="1"/>
  <c r="M110" i="30"/>
  <c r="I121" i="38"/>
  <c r="I121" i="34"/>
  <c r="I121" i="28"/>
  <c r="P121" i="28" s="1"/>
  <c r="I121" i="30"/>
  <c r="P121" i="30" s="1"/>
  <c r="I117" i="38"/>
  <c r="I117" i="34"/>
  <c r="I117" i="28"/>
  <c r="P117" i="28" s="1"/>
  <c r="I117" i="30"/>
  <c r="P117" i="30" s="1"/>
  <c r="I113" i="38"/>
  <c r="I113" i="34"/>
  <c r="I113" i="28"/>
  <c r="P113" i="28" s="1"/>
  <c r="I113" i="30"/>
  <c r="P113" i="30" s="1"/>
  <c r="R113" i="38"/>
  <c r="R113" i="30"/>
  <c r="S113" i="36"/>
  <c r="Q113" i="32"/>
  <c r="R113" i="28"/>
  <c r="R117" i="38"/>
  <c r="S117" i="36"/>
  <c r="Q117" i="32"/>
  <c r="R117" i="30"/>
  <c r="R117" i="28"/>
  <c r="R121" i="38"/>
  <c r="S121" i="36"/>
  <c r="Q121" i="32"/>
  <c r="R121" i="30"/>
  <c r="R121" i="28"/>
  <c r="F109" i="32"/>
  <c r="M109" i="32" s="1"/>
  <c r="F109" i="28"/>
  <c r="M109" i="28" s="1"/>
  <c r="M106" i="30"/>
  <c r="M104" i="30"/>
  <c r="M102" i="30"/>
  <c r="M100" i="30"/>
  <c r="M92" i="30"/>
  <c r="F89" i="32"/>
  <c r="M89" i="32" s="1"/>
  <c r="F89" i="28"/>
  <c r="M89" i="28" s="1"/>
  <c r="F87" i="28"/>
  <c r="M87" i="28" s="1"/>
  <c r="F87" i="32"/>
  <c r="M87" i="32" s="1"/>
  <c r="F85" i="32"/>
  <c r="M85" i="32" s="1"/>
  <c r="F85" i="28"/>
  <c r="M85" i="28" s="1"/>
  <c r="M80" i="30"/>
  <c r="M78" i="30"/>
  <c r="F75" i="32"/>
  <c r="M75" i="32" s="1"/>
  <c r="F75" i="28"/>
  <c r="M75" i="28" s="1"/>
  <c r="F73" i="32"/>
  <c r="M73" i="32" s="1"/>
  <c r="F73" i="28"/>
  <c r="M73" i="28" s="1"/>
  <c r="M70" i="30"/>
  <c r="M62" i="30"/>
  <c r="M60" i="30"/>
  <c r="M58" i="30"/>
  <c r="M56" i="30"/>
  <c r="M54" i="30"/>
  <c r="M52" i="30"/>
  <c r="M46" i="30"/>
  <c r="M44" i="30"/>
  <c r="M42" i="30"/>
  <c r="M40" i="30"/>
  <c r="M38" i="30"/>
  <c r="M36" i="30"/>
  <c r="F33" i="32"/>
  <c r="M33" i="32" s="1"/>
  <c r="F33" i="28"/>
  <c r="M33" i="28" s="1"/>
  <c r="F31" i="32"/>
  <c r="M31" i="32" s="1"/>
  <c r="F31" i="28"/>
  <c r="M31" i="28" s="1"/>
  <c r="M26" i="30"/>
  <c r="F23" i="32"/>
  <c r="M23" i="32" s="1"/>
  <c r="F23" i="28"/>
  <c r="M23" i="28" s="1"/>
  <c r="F21" i="32"/>
  <c r="M21" i="32" s="1"/>
  <c r="F21" i="28"/>
  <c r="M21" i="28" s="1"/>
  <c r="M18" i="30"/>
  <c r="M16" i="30"/>
  <c r="F13" i="28"/>
  <c r="M13" i="28" s="1"/>
  <c r="F13" i="32"/>
  <c r="M13" i="32" s="1"/>
  <c r="F11" i="32"/>
  <c r="M11" i="32" s="1"/>
  <c r="F11" i="28"/>
  <c r="M11" i="28" s="1"/>
  <c r="M6" i="30"/>
  <c r="F1" i="38"/>
  <c r="M1" i="38" s="1"/>
  <c r="G1" i="36"/>
  <c r="N1" i="36" s="1"/>
  <c r="F1" i="28"/>
  <c r="F1" i="32"/>
  <c r="M1" i="32" s="1"/>
  <c r="M109" i="30"/>
  <c r="F108" i="32"/>
  <c r="M108" i="32" s="1"/>
  <c r="F108" i="28"/>
  <c r="M108" i="28" s="1"/>
  <c r="M107" i="30"/>
  <c r="F106" i="28"/>
  <c r="M106" i="28" s="1"/>
  <c r="F106" i="32"/>
  <c r="M106" i="32" s="1"/>
  <c r="M105" i="30"/>
  <c r="F104" i="32"/>
  <c r="M104" i="32" s="1"/>
  <c r="F104" i="28"/>
  <c r="M104" i="28" s="1"/>
  <c r="M103" i="30"/>
  <c r="F102" i="28"/>
  <c r="M102" i="28" s="1"/>
  <c r="F102" i="32"/>
  <c r="M102" i="32" s="1"/>
  <c r="M101" i="30"/>
  <c r="F100" i="32"/>
  <c r="M100" i="32" s="1"/>
  <c r="F100" i="28"/>
  <c r="M100" i="28" s="1"/>
  <c r="M99" i="30"/>
  <c r="F98" i="28"/>
  <c r="M98" i="28" s="1"/>
  <c r="F98" i="32"/>
  <c r="M98" i="32" s="1"/>
  <c r="M97" i="30"/>
  <c r="F96" i="32"/>
  <c r="M96" i="32" s="1"/>
  <c r="F96" i="28"/>
  <c r="M96" i="28" s="1"/>
  <c r="M95" i="30"/>
  <c r="F94" i="28"/>
  <c r="M94" i="28" s="1"/>
  <c r="F94" i="32"/>
  <c r="M94" i="32" s="1"/>
  <c r="M93" i="30"/>
  <c r="F92" i="32"/>
  <c r="M92" i="32" s="1"/>
  <c r="F92" i="28"/>
  <c r="M92" i="28" s="1"/>
  <c r="M91" i="30"/>
  <c r="F90" i="28"/>
  <c r="M90" i="28" s="1"/>
  <c r="F90" i="32"/>
  <c r="M90" i="32" s="1"/>
  <c r="M89" i="30"/>
  <c r="F88" i="32"/>
  <c r="M88" i="32" s="1"/>
  <c r="F88" i="28"/>
  <c r="M88" i="28" s="1"/>
  <c r="M87" i="30"/>
  <c r="F86" i="28"/>
  <c r="M86" i="28" s="1"/>
  <c r="F86" i="32"/>
  <c r="M86" i="32" s="1"/>
  <c r="M85" i="30"/>
  <c r="F84" i="32"/>
  <c r="M84" i="32" s="1"/>
  <c r="F84" i="28"/>
  <c r="M84" i="28" s="1"/>
  <c r="M83" i="30"/>
  <c r="F82" i="28"/>
  <c r="M82" i="28" s="1"/>
  <c r="F82" i="32"/>
  <c r="M82" i="32" s="1"/>
  <c r="M81" i="30"/>
  <c r="F80" i="32"/>
  <c r="M80" i="32" s="1"/>
  <c r="F80" i="28"/>
  <c r="M80" i="28" s="1"/>
  <c r="M79" i="30"/>
  <c r="F78" i="28"/>
  <c r="M78" i="28" s="1"/>
  <c r="F78" i="32"/>
  <c r="M78" i="32" s="1"/>
  <c r="M77" i="30"/>
  <c r="F76" i="32"/>
  <c r="M76" i="32" s="1"/>
  <c r="F76" i="28"/>
  <c r="M76" i="28" s="1"/>
  <c r="M75" i="30"/>
  <c r="F74" i="28"/>
  <c r="M74" i="28" s="1"/>
  <c r="F74" i="32"/>
  <c r="M74" i="32" s="1"/>
  <c r="M73" i="30"/>
  <c r="F72" i="32"/>
  <c r="M72" i="32" s="1"/>
  <c r="F72" i="28"/>
  <c r="M72" i="28" s="1"/>
  <c r="M71" i="30"/>
  <c r="F70" i="28"/>
  <c r="M70" i="28" s="1"/>
  <c r="F70" i="32"/>
  <c r="M70" i="32" s="1"/>
  <c r="M69" i="30"/>
  <c r="F68" i="32"/>
  <c r="M68" i="32" s="1"/>
  <c r="F68" i="28"/>
  <c r="M68" i="28" s="1"/>
  <c r="M67" i="30"/>
  <c r="F66" i="28"/>
  <c r="M66" i="28" s="1"/>
  <c r="F66" i="32"/>
  <c r="M66" i="32" s="1"/>
  <c r="M65" i="30"/>
  <c r="F64" i="32"/>
  <c r="M64" i="32" s="1"/>
  <c r="F64" i="28"/>
  <c r="M64" i="28" s="1"/>
  <c r="M63" i="30"/>
  <c r="F62" i="28"/>
  <c r="M62" i="28" s="1"/>
  <c r="F62" i="32"/>
  <c r="M62" i="32" s="1"/>
  <c r="M61" i="30"/>
  <c r="F60" i="32"/>
  <c r="M60" i="32" s="1"/>
  <c r="F60" i="28"/>
  <c r="M60" i="28" s="1"/>
  <c r="M59" i="30"/>
  <c r="F58" i="28"/>
  <c r="M58" i="28" s="1"/>
  <c r="F58" i="32"/>
  <c r="M58" i="32" s="1"/>
  <c r="M57" i="30"/>
  <c r="F56" i="28"/>
  <c r="M56" i="28" s="1"/>
  <c r="F56" i="32"/>
  <c r="M56" i="32" s="1"/>
  <c r="M55" i="30"/>
  <c r="F54" i="28"/>
  <c r="M54" i="28" s="1"/>
  <c r="F54" i="32"/>
  <c r="M54" i="32" s="1"/>
  <c r="M53" i="30"/>
  <c r="F52" i="28"/>
  <c r="M52" i="28" s="1"/>
  <c r="F52" i="32"/>
  <c r="M52" i="32" s="1"/>
  <c r="M51" i="30"/>
  <c r="F50" i="28"/>
  <c r="M50" i="28" s="1"/>
  <c r="F50" i="32"/>
  <c r="M50" i="32" s="1"/>
  <c r="M49" i="30"/>
  <c r="F48" i="28"/>
  <c r="M48" i="28" s="1"/>
  <c r="F48" i="32"/>
  <c r="M48" i="32" s="1"/>
  <c r="M47" i="30"/>
  <c r="F46" i="28"/>
  <c r="M46" i="28" s="1"/>
  <c r="F46" i="32"/>
  <c r="M46" i="32" s="1"/>
  <c r="M45" i="30"/>
  <c r="F44" i="28"/>
  <c r="M44" i="28" s="1"/>
  <c r="F44" i="32"/>
  <c r="M44" i="32" s="1"/>
  <c r="M43" i="30"/>
  <c r="F42" i="28"/>
  <c r="M42" i="28" s="1"/>
  <c r="F42" i="32"/>
  <c r="M42" i="32" s="1"/>
  <c r="M41" i="30"/>
  <c r="F40" i="28"/>
  <c r="M40" i="28" s="1"/>
  <c r="F40" i="32"/>
  <c r="M40" i="32" s="1"/>
  <c r="M39" i="30"/>
  <c r="F38" i="28"/>
  <c r="M38" i="28" s="1"/>
  <c r="F38" i="32"/>
  <c r="M38" i="32" s="1"/>
  <c r="M37" i="30"/>
  <c r="F36" i="28"/>
  <c r="M36" i="28" s="1"/>
  <c r="F36" i="32"/>
  <c r="M36" i="32" s="1"/>
  <c r="M35" i="30"/>
  <c r="F34" i="28"/>
  <c r="M34" i="28" s="1"/>
  <c r="F34" i="32"/>
  <c r="M34" i="32" s="1"/>
  <c r="M33" i="30"/>
  <c r="F32" i="28"/>
  <c r="M32" i="28" s="1"/>
  <c r="F32" i="32"/>
  <c r="M32" i="32" s="1"/>
  <c r="M31" i="30"/>
  <c r="F30" i="28"/>
  <c r="M30" i="28" s="1"/>
  <c r="F30" i="32"/>
  <c r="M30" i="32" s="1"/>
  <c r="M29" i="30"/>
  <c r="F28" i="28"/>
  <c r="M28" i="28" s="1"/>
  <c r="F28" i="32"/>
  <c r="M28" i="32" s="1"/>
  <c r="M27" i="30"/>
  <c r="F26" i="28"/>
  <c r="M26" i="28" s="1"/>
  <c r="F26" i="32"/>
  <c r="M26" i="32" s="1"/>
  <c r="M25" i="30"/>
  <c r="F24" i="28"/>
  <c r="M24" i="28" s="1"/>
  <c r="F24" i="32"/>
  <c r="M24" i="32" s="1"/>
  <c r="M23" i="30"/>
  <c r="F22" i="28"/>
  <c r="M22" i="28" s="1"/>
  <c r="F22" i="32"/>
  <c r="M22" i="32" s="1"/>
  <c r="M21" i="30"/>
  <c r="F20" i="28"/>
  <c r="M20" i="28" s="1"/>
  <c r="F20" i="32"/>
  <c r="M20" i="32" s="1"/>
  <c r="M19" i="30"/>
  <c r="F18" i="28"/>
  <c r="M18" i="28" s="1"/>
  <c r="F18" i="32"/>
  <c r="M18" i="32" s="1"/>
  <c r="M17" i="30"/>
  <c r="F16" i="28"/>
  <c r="M16" i="28" s="1"/>
  <c r="F16" i="32"/>
  <c r="M16" i="32" s="1"/>
  <c r="M15" i="30"/>
  <c r="F14" i="28"/>
  <c r="M14" i="28" s="1"/>
  <c r="F14" i="32"/>
  <c r="M14" i="32" s="1"/>
  <c r="M13" i="30"/>
  <c r="F12" i="28"/>
  <c r="M12" i="28" s="1"/>
  <c r="F12" i="32"/>
  <c r="M12" i="32" s="1"/>
  <c r="M11" i="30"/>
  <c r="F10" i="32"/>
  <c r="M10" i="32" s="1"/>
  <c r="F10" i="28"/>
  <c r="M10" i="28" s="1"/>
  <c r="M9" i="30"/>
  <c r="F8" i="28"/>
  <c r="M8" i="28" s="1"/>
  <c r="F8" i="32"/>
  <c r="M8" i="32" s="1"/>
  <c r="M7" i="30"/>
  <c r="F6" i="32"/>
  <c r="M6" i="32" s="1"/>
  <c r="F6" i="28"/>
  <c r="M6" i="28" s="1"/>
  <c r="M5" i="30"/>
  <c r="F4" i="28"/>
  <c r="M4" i="28" s="1"/>
  <c r="F4" i="32"/>
  <c r="M4" i="32" s="1"/>
  <c r="F3" i="30"/>
  <c r="M3" i="30" s="1"/>
  <c r="F2" i="28"/>
  <c r="F2" i="32"/>
  <c r="M2" i="32" s="1"/>
  <c r="F1" i="34"/>
  <c r="M1" i="34" s="1"/>
  <c r="F1" i="30"/>
  <c r="M1" i="30" s="1"/>
  <c r="M121" i="30"/>
  <c r="E120" i="32"/>
  <c r="L120" i="32" s="1"/>
  <c r="F119" i="32"/>
  <c r="M119" i="32" s="1"/>
  <c r="F119" i="28"/>
  <c r="M119" i="28" s="1"/>
  <c r="E118" i="28"/>
  <c r="L118" i="28" s="1"/>
  <c r="L118" i="30"/>
  <c r="M117" i="30"/>
  <c r="E116" i="32"/>
  <c r="L116" i="32" s="1"/>
  <c r="F115" i="32"/>
  <c r="M115" i="32" s="1"/>
  <c r="F115" i="28"/>
  <c r="M115" i="28" s="1"/>
  <c r="E114" i="28"/>
  <c r="L114" i="28" s="1"/>
  <c r="L114" i="30"/>
  <c r="M113" i="30"/>
  <c r="E112" i="32"/>
  <c r="L112" i="32" s="1"/>
  <c r="F111" i="32"/>
  <c r="M111" i="32" s="1"/>
  <c r="F111" i="28"/>
  <c r="M111" i="28" s="1"/>
  <c r="E110" i="28"/>
  <c r="L110" i="28" s="1"/>
  <c r="L110" i="30"/>
  <c r="I118" i="38"/>
  <c r="I118" i="34"/>
  <c r="I118" i="30"/>
  <c r="P118" i="30" s="1"/>
  <c r="I118" i="28"/>
  <c r="P118" i="28" s="1"/>
  <c r="I114" i="38"/>
  <c r="I114" i="34"/>
  <c r="I114" i="30"/>
  <c r="P114" i="30" s="1"/>
  <c r="I114" i="28"/>
  <c r="P114" i="28" s="1"/>
  <c r="R110" i="38"/>
  <c r="S110" i="36"/>
  <c r="Q110" i="32"/>
  <c r="R110" i="28"/>
  <c r="R110" i="30"/>
  <c r="R114" i="38"/>
  <c r="S114" i="36"/>
  <c r="Q114" i="32"/>
  <c r="R114" i="28"/>
  <c r="R114" i="30"/>
  <c r="R118" i="38"/>
  <c r="S118" i="36"/>
  <c r="Q118" i="32"/>
  <c r="R118" i="30"/>
  <c r="R118" i="28"/>
  <c r="F105" i="32"/>
  <c r="M105" i="32" s="1"/>
  <c r="F105" i="28"/>
  <c r="M105" i="28" s="1"/>
  <c r="M98" i="30"/>
  <c r="M96" i="30"/>
  <c r="F93" i="32"/>
  <c r="M93" i="32" s="1"/>
  <c r="F93" i="28"/>
  <c r="M93" i="28" s="1"/>
  <c r="F91" i="32"/>
  <c r="M91" i="32" s="1"/>
  <c r="F91" i="28"/>
  <c r="M91" i="28" s="1"/>
  <c r="M90" i="30"/>
  <c r="M88" i="30"/>
  <c r="M86" i="30"/>
  <c r="M84" i="30"/>
  <c r="M82" i="30"/>
  <c r="F67" i="32"/>
  <c r="M67" i="32" s="1"/>
  <c r="F67" i="28"/>
  <c r="M67" i="28" s="1"/>
  <c r="F65" i="32"/>
  <c r="M65" i="32" s="1"/>
  <c r="F65" i="28"/>
  <c r="M65" i="28" s="1"/>
  <c r="F63" i="28"/>
  <c r="M63" i="28" s="1"/>
  <c r="F63" i="32"/>
  <c r="M63" i="32" s="1"/>
  <c r="F59" i="32"/>
  <c r="M59" i="32" s="1"/>
  <c r="F59" i="28"/>
  <c r="M59" i="28" s="1"/>
  <c r="F55" i="32"/>
  <c r="M55" i="32" s="1"/>
  <c r="F55" i="28"/>
  <c r="M55" i="28" s="1"/>
  <c r="F49" i="32"/>
  <c r="M49" i="32" s="1"/>
  <c r="F49" i="28"/>
  <c r="M49" i="28" s="1"/>
  <c r="F39" i="32"/>
  <c r="M39" i="32" s="1"/>
  <c r="F39" i="28"/>
  <c r="M39" i="28" s="1"/>
  <c r="F37" i="32"/>
  <c r="M37" i="32" s="1"/>
  <c r="F37" i="28"/>
  <c r="M37" i="28" s="1"/>
  <c r="F35" i="32"/>
  <c r="M35" i="32" s="1"/>
  <c r="F35" i="28"/>
  <c r="M35" i="28" s="1"/>
  <c r="M34" i="30"/>
  <c r="M32" i="30"/>
  <c r="M30" i="30"/>
  <c r="M28" i="30"/>
  <c r="F27" i="32"/>
  <c r="M27" i="32" s="1"/>
  <c r="F27" i="28"/>
  <c r="M27" i="28" s="1"/>
  <c r="F25" i="32"/>
  <c r="M25" i="32" s="1"/>
  <c r="F25" i="28"/>
  <c r="M25" i="28" s="1"/>
  <c r="M24" i="30"/>
  <c r="M22" i="30"/>
  <c r="M20" i="30"/>
  <c r="F17" i="32"/>
  <c r="M17" i="32" s="1"/>
  <c r="F17" i="28"/>
  <c r="M17" i="28" s="1"/>
  <c r="F15" i="32"/>
  <c r="M15" i="32" s="1"/>
  <c r="F15" i="28"/>
  <c r="M15" i="28" s="1"/>
  <c r="M14" i="30"/>
  <c r="M12" i="30"/>
  <c r="M10" i="30"/>
  <c r="M8" i="30"/>
  <c r="F7" i="32"/>
  <c r="M7" i="32" s="1"/>
  <c r="F7" i="28"/>
  <c r="M7" i="28" s="1"/>
  <c r="F5" i="28"/>
  <c r="M5" i="28" s="1"/>
  <c r="F5" i="32"/>
  <c r="M5" i="32" s="1"/>
  <c r="M4" i="30"/>
  <c r="F2" i="30"/>
  <c r="M2" i="30" s="1"/>
  <c r="E120" i="28"/>
  <c r="L120" i="28" s="1"/>
  <c r="L120" i="30"/>
  <c r="M119" i="30"/>
  <c r="F117" i="32"/>
  <c r="M117" i="32" s="1"/>
  <c r="F117" i="28"/>
  <c r="M117" i="28" s="1"/>
  <c r="E114" i="32"/>
  <c r="L114" i="32" s="1"/>
  <c r="E110" i="32"/>
  <c r="L110" i="32" s="1"/>
  <c r="I116" i="38"/>
  <c r="I116" i="28"/>
  <c r="P116" i="28" s="1"/>
  <c r="I116" i="30"/>
  <c r="P116" i="30" s="1"/>
  <c r="I116" i="34"/>
  <c r="I112" i="38"/>
  <c r="I112" i="28"/>
  <c r="P112" i="28" s="1"/>
  <c r="I112" i="34"/>
  <c r="I112" i="30"/>
  <c r="P112" i="30" s="1"/>
  <c r="R116" i="38"/>
  <c r="S116" i="36"/>
  <c r="R116" i="30"/>
  <c r="Q116" i="32"/>
  <c r="R116" i="28"/>
  <c r="E109" i="28"/>
  <c r="L109" i="28" s="1"/>
  <c r="L109" i="30"/>
  <c r="E108" i="32"/>
  <c r="L108" i="32" s="1"/>
  <c r="L107" i="30"/>
  <c r="E107" i="28"/>
  <c r="L107" i="28" s="1"/>
  <c r="E106" i="32"/>
  <c r="L106" i="32" s="1"/>
  <c r="E105" i="28"/>
  <c r="L105" i="28" s="1"/>
  <c r="L105" i="30"/>
  <c r="E104" i="32"/>
  <c r="L104" i="32" s="1"/>
  <c r="L103" i="30"/>
  <c r="E103" i="28"/>
  <c r="L103" i="28" s="1"/>
  <c r="E102" i="32"/>
  <c r="L102" i="32" s="1"/>
  <c r="E101" i="28"/>
  <c r="L101" i="28" s="1"/>
  <c r="L101" i="30"/>
  <c r="E100" i="32"/>
  <c r="L100" i="32" s="1"/>
  <c r="L99" i="30"/>
  <c r="E99" i="28"/>
  <c r="L99" i="28" s="1"/>
  <c r="E98" i="32"/>
  <c r="L98" i="32" s="1"/>
  <c r="E97" i="28"/>
  <c r="L97" i="28" s="1"/>
  <c r="L97" i="30"/>
  <c r="E96" i="32"/>
  <c r="L96" i="32" s="1"/>
  <c r="L95" i="30"/>
  <c r="E95" i="28"/>
  <c r="L95" i="28" s="1"/>
  <c r="E94" i="32"/>
  <c r="L94" i="32" s="1"/>
  <c r="E93" i="28"/>
  <c r="L93" i="28" s="1"/>
  <c r="L93" i="30"/>
  <c r="E92" i="32"/>
  <c r="L92" i="32" s="1"/>
  <c r="L91" i="30"/>
  <c r="E91" i="28"/>
  <c r="L91" i="28" s="1"/>
  <c r="E90" i="32"/>
  <c r="L90" i="32" s="1"/>
  <c r="E89" i="28"/>
  <c r="L89" i="28" s="1"/>
  <c r="L89" i="30"/>
  <c r="E88" i="32"/>
  <c r="L88" i="32" s="1"/>
  <c r="L87" i="30"/>
  <c r="E87" i="28"/>
  <c r="L87" i="28" s="1"/>
  <c r="E86" i="32"/>
  <c r="L86" i="32" s="1"/>
  <c r="E85" i="28"/>
  <c r="L85" i="28" s="1"/>
  <c r="L85" i="30"/>
  <c r="E84" i="32"/>
  <c r="L84" i="32" s="1"/>
  <c r="L83" i="30"/>
  <c r="E83" i="28"/>
  <c r="L83" i="28" s="1"/>
  <c r="E82" i="32"/>
  <c r="L82" i="32" s="1"/>
  <c r="E81" i="28"/>
  <c r="L81" i="28" s="1"/>
  <c r="L81" i="30"/>
  <c r="E80" i="32"/>
  <c r="L80" i="32" s="1"/>
  <c r="L79" i="30"/>
  <c r="E79" i="28"/>
  <c r="L79" i="28" s="1"/>
  <c r="E78" i="32"/>
  <c r="L78" i="32" s="1"/>
  <c r="E77" i="28"/>
  <c r="L77" i="28" s="1"/>
  <c r="L77" i="30"/>
  <c r="E76" i="32"/>
  <c r="L76" i="32" s="1"/>
  <c r="L75" i="30"/>
  <c r="E75" i="28"/>
  <c r="L75" i="28" s="1"/>
  <c r="E74" i="32"/>
  <c r="L74" i="32" s="1"/>
  <c r="E73" i="28"/>
  <c r="L73" i="28" s="1"/>
  <c r="L73" i="30"/>
  <c r="E72" i="32"/>
  <c r="L72" i="32" s="1"/>
  <c r="L71" i="30"/>
  <c r="E71" i="28"/>
  <c r="L71" i="28" s="1"/>
  <c r="E70" i="32"/>
  <c r="L70" i="32" s="1"/>
  <c r="E69" i="28"/>
  <c r="L69" i="28" s="1"/>
  <c r="L69" i="30"/>
  <c r="E68" i="32"/>
  <c r="L68" i="32" s="1"/>
  <c r="L67" i="30"/>
  <c r="E67" i="28"/>
  <c r="L67" i="28" s="1"/>
  <c r="E66" i="32"/>
  <c r="L66" i="32" s="1"/>
  <c r="E65" i="28"/>
  <c r="L65" i="28" s="1"/>
  <c r="L65" i="30"/>
  <c r="E64" i="32"/>
  <c r="L64" i="32" s="1"/>
  <c r="L63" i="30"/>
  <c r="E63" i="28"/>
  <c r="L63" i="28" s="1"/>
  <c r="E62" i="32"/>
  <c r="L62" i="32" s="1"/>
  <c r="E61" i="28"/>
  <c r="L61" i="28" s="1"/>
  <c r="L61" i="30"/>
  <c r="E60" i="32"/>
  <c r="L60" i="32" s="1"/>
  <c r="L59" i="30"/>
  <c r="E59" i="28"/>
  <c r="L59" i="28" s="1"/>
  <c r="E58" i="32"/>
  <c r="L58" i="32" s="1"/>
  <c r="E57" i="28"/>
  <c r="L57" i="28" s="1"/>
  <c r="L57" i="30"/>
  <c r="E56" i="32"/>
  <c r="L56" i="32" s="1"/>
  <c r="L55" i="30"/>
  <c r="E55" i="28"/>
  <c r="L55" i="28" s="1"/>
  <c r="E54" i="32"/>
  <c r="L54" i="32" s="1"/>
  <c r="E53" i="28"/>
  <c r="L53" i="28" s="1"/>
  <c r="L53" i="30"/>
  <c r="E52" i="32"/>
  <c r="L52" i="32" s="1"/>
  <c r="L51" i="30"/>
  <c r="E51" i="28"/>
  <c r="L51" i="28" s="1"/>
  <c r="E50" i="32"/>
  <c r="L50" i="32" s="1"/>
  <c r="E49" i="28"/>
  <c r="L49" i="28" s="1"/>
  <c r="L49" i="30"/>
  <c r="E48" i="32"/>
  <c r="L48" i="32" s="1"/>
  <c r="L47" i="30"/>
  <c r="E47" i="28"/>
  <c r="L47" i="28" s="1"/>
  <c r="E46" i="32"/>
  <c r="L46" i="32" s="1"/>
  <c r="E45" i="28"/>
  <c r="L45" i="28" s="1"/>
  <c r="L45" i="30"/>
  <c r="E44" i="32"/>
  <c r="L44" i="32" s="1"/>
  <c r="L43" i="30"/>
  <c r="E43" i="28"/>
  <c r="L43" i="28" s="1"/>
  <c r="E42" i="32"/>
  <c r="L42" i="32" s="1"/>
  <c r="E41" i="28"/>
  <c r="L41" i="28" s="1"/>
  <c r="L41" i="30"/>
  <c r="E40" i="32"/>
  <c r="L40" i="32" s="1"/>
  <c r="L39" i="30"/>
  <c r="E39" i="28"/>
  <c r="L39" i="28" s="1"/>
  <c r="E38" i="32"/>
  <c r="L38" i="32" s="1"/>
  <c r="E37" i="28"/>
  <c r="L37" i="28" s="1"/>
  <c r="L37" i="30"/>
  <c r="E36" i="32"/>
  <c r="L36" i="32" s="1"/>
  <c r="L35" i="30"/>
  <c r="E35" i="28"/>
  <c r="L35" i="28" s="1"/>
  <c r="E34" i="32"/>
  <c r="L34" i="32" s="1"/>
  <c r="E33" i="28"/>
  <c r="L33" i="28" s="1"/>
  <c r="L33" i="30"/>
  <c r="E32" i="32"/>
  <c r="L32" i="32" s="1"/>
  <c r="L31" i="30"/>
  <c r="E31" i="28"/>
  <c r="L31" i="28" s="1"/>
  <c r="E30" i="32"/>
  <c r="L30" i="32" s="1"/>
  <c r="E29" i="28"/>
  <c r="L29" i="28" s="1"/>
  <c r="L29" i="30"/>
  <c r="E28" i="32"/>
  <c r="L28" i="32" s="1"/>
  <c r="L27" i="30"/>
  <c r="E27" i="28"/>
  <c r="L27" i="28" s="1"/>
  <c r="E26" i="32"/>
  <c r="L26" i="32" s="1"/>
  <c r="E25" i="28"/>
  <c r="L25" i="28" s="1"/>
  <c r="L25" i="30"/>
  <c r="E24" i="32"/>
  <c r="L24" i="32" s="1"/>
  <c r="L23" i="30"/>
  <c r="E23" i="28"/>
  <c r="L23" i="28" s="1"/>
  <c r="E22" i="32"/>
  <c r="L22" i="32" s="1"/>
  <c r="E21" i="28"/>
  <c r="L21" i="28" s="1"/>
  <c r="L21" i="30"/>
  <c r="E20" i="32"/>
  <c r="L20" i="32" s="1"/>
  <c r="L19" i="30"/>
  <c r="E19" i="28"/>
  <c r="L19" i="28" s="1"/>
  <c r="E18" i="32"/>
  <c r="L18" i="32" s="1"/>
  <c r="E17" i="28"/>
  <c r="L17" i="28" s="1"/>
  <c r="L17" i="30"/>
  <c r="E16" i="32"/>
  <c r="L16" i="32" s="1"/>
  <c r="L15" i="30"/>
  <c r="E15" i="28"/>
  <c r="L15" i="28" s="1"/>
  <c r="E14" i="32"/>
  <c r="L14" i="32" s="1"/>
  <c r="E13" i="28"/>
  <c r="L13" i="28" s="1"/>
  <c r="L13" i="30"/>
  <c r="E12" i="32"/>
  <c r="L12" i="32" s="1"/>
  <c r="L11" i="30"/>
  <c r="E11" i="28"/>
  <c r="L11" i="28" s="1"/>
  <c r="E10" i="32"/>
  <c r="L10" i="32" s="1"/>
  <c r="E9" i="28"/>
  <c r="L9" i="28" s="1"/>
  <c r="L9" i="30"/>
  <c r="E8" i="32"/>
  <c r="L8" i="32" s="1"/>
  <c r="L7" i="30"/>
  <c r="E7" i="28"/>
  <c r="L7" i="28" s="1"/>
  <c r="E6" i="32"/>
  <c r="L6" i="32" s="1"/>
  <c r="E5" i="28"/>
  <c r="L5" i="28" s="1"/>
  <c r="L5" i="30"/>
  <c r="E4" i="32"/>
  <c r="L4" i="32" s="1"/>
  <c r="E3" i="30"/>
  <c r="L3" i="30" s="1"/>
  <c r="E3" i="28"/>
  <c r="L3" i="28" s="1"/>
  <c r="E2" i="32"/>
  <c r="L2" i="32" s="1"/>
  <c r="E1" i="38"/>
  <c r="L1" i="38" s="1"/>
  <c r="E1" i="34"/>
  <c r="L1" i="34" s="1"/>
  <c r="E1" i="28"/>
  <c r="L1" i="28" s="1"/>
  <c r="E1" i="30"/>
  <c r="L1" i="30" s="1"/>
  <c r="L121" i="30"/>
  <c r="E121" i="28"/>
  <c r="L121" i="28" s="1"/>
  <c r="M120" i="30"/>
  <c r="E119" i="32"/>
  <c r="L119" i="32" s="1"/>
  <c r="F118" i="28"/>
  <c r="M118" i="28" s="1"/>
  <c r="F118" i="32"/>
  <c r="M118" i="32" s="1"/>
  <c r="L117" i="30"/>
  <c r="E117" i="28"/>
  <c r="L117" i="28" s="1"/>
  <c r="M116" i="30"/>
  <c r="E115" i="32"/>
  <c r="L115" i="32" s="1"/>
  <c r="F114" i="28"/>
  <c r="M114" i="28" s="1"/>
  <c r="F114" i="32"/>
  <c r="M114" i="32" s="1"/>
  <c r="E113" i="28"/>
  <c r="L113" i="28" s="1"/>
  <c r="L113" i="30"/>
  <c r="M112" i="30"/>
  <c r="E111" i="32"/>
  <c r="L111" i="32" s="1"/>
  <c r="F110" i="28"/>
  <c r="M110" i="28" s="1"/>
  <c r="F110" i="32"/>
  <c r="M110" i="32" s="1"/>
  <c r="I110" i="38"/>
  <c r="I110" i="34"/>
  <c r="I110" i="30"/>
  <c r="P110" i="30" s="1"/>
  <c r="I110" i="28"/>
  <c r="P110" i="28" s="1"/>
  <c r="I119" i="38"/>
  <c r="I119" i="34"/>
  <c r="I119" i="28"/>
  <c r="P119" i="28" s="1"/>
  <c r="I119" i="30"/>
  <c r="P119" i="30" s="1"/>
  <c r="I115" i="38"/>
  <c r="I115" i="34"/>
  <c r="I115" i="28"/>
  <c r="P115" i="28" s="1"/>
  <c r="I115" i="30"/>
  <c r="P115" i="30" s="1"/>
  <c r="I111" i="38"/>
  <c r="I111" i="34"/>
  <c r="I111" i="28"/>
  <c r="P111" i="28" s="1"/>
  <c r="I111" i="30"/>
  <c r="P111" i="30" s="1"/>
  <c r="R111" i="38"/>
  <c r="S111" i="36"/>
  <c r="R111" i="30"/>
  <c r="R111" i="28"/>
  <c r="Q111" i="32"/>
  <c r="R115" i="38"/>
  <c r="S115" i="36"/>
  <c r="R115" i="30"/>
  <c r="Q115" i="32"/>
  <c r="R115" i="28"/>
  <c r="R119" i="38"/>
  <c r="S119" i="36"/>
  <c r="R119" i="30"/>
  <c r="R119" i="28"/>
  <c r="Q119" i="32"/>
  <c r="H118" i="34"/>
  <c r="O118" i="34" s="1"/>
  <c r="O118" i="30"/>
  <c r="H110" i="34"/>
  <c r="O110" i="34" s="1"/>
  <c r="O110" i="30"/>
  <c r="H121" i="34"/>
  <c r="O121" i="34" s="1"/>
  <c r="O121" i="30"/>
  <c r="H118" i="38"/>
  <c r="O118" i="38" s="1"/>
  <c r="H118" i="28"/>
  <c r="O118" i="28" s="1"/>
  <c r="H117" i="34"/>
  <c r="O117" i="34" s="1"/>
  <c r="O117" i="30"/>
  <c r="H114" i="38"/>
  <c r="O114" i="38" s="1"/>
  <c r="H114" i="28"/>
  <c r="O114" i="28" s="1"/>
  <c r="H113" i="34"/>
  <c r="O113" i="34" s="1"/>
  <c r="O113" i="30"/>
  <c r="H110" i="38"/>
  <c r="O110" i="38" s="1"/>
  <c r="H110" i="28"/>
  <c r="O110" i="28" s="1"/>
  <c r="H119" i="38"/>
  <c r="O119" i="38" s="1"/>
  <c r="H119" i="28"/>
  <c r="O119" i="28" s="1"/>
  <c r="H115" i="38"/>
  <c r="O115" i="38" s="1"/>
  <c r="H115" i="28"/>
  <c r="O115" i="28" s="1"/>
  <c r="H114" i="34"/>
  <c r="O114" i="34" s="1"/>
  <c r="O114" i="30"/>
  <c r="H111" i="38"/>
  <c r="O111" i="38" s="1"/>
  <c r="H111" i="28"/>
  <c r="O111" i="28" s="1"/>
  <c r="H121" i="38"/>
  <c r="O121" i="38" s="1"/>
  <c r="H121" i="28"/>
  <c r="O121" i="28" s="1"/>
  <c r="H120" i="34"/>
  <c r="O120" i="34" s="1"/>
  <c r="O120" i="30"/>
  <c r="H117" i="38"/>
  <c r="O117" i="38" s="1"/>
  <c r="H117" i="28"/>
  <c r="O117" i="28" s="1"/>
  <c r="H116" i="34"/>
  <c r="O116" i="34" s="1"/>
  <c r="O116" i="30"/>
  <c r="H113" i="38"/>
  <c r="O113" i="38" s="1"/>
  <c r="H113" i="28"/>
  <c r="O113" i="28" s="1"/>
  <c r="H112" i="34"/>
  <c r="O112" i="34" s="1"/>
  <c r="O112" i="30"/>
  <c r="H120" i="38"/>
  <c r="O120" i="38" s="1"/>
  <c r="H120" i="28"/>
  <c r="O120" i="28" s="1"/>
  <c r="H119" i="34"/>
  <c r="O119" i="34" s="1"/>
  <c r="O119" i="30"/>
  <c r="H116" i="38"/>
  <c r="O116" i="38" s="1"/>
  <c r="H116" i="28"/>
  <c r="O116" i="28" s="1"/>
  <c r="H115" i="34"/>
  <c r="O115" i="34" s="1"/>
  <c r="O115" i="30"/>
  <c r="H112" i="38"/>
  <c r="O112" i="38" s="1"/>
  <c r="H112" i="28"/>
  <c r="O112" i="28" s="1"/>
  <c r="H111" i="34"/>
  <c r="O111" i="34" s="1"/>
  <c r="O111" i="30"/>
  <c r="V113" i="54"/>
  <c r="C144" i="2"/>
  <c r="C156" i="2" s="1"/>
  <c r="V120" i="1"/>
  <c r="H120" i="60" s="1"/>
  <c r="O120" i="60" s="1"/>
  <c r="O128" i="38"/>
  <c r="M1" i="28"/>
  <c r="M2" i="28"/>
  <c r="P154" i="2"/>
  <c r="M146" i="2"/>
  <c r="O147" i="2"/>
  <c r="M148" i="2"/>
  <c r="Q148" i="2"/>
  <c r="O149" i="2"/>
  <c r="M150" i="2"/>
  <c r="Q150" i="2"/>
  <c r="O151" i="2"/>
  <c r="M152" i="2"/>
  <c r="Q152" i="2"/>
  <c r="O153" i="2"/>
  <c r="M154" i="2"/>
  <c r="Q154" i="2"/>
  <c r="O155" i="2"/>
  <c r="M156" i="2"/>
  <c r="Q156" i="2"/>
  <c r="O157" i="2"/>
  <c r="P151" i="2"/>
  <c r="P148" i="2"/>
  <c r="P150" i="2"/>
  <c r="P152" i="2"/>
  <c r="P156" i="2"/>
  <c r="P147" i="2"/>
  <c r="P149" i="2"/>
  <c r="P153" i="2"/>
  <c r="P155" i="2"/>
  <c r="P157" i="2"/>
  <c r="O146" i="2"/>
  <c r="M147" i="2"/>
  <c r="Q147" i="2"/>
  <c r="O148" i="2"/>
  <c r="M149" i="2"/>
  <c r="Q149" i="2"/>
  <c r="O150" i="2"/>
  <c r="M151" i="2"/>
  <c r="Q151" i="2"/>
  <c r="O152" i="2"/>
  <c r="M153" i="2"/>
  <c r="Q153" i="2"/>
  <c r="O154" i="2"/>
  <c r="M155" i="2"/>
  <c r="Q155" i="2"/>
  <c r="O156" i="2"/>
  <c r="M157" i="2"/>
  <c r="Q157" i="2"/>
  <c r="R149" i="2" l="1"/>
  <c r="H137" i="59"/>
  <c r="O137" i="59" s="1"/>
  <c r="I127" i="58"/>
  <c r="P115" i="58"/>
  <c r="P110" i="58"/>
  <c r="I122" i="58"/>
  <c r="P118" i="58"/>
  <c r="I130" i="58"/>
  <c r="P113" i="58"/>
  <c r="I125" i="58"/>
  <c r="P121" i="58"/>
  <c r="I133" i="58"/>
  <c r="I124" i="58"/>
  <c r="P112" i="58"/>
  <c r="P120" i="58"/>
  <c r="I132" i="58"/>
  <c r="O144" i="36"/>
  <c r="H144" i="60"/>
  <c r="O144" i="60" s="1"/>
  <c r="R151" i="2"/>
  <c r="H139" i="59"/>
  <c r="O139" i="59" s="1"/>
  <c r="R152" i="2"/>
  <c r="H140" i="59"/>
  <c r="O140" i="59" s="1"/>
  <c r="R155" i="2"/>
  <c r="H143" i="59"/>
  <c r="O143" i="59" s="1"/>
  <c r="R146" i="2"/>
  <c r="H134" i="59"/>
  <c r="O134" i="59" s="1"/>
  <c r="P115" i="59"/>
  <c r="I127" i="59"/>
  <c r="I122" i="59"/>
  <c r="P110" i="59"/>
  <c r="I130" i="59"/>
  <c r="P118" i="59"/>
  <c r="I125" i="59"/>
  <c r="P113" i="59"/>
  <c r="I133" i="59"/>
  <c r="P121" i="59"/>
  <c r="P112" i="59"/>
  <c r="I124" i="59"/>
  <c r="I132" i="59"/>
  <c r="P120" i="59"/>
  <c r="R157" i="2"/>
  <c r="H145" i="59"/>
  <c r="O145" i="59" s="1"/>
  <c r="R154" i="2"/>
  <c r="H142" i="59"/>
  <c r="O142" i="59" s="1"/>
  <c r="R148" i="2"/>
  <c r="H136" i="59"/>
  <c r="O136" i="59" s="1"/>
  <c r="I123" i="58"/>
  <c r="P111" i="58"/>
  <c r="I131" i="58"/>
  <c r="P119" i="58"/>
  <c r="P114" i="58"/>
  <c r="I126" i="58"/>
  <c r="I129" i="58"/>
  <c r="P117" i="58"/>
  <c r="P116" i="58"/>
  <c r="I128" i="58"/>
  <c r="R147" i="2"/>
  <c r="H135" i="59"/>
  <c r="O135" i="59" s="1"/>
  <c r="R156" i="2"/>
  <c r="H144" i="59"/>
  <c r="O144" i="59" s="1"/>
  <c r="R153" i="2"/>
  <c r="H141" i="59"/>
  <c r="O141" i="59" s="1"/>
  <c r="R150" i="2"/>
  <c r="H138" i="59"/>
  <c r="O138" i="59" s="1"/>
  <c r="P111" i="59"/>
  <c r="I123" i="59"/>
  <c r="I131" i="59"/>
  <c r="P119" i="59"/>
  <c r="P114" i="59"/>
  <c r="I126" i="59"/>
  <c r="I129" i="59"/>
  <c r="P117" i="59"/>
  <c r="I128" i="59"/>
  <c r="P116" i="59"/>
  <c r="BL62" i="54"/>
  <c r="BJ62" i="54"/>
  <c r="BK62" i="54" s="1"/>
  <c r="BL71" i="54"/>
  <c r="BJ71" i="54"/>
  <c r="BK71" i="54" s="1"/>
  <c r="BL63" i="54"/>
  <c r="BJ63" i="54"/>
  <c r="BK63" i="54" s="1"/>
  <c r="BJ73" i="54"/>
  <c r="BK73" i="54" s="1"/>
  <c r="BL73" i="54"/>
  <c r="BL64" i="54"/>
  <c r="BJ64" i="54"/>
  <c r="BK64" i="54" s="1"/>
  <c r="BJ66" i="54"/>
  <c r="BK66" i="54" s="1"/>
  <c r="BL66" i="54"/>
  <c r="BL72" i="54"/>
  <c r="BJ72" i="54"/>
  <c r="BK72" i="54" s="1"/>
  <c r="BJ70" i="54"/>
  <c r="BK70" i="54" s="1"/>
  <c r="BL70" i="54"/>
  <c r="BL67" i="54"/>
  <c r="BJ67" i="54"/>
  <c r="BK67" i="54" s="1"/>
  <c r="BJ69" i="54"/>
  <c r="BK69" i="54" s="1"/>
  <c r="BL69" i="54"/>
  <c r="BL65" i="54"/>
  <c r="BJ65" i="54"/>
  <c r="BK65" i="54" s="1"/>
  <c r="BL68" i="54"/>
  <c r="BJ68" i="54"/>
  <c r="BK68" i="54" s="1"/>
  <c r="W128" i="2"/>
  <c r="V116" i="54"/>
  <c r="W131" i="2"/>
  <c r="V119" i="54"/>
  <c r="V117" i="54"/>
  <c r="W124" i="2"/>
  <c r="V112" i="54"/>
  <c r="W127" i="2"/>
  <c r="V115" i="54"/>
  <c r="V121" i="54"/>
  <c r="W122" i="2"/>
  <c r="W134" i="2" s="1"/>
  <c r="V110" i="54"/>
  <c r="W126" i="2"/>
  <c r="V114" i="54"/>
  <c r="W130" i="2"/>
  <c r="V118" i="54"/>
  <c r="W123" i="2"/>
  <c r="V111" i="54"/>
  <c r="O143" i="38"/>
  <c r="L155" i="2"/>
  <c r="N152" i="2"/>
  <c r="O140" i="34" s="1"/>
  <c r="N147" i="2"/>
  <c r="O135" i="34" s="1"/>
  <c r="N154" i="2"/>
  <c r="O142" i="34" s="1"/>
  <c r="O139" i="38"/>
  <c r="L151" i="2"/>
  <c r="O144" i="38"/>
  <c r="L156" i="2"/>
  <c r="L150" i="2"/>
  <c r="O138" i="38"/>
  <c r="N157" i="2"/>
  <c r="O145" i="34" s="1"/>
  <c r="N151" i="2"/>
  <c r="O134" i="38"/>
  <c r="O140" i="38"/>
  <c r="L152" i="2"/>
  <c r="L149" i="2"/>
  <c r="O137" i="38"/>
  <c r="O145" i="38"/>
  <c r="L157" i="2"/>
  <c r="N153" i="2"/>
  <c r="O141" i="34" s="1"/>
  <c r="N156" i="2"/>
  <c r="N150" i="2"/>
  <c r="O138" i="34" s="1"/>
  <c r="O135" i="38"/>
  <c r="L154" i="2"/>
  <c r="O142" i="38"/>
  <c r="N148" i="2"/>
  <c r="O136" i="34" s="1"/>
  <c r="N155" i="2"/>
  <c r="O143" i="34" s="1"/>
  <c r="N149" i="2"/>
  <c r="O137" i="34" s="1"/>
  <c r="L153" i="2"/>
  <c r="O141" i="38"/>
  <c r="N146" i="2"/>
  <c r="O134" i="34" s="1"/>
  <c r="O136" i="38"/>
  <c r="L148" i="2"/>
  <c r="K156" i="2"/>
  <c r="V121" i="1"/>
  <c r="W140" i="2"/>
  <c r="W135" i="2"/>
  <c r="C145" i="2"/>
  <c r="C157" i="2" s="1"/>
  <c r="W133" i="2"/>
  <c r="W136" i="2"/>
  <c r="W139" i="2"/>
  <c r="C137" i="2"/>
  <c r="W125" i="2"/>
  <c r="W137" i="2" s="1"/>
  <c r="W138" i="2"/>
  <c r="W142" i="2"/>
  <c r="W143" i="2"/>
  <c r="V117" i="1"/>
  <c r="W129" i="2"/>
  <c r="W156" i="2"/>
  <c r="P116" i="34"/>
  <c r="I128" i="34"/>
  <c r="I125" i="38"/>
  <c r="P113" i="38"/>
  <c r="P111" i="34"/>
  <c r="I123" i="34"/>
  <c r="I130" i="38"/>
  <c r="P118" i="38"/>
  <c r="I133" i="38"/>
  <c r="P121" i="38"/>
  <c r="P120" i="38"/>
  <c r="I132" i="38"/>
  <c r="P111" i="38"/>
  <c r="I123" i="38"/>
  <c r="P119" i="38"/>
  <c r="I131" i="38"/>
  <c r="P112" i="38"/>
  <c r="I124" i="38"/>
  <c r="P114" i="34"/>
  <c r="I126" i="34"/>
  <c r="P117" i="34"/>
  <c r="I129" i="34"/>
  <c r="P119" i="34"/>
  <c r="I131" i="34"/>
  <c r="P115" i="34"/>
  <c r="I127" i="34"/>
  <c r="P110" i="34"/>
  <c r="I122" i="34"/>
  <c r="I126" i="38"/>
  <c r="P114" i="38"/>
  <c r="I129" i="38"/>
  <c r="P117" i="38"/>
  <c r="V113" i="1"/>
  <c r="P115" i="38"/>
  <c r="I127" i="38"/>
  <c r="I122" i="38"/>
  <c r="P110" i="38"/>
  <c r="P112" i="34"/>
  <c r="I124" i="34"/>
  <c r="P116" i="38"/>
  <c r="I128" i="38"/>
  <c r="P118" i="34"/>
  <c r="I130" i="34"/>
  <c r="P113" i="34"/>
  <c r="I125" i="34"/>
  <c r="P121" i="34"/>
  <c r="I133" i="34"/>
  <c r="P120" i="34"/>
  <c r="I132" i="34"/>
  <c r="C149" i="2"/>
  <c r="C153" i="2"/>
  <c r="C139" i="2"/>
  <c r="V115" i="1"/>
  <c r="H115" i="60" s="1"/>
  <c r="O115" i="60" s="1"/>
  <c r="V111" i="1"/>
  <c r="H111" i="60" s="1"/>
  <c r="O111" i="60" s="1"/>
  <c r="V110" i="1"/>
  <c r="H110" i="60" s="1"/>
  <c r="O110" i="60" s="1"/>
  <c r="C138" i="2"/>
  <c r="V114" i="1"/>
  <c r="H114" i="60" s="1"/>
  <c r="O114" i="60" s="1"/>
  <c r="C136" i="2"/>
  <c r="V112" i="1"/>
  <c r="H112" i="60" s="1"/>
  <c r="O112" i="60" s="1"/>
  <c r="C142" i="2"/>
  <c r="V118" i="1"/>
  <c r="H118" i="60" s="1"/>
  <c r="O118" i="60" s="1"/>
  <c r="G120" i="32"/>
  <c r="N120" i="32" s="1"/>
  <c r="H120" i="36"/>
  <c r="O120" i="36" s="1"/>
  <c r="C140" i="2"/>
  <c r="V116" i="1"/>
  <c r="H116" i="60" s="1"/>
  <c r="O116" i="60" s="1"/>
  <c r="C143" i="2"/>
  <c r="V119" i="1"/>
  <c r="H119" i="60" s="1"/>
  <c r="O119" i="60" s="1"/>
  <c r="O144" i="34" l="1"/>
  <c r="O139" i="34"/>
  <c r="H113" i="36"/>
  <c r="O113" i="36" s="1"/>
  <c r="H113" i="60"/>
  <c r="O113" i="60" s="1"/>
  <c r="O145" i="36"/>
  <c r="H145" i="60"/>
  <c r="O145" i="60" s="1"/>
  <c r="P128" i="58"/>
  <c r="I140" i="58"/>
  <c r="P140" i="58" s="1"/>
  <c r="P126" i="58"/>
  <c r="I138" i="58"/>
  <c r="P138" i="58" s="1"/>
  <c r="I139" i="59"/>
  <c r="P139" i="59" s="1"/>
  <c r="P127" i="59"/>
  <c r="P132" i="58"/>
  <c r="I144" i="58"/>
  <c r="P144" i="58" s="1"/>
  <c r="I145" i="58"/>
  <c r="P145" i="58" s="1"/>
  <c r="P133" i="58"/>
  <c r="I142" i="58"/>
  <c r="P142" i="58" s="1"/>
  <c r="P130" i="58"/>
  <c r="I141" i="59"/>
  <c r="P141" i="59" s="1"/>
  <c r="P129" i="59"/>
  <c r="I143" i="59"/>
  <c r="P143" i="59" s="1"/>
  <c r="P131" i="59"/>
  <c r="P123" i="58"/>
  <c r="I135" i="58"/>
  <c r="P135" i="58" s="1"/>
  <c r="I144" i="59"/>
  <c r="P144" i="59" s="1"/>
  <c r="P132" i="59"/>
  <c r="I145" i="59"/>
  <c r="P145" i="59" s="1"/>
  <c r="P133" i="59"/>
  <c r="I142" i="59"/>
  <c r="P142" i="59" s="1"/>
  <c r="P130" i="59"/>
  <c r="I139" i="58"/>
  <c r="P139" i="58" s="1"/>
  <c r="P127" i="58"/>
  <c r="O141" i="36"/>
  <c r="H141" i="60"/>
  <c r="O141" i="60" s="1"/>
  <c r="I138" i="59"/>
  <c r="P138" i="59" s="1"/>
  <c r="P126" i="59"/>
  <c r="P123" i="59"/>
  <c r="I135" i="59"/>
  <c r="P135" i="59" s="1"/>
  <c r="I136" i="59"/>
  <c r="P136" i="59" s="1"/>
  <c r="P124" i="59"/>
  <c r="P125" i="58"/>
  <c r="I137" i="58"/>
  <c r="P137" i="58" s="1"/>
  <c r="I134" i="58"/>
  <c r="P134" i="58" s="1"/>
  <c r="P122" i="58"/>
  <c r="O137" i="36"/>
  <c r="H137" i="60"/>
  <c r="O137" i="60" s="1"/>
  <c r="G117" i="32"/>
  <c r="N117" i="32" s="1"/>
  <c r="H117" i="60"/>
  <c r="O117" i="60" s="1"/>
  <c r="G121" i="32"/>
  <c r="N121" i="32" s="1"/>
  <c r="H121" i="60"/>
  <c r="O121" i="60" s="1"/>
  <c r="I140" i="59"/>
  <c r="P140" i="59" s="1"/>
  <c r="P128" i="59"/>
  <c r="P129" i="58"/>
  <c r="I141" i="58"/>
  <c r="P141" i="58" s="1"/>
  <c r="I143" i="58"/>
  <c r="P143" i="58" s="1"/>
  <c r="P131" i="58"/>
  <c r="P125" i="59"/>
  <c r="I137" i="59"/>
  <c r="P137" i="59" s="1"/>
  <c r="I134" i="59"/>
  <c r="P134" i="59" s="1"/>
  <c r="P122" i="59"/>
  <c r="P124" i="58"/>
  <c r="I136" i="58"/>
  <c r="P136" i="58" s="1"/>
  <c r="H123" i="36"/>
  <c r="O123" i="36" s="1"/>
  <c r="H124" i="36"/>
  <c r="O124" i="36" s="1"/>
  <c r="H125" i="36"/>
  <c r="O125" i="36" s="1"/>
  <c r="H121" i="36"/>
  <c r="O121" i="36" s="1"/>
  <c r="K157" i="2"/>
  <c r="K149" i="2"/>
  <c r="K153" i="2"/>
  <c r="H117" i="36"/>
  <c r="O117" i="36" s="1"/>
  <c r="G113" i="32"/>
  <c r="N113" i="32" s="1"/>
  <c r="W145" i="2"/>
  <c r="W155" i="2"/>
  <c r="W150" i="2"/>
  <c r="W151" i="2"/>
  <c r="W152" i="2"/>
  <c r="W141" i="2"/>
  <c r="W154" i="2"/>
  <c r="W148" i="2"/>
  <c r="W147" i="2"/>
  <c r="P133" i="34"/>
  <c r="I145" i="34"/>
  <c r="P145" i="34" s="1"/>
  <c r="P130" i="34"/>
  <c r="I142" i="34"/>
  <c r="P142" i="34" s="1"/>
  <c r="I136" i="34"/>
  <c r="P136" i="34" s="1"/>
  <c r="P124" i="34"/>
  <c r="I139" i="38"/>
  <c r="P139" i="38" s="1"/>
  <c r="P127" i="38"/>
  <c r="P126" i="38"/>
  <c r="I138" i="38"/>
  <c r="P138" i="38" s="1"/>
  <c r="P126" i="34"/>
  <c r="I138" i="34"/>
  <c r="P138" i="34" s="1"/>
  <c r="I143" i="38"/>
  <c r="P143" i="38" s="1"/>
  <c r="P131" i="38"/>
  <c r="I135" i="34"/>
  <c r="P135" i="34" s="1"/>
  <c r="P123" i="34"/>
  <c r="P122" i="34"/>
  <c r="I134" i="34"/>
  <c r="P134" i="34" s="1"/>
  <c r="I145" i="38"/>
  <c r="P145" i="38" s="1"/>
  <c r="P133" i="38"/>
  <c r="I144" i="34"/>
  <c r="P144" i="34" s="1"/>
  <c r="P132" i="34"/>
  <c r="P125" i="34"/>
  <c r="I137" i="34"/>
  <c r="P137" i="34" s="1"/>
  <c r="P128" i="38"/>
  <c r="I140" i="38"/>
  <c r="P140" i="38" s="1"/>
  <c r="P129" i="38"/>
  <c r="I141" i="38"/>
  <c r="P141" i="38" s="1"/>
  <c r="P129" i="34"/>
  <c r="I141" i="34"/>
  <c r="P141" i="34" s="1"/>
  <c r="P124" i="38"/>
  <c r="I136" i="38"/>
  <c r="P136" i="38" s="1"/>
  <c r="I135" i="38"/>
  <c r="P135" i="38" s="1"/>
  <c r="P123" i="38"/>
  <c r="I144" i="38"/>
  <c r="P144" i="38" s="1"/>
  <c r="P132" i="38"/>
  <c r="P125" i="38"/>
  <c r="I137" i="38"/>
  <c r="P137" i="38" s="1"/>
  <c r="P122" i="38"/>
  <c r="I134" i="38"/>
  <c r="P134" i="38" s="1"/>
  <c r="I139" i="34"/>
  <c r="P139" i="34" s="1"/>
  <c r="P127" i="34"/>
  <c r="I143" i="34"/>
  <c r="P143" i="34" s="1"/>
  <c r="P131" i="34"/>
  <c r="P130" i="38"/>
  <c r="I142" i="38"/>
  <c r="P142" i="38" s="1"/>
  <c r="I140" i="34"/>
  <c r="P140" i="34" s="1"/>
  <c r="P128" i="34"/>
  <c r="C148" i="2"/>
  <c r="C155" i="2"/>
  <c r="C154" i="2"/>
  <c r="G114" i="32"/>
  <c r="N114" i="32" s="1"/>
  <c r="H114" i="36"/>
  <c r="O114" i="36" s="1"/>
  <c r="G111" i="32"/>
  <c r="N111" i="32" s="1"/>
  <c r="H111" i="36"/>
  <c r="O111" i="36" s="1"/>
  <c r="C151" i="2"/>
  <c r="C152" i="2"/>
  <c r="O134" i="36"/>
  <c r="H110" i="36"/>
  <c r="O110" i="36" s="1"/>
  <c r="G110" i="32"/>
  <c r="N110" i="32" s="1"/>
  <c r="H116" i="36"/>
  <c r="O116" i="36" s="1"/>
  <c r="G116" i="32"/>
  <c r="N116" i="32" s="1"/>
  <c r="G112" i="32"/>
  <c r="N112" i="32" s="1"/>
  <c r="H112" i="36"/>
  <c r="O112" i="36" s="1"/>
  <c r="G119" i="32"/>
  <c r="N119" i="32" s="1"/>
  <c r="H119" i="36"/>
  <c r="O119" i="36" s="1"/>
  <c r="H118" i="36"/>
  <c r="O118" i="36" s="1"/>
  <c r="G118" i="32"/>
  <c r="N118" i="32" s="1"/>
  <c r="C150" i="2"/>
  <c r="C147" i="2"/>
  <c r="G115" i="32"/>
  <c r="N115" i="32" s="1"/>
  <c r="H115" i="36"/>
  <c r="O115" i="36" s="1"/>
  <c r="O135" i="36" l="1"/>
  <c r="H135" i="60"/>
  <c r="O135" i="60" s="1"/>
  <c r="O138" i="36"/>
  <c r="H138" i="60"/>
  <c r="O138" i="60" s="1"/>
  <c r="O140" i="36"/>
  <c r="H140" i="60"/>
  <c r="O140" i="60" s="1"/>
  <c r="O136" i="36"/>
  <c r="H136" i="60"/>
  <c r="O136" i="60" s="1"/>
  <c r="O139" i="36"/>
  <c r="H139" i="60"/>
  <c r="O139" i="60" s="1"/>
  <c r="O142" i="36"/>
  <c r="H142" i="60"/>
  <c r="O142" i="60" s="1"/>
  <c r="O143" i="36"/>
  <c r="H143" i="60"/>
  <c r="O143" i="60" s="1"/>
  <c r="H126" i="36"/>
  <c r="O126" i="36" s="1"/>
  <c r="H127" i="36"/>
  <c r="O127" i="36" s="1"/>
  <c r="H131" i="36"/>
  <c r="O131" i="36" s="1"/>
  <c r="H128" i="36"/>
  <c r="O128" i="36" s="1"/>
  <c r="K151" i="2"/>
  <c r="K146" i="2"/>
  <c r="K155" i="2"/>
  <c r="K150" i="2"/>
  <c r="K147" i="2"/>
  <c r="K152" i="2"/>
  <c r="K154" i="2"/>
  <c r="K148" i="2"/>
  <c r="W153" i="2"/>
  <c r="W149" i="2"/>
  <c r="W157" i="2"/>
  <c r="B156" i="2"/>
  <c r="V156" i="2" s="1"/>
  <c r="B157" i="2"/>
  <c r="V157" i="2" s="1"/>
  <c r="B146" i="2"/>
  <c r="V146" i="2" s="1"/>
  <c r="B147" i="2"/>
  <c r="V147" i="2" s="1"/>
  <c r="B148" i="2"/>
  <c r="V148" i="2" s="1"/>
  <c r="B149" i="2"/>
  <c r="V149" i="2" s="1"/>
  <c r="B150" i="2"/>
  <c r="V150" i="2" s="1"/>
  <c r="B151" i="2"/>
  <c r="V151" i="2" s="1"/>
  <c r="B152" i="2"/>
  <c r="V152" i="2" s="1"/>
  <c r="B153" i="2"/>
  <c r="V153" i="2" s="1"/>
  <c r="B154" i="2"/>
  <c r="V154" i="2" s="1"/>
  <c r="B155" i="2"/>
  <c r="V155" i="2" s="1"/>
  <c r="DA33" i="4"/>
  <c r="DB33" i="4"/>
  <c r="DC33" i="4"/>
  <c r="DD33" i="4"/>
  <c r="DE33" i="4"/>
  <c r="DF33" i="4"/>
  <c r="DG33" i="4"/>
  <c r="DH33" i="4"/>
  <c r="DI33" i="4"/>
  <c r="DJ33" i="4"/>
  <c r="DK33" i="4"/>
  <c r="DL33" i="4"/>
  <c r="DA34" i="4"/>
  <c r="DB34" i="4"/>
  <c r="DC34" i="4"/>
  <c r="DD34" i="4"/>
  <c r="DE34" i="4"/>
  <c r="DF34" i="4"/>
  <c r="DG34" i="4"/>
  <c r="DH34" i="4"/>
  <c r="DI34" i="4"/>
  <c r="DJ34" i="4"/>
  <c r="DK34" i="4"/>
  <c r="DL34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A36" i="4"/>
  <c r="DB36" i="4"/>
  <c r="DC36" i="4"/>
  <c r="DD36" i="4"/>
  <c r="DE36" i="4"/>
  <c r="DF36" i="4"/>
  <c r="DG36" i="4"/>
  <c r="DH36" i="4"/>
  <c r="DI36" i="4"/>
  <c r="DJ36" i="4"/>
  <c r="DK36" i="4"/>
  <c r="DL36" i="4"/>
  <c r="DA37" i="4"/>
  <c r="DB37" i="4"/>
  <c r="DC37" i="4"/>
  <c r="DD37" i="4"/>
  <c r="DE37" i="4"/>
  <c r="DF37" i="4"/>
  <c r="DG37" i="4"/>
  <c r="DH37" i="4"/>
  <c r="DI37" i="4"/>
  <c r="DJ37" i="4"/>
  <c r="DK37" i="4"/>
  <c r="DL37" i="4"/>
  <c r="DA38" i="4"/>
  <c r="DB38" i="4"/>
  <c r="DC38" i="4"/>
  <c r="DD38" i="4"/>
  <c r="DE38" i="4"/>
  <c r="DF38" i="4"/>
  <c r="DG38" i="4"/>
  <c r="DH38" i="4"/>
  <c r="DI38" i="4"/>
  <c r="DJ38" i="4"/>
  <c r="DK38" i="4"/>
  <c r="DL38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A41" i="4"/>
  <c r="DB41" i="4"/>
  <c r="DC41" i="4"/>
  <c r="DD41" i="4"/>
  <c r="DE41" i="4"/>
  <c r="DF41" i="4"/>
  <c r="DG41" i="4"/>
  <c r="DH41" i="4"/>
  <c r="DI41" i="4"/>
  <c r="DJ41" i="4"/>
  <c r="DK41" i="4"/>
  <c r="DL41" i="4"/>
  <c r="DA42" i="4"/>
  <c r="DB42" i="4"/>
  <c r="DC42" i="4"/>
  <c r="DD42" i="4"/>
  <c r="DE42" i="4"/>
  <c r="DF42" i="4"/>
  <c r="DG42" i="4"/>
  <c r="DH42" i="4"/>
  <c r="DI42" i="4"/>
  <c r="DJ42" i="4"/>
  <c r="DK42" i="4"/>
  <c r="DL42" i="4"/>
  <c r="DA43" i="4"/>
  <c r="DB43" i="4"/>
  <c r="DC43" i="4"/>
  <c r="DD43" i="4"/>
  <c r="DE43" i="4"/>
  <c r="DF43" i="4"/>
  <c r="DG43" i="4"/>
  <c r="DH43" i="4"/>
  <c r="DI43" i="4"/>
  <c r="DJ43" i="4"/>
  <c r="DK43" i="4"/>
  <c r="DL43" i="4"/>
  <c r="DA44" i="4"/>
  <c r="DB44" i="4"/>
  <c r="DC44" i="4"/>
  <c r="DD44" i="4"/>
  <c r="DE44" i="4"/>
  <c r="DF44" i="4"/>
  <c r="DG44" i="4"/>
  <c r="DH44" i="4"/>
  <c r="DI44" i="4"/>
  <c r="DJ44" i="4"/>
  <c r="DK44" i="4"/>
  <c r="DL44" i="4"/>
  <c r="DA45" i="4"/>
  <c r="DB45" i="4"/>
  <c r="DC45" i="4"/>
  <c r="DD45" i="4"/>
  <c r="DE45" i="4"/>
  <c r="DF45" i="4"/>
  <c r="DG45" i="4"/>
  <c r="DH45" i="4"/>
  <c r="DI45" i="4"/>
  <c r="DJ45" i="4"/>
  <c r="DK45" i="4"/>
  <c r="DL45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A47" i="4"/>
  <c r="DB47" i="4"/>
  <c r="DC47" i="4"/>
  <c r="DD47" i="4"/>
  <c r="DE47" i="4"/>
  <c r="DF47" i="4"/>
  <c r="DG47" i="4"/>
  <c r="DH47" i="4"/>
  <c r="DI47" i="4"/>
  <c r="DJ47" i="4"/>
  <c r="DK47" i="4"/>
  <c r="DL47" i="4"/>
  <c r="DA48" i="4"/>
  <c r="DB48" i="4"/>
  <c r="DC48" i="4"/>
  <c r="DD48" i="4"/>
  <c r="DE48" i="4"/>
  <c r="DF48" i="4"/>
  <c r="DG48" i="4"/>
  <c r="DH48" i="4"/>
  <c r="DI48" i="4"/>
  <c r="DJ48" i="4"/>
  <c r="DK48" i="4"/>
  <c r="DL48" i="4"/>
  <c r="DA49" i="4"/>
  <c r="DB49" i="4"/>
  <c r="DC49" i="4"/>
  <c r="DD49" i="4"/>
  <c r="DE49" i="4"/>
  <c r="DF49" i="4"/>
  <c r="DG49" i="4"/>
  <c r="DH49" i="4"/>
  <c r="DI49" i="4"/>
  <c r="DJ49" i="4"/>
  <c r="DK49" i="4"/>
  <c r="DL49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A51" i="4"/>
  <c r="DB51" i="4"/>
  <c r="DC51" i="4"/>
  <c r="DD51" i="4"/>
  <c r="DE51" i="4"/>
  <c r="DF51" i="4"/>
  <c r="DG51" i="4"/>
  <c r="DH51" i="4"/>
  <c r="DI51" i="4"/>
  <c r="DJ51" i="4"/>
  <c r="DK51" i="4"/>
  <c r="DL51" i="4"/>
  <c r="DA52" i="4"/>
  <c r="DB52" i="4"/>
  <c r="DC52" i="4"/>
  <c r="DD52" i="4"/>
  <c r="DE52" i="4"/>
  <c r="DF52" i="4"/>
  <c r="DG52" i="4"/>
  <c r="DH52" i="4"/>
  <c r="DI52" i="4"/>
  <c r="DJ52" i="4"/>
  <c r="DK52" i="4"/>
  <c r="DL52" i="4"/>
  <c r="DB32" i="4"/>
  <c r="DC32" i="4"/>
  <c r="DD32" i="4"/>
  <c r="DE32" i="4"/>
  <c r="DF32" i="4"/>
  <c r="DG32" i="4"/>
  <c r="DH32" i="4"/>
  <c r="DI32" i="4"/>
  <c r="DJ32" i="4"/>
  <c r="DK32" i="4"/>
  <c r="DL32" i="4"/>
  <c r="DA6" i="4"/>
  <c r="DB6" i="4"/>
  <c r="DC6" i="4"/>
  <c r="DD6" i="4"/>
  <c r="DE6" i="4"/>
  <c r="DF6" i="4"/>
  <c r="DG6" i="4"/>
  <c r="DH6" i="4"/>
  <c r="DI6" i="4"/>
  <c r="DJ6" i="4"/>
  <c r="DK6" i="4"/>
  <c r="DL6" i="4"/>
  <c r="DA7" i="4"/>
  <c r="DB7" i="4"/>
  <c r="DC7" i="4"/>
  <c r="DD7" i="4"/>
  <c r="DE7" i="4"/>
  <c r="DF7" i="4"/>
  <c r="DG7" i="4"/>
  <c r="DH7" i="4"/>
  <c r="DI7" i="4"/>
  <c r="DJ7" i="4"/>
  <c r="DK7" i="4"/>
  <c r="DL7" i="4"/>
  <c r="DA8" i="4"/>
  <c r="DB8" i="4"/>
  <c r="DC8" i="4"/>
  <c r="DD8" i="4"/>
  <c r="DE8" i="4"/>
  <c r="DF8" i="4"/>
  <c r="DG8" i="4"/>
  <c r="DH8" i="4"/>
  <c r="DI8" i="4"/>
  <c r="DJ8" i="4"/>
  <c r="DK8" i="4"/>
  <c r="DL8" i="4"/>
  <c r="DA9" i="4"/>
  <c r="DB9" i="4"/>
  <c r="DC9" i="4"/>
  <c r="DD9" i="4"/>
  <c r="DE9" i="4"/>
  <c r="DF9" i="4"/>
  <c r="DG9" i="4"/>
  <c r="DH9" i="4"/>
  <c r="DI9" i="4"/>
  <c r="DJ9" i="4"/>
  <c r="DK9" i="4"/>
  <c r="DL9" i="4"/>
  <c r="DA10" i="4"/>
  <c r="DB10" i="4"/>
  <c r="DC10" i="4"/>
  <c r="DD10" i="4"/>
  <c r="DE10" i="4"/>
  <c r="DF10" i="4"/>
  <c r="DG10" i="4"/>
  <c r="DH10" i="4"/>
  <c r="DI10" i="4"/>
  <c r="DJ10" i="4"/>
  <c r="DK10" i="4"/>
  <c r="DL10" i="4"/>
  <c r="DA11" i="4"/>
  <c r="DB11" i="4"/>
  <c r="DC11" i="4"/>
  <c r="DD11" i="4"/>
  <c r="DE11" i="4"/>
  <c r="DF11" i="4"/>
  <c r="DG11" i="4"/>
  <c r="DH11" i="4"/>
  <c r="DI11" i="4"/>
  <c r="DJ11" i="4"/>
  <c r="DK11" i="4"/>
  <c r="DL11" i="4"/>
  <c r="DA12" i="4"/>
  <c r="DB12" i="4"/>
  <c r="DC12" i="4"/>
  <c r="DD12" i="4"/>
  <c r="DE12" i="4"/>
  <c r="DF12" i="4"/>
  <c r="DG12" i="4"/>
  <c r="DH12" i="4"/>
  <c r="DI12" i="4"/>
  <c r="DJ12" i="4"/>
  <c r="DK12" i="4"/>
  <c r="DL12" i="4"/>
  <c r="DA13" i="4"/>
  <c r="DB13" i="4"/>
  <c r="DC13" i="4"/>
  <c r="DD13" i="4"/>
  <c r="DE13" i="4"/>
  <c r="DF13" i="4"/>
  <c r="DG13" i="4"/>
  <c r="DH13" i="4"/>
  <c r="DI13" i="4"/>
  <c r="DJ13" i="4"/>
  <c r="DK13" i="4"/>
  <c r="DL13" i="4"/>
  <c r="DA14" i="4"/>
  <c r="DB14" i="4"/>
  <c r="DC14" i="4"/>
  <c r="DD14" i="4"/>
  <c r="DE14" i="4"/>
  <c r="DF14" i="4"/>
  <c r="DG14" i="4"/>
  <c r="DH14" i="4"/>
  <c r="DI14" i="4"/>
  <c r="DJ14" i="4"/>
  <c r="DK14" i="4"/>
  <c r="DL14" i="4"/>
  <c r="DA15" i="4"/>
  <c r="DB15" i="4"/>
  <c r="DC15" i="4"/>
  <c r="DD15" i="4"/>
  <c r="DE15" i="4"/>
  <c r="DF15" i="4"/>
  <c r="DG15" i="4"/>
  <c r="DH15" i="4"/>
  <c r="DI15" i="4"/>
  <c r="DJ15" i="4"/>
  <c r="DK15" i="4"/>
  <c r="DL15" i="4"/>
  <c r="DA16" i="4"/>
  <c r="DB16" i="4"/>
  <c r="DC16" i="4"/>
  <c r="DD16" i="4"/>
  <c r="DE16" i="4"/>
  <c r="DF16" i="4"/>
  <c r="DG16" i="4"/>
  <c r="DH16" i="4"/>
  <c r="DI16" i="4"/>
  <c r="DJ16" i="4"/>
  <c r="DK16" i="4"/>
  <c r="DL16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A18" i="4"/>
  <c r="DB18" i="4"/>
  <c r="DC18" i="4"/>
  <c r="DD18" i="4"/>
  <c r="DE18" i="4"/>
  <c r="DF18" i="4"/>
  <c r="DG18" i="4"/>
  <c r="DH18" i="4"/>
  <c r="DI18" i="4"/>
  <c r="DJ18" i="4"/>
  <c r="DK18" i="4"/>
  <c r="DL18" i="4"/>
  <c r="DA19" i="4"/>
  <c r="DB19" i="4"/>
  <c r="DC19" i="4"/>
  <c r="DD19" i="4"/>
  <c r="DE19" i="4"/>
  <c r="DF19" i="4"/>
  <c r="DG19" i="4"/>
  <c r="DH19" i="4"/>
  <c r="DI19" i="4"/>
  <c r="DJ19" i="4"/>
  <c r="DK19" i="4"/>
  <c r="DL19" i="4"/>
  <c r="DA20" i="4"/>
  <c r="DB20" i="4"/>
  <c r="DC20" i="4"/>
  <c r="DD20" i="4"/>
  <c r="DE20" i="4"/>
  <c r="DF20" i="4"/>
  <c r="DG20" i="4"/>
  <c r="DH20" i="4"/>
  <c r="DI20" i="4"/>
  <c r="DJ20" i="4"/>
  <c r="DK20" i="4"/>
  <c r="DL20" i="4"/>
  <c r="DA21" i="4"/>
  <c r="DB21" i="4"/>
  <c r="DC21" i="4"/>
  <c r="DD21" i="4"/>
  <c r="DE21" i="4"/>
  <c r="DF21" i="4"/>
  <c r="DG21" i="4"/>
  <c r="DH21" i="4"/>
  <c r="DI21" i="4"/>
  <c r="DJ21" i="4"/>
  <c r="DK21" i="4"/>
  <c r="DL21" i="4"/>
  <c r="DA22" i="4"/>
  <c r="DB22" i="4"/>
  <c r="DC22" i="4"/>
  <c r="DD22" i="4"/>
  <c r="DE22" i="4"/>
  <c r="DF22" i="4"/>
  <c r="DG22" i="4"/>
  <c r="DH22" i="4"/>
  <c r="DI22" i="4"/>
  <c r="DJ22" i="4"/>
  <c r="DK22" i="4"/>
  <c r="DL22" i="4"/>
  <c r="DA23" i="4"/>
  <c r="DB23" i="4"/>
  <c r="DC23" i="4"/>
  <c r="DD23" i="4"/>
  <c r="DE23" i="4"/>
  <c r="DF23" i="4"/>
  <c r="DG23" i="4"/>
  <c r="DH23" i="4"/>
  <c r="DI23" i="4"/>
  <c r="DJ23" i="4"/>
  <c r="DK23" i="4"/>
  <c r="DL23" i="4"/>
  <c r="DA24" i="4"/>
  <c r="DB24" i="4"/>
  <c r="DC24" i="4"/>
  <c r="DD24" i="4"/>
  <c r="DE24" i="4"/>
  <c r="DF24" i="4"/>
  <c r="DG24" i="4"/>
  <c r="DH24" i="4"/>
  <c r="DI24" i="4"/>
  <c r="DJ24" i="4"/>
  <c r="DK24" i="4"/>
  <c r="DL24" i="4"/>
  <c r="DA25" i="4"/>
  <c r="DB25" i="4"/>
  <c r="DC25" i="4"/>
  <c r="DD25" i="4"/>
  <c r="DE25" i="4"/>
  <c r="DF25" i="4"/>
  <c r="DG25" i="4"/>
  <c r="DH25" i="4"/>
  <c r="DI25" i="4"/>
  <c r="DJ25" i="4"/>
  <c r="DK25" i="4"/>
  <c r="DL25" i="4"/>
  <c r="DB5" i="4"/>
  <c r="DC5" i="4"/>
  <c r="DD5" i="4"/>
  <c r="DE5" i="4"/>
  <c r="DF5" i="4"/>
  <c r="DG5" i="4"/>
  <c r="DH5" i="4"/>
  <c r="DI5" i="4"/>
  <c r="DJ5" i="4"/>
  <c r="DK5" i="4"/>
  <c r="DL5" i="4"/>
  <c r="DA32" i="4"/>
  <c r="DA5" i="4"/>
  <c r="DH60" i="4"/>
  <c r="DF91" i="4" s="1"/>
  <c r="DG60" i="4"/>
  <c r="DE91" i="4" s="1"/>
  <c r="DC60" i="4"/>
  <c r="DA76" i="4" s="1"/>
  <c r="DB60" i="4"/>
  <c r="CZ76" i="4" s="1"/>
  <c r="CM33" i="4"/>
  <c r="CN33" i="4"/>
  <c r="CO33" i="4"/>
  <c r="CP33" i="4"/>
  <c r="CQ33" i="4"/>
  <c r="CR33" i="4"/>
  <c r="CS33" i="4"/>
  <c r="CT33" i="4"/>
  <c r="CU33" i="4"/>
  <c r="CV33" i="4"/>
  <c r="CW33" i="4"/>
  <c r="CX33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M36" i="4"/>
  <c r="CN36" i="4"/>
  <c r="CO36" i="4"/>
  <c r="CP36" i="4"/>
  <c r="CQ36" i="4"/>
  <c r="CR36" i="4"/>
  <c r="CS36" i="4"/>
  <c r="CT36" i="4"/>
  <c r="CU36" i="4"/>
  <c r="CV36" i="4"/>
  <c r="CW36" i="4"/>
  <c r="CX36" i="4"/>
  <c r="CM37" i="4"/>
  <c r="CN37" i="4"/>
  <c r="CO37" i="4"/>
  <c r="CP37" i="4"/>
  <c r="CQ37" i="4"/>
  <c r="CR37" i="4"/>
  <c r="CS37" i="4"/>
  <c r="CT37" i="4"/>
  <c r="CU37" i="4"/>
  <c r="CV37" i="4"/>
  <c r="CW37" i="4"/>
  <c r="CX37" i="4"/>
  <c r="CM38" i="4"/>
  <c r="CN38" i="4"/>
  <c r="CO38" i="4"/>
  <c r="CP38" i="4"/>
  <c r="CQ38" i="4"/>
  <c r="CR38" i="4"/>
  <c r="CS38" i="4"/>
  <c r="CT38" i="4"/>
  <c r="CU38" i="4"/>
  <c r="CV38" i="4"/>
  <c r="CW38" i="4"/>
  <c r="CX38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M42" i="4"/>
  <c r="CN42" i="4"/>
  <c r="CO42" i="4"/>
  <c r="CP42" i="4"/>
  <c r="CQ42" i="4"/>
  <c r="CR42" i="4"/>
  <c r="CS42" i="4"/>
  <c r="CT42" i="4"/>
  <c r="CU42" i="4"/>
  <c r="CV42" i="4"/>
  <c r="CW42" i="4"/>
  <c r="CX42" i="4"/>
  <c r="CM43" i="4"/>
  <c r="CN43" i="4"/>
  <c r="CO43" i="4"/>
  <c r="CP43" i="4"/>
  <c r="CQ43" i="4"/>
  <c r="CR43" i="4"/>
  <c r="CS43" i="4"/>
  <c r="CT43" i="4"/>
  <c r="CU43" i="4"/>
  <c r="CV43" i="4"/>
  <c r="CW43" i="4"/>
  <c r="CX43" i="4"/>
  <c r="CM44" i="4"/>
  <c r="CN44" i="4"/>
  <c r="CO44" i="4"/>
  <c r="CP44" i="4"/>
  <c r="CQ44" i="4"/>
  <c r="CR44" i="4"/>
  <c r="CS44" i="4"/>
  <c r="CT44" i="4"/>
  <c r="CU44" i="4"/>
  <c r="CV44" i="4"/>
  <c r="CW44" i="4"/>
  <c r="CX44" i="4"/>
  <c r="CM45" i="4"/>
  <c r="CN45" i="4"/>
  <c r="CO45" i="4"/>
  <c r="CP45" i="4"/>
  <c r="CQ45" i="4"/>
  <c r="CR45" i="4"/>
  <c r="CS45" i="4"/>
  <c r="CT45" i="4"/>
  <c r="CU45" i="4"/>
  <c r="CV45" i="4"/>
  <c r="CW45" i="4"/>
  <c r="CX45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M47" i="4"/>
  <c r="CN47" i="4"/>
  <c r="CO47" i="4"/>
  <c r="CP47" i="4"/>
  <c r="CQ47" i="4"/>
  <c r="CR47" i="4"/>
  <c r="CS47" i="4"/>
  <c r="CT47" i="4"/>
  <c r="CU47" i="4"/>
  <c r="CV47" i="4"/>
  <c r="CW47" i="4"/>
  <c r="CX47" i="4"/>
  <c r="CM48" i="4"/>
  <c r="CN48" i="4"/>
  <c r="CO48" i="4"/>
  <c r="CP48" i="4"/>
  <c r="CQ48" i="4"/>
  <c r="CR48" i="4"/>
  <c r="CS48" i="4"/>
  <c r="CT48" i="4"/>
  <c r="CU48" i="4"/>
  <c r="CV48" i="4"/>
  <c r="CW48" i="4"/>
  <c r="CX48" i="4"/>
  <c r="CM49" i="4"/>
  <c r="CN49" i="4"/>
  <c r="CO49" i="4"/>
  <c r="CP49" i="4"/>
  <c r="CQ49" i="4"/>
  <c r="CR49" i="4"/>
  <c r="CS49" i="4"/>
  <c r="CT49" i="4"/>
  <c r="CU49" i="4"/>
  <c r="CV49" i="4"/>
  <c r="CW49" i="4"/>
  <c r="CX49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CM52" i="4"/>
  <c r="CN52" i="4"/>
  <c r="CO52" i="4"/>
  <c r="CP52" i="4"/>
  <c r="CQ52" i="4"/>
  <c r="CR52" i="4"/>
  <c r="CS52" i="4"/>
  <c r="CT52" i="4"/>
  <c r="CU52" i="4"/>
  <c r="CV52" i="4"/>
  <c r="CW52" i="4"/>
  <c r="CX52" i="4"/>
  <c r="CN32" i="4"/>
  <c r="CO32" i="4"/>
  <c r="CP32" i="4"/>
  <c r="CQ32" i="4"/>
  <c r="CR32" i="4"/>
  <c r="CS32" i="4"/>
  <c r="CT32" i="4"/>
  <c r="CU32" i="4"/>
  <c r="CV32" i="4"/>
  <c r="CW32" i="4"/>
  <c r="CX32" i="4"/>
  <c r="CM6" i="4"/>
  <c r="CN6" i="4"/>
  <c r="CO6" i="4"/>
  <c r="CP6" i="4"/>
  <c r="CQ6" i="4"/>
  <c r="CR6" i="4"/>
  <c r="CS6" i="4"/>
  <c r="CT6" i="4"/>
  <c r="CU6" i="4"/>
  <c r="CV6" i="4"/>
  <c r="CW6" i="4"/>
  <c r="CX6" i="4"/>
  <c r="CM7" i="4"/>
  <c r="CN7" i="4"/>
  <c r="CO7" i="4"/>
  <c r="CP7" i="4"/>
  <c r="CQ7" i="4"/>
  <c r="CR7" i="4"/>
  <c r="CS7" i="4"/>
  <c r="CT7" i="4"/>
  <c r="CU7" i="4"/>
  <c r="CV7" i="4"/>
  <c r="CW7" i="4"/>
  <c r="CX7" i="4"/>
  <c r="CM8" i="4"/>
  <c r="CN8" i="4"/>
  <c r="CO8" i="4"/>
  <c r="CP8" i="4"/>
  <c r="CQ8" i="4"/>
  <c r="CR8" i="4"/>
  <c r="CS8" i="4"/>
  <c r="CT8" i="4"/>
  <c r="CU8" i="4"/>
  <c r="CV8" i="4"/>
  <c r="CW8" i="4"/>
  <c r="CX8" i="4"/>
  <c r="CM9" i="4"/>
  <c r="CN9" i="4"/>
  <c r="CO9" i="4"/>
  <c r="CP9" i="4"/>
  <c r="CQ9" i="4"/>
  <c r="CR9" i="4"/>
  <c r="CS9" i="4"/>
  <c r="CT9" i="4"/>
  <c r="CU9" i="4"/>
  <c r="CV9" i="4"/>
  <c r="CW9" i="4"/>
  <c r="CX9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M15" i="4"/>
  <c r="CN15" i="4"/>
  <c r="CO15" i="4"/>
  <c r="CP15" i="4"/>
  <c r="CQ15" i="4"/>
  <c r="CR15" i="4"/>
  <c r="CS15" i="4"/>
  <c r="CT15" i="4"/>
  <c r="CU15" i="4"/>
  <c r="CV15" i="4"/>
  <c r="CW15" i="4"/>
  <c r="CX15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M18" i="4"/>
  <c r="CN18" i="4"/>
  <c r="CO18" i="4"/>
  <c r="CP18" i="4"/>
  <c r="CQ18" i="4"/>
  <c r="CR18" i="4"/>
  <c r="CS18" i="4"/>
  <c r="CT18" i="4"/>
  <c r="CU18" i="4"/>
  <c r="CV18" i="4"/>
  <c r="CW18" i="4"/>
  <c r="CX18" i="4"/>
  <c r="CM19" i="4"/>
  <c r="CN19" i="4"/>
  <c r="CO19" i="4"/>
  <c r="CP19" i="4"/>
  <c r="CQ19" i="4"/>
  <c r="CR19" i="4"/>
  <c r="CS19" i="4"/>
  <c r="CT19" i="4"/>
  <c r="CU19" i="4"/>
  <c r="CV19" i="4"/>
  <c r="CW19" i="4"/>
  <c r="CX19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M25" i="4"/>
  <c r="CN25" i="4"/>
  <c r="CO25" i="4"/>
  <c r="CP25" i="4"/>
  <c r="CQ25" i="4"/>
  <c r="CR25" i="4"/>
  <c r="CS25" i="4"/>
  <c r="CT25" i="4"/>
  <c r="CU25" i="4"/>
  <c r="CV25" i="4"/>
  <c r="CW25" i="4"/>
  <c r="CX25" i="4"/>
  <c r="CN5" i="4"/>
  <c r="CO5" i="4"/>
  <c r="CP5" i="4"/>
  <c r="CQ5" i="4"/>
  <c r="CR5" i="4"/>
  <c r="CS5" i="4"/>
  <c r="CT5" i="4"/>
  <c r="CU5" i="4"/>
  <c r="CV5" i="4"/>
  <c r="CW5" i="4"/>
  <c r="CX5" i="4"/>
  <c r="CM5" i="4"/>
  <c r="CM32" i="4"/>
  <c r="BY33" i="4"/>
  <c r="BZ33" i="4"/>
  <c r="CA33" i="4"/>
  <c r="CB33" i="4"/>
  <c r="CC33" i="4"/>
  <c r="CD33" i="4"/>
  <c r="CE33" i="4"/>
  <c r="CF33" i="4"/>
  <c r="CG33" i="4"/>
  <c r="CH33" i="4"/>
  <c r="CI33" i="4"/>
  <c r="CJ33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BZ32" i="4"/>
  <c r="CA32" i="4"/>
  <c r="CB32" i="4"/>
  <c r="CC32" i="4"/>
  <c r="CD32" i="4"/>
  <c r="CE32" i="4"/>
  <c r="CF32" i="4"/>
  <c r="CG32" i="4"/>
  <c r="CH32" i="4"/>
  <c r="CI32" i="4"/>
  <c r="CJ32" i="4"/>
  <c r="BY32" i="4"/>
  <c r="BZ5" i="4"/>
  <c r="CA5" i="4"/>
  <c r="CB5" i="4"/>
  <c r="CC5" i="4"/>
  <c r="CD5" i="4"/>
  <c r="CE5" i="4"/>
  <c r="CF5" i="4"/>
  <c r="CG5" i="4"/>
  <c r="CH5" i="4"/>
  <c r="CI5" i="4"/>
  <c r="CJ5" i="4"/>
  <c r="BZ6" i="4"/>
  <c r="CA6" i="4"/>
  <c r="CB6" i="4"/>
  <c r="CC6" i="4"/>
  <c r="CD6" i="4"/>
  <c r="CE6" i="4"/>
  <c r="CF6" i="4"/>
  <c r="CG6" i="4"/>
  <c r="CH6" i="4"/>
  <c r="CI6" i="4"/>
  <c r="CJ6" i="4"/>
  <c r="BZ7" i="4"/>
  <c r="CA7" i="4"/>
  <c r="CB7" i="4"/>
  <c r="CC7" i="4"/>
  <c r="CD7" i="4"/>
  <c r="CE7" i="4"/>
  <c r="CF7" i="4"/>
  <c r="CG7" i="4"/>
  <c r="CH7" i="4"/>
  <c r="CI7" i="4"/>
  <c r="CJ7" i="4"/>
  <c r="BZ8" i="4"/>
  <c r="CA8" i="4"/>
  <c r="CB8" i="4"/>
  <c r="CC8" i="4"/>
  <c r="CD8" i="4"/>
  <c r="CE8" i="4"/>
  <c r="CF8" i="4"/>
  <c r="CG8" i="4"/>
  <c r="CH8" i="4"/>
  <c r="CI8" i="4"/>
  <c r="CJ8" i="4"/>
  <c r="BZ9" i="4"/>
  <c r="CA9" i="4"/>
  <c r="CB9" i="4"/>
  <c r="CC9" i="4"/>
  <c r="CD9" i="4"/>
  <c r="CE9" i="4"/>
  <c r="CF9" i="4"/>
  <c r="CG9" i="4"/>
  <c r="CH9" i="4"/>
  <c r="CI9" i="4"/>
  <c r="CJ9" i="4"/>
  <c r="BZ10" i="4"/>
  <c r="CA10" i="4"/>
  <c r="CB10" i="4"/>
  <c r="CC10" i="4"/>
  <c r="CD10" i="4"/>
  <c r="CE10" i="4"/>
  <c r="CF10" i="4"/>
  <c r="CG10" i="4"/>
  <c r="CH10" i="4"/>
  <c r="CI10" i="4"/>
  <c r="CJ10" i="4"/>
  <c r="BZ11" i="4"/>
  <c r="CA11" i="4"/>
  <c r="CB11" i="4"/>
  <c r="CC11" i="4"/>
  <c r="CD11" i="4"/>
  <c r="CE11" i="4"/>
  <c r="CF11" i="4"/>
  <c r="CG11" i="4"/>
  <c r="CH11" i="4"/>
  <c r="CI11" i="4"/>
  <c r="CJ11" i="4"/>
  <c r="BZ12" i="4"/>
  <c r="CA12" i="4"/>
  <c r="CB12" i="4"/>
  <c r="CC12" i="4"/>
  <c r="CD12" i="4"/>
  <c r="CE12" i="4"/>
  <c r="CF12" i="4"/>
  <c r="CG12" i="4"/>
  <c r="CH12" i="4"/>
  <c r="CI12" i="4"/>
  <c r="CJ12" i="4"/>
  <c r="BZ13" i="4"/>
  <c r="CA13" i="4"/>
  <c r="CB13" i="4"/>
  <c r="CC13" i="4"/>
  <c r="CD13" i="4"/>
  <c r="CE13" i="4"/>
  <c r="CF13" i="4"/>
  <c r="CG13" i="4"/>
  <c r="CH13" i="4"/>
  <c r="CI13" i="4"/>
  <c r="CJ13" i="4"/>
  <c r="BZ14" i="4"/>
  <c r="CA14" i="4"/>
  <c r="CB14" i="4"/>
  <c r="CC14" i="4"/>
  <c r="CD14" i="4"/>
  <c r="CE14" i="4"/>
  <c r="CF14" i="4"/>
  <c r="CG14" i="4"/>
  <c r="CH14" i="4"/>
  <c r="CI14" i="4"/>
  <c r="CJ14" i="4"/>
  <c r="BZ15" i="4"/>
  <c r="CA15" i="4"/>
  <c r="CB15" i="4"/>
  <c r="CC15" i="4"/>
  <c r="CD15" i="4"/>
  <c r="CE15" i="4"/>
  <c r="CF15" i="4"/>
  <c r="CG15" i="4"/>
  <c r="CH15" i="4"/>
  <c r="CI15" i="4"/>
  <c r="CJ15" i="4"/>
  <c r="BZ16" i="4"/>
  <c r="CA16" i="4"/>
  <c r="CB16" i="4"/>
  <c r="CC16" i="4"/>
  <c r="CD16" i="4"/>
  <c r="CE16" i="4"/>
  <c r="CF16" i="4"/>
  <c r="CG16" i="4"/>
  <c r="CH16" i="4"/>
  <c r="CI16" i="4"/>
  <c r="CJ16" i="4"/>
  <c r="BZ17" i="4"/>
  <c r="CA17" i="4"/>
  <c r="CB17" i="4"/>
  <c r="CC17" i="4"/>
  <c r="CD17" i="4"/>
  <c r="CE17" i="4"/>
  <c r="CF17" i="4"/>
  <c r="CG17" i="4"/>
  <c r="CH17" i="4"/>
  <c r="CI17" i="4"/>
  <c r="CJ17" i="4"/>
  <c r="BZ18" i="4"/>
  <c r="CA18" i="4"/>
  <c r="CB18" i="4"/>
  <c r="CC18" i="4"/>
  <c r="CD18" i="4"/>
  <c r="CE18" i="4"/>
  <c r="CF18" i="4"/>
  <c r="CG18" i="4"/>
  <c r="CH18" i="4"/>
  <c r="CI18" i="4"/>
  <c r="CJ18" i="4"/>
  <c r="BZ19" i="4"/>
  <c r="CA19" i="4"/>
  <c r="CB19" i="4"/>
  <c r="CC19" i="4"/>
  <c r="CD19" i="4"/>
  <c r="CE19" i="4"/>
  <c r="CF19" i="4"/>
  <c r="CG19" i="4"/>
  <c r="CH19" i="4"/>
  <c r="CI19" i="4"/>
  <c r="CJ19" i="4"/>
  <c r="BZ20" i="4"/>
  <c r="CA20" i="4"/>
  <c r="CB20" i="4"/>
  <c r="CC20" i="4"/>
  <c r="CD20" i="4"/>
  <c r="CE20" i="4"/>
  <c r="CF20" i="4"/>
  <c r="CG20" i="4"/>
  <c r="CH20" i="4"/>
  <c r="CI20" i="4"/>
  <c r="CJ20" i="4"/>
  <c r="BZ21" i="4"/>
  <c r="CA21" i="4"/>
  <c r="CB21" i="4"/>
  <c r="CC21" i="4"/>
  <c r="CD21" i="4"/>
  <c r="CE21" i="4"/>
  <c r="CF21" i="4"/>
  <c r="CG21" i="4"/>
  <c r="CH21" i="4"/>
  <c r="CI21" i="4"/>
  <c r="CJ21" i="4"/>
  <c r="BZ22" i="4"/>
  <c r="CA22" i="4"/>
  <c r="CB22" i="4"/>
  <c r="CC22" i="4"/>
  <c r="CD22" i="4"/>
  <c r="CE22" i="4"/>
  <c r="CF22" i="4"/>
  <c r="CG22" i="4"/>
  <c r="CH22" i="4"/>
  <c r="CI22" i="4"/>
  <c r="CJ22" i="4"/>
  <c r="BZ23" i="4"/>
  <c r="CA23" i="4"/>
  <c r="CB23" i="4"/>
  <c r="CC23" i="4"/>
  <c r="CD23" i="4"/>
  <c r="CE23" i="4"/>
  <c r="CF23" i="4"/>
  <c r="CG23" i="4"/>
  <c r="CH23" i="4"/>
  <c r="CI23" i="4"/>
  <c r="CJ23" i="4"/>
  <c r="BZ24" i="4"/>
  <c r="CA24" i="4"/>
  <c r="CB24" i="4"/>
  <c r="CC24" i="4"/>
  <c r="CD24" i="4"/>
  <c r="CE24" i="4"/>
  <c r="CF24" i="4"/>
  <c r="CG24" i="4"/>
  <c r="CH24" i="4"/>
  <c r="CI24" i="4"/>
  <c r="CJ24" i="4"/>
  <c r="BZ25" i="4"/>
  <c r="CA25" i="4"/>
  <c r="CB25" i="4"/>
  <c r="CC25" i="4"/>
  <c r="CD25" i="4"/>
  <c r="CE25" i="4"/>
  <c r="CF25" i="4"/>
  <c r="CG25" i="4"/>
  <c r="CH25" i="4"/>
  <c r="CI25" i="4"/>
  <c r="CJ25" i="4"/>
  <c r="BY6" i="4"/>
  <c r="BY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5" i="4"/>
  <c r="CT60" i="4"/>
  <c r="CT91" i="4" s="1"/>
  <c r="CS60" i="4"/>
  <c r="CS91" i="4" s="1"/>
  <c r="CO60" i="4"/>
  <c r="CO76" i="4" s="1"/>
  <c r="CN60" i="4"/>
  <c r="CN76" i="4" s="1"/>
  <c r="CF60" i="4"/>
  <c r="CV91" i="4" s="1"/>
  <c r="CE60" i="4"/>
  <c r="CU91" i="4" s="1"/>
  <c r="CA60" i="4"/>
  <c r="CQ76" i="4" s="1"/>
  <c r="BZ60" i="4"/>
  <c r="CP76" i="4" s="1"/>
  <c r="U52" i="4"/>
  <c r="V52" i="4"/>
  <c r="W52" i="4"/>
  <c r="X52" i="4"/>
  <c r="Y52" i="4"/>
  <c r="Z52" i="4"/>
  <c r="AA52" i="4"/>
  <c r="AB52" i="4"/>
  <c r="AC52" i="4"/>
  <c r="AD52" i="4"/>
  <c r="AE52" i="4"/>
  <c r="AF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K52" i="4"/>
  <c r="BL52" i="4"/>
  <c r="BM52" i="4"/>
  <c r="BN52" i="4"/>
  <c r="BO52" i="4"/>
  <c r="BP52" i="4"/>
  <c r="BQ52" i="4"/>
  <c r="BR52" i="4"/>
  <c r="BS52" i="4"/>
  <c r="BT52" i="4"/>
  <c r="BU52" i="4"/>
  <c r="BV52" i="4"/>
  <c r="U25" i="4"/>
  <c r="V25" i="4"/>
  <c r="W25" i="4"/>
  <c r="X25" i="4"/>
  <c r="Y25" i="4"/>
  <c r="Z25" i="4"/>
  <c r="AA25" i="4"/>
  <c r="AB25" i="4"/>
  <c r="AC25" i="4"/>
  <c r="AD25" i="4"/>
  <c r="AE25" i="4"/>
  <c r="AF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K36" i="4"/>
  <c r="BL36" i="4"/>
  <c r="BM36" i="4"/>
  <c r="BN36" i="4"/>
  <c r="BO36" i="4"/>
  <c r="BP36" i="4"/>
  <c r="BQ36" i="4"/>
  <c r="BR36" i="4"/>
  <c r="BS36" i="4"/>
  <c r="BT36" i="4"/>
  <c r="BU36" i="4"/>
  <c r="BV36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K45" i="4"/>
  <c r="BL45" i="4"/>
  <c r="BM45" i="4"/>
  <c r="BN45" i="4"/>
  <c r="BO45" i="4"/>
  <c r="BP45" i="4"/>
  <c r="BQ45" i="4"/>
  <c r="BR45" i="4"/>
  <c r="BS45" i="4"/>
  <c r="BT45" i="4"/>
  <c r="BU45" i="4"/>
  <c r="BV45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K48" i="4"/>
  <c r="BL48" i="4"/>
  <c r="BM48" i="4"/>
  <c r="BN48" i="4"/>
  <c r="BO48" i="4"/>
  <c r="BP48" i="4"/>
  <c r="BQ48" i="4"/>
  <c r="BR48" i="4"/>
  <c r="BS48" i="4"/>
  <c r="BT48" i="4"/>
  <c r="BU48" i="4"/>
  <c r="BV48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L32" i="4"/>
  <c r="BM32" i="4"/>
  <c r="BN32" i="4"/>
  <c r="BO32" i="4"/>
  <c r="BP32" i="4"/>
  <c r="BQ32" i="4"/>
  <c r="BR32" i="4"/>
  <c r="BS32" i="4"/>
  <c r="BT32" i="4"/>
  <c r="BU32" i="4"/>
  <c r="BV32" i="4"/>
  <c r="BK32" i="4"/>
  <c r="BK6" i="4"/>
  <c r="BL6" i="4"/>
  <c r="BM6" i="4"/>
  <c r="BN6" i="4"/>
  <c r="BO6" i="4"/>
  <c r="BP6" i="4"/>
  <c r="BQ6" i="4"/>
  <c r="BR6" i="4"/>
  <c r="BS6" i="4"/>
  <c r="BT6" i="4"/>
  <c r="BU6" i="4"/>
  <c r="BV6" i="4"/>
  <c r="BK7" i="4"/>
  <c r="BL7" i="4"/>
  <c r="BM7" i="4"/>
  <c r="BN7" i="4"/>
  <c r="BO7" i="4"/>
  <c r="BP7" i="4"/>
  <c r="BQ7" i="4"/>
  <c r="BR7" i="4"/>
  <c r="BS7" i="4"/>
  <c r="BT7" i="4"/>
  <c r="BU7" i="4"/>
  <c r="BV7" i="4"/>
  <c r="BK8" i="4"/>
  <c r="BL8" i="4"/>
  <c r="BM8" i="4"/>
  <c r="BN8" i="4"/>
  <c r="BO8" i="4"/>
  <c r="BP8" i="4"/>
  <c r="BQ8" i="4"/>
  <c r="BR8" i="4"/>
  <c r="BS8" i="4"/>
  <c r="BT8" i="4"/>
  <c r="BU8" i="4"/>
  <c r="BV8" i="4"/>
  <c r="BK9" i="4"/>
  <c r="BL9" i="4"/>
  <c r="BM9" i="4"/>
  <c r="BN9" i="4"/>
  <c r="BO9" i="4"/>
  <c r="BP9" i="4"/>
  <c r="BQ9" i="4"/>
  <c r="BR9" i="4"/>
  <c r="BS9" i="4"/>
  <c r="BT9" i="4"/>
  <c r="BU9" i="4"/>
  <c r="BV9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L5" i="4"/>
  <c r="BM5" i="4"/>
  <c r="BN5" i="4"/>
  <c r="BO5" i="4"/>
  <c r="BP5" i="4"/>
  <c r="BQ5" i="4"/>
  <c r="BR5" i="4"/>
  <c r="BS5" i="4"/>
  <c r="BT5" i="4"/>
  <c r="BU5" i="4"/>
  <c r="BV5" i="4"/>
  <c r="BK5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AX32" i="4"/>
  <c r="AY32" i="4"/>
  <c r="AZ32" i="4"/>
  <c r="BA32" i="4"/>
  <c r="BB32" i="4"/>
  <c r="BC32" i="4"/>
  <c r="BD32" i="4"/>
  <c r="BE32" i="4"/>
  <c r="BF32" i="4"/>
  <c r="BG32" i="4"/>
  <c r="BH32" i="4"/>
  <c r="AW32" i="4"/>
  <c r="AW6" i="4"/>
  <c r="AX6" i="4"/>
  <c r="AY6" i="4"/>
  <c r="AZ6" i="4"/>
  <c r="BA6" i="4"/>
  <c r="BB6" i="4"/>
  <c r="BC6" i="4"/>
  <c r="BD6" i="4"/>
  <c r="BE6" i="4"/>
  <c r="BF6" i="4"/>
  <c r="BG6" i="4"/>
  <c r="BH6" i="4"/>
  <c r="AW7" i="4"/>
  <c r="AX7" i="4"/>
  <c r="AY7" i="4"/>
  <c r="AZ7" i="4"/>
  <c r="BA7" i="4"/>
  <c r="BB7" i="4"/>
  <c r="BC7" i="4"/>
  <c r="BD7" i="4"/>
  <c r="BE7" i="4"/>
  <c r="BF7" i="4"/>
  <c r="BG7" i="4"/>
  <c r="BH7" i="4"/>
  <c r="AW8" i="4"/>
  <c r="AX8" i="4"/>
  <c r="AY8" i="4"/>
  <c r="AZ8" i="4"/>
  <c r="BA8" i="4"/>
  <c r="BB8" i="4"/>
  <c r="BC8" i="4"/>
  <c r="BD8" i="4"/>
  <c r="BE8" i="4"/>
  <c r="BF8" i="4"/>
  <c r="BG8" i="4"/>
  <c r="BH8" i="4"/>
  <c r="AW9" i="4"/>
  <c r="AX9" i="4"/>
  <c r="AY9" i="4"/>
  <c r="AZ9" i="4"/>
  <c r="BA9" i="4"/>
  <c r="BB9" i="4"/>
  <c r="BC9" i="4"/>
  <c r="BD9" i="4"/>
  <c r="BE9" i="4"/>
  <c r="BF9" i="4"/>
  <c r="BG9" i="4"/>
  <c r="BH9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AX5" i="4"/>
  <c r="AY5" i="4"/>
  <c r="AZ5" i="4"/>
  <c r="BA5" i="4"/>
  <c r="BB5" i="4"/>
  <c r="BC5" i="4"/>
  <c r="BD5" i="4"/>
  <c r="BE5" i="4"/>
  <c r="BF5" i="4"/>
  <c r="BG5" i="4"/>
  <c r="BH5" i="4"/>
  <c r="AW5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J32" i="4"/>
  <c r="AK32" i="4"/>
  <c r="AL32" i="4"/>
  <c r="AM32" i="4"/>
  <c r="AN32" i="4"/>
  <c r="AO32" i="4"/>
  <c r="AP32" i="4"/>
  <c r="AQ32" i="4"/>
  <c r="AR32" i="4"/>
  <c r="AS32" i="4"/>
  <c r="AT32" i="4"/>
  <c r="AI32" i="4"/>
  <c r="AI6" i="4"/>
  <c r="AJ6" i="4"/>
  <c r="AK6" i="4"/>
  <c r="AL6" i="4"/>
  <c r="AM6" i="4"/>
  <c r="AN6" i="4"/>
  <c r="AO6" i="4"/>
  <c r="AP6" i="4"/>
  <c r="AQ6" i="4"/>
  <c r="AR6" i="4"/>
  <c r="AS6" i="4"/>
  <c r="AT6" i="4"/>
  <c r="AI7" i="4"/>
  <c r="AJ7" i="4"/>
  <c r="AK7" i="4"/>
  <c r="AL7" i="4"/>
  <c r="AM7" i="4"/>
  <c r="AN7" i="4"/>
  <c r="AO7" i="4"/>
  <c r="AP7" i="4"/>
  <c r="AQ7" i="4"/>
  <c r="AR7" i="4"/>
  <c r="AS7" i="4"/>
  <c r="AT7" i="4"/>
  <c r="AI8" i="4"/>
  <c r="AJ8" i="4"/>
  <c r="AK8" i="4"/>
  <c r="AL8" i="4"/>
  <c r="AM8" i="4"/>
  <c r="AN8" i="4"/>
  <c r="AO8" i="4"/>
  <c r="AP8" i="4"/>
  <c r="AQ8" i="4"/>
  <c r="AR8" i="4"/>
  <c r="AS8" i="4"/>
  <c r="AT8" i="4"/>
  <c r="AI9" i="4"/>
  <c r="AJ9" i="4"/>
  <c r="AK9" i="4"/>
  <c r="AL9" i="4"/>
  <c r="AM9" i="4"/>
  <c r="AN9" i="4"/>
  <c r="AO9" i="4"/>
  <c r="AP9" i="4"/>
  <c r="AQ9" i="4"/>
  <c r="AR9" i="4"/>
  <c r="AS9" i="4"/>
  <c r="AT9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J5" i="4"/>
  <c r="AK5" i="4"/>
  <c r="AL5" i="4"/>
  <c r="AM5" i="4"/>
  <c r="AN5" i="4"/>
  <c r="AO5" i="4"/>
  <c r="AP5" i="4"/>
  <c r="AQ5" i="4"/>
  <c r="AR5" i="4"/>
  <c r="AS5" i="4"/>
  <c r="AT5" i="4"/>
  <c r="AI5" i="4"/>
  <c r="U33" i="4"/>
  <c r="V33" i="4"/>
  <c r="W33" i="4"/>
  <c r="X33" i="4"/>
  <c r="Y33" i="4"/>
  <c r="Z33" i="4"/>
  <c r="AA33" i="4"/>
  <c r="AB33" i="4"/>
  <c r="AC33" i="4"/>
  <c r="AD33" i="4"/>
  <c r="AE33" i="4"/>
  <c r="AF33" i="4"/>
  <c r="U34" i="4"/>
  <c r="V34" i="4"/>
  <c r="W34" i="4"/>
  <c r="X34" i="4"/>
  <c r="Y34" i="4"/>
  <c r="Z34" i="4"/>
  <c r="AA34" i="4"/>
  <c r="AB34" i="4"/>
  <c r="AC34" i="4"/>
  <c r="AD34" i="4"/>
  <c r="AE34" i="4"/>
  <c r="AF34" i="4"/>
  <c r="U35" i="4"/>
  <c r="V35" i="4"/>
  <c r="W35" i="4"/>
  <c r="X35" i="4"/>
  <c r="Y35" i="4"/>
  <c r="Z35" i="4"/>
  <c r="AA35" i="4"/>
  <c r="AB35" i="4"/>
  <c r="AC35" i="4"/>
  <c r="AD35" i="4"/>
  <c r="AE35" i="4"/>
  <c r="AF35" i="4"/>
  <c r="U36" i="4"/>
  <c r="V36" i="4"/>
  <c r="W36" i="4"/>
  <c r="X36" i="4"/>
  <c r="Y36" i="4"/>
  <c r="Z36" i="4"/>
  <c r="AA36" i="4"/>
  <c r="AB36" i="4"/>
  <c r="AC36" i="4"/>
  <c r="AD36" i="4"/>
  <c r="AE36" i="4"/>
  <c r="AF36" i="4"/>
  <c r="U37" i="4"/>
  <c r="V37" i="4"/>
  <c r="W37" i="4"/>
  <c r="X37" i="4"/>
  <c r="Y37" i="4"/>
  <c r="Z37" i="4"/>
  <c r="AA37" i="4"/>
  <c r="AB37" i="4"/>
  <c r="AC37" i="4"/>
  <c r="AD37" i="4"/>
  <c r="AE37" i="4"/>
  <c r="AF37" i="4"/>
  <c r="U38" i="4"/>
  <c r="V38" i="4"/>
  <c r="W38" i="4"/>
  <c r="X38" i="4"/>
  <c r="Y38" i="4"/>
  <c r="Z38" i="4"/>
  <c r="AA38" i="4"/>
  <c r="AB38" i="4"/>
  <c r="AC38" i="4"/>
  <c r="AD38" i="4"/>
  <c r="AE38" i="4"/>
  <c r="AF38" i="4"/>
  <c r="U39" i="4"/>
  <c r="V39" i="4"/>
  <c r="W39" i="4"/>
  <c r="X39" i="4"/>
  <c r="Y39" i="4"/>
  <c r="Z39" i="4"/>
  <c r="AA39" i="4"/>
  <c r="AB39" i="4"/>
  <c r="AC39" i="4"/>
  <c r="AD39" i="4"/>
  <c r="AE39" i="4"/>
  <c r="AF39" i="4"/>
  <c r="U40" i="4"/>
  <c r="V40" i="4"/>
  <c r="W40" i="4"/>
  <c r="X40" i="4"/>
  <c r="Y40" i="4"/>
  <c r="Z40" i="4"/>
  <c r="AA40" i="4"/>
  <c r="AB40" i="4"/>
  <c r="AC40" i="4"/>
  <c r="AD40" i="4"/>
  <c r="AE40" i="4"/>
  <c r="AF40" i="4"/>
  <c r="U41" i="4"/>
  <c r="V41" i="4"/>
  <c r="W41" i="4"/>
  <c r="X41" i="4"/>
  <c r="Y41" i="4"/>
  <c r="Z41" i="4"/>
  <c r="AA41" i="4"/>
  <c r="AB41" i="4"/>
  <c r="AC41" i="4"/>
  <c r="AD41" i="4"/>
  <c r="AE41" i="4"/>
  <c r="AF41" i="4"/>
  <c r="U42" i="4"/>
  <c r="V42" i="4"/>
  <c r="W42" i="4"/>
  <c r="X42" i="4"/>
  <c r="Y42" i="4"/>
  <c r="Z42" i="4"/>
  <c r="AA42" i="4"/>
  <c r="AB42" i="4"/>
  <c r="AC42" i="4"/>
  <c r="AD42" i="4"/>
  <c r="AE42" i="4"/>
  <c r="AF42" i="4"/>
  <c r="U43" i="4"/>
  <c r="V43" i="4"/>
  <c r="W43" i="4"/>
  <c r="X43" i="4"/>
  <c r="Y43" i="4"/>
  <c r="Z43" i="4"/>
  <c r="AA43" i="4"/>
  <c r="AB43" i="4"/>
  <c r="AC43" i="4"/>
  <c r="AD43" i="4"/>
  <c r="AE43" i="4"/>
  <c r="AF43" i="4"/>
  <c r="U44" i="4"/>
  <c r="V44" i="4"/>
  <c r="W44" i="4"/>
  <c r="X44" i="4"/>
  <c r="Y44" i="4"/>
  <c r="Z44" i="4"/>
  <c r="AA44" i="4"/>
  <c r="AB44" i="4"/>
  <c r="AC44" i="4"/>
  <c r="AD44" i="4"/>
  <c r="AE44" i="4"/>
  <c r="AF44" i="4"/>
  <c r="U45" i="4"/>
  <c r="V45" i="4"/>
  <c r="W45" i="4"/>
  <c r="X45" i="4"/>
  <c r="Y45" i="4"/>
  <c r="Z45" i="4"/>
  <c r="AA45" i="4"/>
  <c r="AB45" i="4"/>
  <c r="AC45" i="4"/>
  <c r="AD45" i="4"/>
  <c r="AE45" i="4"/>
  <c r="AF45" i="4"/>
  <c r="U46" i="4"/>
  <c r="V46" i="4"/>
  <c r="W46" i="4"/>
  <c r="X46" i="4"/>
  <c r="Y46" i="4"/>
  <c r="Z46" i="4"/>
  <c r="AA46" i="4"/>
  <c r="AB46" i="4"/>
  <c r="AC46" i="4"/>
  <c r="AD46" i="4"/>
  <c r="AE46" i="4"/>
  <c r="AF46" i="4"/>
  <c r="U47" i="4"/>
  <c r="V47" i="4"/>
  <c r="W47" i="4"/>
  <c r="X47" i="4"/>
  <c r="Y47" i="4"/>
  <c r="Z47" i="4"/>
  <c r="AA47" i="4"/>
  <c r="AB47" i="4"/>
  <c r="AC47" i="4"/>
  <c r="AD47" i="4"/>
  <c r="AE47" i="4"/>
  <c r="AF47" i="4"/>
  <c r="U48" i="4"/>
  <c r="V48" i="4"/>
  <c r="W48" i="4"/>
  <c r="X48" i="4"/>
  <c r="Y48" i="4"/>
  <c r="Z48" i="4"/>
  <c r="AA48" i="4"/>
  <c r="AB48" i="4"/>
  <c r="AC48" i="4"/>
  <c r="AD48" i="4"/>
  <c r="AE48" i="4"/>
  <c r="AF48" i="4"/>
  <c r="U49" i="4"/>
  <c r="V49" i="4"/>
  <c r="W49" i="4"/>
  <c r="X49" i="4"/>
  <c r="Y49" i="4"/>
  <c r="Z49" i="4"/>
  <c r="AA49" i="4"/>
  <c r="AB49" i="4"/>
  <c r="AC49" i="4"/>
  <c r="AD49" i="4"/>
  <c r="AE49" i="4"/>
  <c r="AF49" i="4"/>
  <c r="U50" i="4"/>
  <c r="V50" i="4"/>
  <c r="W50" i="4"/>
  <c r="X50" i="4"/>
  <c r="Y50" i="4"/>
  <c r="Z50" i="4"/>
  <c r="AA50" i="4"/>
  <c r="AB50" i="4"/>
  <c r="AC50" i="4"/>
  <c r="AD50" i="4"/>
  <c r="AE50" i="4"/>
  <c r="AF50" i="4"/>
  <c r="U51" i="4"/>
  <c r="V51" i="4"/>
  <c r="W51" i="4"/>
  <c r="X51" i="4"/>
  <c r="Y51" i="4"/>
  <c r="Z51" i="4"/>
  <c r="AA51" i="4"/>
  <c r="AB51" i="4"/>
  <c r="AC51" i="4"/>
  <c r="AD51" i="4"/>
  <c r="AE51" i="4"/>
  <c r="AF51" i="4"/>
  <c r="V32" i="4"/>
  <c r="W32" i="4"/>
  <c r="X32" i="4"/>
  <c r="Y32" i="4"/>
  <c r="Z32" i="4"/>
  <c r="AA32" i="4"/>
  <c r="AB32" i="4"/>
  <c r="AC32" i="4"/>
  <c r="AD32" i="4"/>
  <c r="AE32" i="4"/>
  <c r="AF32" i="4"/>
  <c r="U32" i="4"/>
  <c r="U6" i="4"/>
  <c r="V6" i="4"/>
  <c r="W6" i="4"/>
  <c r="X6" i="4"/>
  <c r="Y6" i="4"/>
  <c r="Z6" i="4"/>
  <c r="AA6" i="4"/>
  <c r="AB6" i="4"/>
  <c r="AC6" i="4"/>
  <c r="AD6" i="4"/>
  <c r="AE6" i="4"/>
  <c r="AF6" i="4"/>
  <c r="U7" i="4"/>
  <c r="V7" i="4"/>
  <c r="W7" i="4"/>
  <c r="X7" i="4"/>
  <c r="Y7" i="4"/>
  <c r="Z7" i="4"/>
  <c r="AA7" i="4"/>
  <c r="AB7" i="4"/>
  <c r="AC7" i="4"/>
  <c r="AD7" i="4"/>
  <c r="AE7" i="4"/>
  <c r="AF7" i="4"/>
  <c r="U8" i="4"/>
  <c r="V8" i="4"/>
  <c r="W8" i="4"/>
  <c r="X8" i="4"/>
  <c r="Y8" i="4"/>
  <c r="Z8" i="4"/>
  <c r="AA8" i="4"/>
  <c r="AB8" i="4"/>
  <c r="AC8" i="4"/>
  <c r="AD8" i="4"/>
  <c r="AE8" i="4"/>
  <c r="AF8" i="4"/>
  <c r="U9" i="4"/>
  <c r="V9" i="4"/>
  <c r="W9" i="4"/>
  <c r="X9" i="4"/>
  <c r="Y9" i="4"/>
  <c r="Z9" i="4"/>
  <c r="AA9" i="4"/>
  <c r="AB9" i="4"/>
  <c r="AC9" i="4"/>
  <c r="AD9" i="4"/>
  <c r="AE9" i="4"/>
  <c r="AF9" i="4"/>
  <c r="U10" i="4"/>
  <c r="V10" i="4"/>
  <c r="W10" i="4"/>
  <c r="X10" i="4"/>
  <c r="Y10" i="4"/>
  <c r="Z10" i="4"/>
  <c r="AA10" i="4"/>
  <c r="AB10" i="4"/>
  <c r="AC10" i="4"/>
  <c r="AD10" i="4"/>
  <c r="AE10" i="4"/>
  <c r="AF10" i="4"/>
  <c r="U11" i="4"/>
  <c r="V11" i="4"/>
  <c r="W11" i="4"/>
  <c r="X11" i="4"/>
  <c r="Y11" i="4"/>
  <c r="Z11" i="4"/>
  <c r="AA11" i="4"/>
  <c r="AB11" i="4"/>
  <c r="AC11" i="4"/>
  <c r="AD11" i="4"/>
  <c r="AE11" i="4"/>
  <c r="AF11" i="4"/>
  <c r="U12" i="4"/>
  <c r="V12" i="4"/>
  <c r="W12" i="4"/>
  <c r="X12" i="4"/>
  <c r="Y12" i="4"/>
  <c r="Z12" i="4"/>
  <c r="AA12" i="4"/>
  <c r="AB12" i="4"/>
  <c r="AC12" i="4"/>
  <c r="AD12" i="4"/>
  <c r="AE12" i="4"/>
  <c r="AF12" i="4"/>
  <c r="U13" i="4"/>
  <c r="V13" i="4"/>
  <c r="W13" i="4"/>
  <c r="X13" i="4"/>
  <c r="Y13" i="4"/>
  <c r="Z13" i="4"/>
  <c r="AA13" i="4"/>
  <c r="AB13" i="4"/>
  <c r="AC13" i="4"/>
  <c r="AD13" i="4"/>
  <c r="AE13" i="4"/>
  <c r="AF13" i="4"/>
  <c r="U14" i="4"/>
  <c r="V14" i="4"/>
  <c r="W14" i="4"/>
  <c r="X14" i="4"/>
  <c r="Y14" i="4"/>
  <c r="Z14" i="4"/>
  <c r="AA14" i="4"/>
  <c r="AB14" i="4"/>
  <c r="AC14" i="4"/>
  <c r="AD14" i="4"/>
  <c r="AE14" i="4"/>
  <c r="AF14" i="4"/>
  <c r="U15" i="4"/>
  <c r="V15" i="4"/>
  <c r="W15" i="4"/>
  <c r="X15" i="4"/>
  <c r="Y15" i="4"/>
  <c r="Z15" i="4"/>
  <c r="AA15" i="4"/>
  <c r="AB15" i="4"/>
  <c r="AC15" i="4"/>
  <c r="AD15" i="4"/>
  <c r="AE15" i="4"/>
  <c r="AF15" i="4"/>
  <c r="U16" i="4"/>
  <c r="V16" i="4"/>
  <c r="W16" i="4"/>
  <c r="X16" i="4"/>
  <c r="Y16" i="4"/>
  <c r="Z16" i="4"/>
  <c r="AA16" i="4"/>
  <c r="AB16" i="4"/>
  <c r="AC16" i="4"/>
  <c r="AD16" i="4"/>
  <c r="AE16" i="4"/>
  <c r="AF16" i="4"/>
  <c r="U17" i="4"/>
  <c r="V17" i="4"/>
  <c r="W17" i="4"/>
  <c r="X17" i="4"/>
  <c r="Y17" i="4"/>
  <c r="Z17" i="4"/>
  <c r="AA17" i="4"/>
  <c r="AB17" i="4"/>
  <c r="AC17" i="4"/>
  <c r="AD17" i="4"/>
  <c r="AE17" i="4"/>
  <c r="AF17" i="4"/>
  <c r="U18" i="4"/>
  <c r="V18" i="4"/>
  <c r="W18" i="4"/>
  <c r="X18" i="4"/>
  <c r="Y18" i="4"/>
  <c r="Z18" i="4"/>
  <c r="AA18" i="4"/>
  <c r="AB18" i="4"/>
  <c r="AC18" i="4"/>
  <c r="AD18" i="4"/>
  <c r="AE18" i="4"/>
  <c r="AF18" i="4"/>
  <c r="U19" i="4"/>
  <c r="V19" i="4"/>
  <c r="W19" i="4"/>
  <c r="X19" i="4"/>
  <c r="Y19" i="4"/>
  <c r="Z19" i="4"/>
  <c r="AA19" i="4"/>
  <c r="AB19" i="4"/>
  <c r="AC19" i="4"/>
  <c r="AD19" i="4"/>
  <c r="AE19" i="4"/>
  <c r="AF19" i="4"/>
  <c r="U20" i="4"/>
  <c r="V20" i="4"/>
  <c r="W20" i="4"/>
  <c r="X20" i="4"/>
  <c r="Y20" i="4"/>
  <c r="Z20" i="4"/>
  <c r="AA20" i="4"/>
  <c r="AB20" i="4"/>
  <c r="AC20" i="4"/>
  <c r="AD20" i="4"/>
  <c r="AE20" i="4"/>
  <c r="AF20" i="4"/>
  <c r="U21" i="4"/>
  <c r="V21" i="4"/>
  <c r="W21" i="4"/>
  <c r="X21" i="4"/>
  <c r="Y21" i="4"/>
  <c r="Z21" i="4"/>
  <c r="AA21" i="4"/>
  <c r="AB21" i="4"/>
  <c r="AC21" i="4"/>
  <c r="AD21" i="4"/>
  <c r="AE21" i="4"/>
  <c r="AF21" i="4"/>
  <c r="U22" i="4"/>
  <c r="V22" i="4"/>
  <c r="W22" i="4"/>
  <c r="X22" i="4"/>
  <c r="Y22" i="4"/>
  <c r="Z22" i="4"/>
  <c r="AA22" i="4"/>
  <c r="AB22" i="4"/>
  <c r="AC22" i="4"/>
  <c r="AD22" i="4"/>
  <c r="AE22" i="4"/>
  <c r="AF22" i="4"/>
  <c r="U23" i="4"/>
  <c r="V23" i="4"/>
  <c r="W23" i="4"/>
  <c r="X23" i="4"/>
  <c r="Y23" i="4"/>
  <c r="Z23" i="4"/>
  <c r="AA23" i="4"/>
  <c r="AB23" i="4"/>
  <c r="AC23" i="4"/>
  <c r="AD23" i="4"/>
  <c r="AE23" i="4"/>
  <c r="AF23" i="4"/>
  <c r="U24" i="4"/>
  <c r="V24" i="4"/>
  <c r="W24" i="4"/>
  <c r="X24" i="4"/>
  <c r="Y24" i="4"/>
  <c r="Z24" i="4"/>
  <c r="AA24" i="4"/>
  <c r="AB24" i="4"/>
  <c r="AC24" i="4"/>
  <c r="AD24" i="4"/>
  <c r="AE24" i="4"/>
  <c r="AF24" i="4"/>
  <c r="V5" i="4"/>
  <c r="W5" i="4"/>
  <c r="X5" i="4"/>
  <c r="Y5" i="4"/>
  <c r="Z5" i="4"/>
  <c r="AA5" i="4"/>
  <c r="AB5" i="4"/>
  <c r="AC5" i="4"/>
  <c r="AD5" i="4"/>
  <c r="AE5" i="4"/>
  <c r="AF5" i="4"/>
  <c r="U5" i="4"/>
  <c r="H130" i="36" l="1"/>
  <c r="O130" i="36" s="1"/>
  <c r="H132" i="36"/>
  <c r="O132" i="36" s="1"/>
  <c r="H129" i="36"/>
  <c r="O129" i="36" s="1"/>
  <c r="H133" i="36"/>
  <c r="O133" i="36" s="1"/>
  <c r="CU56" i="4"/>
  <c r="CO69" i="4" s="1"/>
  <c r="CO85" i="4" s="1"/>
  <c r="DJ29" i="4"/>
  <c r="DB70" i="4" s="1"/>
  <c r="CZ86" i="4" s="1"/>
  <c r="DA56" i="4"/>
  <c r="DC61" i="4" s="1"/>
  <c r="DA77" i="4" s="1"/>
  <c r="DI56" i="4"/>
  <c r="DC69" i="4" s="1"/>
  <c r="DA85" i="4" s="1"/>
  <c r="DI54" i="4"/>
  <c r="DH69" i="4" s="1"/>
  <c r="DF100" i="4" s="1"/>
  <c r="DE54" i="4"/>
  <c r="DH65" i="4" s="1"/>
  <c r="DF96" i="4" s="1"/>
  <c r="DE56" i="4"/>
  <c r="DC65" i="4" s="1"/>
  <c r="DA81" i="4" s="1"/>
  <c r="DA54" i="4"/>
  <c r="DH61" i="4" s="1"/>
  <c r="DF92" i="4" s="1"/>
  <c r="DJ27" i="4"/>
  <c r="DG70" i="4" s="1"/>
  <c r="DE101" i="4" s="1"/>
  <c r="DB29" i="4"/>
  <c r="DB62" i="4" s="1"/>
  <c r="CZ78" i="4" s="1"/>
  <c r="DF27" i="4"/>
  <c r="DG66" i="4" s="1"/>
  <c r="DE97" i="4" s="1"/>
  <c r="DF29" i="4"/>
  <c r="DB66" i="4" s="1"/>
  <c r="CZ82" i="4" s="1"/>
  <c r="DB27" i="4"/>
  <c r="DG62" i="4" s="1"/>
  <c r="DE93" i="4" s="1"/>
  <c r="DG56" i="4"/>
  <c r="DC67" i="4" s="1"/>
  <c r="DA83" i="4" s="1"/>
  <c r="DK29" i="4"/>
  <c r="DB71" i="4" s="1"/>
  <c r="CZ87" i="4" s="1"/>
  <c r="DG29" i="4"/>
  <c r="DB67" i="4" s="1"/>
  <c r="CZ83" i="4" s="1"/>
  <c r="DC29" i="4"/>
  <c r="DB63" i="4" s="1"/>
  <c r="CZ79" i="4" s="1"/>
  <c r="DK27" i="4"/>
  <c r="DG71" i="4" s="1"/>
  <c r="DE102" i="4" s="1"/>
  <c r="DG27" i="4"/>
  <c r="DG67" i="4" s="1"/>
  <c r="DE98" i="4" s="1"/>
  <c r="DC27" i="4"/>
  <c r="DG63" i="4" s="1"/>
  <c r="DE94" i="4" s="1"/>
  <c r="DB56" i="4"/>
  <c r="DC62" i="4" s="1"/>
  <c r="DA78" i="4" s="1"/>
  <c r="DJ54" i="4"/>
  <c r="DH70" i="4" s="1"/>
  <c r="DF101" i="4" s="1"/>
  <c r="DF54" i="4"/>
  <c r="DH66" i="4" s="1"/>
  <c r="DF97" i="4" s="1"/>
  <c r="DB54" i="4"/>
  <c r="DH62" i="4" s="1"/>
  <c r="DF93" i="4" s="1"/>
  <c r="DF56" i="4"/>
  <c r="DC66" i="4" s="1"/>
  <c r="DA82" i="4" s="1"/>
  <c r="DJ56" i="4"/>
  <c r="DC70" i="4" s="1"/>
  <c r="DA86" i="4" s="1"/>
  <c r="CO56" i="4"/>
  <c r="CO63" i="4" s="1"/>
  <c r="CO79" i="4" s="1"/>
  <c r="DC56" i="4"/>
  <c r="DC63" i="4" s="1"/>
  <c r="DA79" i="4" s="1"/>
  <c r="DC54" i="4"/>
  <c r="DH63" i="4" s="1"/>
  <c r="DF94" i="4" s="1"/>
  <c r="CC56" i="4"/>
  <c r="CA65" i="4" s="1"/>
  <c r="CQ81" i="4" s="1"/>
  <c r="CG54" i="4"/>
  <c r="CF69" i="4" s="1"/>
  <c r="CV100" i="4" s="1"/>
  <c r="CV29" i="4"/>
  <c r="CN70" i="4" s="1"/>
  <c r="CN86" i="4" s="1"/>
  <c r="CM54" i="4"/>
  <c r="CT61" i="4" s="1"/>
  <c r="CT92" i="4" s="1"/>
  <c r="BY54" i="4"/>
  <c r="CF61" i="4" s="1"/>
  <c r="CV92" i="4" s="1"/>
  <c r="CV27" i="4"/>
  <c r="CS70" i="4" s="1"/>
  <c r="CS101" i="4" s="1"/>
  <c r="CU54" i="4"/>
  <c r="CT69" i="4" s="1"/>
  <c r="CT100" i="4" s="1"/>
  <c r="CR27" i="4"/>
  <c r="CS66" i="4" s="1"/>
  <c r="CS97" i="4" s="1"/>
  <c r="CM56" i="4"/>
  <c r="CO61" i="4" s="1"/>
  <c r="CO77" i="4" s="1"/>
  <c r="DK56" i="4"/>
  <c r="DC71" i="4" s="1"/>
  <c r="DA87" i="4" s="1"/>
  <c r="DK54" i="4"/>
  <c r="DH71" i="4" s="1"/>
  <c r="DF102" i="4" s="1"/>
  <c r="DG54" i="4"/>
  <c r="DH67" i="4" s="1"/>
  <c r="DF98" i="4" s="1"/>
  <c r="CD54" i="4"/>
  <c r="CF66" i="4" s="1"/>
  <c r="CV97" i="4" s="1"/>
  <c r="CO29" i="4"/>
  <c r="CN63" i="4" s="1"/>
  <c r="CN79" i="4" s="1"/>
  <c r="CN56" i="4"/>
  <c r="CO62" i="4" s="1"/>
  <c r="CO78" i="4" s="1"/>
  <c r="DI27" i="4"/>
  <c r="DG69" i="4" s="1"/>
  <c r="DE100" i="4" s="1"/>
  <c r="DL56" i="4"/>
  <c r="DC72" i="4" s="1"/>
  <c r="DA88" i="4" s="1"/>
  <c r="DH56" i="4"/>
  <c r="DC68" i="4" s="1"/>
  <c r="DA84" i="4" s="1"/>
  <c r="DD56" i="4"/>
  <c r="DC64" i="4" s="1"/>
  <c r="DA80" i="4" s="1"/>
  <c r="DL54" i="4"/>
  <c r="DH72" i="4" s="1"/>
  <c r="DF103" i="4" s="1"/>
  <c r="DH54" i="4"/>
  <c r="DH68" i="4" s="1"/>
  <c r="DF99" i="4" s="1"/>
  <c r="DD54" i="4"/>
  <c r="DH64" i="4" s="1"/>
  <c r="DF95" i="4" s="1"/>
  <c r="CS56" i="4"/>
  <c r="CO67" i="4" s="1"/>
  <c r="CO83" i="4" s="1"/>
  <c r="CW54" i="4"/>
  <c r="CT71" i="4" s="1"/>
  <c r="CT102" i="4" s="1"/>
  <c r="CO54" i="4"/>
  <c r="CT63" i="4" s="1"/>
  <c r="CT94" i="4" s="1"/>
  <c r="DI29" i="4"/>
  <c r="DB69" i="4" s="1"/>
  <c r="CZ85" i="4" s="1"/>
  <c r="DE29" i="4"/>
  <c r="DB65" i="4" s="1"/>
  <c r="CZ81" i="4" s="1"/>
  <c r="DA29" i="4"/>
  <c r="DB61" i="4" s="1"/>
  <c r="CZ77" i="4" s="1"/>
  <c r="DE27" i="4"/>
  <c r="DG65" i="4" s="1"/>
  <c r="DE96" i="4" s="1"/>
  <c r="DA27" i="4"/>
  <c r="DG61" i="4" s="1"/>
  <c r="DE92" i="4" s="1"/>
  <c r="CH56" i="4"/>
  <c r="CA70" i="4" s="1"/>
  <c r="CQ86" i="4" s="1"/>
  <c r="CD56" i="4"/>
  <c r="CA66" i="4" s="1"/>
  <c r="CQ82" i="4" s="1"/>
  <c r="BZ56" i="4"/>
  <c r="CA62" i="4" s="1"/>
  <c r="CQ78" i="4" s="1"/>
  <c r="CH54" i="4"/>
  <c r="CF70" i="4" s="1"/>
  <c r="CV101" i="4" s="1"/>
  <c r="BZ54" i="4"/>
  <c r="CF62" i="4" s="1"/>
  <c r="CV93" i="4" s="1"/>
  <c r="CW29" i="4"/>
  <c r="CN71" i="4" s="1"/>
  <c r="CN87" i="4" s="1"/>
  <c r="CS29" i="4"/>
  <c r="CN67" i="4" s="1"/>
  <c r="CN83" i="4" s="1"/>
  <c r="CW27" i="4"/>
  <c r="CS71" i="4" s="1"/>
  <c r="CS102" i="4" s="1"/>
  <c r="CS27" i="4"/>
  <c r="CS67" i="4" s="1"/>
  <c r="CS98" i="4" s="1"/>
  <c r="CO27" i="4"/>
  <c r="CS63" i="4" s="1"/>
  <c r="CS94" i="4" s="1"/>
  <c r="CV56" i="4"/>
  <c r="CO70" i="4" s="1"/>
  <c r="CO86" i="4" s="1"/>
  <c r="CR56" i="4"/>
  <c r="CO66" i="4" s="1"/>
  <c r="CO82" i="4" s="1"/>
  <c r="CV54" i="4"/>
  <c r="CT70" i="4" s="1"/>
  <c r="CT101" i="4" s="1"/>
  <c r="CR54" i="4"/>
  <c r="CT66" i="4" s="1"/>
  <c r="CT97" i="4" s="1"/>
  <c r="CN54" i="4"/>
  <c r="CT62" i="4" s="1"/>
  <c r="CT93" i="4" s="1"/>
  <c r="DL29" i="4"/>
  <c r="DB72" i="4" s="1"/>
  <c r="CZ88" i="4" s="1"/>
  <c r="DH29" i="4"/>
  <c r="DB68" i="4" s="1"/>
  <c r="CZ84" i="4" s="1"/>
  <c r="DD29" i="4"/>
  <c r="DB64" i="4" s="1"/>
  <c r="CZ80" i="4" s="1"/>
  <c r="DL27" i="4"/>
  <c r="DG72" i="4" s="1"/>
  <c r="DE103" i="4" s="1"/>
  <c r="DH27" i="4"/>
  <c r="DG68" i="4" s="1"/>
  <c r="DE99" i="4" s="1"/>
  <c r="DD27" i="4"/>
  <c r="DG64" i="4" s="1"/>
  <c r="DE95" i="4" s="1"/>
  <c r="CQ29" i="4"/>
  <c r="CN65" i="4" s="1"/>
  <c r="CN81" i="4" s="1"/>
  <c r="CM27" i="4"/>
  <c r="CS61" i="4" s="1"/>
  <c r="CS92" i="4" s="1"/>
  <c r="CP56" i="4"/>
  <c r="CO64" i="4" s="1"/>
  <c r="CO80" i="4" s="1"/>
  <c r="CX54" i="4"/>
  <c r="CT72" i="4" s="1"/>
  <c r="CT103" i="4" s="1"/>
  <c r="CW56" i="4"/>
  <c r="CO71" i="4" s="1"/>
  <c r="CO87" i="4" s="1"/>
  <c r="CS54" i="4"/>
  <c r="CT67" i="4" s="1"/>
  <c r="CT98" i="4" s="1"/>
  <c r="CB54" i="4"/>
  <c r="CF64" i="4" s="1"/>
  <c r="CV95" i="4" s="1"/>
  <c r="CU29" i="4"/>
  <c r="CN69" i="4" s="1"/>
  <c r="CN85" i="4" s="1"/>
  <c r="CM29" i="4"/>
  <c r="CN61" i="4" s="1"/>
  <c r="CN77" i="4" s="1"/>
  <c r="CU27" i="4"/>
  <c r="CS69" i="4" s="1"/>
  <c r="CS100" i="4" s="1"/>
  <c r="CQ27" i="4"/>
  <c r="CS65" i="4" s="1"/>
  <c r="CS96" i="4" s="1"/>
  <c r="CX56" i="4"/>
  <c r="CO72" i="4" s="1"/>
  <c r="CO88" i="4" s="1"/>
  <c r="CT56" i="4"/>
  <c r="CO68" i="4" s="1"/>
  <c r="CO84" i="4" s="1"/>
  <c r="CT54" i="4"/>
  <c r="CT68" i="4" s="1"/>
  <c r="CT99" i="4" s="1"/>
  <c r="CP54" i="4"/>
  <c r="CT64" i="4" s="1"/>
  <c r="CT95" i="4" s="1"/>
  <c r="DA26" i="4"/>
  <c r="DE26" i="4"/>
  <c r="DI26" i="4"/>
  <c r="DA53" i="4"/>
  <c r="DE53" i="4"/>
  <c r="DI53" i="4"/>
  <c r="DB26" i="4"/>
  <c r="DF26" i="4"/>
  <c r="DJ26" i="4"/>
  <c r="DB53" i="4"/>
  <c r="DF53" i="4"/>
  <c r="DJ53" i="4"/>
  <c r="DC26" i="4"/>
  <c r="DG26" i="4"/>
  <c r="DK26" i="4"/>
  <c r="DC53" i="4"/>
  <c r="DG53" i="4"/>
  <c r="DK53" i="4"/>
  <c r="CG56" i="4"/>
  <c r="CA69" i="4" s="1"/>
  <c r="CQ85" i="4" s="1"/>
  <c r="BY56" i="4"/>
  <c r="CA61" i="4" s="1"/>
  <c r="CQ77" i="4" s="1"/>
  <c r="CR29" i="4"/>
  <c r="CN66" i="4" s="1"/>
  <c r="CN82" i="4" s="1"/>
  <c r="CN29" i="4"/>
  <c r="CN62" i="4" s="1"/>
  <c r="CN78" i="4" s="1"/>
  <c r="DD26" i="4"/>
  <c r="DH26" i="4"/>
  <c r="DL26" i="4"/>
  <c r="DD53" i="4"/>
  <c r="DH53" i="4"/>
  <c r="DL53" i="4"/>
  <c r="CN27" i="4"/>
  <c r="CS62" i="4" s="1"/>
  <c r="CS93" i="4" s="1"/>
  <c r="CX29" i="4"/>
  <c r="CN72" i="4" s="1"/>
  <c r="CN88" i="4" s="1"/>
  <c r="CT29" i="4"/>
  <c r="CN68" i="4" s="1"/>
  <c r="CN84" i="4" s="1"/>
  <c r="CP29" i="4"/>
  <c r="CN64" i="4" s="1"/>
  <c r="CN80" i="4" s="1"/>
  <c r="CX27" i="4"/>
  <c r="CS72" i="4" s="1"/>
  <c r="CS103" i="4" s="1"/>
  <c r="CT27" i="4"/>
  <c r="CS68" i="4" s="1"/>
  <c r="CS99" i="4" s="1"/>
  <c r="CP27" i="4"/>
  <c r="CS64" i="4" s="1"/>
  <c r="CS95" i="4" s="1"/>
  <c r="CG29" i="4"/>
  <c r="BZ69" i="4" s="1"/>
  <c r="CP85" i="4" s="1"/>
  <c r="CJ56" i="4"/>
  <c r="CA72" i="4" s="1"/>
  <c r="CQ88" i="4" s="1"/>
  <c r="CF56" i="4"/>
  <c r="CA68" i="4" s="1"/>
  <c r="CQ84" i="4" s="1"/>
  <c r="CB56" i="4"/>
  <c r="CA64" i="4" s="1"/>
  <c r="CQ80" i="4" s="1"/>
  <c r="CJ54" i="4"/>
  <c r="CF72" i="4" s="1"/>
  <c r="CV103" i="4" s="1"/>
  <c r="CF54" i="4"/>
  <c r="CF68" i="4" s="1"/>
  <c r="CV99" i="4" s="1"/>
  <c r="CI56" i="4"/>
  <c r="CA71" i="4" s="1"/>
  <c r="CQ87" i="4" s="1"/>
  <c r="CE56" i="4"/>
  <c r="CA67" i="4" s="1"/>
  <c r="CQ83" i="4" s="1"/>
  <c r="CA56" i="4"/>
  <c r="CA63" i="4" s="1"/>
  <c r="CQ79" i="4" s="1"/>
  <c r="CI54" i="4"/>
  <c r="CF71" i="4" s="1"/>
  <c r="CV102" i="4" s="1"/>
  <c r="CE54" i="4"/>
  <c r="CF67" i="4" s="1"/>
  <c r="CV98" i="4" s="1"/>
  <c r="CA54" i="4"/>
  <c r="CF63" i="4" s="1"/>
  <c r="CV94" i="4" s="1"/>
  <c r="CH27" i="4"/>
  <c r="CE70" i="4" s="1"/>
  <c r="CU101" i="4" s="1"/>
  <c r="BY27" i="4"/>
  <c r="CE61" i="4" s="1"/>
  <c r="CU92" i="4" s="1"/>
  <c r="CH29" i="4"/>
  <c r="BZ70" i="4" s="1"/>
  <c r="CP86" i="4" s="1"/>
  <c r="CD29" i="4"/>
  <c r="BZ66" i="4" s="1"/>
  <c r="CP82" i="4" s="1"/>
  <c r="BZ29" i="4"/>
  <c r="BZ62" i="4" s="1"/>
  <c r="CP78" i="4" s="1"/>
  <c r="CC29" i="4"/>
  <c r="BZ65" i="4" s="1"/>
  <c r="CP81" i="4" s="1"/>
  <c r="CG27" i="4"/>
  <c r="CE69" i="4" s="1"/>
  <c r="CU100" i="4" s="1"/>
  <c r="CC27" i="4"/>
  <c r="CE65" i="4" s="1"/>
  <c r="CU96" i="4" s="1"/>
  <c r="CD27" i="4"/>
  <c r="CE66" i="4" s="1"/>
  <c r="CU97" i="4" s="1"/>
  <c r="BZ27" i="4"/>
  <c r="CE62" i="4" s="1"/>
  <c r="CU93" i="4" s="1"/>
  <c r="BY29" i="4"/>
  <c r="BZ61" i="4" s="1"/>
  <c r="CP77" i="4" s="1"/>
  <c r="CQ54" i="4"/>
  <c r="CT65" i="4" s="1"/>
  <c r="CT96" i="4" s="1"/>
  <c r="CQ56" i="4"/>
  <c r="CO65" i="4" s="1"/>
  <c r="CO81" i="4" s="1"/>
  <c r="CI29" i="4"/>
  <c r="BZ71" i="4" s="1"/>
  <c r="CP87" i="4" s="1"/>
  <c r="CE29" i="4"/>
  <c r="BZ67" i="4" s="1"/>
  <c r="CP83" i="4" s="1"/>
  <c r="CA29" i="4"/>
  <c r="BZ63" i="4" s="1"/>
  <c r="CP79" i="4" s="1"/>
  <c r="CI27" i="4"/>
  <c r="CE71" i="4" s="1"/>
  <c r="CU102" i="4" s="1"/>
  <c r="CE27" i="4"/>
  <c r="CE67" i="4" s="1"/>
  <c r="CU98" i="4" s="1"/>
  <c r="CA27" i="4"/>
  <c r="CE63" i="4" s="1"/>
  <c r="CU94" i="4" s="1"/>
  <c r="CJ29" i="4"/>
  <c r="BZ72" i="4" s="1"/>
  <c r="CP88" i="4" s="1"/>
  <c r="CF29" i="4"/>
  <c r="BZ68" i="4" s="1"/>
  <c r="CP84" i="4" s="1"/>
  <c r="CB29" i="4"/>
  <c r="BZ64" i="4" s="1"/>
  <c r="CP80" i="4" s="1"/>
  <c r="CJ27" i="4"/>
  <c r="CE72" i="4" s="1"/>
  <c r="CU103" i="4" s="1"/>
  <c r="CF27" i="4"/>
  <c r="CE68" i="4" s="1"/>
  <c r="CU99" i="4" s="1"/>
  <c r="CB27" i="4"/>
  <c r="CE64" i="4" s="1"/>
  <c r="CU95" i="4" s="1"/>
  <c r="CC54" i="4"/>
  <c r="CF65" i="4" s="1"/>
  <c r="CV96" i="4" s="1"/>
  <c r="CM26" i="4"/>
  <c r="CQ26" i="4"/>
  <c r="CU26" i="4"/>
  <c r="CM53" i="4"/>
  <c r="CQ53" i="4"/>
  <c r="CU53" i="4"/>
  <c r="CN26" i="4"/>
  <c r="CR26" i="4"/>
  <c r="CV26" i="4"/>
  <c r="CN53" i="4"/>
  <c r="CR53" i="4"/>
  <c r="CV53" i="4"/>
  <c r="CO26" i="4"/>
  <c r="CS26" i="4"/>
  <c r="CW26" i="4"/>
  <c r="CO53" i="4"/>
  <c r="CS53" i="4"/>
  <c r="CW53" i="4"/>
  <c r="CP26" i="4"/>
  <c r="CT26" i="4"/>
  <c r="CX26" i="4"/>
  <c r="CP53" i="4"/>
  <c r="CT53" i="4"/>
  <c r="CX53" i="4"/>
  <c r="BZ26" i="4"/>
  <c r="CD26" i="4"/>
  <c r="CH26" i="4"/>
  <c r="BZ53" i="4"/>
  <c r="CD53" i="4"/>
  <c r="CH53" i="4"/>
  <c r="BY26" i="4"/>
  <c r="CC26" i="4"/>
  <c r="CG26" i="4"/>
  <c r="BY53" i="4"/>
  <c r="CC53" i="4"/>
  <c r="CG53" i="4"/>
  <c r="CA26" i="4"/>
  <c r="CE26" i="4"/>
  <c r="CI26" i="4"/>
  <c r="CA53" i="4"/>
  <c r="CE53" i="4"/>
  <c r="CI53" i="4"/>
  <c r="CB26" i="4"/>
  <c r="CF26" i="4"/>
  <c r="CJ26" i="4"/>
  <c r="CB53" i="4"/>
  <c r="CF53" i="4"/>
  <c r="CJ53" i="4"/>
  <c r="BU56" i="4"/>
  <c r="BQ56" i="4"/>
  <c r="BM56" i="4"/>
  <c r="BT56" i="4"/>
  <c r="BP56" i="4"/>
  <c r="BL56" i="4"/>
  <c r="BS56" i="4"/>
  <c r="BO56" i="4"/>
  <c r="BV56" i="4"/>
  <c r="BR56" i="4"/>
  <c r="BN56" i="4"/>
  <c r="BK56" i="4"/>
  <c r="BO54" i="4"/>
  <c r="BR65" i="4" s="1"/>
  <c r="CX96" i="4" s="1"/>
  <c r="BK54" i="4"/>
  <c r="BR61" i="4" s="1"/>
  <c r="CX92" i="4" s="1"/>
  <c r="BV54" i="4"/>
  <c r="BR72" i="4" s="1"/>
  <c r="CX103" i="4" s="1"/>
  <c r="BR54" i="4"/>
  <c r="BR68" i="4" s="1"/>
  <c r="CX99" i="4" s="1"/>
  <c r="BN54" i="4"/>
  <c r="BR64" i="4" s="1"/>
  <c r="CX95" i="4" s="1"/>
  <c r="BU53" i="4"/>
  <c r="BQ53" i="4"/>
  <c r="BM53" i="4"/>
  <c r="BT53" i="4"/>
  <c r="BP53" i="4"/>
  <c r="BL53" i="4"/>
  <c r="BU54" i="4"/>
  <c r="BR71" i="4" s="1"/>
  <c r="CX102" i="4" s="1"/>
  <c r="BQ54" i="4"/>
  <c r="BR67" i="4" s="1"/>
  <c r="CX98" i="4" s="1"/>
  <c r="BM54" i="4"/>
  <c r="BR63" i="4" s="1"/>
  <c r="CX94" i="4" s="1"/>
  <c r="BS53" i="4"/>
  <c r="BT54" i="4"/>
  <c r="BR70" i="4" s="1"/>
  <c r="CX101" i="4" s="1"/>
  <c r="BP54" i="4"/>
  <c r="BR66" i="4" s="1"/>
  <c r="CX97" i="4" s="1"/>
  <c r="BL54" i="4"/>
  <c r="BR62" i="4" s="1"/>
  <c r="CX93" i="4" s="1"/>
  <c r="BV53" i="4"/>
  <c r="BR53" i="4"/>
  <c r="BN53" i="4"/>
  <c r="BO53" i="4"/>
  <c r="BS54" i="4"/>
  <c r="BR69" i="4" s="1"/>
  <c r="CX100" i="4" s="1"/>
  <c r="BK53" i="4"/>
  <c r="BG56" i="4"/>
  <c r="BC56" i="4"/>
  <c r="AY56" i="4"/>
  <c r="BF56" i="4"/>
  <c r="BB56" i="4"/>
  <c r="AX56" i="4"/>
  <c r="BE56" i="4"/>
  <c r="BA56" i="4"/>
  <c r="BH56" i="4"/>
  <c r="BD56" i="4"/>
  <c r="AZ56" i="4"/>
  <c r="AW56" i="4"/>
  <c r="AW54" i="4"/>
  <c r="BD61" i="4" s="1"/>
  <c r="BH53" i="4"/>
  <c r="BD53" i="4"/>
  <c r="AZ53" i="4"/>
  <c r="BH54" i="4"/>
  <c r="BD72" i="4" s="1"/>
  <c r="G145" i="60" s="1"/>
  <c r="BD54" i="4"/>
  <c r="BD68" i="4" s="1"/>
  <c r="G141" i="60" s="1"/>
  <c r="AZ54" i="4"/>
  <c r="BD64" i="4" s="1"/>
  <c r="G137" i="60" s="1"/>
  <c r="BG53" i="4"/>
  <c r="BC53" i="4"/>
  <c r="AY53" i="4"/>
  <c r="BG54" i="4"/>
  <c r="BD71" i="4" s="1"/>
  <c r="G144" i="60" s="1"/>
  <c r="BC54" i="4"/>
  <c r="BD67" i="4" s="1"/>
  <c r="G140" i="60" s="1"/>
  <c r="AY54" i="4"/>
  <c r="BD63" i="4" s="1"/>
  <c r="G136" i="60" s="1"/>
  <c r="BF53" i="4"/>
  <c r="BB53" i="4"/>
  <c r="AX53" i="4"/>
  <c r="BF54" i="4"/>
  <c r="BD70" i="4" s="1"/>
  <c r="G143" i="60" s="1"/>
  <c r="BB54" i="4"/>
  <c r="BD66" i="4" s="1"/>
  <c r="G139" i="60" s="1"/>
  <c r="AX54" i="4"/>
  <c r="BD62" i="4" s="1"/>
  <c r="G135" i="60" s="1"/>
  <c r="BE53" i="4"/>
  <c r="BA53" i="4"/>
  <c r="BE54" i="4"/>
  <c r="BD69" i="4" s="1"/>
  <c r="G142" i="60" s="1"/>
  <c r="BA54" i="4"/>
  <c r="BD65" i="4" s="1"/>
  <c r="G138" i="60" s="1"/>
  <c r="AW53" i="4"/>
  <c r="AO54" i="4"/>
  <c r="AP67" i="4" s="1"/>
  <c r="AQ56" i="4"/>
  <c r="AM56" i="4"/>
  <c r="AL56" i="4"/>
  <c r="AS56" i="4"/>
  <c r="AO56" i="4"/>
  <c r="AK56" i="4"/>
  <c r="AT56" i="4"/>
  <c r="AR56" i="4"/>
  <c r="AN56" i="4"/>
  <c r="AJ56" i="4"/>
  <c r="AP56" i="4"/>
  <c r="AS54" i="4"/>
  <c r="AP71" i="4" s="1"/>
  <c r="AK54" i="4"/>
  <c r="AP63" i="4" s="1"/>
  <c r="AL54" i="4"/>
  <c r="AP64" i="4" s="1"/>
  <c r="AT54" i="4"/>
  <c r="AP72" i="4" s="1"/>
  <c r="AI56" i="4"/>
  <c r="AP53" i="4"/>
  <c r="F129" i="59" s="1"/>
  <c r="AI54" i="4"/>
  <c r="AP61" i="4" s="1"/>
  <c r="F134" i="59" s="1"/>
  <c r="AM54" i="4"/>
  <c r="AP65" i="4" s="1"/>
  <c r="AP54" i="4"/>
  <c r="AP68" i="4" s="1"/>
  <c r="AR53" i="4"/>
  <c r="F131" i="59" s="1"/>
  <c r="AN53" i="4"/>
  <c r="F127" i="59" s="1"/>
  <c r="AJ53" i="4"/>
  <c r="F123" i="59" s="1"/>
  <c r="AQ53" i="4"/>
  <c r="F130" i="59" s="1"/>
  <c r="AT53" i="4"/>
  <c r="F133" i="59" s="1"/>
  <c r="AL53" i="4"/>
  <c r="F125" i="59" s="1"/>
  <c r="AR54" i="4"/>
  <c r="AP70" i="4" s="1"/>
  <c r="AN54" i="4"/>
  <c r="AP66" i="4" s="1"/>
  <c r="AJ54" i="4"/>
  <c r="AP62" i="4" s="1"/>
  <c r="AS53" i="4"/>
  <c r="F132" i="59" s="1"/>
  <c r="AO53" i="4"/>
  <c r="F128" i="59" s="1"/>
  <c r="AK53" i="4"/>
  <c r="F124" i="59" s="1"/>
  <c r="AM53" i="4"/>
  <c r="F126" i="59" s="1"/>
  <c r="AQ54" i="4"/>
  <c r="AP69" i="4" s="1"/>
  <c r="AI53" i="4"/>
  <c r="F122" i="59" s="1"/>
  <c r="AE56" i="4"/>
  <c r="AA56" i="4"/>
  <c r="W56" i="4"/>
  <c r="AD56" i="4"/>
  <c r="Z56" i="4"/>
  <c r="V56" i="4"/>
  <c r="AC56" i="4"/>
  <c r="Y56" i="4"/>
  <c r="AF56" i="4"/>
  <c r="AB56" i="4"/>
  <c r="X56" i="4"/>
  <c r="U56" i="4"/>
  <c r="U54" i="4"/>
  <c r="AF54" i="4"/>
  <c r="AB72" i="4" s="1"/>
  <c r="DD103" i="4" s="1"/>
  <c r="X54" i="4"/>
  <c r="AB64" i="4" s="1"/>
  <c r="DD95" i="4" s="1"/>
  <c r="AE53" i="4"/>
  <c r="AA53" i="4"/>
  <c r="W53" i="4"/>
  <c r="AE54" i="4"/>
  <c r="AB71" i="4" s="1"/>
  <c r="DD102" i="4" s="1"/>
  <c r="AA54" i="4"/>
  <c r="AB67" i="4" s="1"/>
  <c r="DD98" i="4" s="1"/>
  <c r="W54" i="4"/>
  <c r="AB63" i="4" s="1"/>
  <c r="DD94" i="4" s="1"/>
  <c r="X53" i="4"/>
  <c r="AD53" i="4"/>
  <c r="Z53" i="4"/>
  <c r="V53" i="4"/>
  <c r="AD54" i="4"/>
  <c r="AB70" i="4" s="1"/>
  <c r="DD101" i="4" s="1"/>
  <c r="Z54" i="4"/>
  <c r="AB66" i="4" s="1"/>
  <c r="DD97" i="4" s="1"/>
  <c r="V54" i="4"/>
  <c r="AB62" i="4" s="1"/>
  <c r="DD93" i="4" s="1"/>
  <c r="AF53" i="4"/>
  <c r="AB53" i="4"/>
  <c r="AB54" i="4"/>
  <c r="AB68" i="4" s="1"/>
  <c r="DD99" i="4" s="1"/>
  <c r="AC53" i="4"/>
  <c r="Y53" i="4"/>
  <c r="AC54" i="4"/>
  <c r="AB69" i="4" s="1"/>
  <c r="DD100" i="4" s="1"/>
  <c r="Y54" i="4"/>
  <c r="AB65" i="4" s="1"/>
  <c r="DD96" i="4" s="1"/>
  <c r="U53" i="4"/>
  <c r="BU29" i="4"/>
  <c r="BQ29" i="4"/>
  <c r="BM29" i="4"/>
  <c r="BV29" i="4"/>
  <c r="BN29" i="4"/>
  <c r="BT29" i="4"/>
  <c r="BP29" i="4"/>
  <c r="BL29" i="4"/>
  <c r="BR29" i="4"/>
  <c r="BS29" i="4"/>
  <c r="BO29" i="4"/>
  <c r="BK29" i="4"/>
  <c r="BU27" i="4"/>
  <c r="BQ71" i="4" s="1"/>
  <c r="E144" i="59" s="1"/>
  <c r="BQ27" i="4"/>
  <c r="BQ67" i="4" s="1"/>
  <c r="E140" i="59" s="1"/>
  <c r="BM27" i="4"/>
  <c r="BQ63" i="4" s="1"/>
  <c r="E136" i="59" s="1"/>
  <c r="BT26" i="4"/>
  <c r="BP26" i="4"/>
  <c r="BL26" i="4"/>
  <c r="BS27" i="4"/>
  <c r="BQ69" i="4" s="1"/>
  <c r="E142" i="59" s="1"/>
  <c r="BO27" i="4"/>
  <c r="BQ65" i="4" s="1"/>
  <c r="E138" i="59" s="1"/>
  <c r="BV27" i="4"/>
  <c r="BQ72" i="4" s="1"/>
  <c r="E145" i="59" s="1"/>
  <c r="BR27" i="4"/>
  <c r="BQ68" i="4" s="1"/>
  <c r="E141" i="59" s="1"/>
  <c r="BN27" i="4"/>
  <c r="BQ64" i="4" s="1"/>
  <c r="E137" i="59" s="1"/>
  <c r="BT27" i="4"/>
  <c r="BQ70" i="4" s="1"/>
  <c r="E143" i="59" s="1"/>
  <c r="BP27" i="4"/>
  <c r="BQ66" i="4" s="1"/>
  <c r="E139" i="59" s="1"/>
  <c r="BL27" i="4"/>
  <c r="BQ62" i="4" s="1"/>
  <c r="E135" i="59" s="1"/>
  <c r="BS26" i="4"/>
  <c r="BO26" i="4"/>
  <c r="BV26" i="4"/>
  <c r="BR26" i="4"/>
  <c r="BN26" i="4"/>
  <c r="BH27" i="4"/>
  <c r="BC72" i="4" s="1"/>
  <c r="BU26" i="4"/>
  <c r="BQ26" i="4"/>
  <c r="BM26" i="4"/>
  <c r="BK26" i="4"/>
  <c r="E122" i="59" s="1"/>
  <c r="BD27" i="4"/>
  <c r="BC68" i="4" s="1"/>
  <c r="AZ27" i="4"/>
  <c r="BC64" i="4" s="1"/>
  <c r="BK27" i="4"/>
  <c r="BQ61" i="4" s="1"/>
  <c r="BE27" i="4"/>
  <c r="BC69" i="4" s="1"/>
  <c r="AW27" i="4"/>
  <c r="BC61" i="4" s="1"/>
  <c r="F134" i="60" s="1"/>
  <c r="BG26" i="4"/>
  <c r="F132" i="60" s="1"/>
  <c r="BC26" i="4"/>
  <c r="F128" i="60" s="1"/>
  <c r="AY26" i="4"/>
  <c r="F124" i="60" s="1"/>
  <c r="BF26" i="4"/>
  <c r="F131" i="60" s="1"/>
  <c r="BB26" i="4"/>
  <c r="F127" i="60" s="1"/>
  <c r="AX26" i="4"/>
  <c r="F123" i="60" s="1"/>
  <c r="BG27" i="4"/>
  <c r="BC71" i="4" s="1"/>
  <c r="BC27" i="4"/>
  <c r="BC67" i="4" s="1"/>
  <c r="AY27" i="4"/>
  <c r="BC63" i="4" s="1"/>
  <c r="BA26" i="4"/>
  <c r="F126" i="60" s="1"/>
  <c r="BF27" i="4"/>
  <c r="BC70" i="4" s="1"/>
  <c r="BB27" i="4"/>
  <c r="BC66" i="4" s="1"/>
  <c r="AX27" i="4"/>
  <c r="BC62" i="4" s="1"/>
  <c r="BH26" i="4"/>
  <c r="F133" i="60" s="1"/>
  <c r="BD26" i="4"/>
  <c r="F129" i="60" s="1"/>
  <c r="AZ26" i="4"/>
  <c r="F125" i="60" s="1"/>
  <c r="BE26" i="4"/>
  <c r="F130" i="60" s="1"/>
  <c r="BA27" i="4"/>
  <c r="BC65" i="4" s="1"/>
  <c r="AW26" i="4"/>
  <c r="F122" i="60" s="1"/>
  <c r="BG29" i="4"/>
  <c r="BC29" i="4"/>
  <c r="AY29" i="4"/>
  <c r="BF29" i="4"/>
  <c r="BB29" i="4"/>
  <c r="AX29" i="4"/>
  <c r="BE29" i="4"/>
  <c r="BA29" i="4"/>
  <c r="BH29" i="4"/>
  <c r="BD29" i="4"/>
  <c r="AZ29" i="4"/>
  <c r="AW29" i="4"/>
  <c r="AX61" i="4" s="1"/>
  <c r="F2" i="60" s="1"/>
  <c r="AF29" i="4"/>
  <c r="AS29" i="4"/>
  <c r="AO29" i="4"/>
  <c r="AK29" i="4"/>
  <c r="AR29" i="4"/>
  <c r="AN29" i="4"/>
  <c r="AJ29" i="4"/>
  <c r="AQ29" i="4"/>
  <c r="AM29" i="4"/>
  <c r="AT29" i="4"/>
  <c r="AP29" i="4"/>
  <c r="AL29" i="4"/>
  <c r="AI29" i="4"/>
  <c r="AJ61" i="4" s="1"/>
  <c r="CV77" i="4" s="1"/>
  <c r="AQ27" i="4"/>
  <c r="AO69" i="4" s="1"/>
  <c r="DA100" i="4" s="1"/>
  <c r="AM27" i="4"/>
  <c r="AO65" i="4" s="1"/>
  <c r="DA96" i="4" s="1"/>
  <c r="AT27" i="4"/>
  <c r="AO72" i="4" s="1"/>
  <c r="DA103" i="4" s="1"/>
  <c r="AP27" i="4"/>
  <c r="AO68" i="4" s="1"/>
  <c r="DA99" i="4" s="1"/>
  <c r="AL27" i="4"/>
  <c r="AO64" i="4" s="1"/>
  <c r="DA95" i="4" s="1"/>
  <c r="AQ26" i="4"/>
  <c r="AS27" i="4"/>
  <c r="AO71" i="4" s="1"/>
  <c r="DA102" i="4" s="1"/>
  <c r="AO27" i="4"/>
  <c r="AO67" i="4" s="1"/>
  <c r="DA98" i="4" s="1"/>
  <c r="AK27" i="4"/>
  <c r="AO63" i="4" s="1"/>
  <c r="DA94" i="4" s="1"/>
  <c r="AM26" i="4"/>
  <c r="AR26" i="4"/>
  <c r="AN26" i="4"/>
  <c r="AJ26" i="4"/>
  <c r="AR27" i="4"/>
  <c r="AO70" i="4" s="1"/>
  <c r="DA101" i="4" s="1"/>
  <c r="AT26" i="4"/>
  <c r="AP26" i="4"/>
  <c r="AL26" i="4"/>
  <c r="AJ27" i="4"/>
  <c r="AO62" i="4" s="1"/>
  <c r="DA93" i="4" s="1"/>
  <c r="AS26" i="4"/>
  <c r="AO26" i="4"/>
  <c r="AK26" i="4"/>
  <c r="AN27" i="4"/>
  <c r="AO66" i="4" s="1"/>
  <c r="DA97" i="4" s="1"/>
  <c r="AI26" i="4"/>
  <c r="AI27" i="4"/>
  <c r="AO61" i="4" s="1"/>
  <c r="DA92" i="4" s="1"/>
  <c r="AA29" i="4"/>
  <c r="AD29" i="4"/>
  <c r="V29" i="4"/>
  <c r="AC29" i="4"/>
  <c r="Y29" i="4"/>
  <c r="AE29" i="4"/>
  <c r="W29" i="4"/>
  <c r="Z29" i="4"/>
  <c r="AB29" i="4"/>
  <c r="X29" i="4"/>
  <c r="U29" i="4"/>
  <c r="AC27" i="4"/>
  <c r="AA69" i="4" s="1"/>
  <c r="DC100" i="4" s="1"/>
  <c r="Y27" i="4"/>
  <c r="AA65" i="4" s="1"/>
  <c r="DC96" i="4" s="1"/>
  <c r="AF27" i="4"/>
  <c r="AA72" i="4" s="1"/>
  <c r="DC103" i="4" s="1"/>
  <c r="AB27" i="4"/>
  <c r="AA68" i="4" s="1"/>
  <c r="DC99" i="4" s="1"/>
  <c r="X27" i="4"/>
  <c r="AA64" i="4" s="1"/>
  <c r="DC95" i="4" s="1"/>
  <c r="AC26" i="4"/>
  <c r="AE27" i="4"/>
  <c r="AA71" i="4" s="1"/>
  <c r="DC102" i="4" s="1"/>
  <c r="AA27" i="4"/>
  <c r="AA67" i="4" s="1"/>
  <c r="DC98" i="4" s="1"/>
  <c r="W27" i="4"/>
  <c r="AA63" i="4" s="1"/>
  <c r="DC94" i="4" s="1"/>
  <c r="Y26" i="4"/>
  <c r="AD26" i="4"/>
  <c r="Z26" i="4"/>
  <c r="V26" i="4"/>
  <c r="AF26" i="4"/>
  <c r="AB26" i="4"/>
  <c r="X26" i="4"/>
  <c r="AD27" i="4"/>
  <c r="AA70" i="4" s="1"/>
  <c r="DC101" i="4" s="1"/>
  <c r="Z27" i="4"/>
  <c r="AA66" i="4" s="1"/>
  <c r="DC97" i="4" s="1"/>
  <c r="V27" i="4"/>
  <c r="AA62" i="4" s="1"/>
  <c r="DC93" i="4" s="1"/>
  <c r="AE26" i="4"/>
  <c r="AA26" i="4"/>
  <c r="W26" i="4"/>
  <c r="U26" i="4"/>
  <c r="U27" i="4"/>
  <c r="G122" i="60" l="1"/>
  <c r="F127" i="58"/>
  <c r="G127" i="60"/>
  <c r="F129" i="58"/>
  <c r="G129" i="60"/>
  <c r="F123" i="58"/>
  <c r="G123" i="60"/>
  <c r="F125" i="58"/>
  <c r="G125" i="60"/>
  <c r="F131" i="58"/>
  <c r="G131" i="60"/>
  <c r="F124" i="58"/>
  <c r="G124" i="60"/>
  <c r="F133" i="58"/>
  <c r="G133" i="60"/>
  <c r="F122" i="58"/>
  <c r="F132" i="58"/>
  <c r="G132" i="60"/>
  <c r="F126" i="58"/>
  <c r="G126" i="60"/>
  <c r="F128" i="58"/>
  <c r="G128" i="60"/>
  <c r="F130" i="58"/>
  <c r="G130" i="60"/>
  <c r="E126" i="58"/>
  <c r="E126" i="59"/>
  <c r="E124" i="58"/>
  <c r="E124" i="59"/>
  <c r="E125" i="58"/>
  <c r="E125" i="59"/>
  <c r="E130" i="58"/>
  <c r="E130" i="59"/>
  <c r="E131" i="58"/>
  <c r="E131" i="59"/>
  <c r="E128" i="58"/>
  <c r="E128" i="59"/>
  <c r="E129" i="58"/>
  <c r="E129" i="59"/>
  <c r="E123" i="58"/>
  <c r="E123" i="59"/>
  <c r="E132" i="58"/>
  <c r="E132" i="59"/>
  <c r="E133" i="58"/>
  <c r="E133" i="59"/>
  <c r="E127" i="58"/>
  <c r="E127" i="59"/>
  <c r="E122" i="58"/>
  <c r="DB101" i="4"/>
  <c r="F143" i="59"/>
  <c r="DB100" i="4"/>
  <c r="F142" i="59"/>
  <c r="DB95" i="4"/>
  <c r="F137" i="59"/>
  <c r="DB103" i="4"/>
  <c r="F145" i="59"/>
  <c r="DB93" i="4"/>
  <c r="F135" i="59"/>
  <c r="DB94" i="4"/>
  <c r="F136" i="59"/>
  <c r="DB97" i="4"/>
  <c r="F139" i="59"/>
  <c r="DB99" i="4"/>
  <c r="F141" i="59"/>
  <c r="DB102" i="4"/>
  <c r="F144" i="59"/>
  <c r="DB98" i="4"/>
  <c r="F140" i="59"/>
  <c r="DB96" i="4"/>
  <c r="F138" i="59"/>
  <c r="CY102" i="4"/>
  <c r="F144" i="60"/>
  <c r="CY103" i="4"/>
  <c r="F145" i="60"/>
  <c r="CY96" i="4"/>
  <c r="F138" i="60"/>
  <c r="CY93" i="4"/>
  <c r="F135" i="60"/>
  <c r="CY94" i="4"/>
  <c r="F136" i="60"/>
  <c r="CY95" i="4"/>
  <c r="F137" i="60"/>
  <c r="CY101" i="4"/>
  <c r="F143" i="60"/>
  <c r="CY100" i="4"/>
  <c r="F142" i="60"/>
  <c r="CY97" i="4"/>
  <c r="F139" i="60"/>
  <c r="CY98" i="4"/>
  <c r="F140" i="60"/>
  <c r="CY99" i="4"/>
  <c r="F141" i="60"/>
  <c r="F134" i="58"/>
  <c r="G134" i="60"/>
  <c r="CY92" i="4"/>
  <c r="DB92" i="4"/>
  <c r="E134" i="58"/>
  <c r="E134" i="59"/>
  <c r="CZ93" i="4"/>
  <c r="F135" i="58"/>
  <c r="CZ102" i="4"/>
  <c r="F144" i="58"/>
  <c r="CZ100" i="4"/>
  <c r="F142" i="58"/>
  <c r="CZ97" i="4"/>
  <c r="F139" i="58"/>
  <c r="CZ99" i="4"/>
  <c r="F141" i="58"/>
  <c r="CZ96" i="4"/>
  <c r="F138" i="58"/>
  <c r="CZ95" i="4"/>
  <c r="F137" i="58"/>
  <c r="CZ101" i="4"/>
  <c r="F143" i="58"/>
  <c r="CZ94" i="4"/>
  <c r="F136" i="58"/>
  <c r="CZ103" i="4"/>
  <c r="F145" i="58"/>
  <c r="CZ98" i="4"/>
  <c r="F140" i="58"/>
  <c r="CZ92" i="4"/>
  <c r="CW95" i="4"/>
  <c r="E137" i="58"/>
  <c r="CW100" i="4"/>
  <c r="E142" i="58"/>
  <c r="CW94" i="4"/>
  <c r="E136" i="58"/>
  <c r="CW96" i="4"/>
  <c r="E138" i="58"/>
  <c r="CW93" i="4"/>
  <c r="E135" i="58"/>
  <c r="CW99" i="4"/>
  <c r="E141" i="58"/>
  <c r="CW98" i="4"/>
  <c r="E140" i="58"/>
  <c r="CW97" i="4"/>
  <c r="E139" i="58"/>
  <c r="CW103" i="4"/>
  <c r="E145" i="58"/>
  <c r="CW102" i="4"/>
  <c r="E144" i="58"/>
  <c r="CW101" i="4"/>
  <c r="E143" i="58"/>
  <c r="CW92" i="4"/>
  <c r="M2" i="60"/>
  <c r="F14" i="60"/>
  <c r="AB61" i="4"/>
  <c r="DD92" i="4" s="1"/>
  <c r="AA61" i="4"/>
  <c r="DC92" i="4" s="1"/>
  <c r="CT77" i="4"/>
  <c r="F2" i="36"/>
  <c r="M2" i="36" s="1"/>
  <c r="M14" i="60" l="1"/>
  <c r="F26" i="60"/>
  <c r="K20" i="5"/>
  <c r="L20" i="5"/>
  <c r="M20" i="5"/>
  <c r="N20" i="5"/>
  <c r="J20" i="5"/>
  <c r="J6" i="5"/>
  <c r="M26" i="60" l="1"/>
  <c r="F38" i="60"/>
  <c r="D19" i="54"/>
  <c r="E19" i="54" s="1"/>
  <c r="D17" i="54"/>
  <c r="E17" i="54" s="1"/>
  <c r="D15" i="54"/>
  <c r="E15" i="54" s="1"/>
  <c r="D21" i="54"/>
  <c r="E21" i="54" s="1"/>
  <c r="D25" i="54"/>
  <c r="E25" i="54" s="1"/>
  <c r="D23" i="54"/>
  <c r="E23" i="54" s="1"/>
  <c r="D24" i="54"/>
  <c r="E24" i="54" s="1"/>
  <c r="D14" i="54"/>
  <c r="E14" i="54" s="1"/>
  <c r="D18" i="54"/>
  <c r="E18" i="54" s="1"/>
  <c r="D16" i="54"/>
  <c r="E16" i="54" s="1"/>
  <c r="D22" i="54"/>
  <c r="E22" i="54" s="1"/>
  <c r="D20" i="54"/>
  <c r="E20" i="54" s="1"/>
  <c r="I8" i="26"/>
  <c r="I9" i="26"/>
  <c r="I7" i="26"/>
  <c r="B37" i="25"/>
  <c r="B36" i="25"/>
  <c r="B35" i="25"/>
  <c r="B34" i="25"/>
  <c r="B33" i="25"/>
  <c r="B28" i="25"/>
  <c r="B27" i="25"/>
  <c r="B16" i="25"/>
  <c r="B15" i="25"/>
  <c r="B14" i="25"/>
  <c r="B13" i="25"/>
  <c r="B12" i="25"/>
  <c r="AM6" i="17"/>
  <c r="AJ15" i="17"/>
  <c r="AJ13" i="17"/>
  <c r="AC6" i="17"/>
  <c r="AC7" i="17" s="1"/>
  <c r="AC8" i="17" s="1"/>
  <c r="AC9" i="17" s="1"/>
  <c r="AC10" i="17" s="1"/>
  <c r="AC11" i="17" s="1"/>
  <c r="AC12" i="17" s="1"/>
  <c r="AC13" i="17" s="1"/>
  <c r="M38" i="60" l="1"/>
  <c r="F50" i="60"/>
  <c r="BJ20" i="54"/>
  <c r="BK20" i="54" s="1"/>
  <c r="BL20" i="54"/>
  <c r="BL14" i="54"/>
  <c r="BJ14" i="54"/>
  <c r="BK14" i="54" s="1"/>
  <c r="BL21" i="54"/>
  <c r="BJ21" i="54"/>
  <c r="BK21" i="54" s="1"/>
  <c r="BL22" i="54"/>
  <c r="BJ22" i="54"/>
  <c r="BK22" i="54" s="1"/>
  <c r="BJ24" i="54"/>
  <c r="BK24" i="54" s="1"/>
  <c r="BL24" i="54"/>
  <c r="BJ15" i="54"/>
  <c r="BK15" i="54" s="1"/>
  <c r="BL15" i="54"/>
  <c r="BJ16" i="54"/>
  <c r="BK16" i="54" s="1"/>
  <c r="BL16" i="54"/>
  <c r="BJ23" i="54"/>
  <c r="BK23" i="54" s="1"/>
  <c r="BL23" i="54"/>
  <c r="BJ17" i="54"/>
  <c r="BK17" i="54" s="1"/>
  <c r="BL17" i="54"/>
  <c r="BL18" i="54"/>
  <c r="BJ18" i="54"/>
  <c r="BK18" i="54" s="1"/>
  <c r="BJ25" i="54"/>
  <c r="BK25" i="54" s="1"/>
  <c r="BL25" i="54"/>
  <c r="BL19" i="54"/>
  <c r="BJ19" i="54"/>
  <c r="BK19" i="54" s="1"/>
  <c r="AC14" i="17"/>
  <c r="K7" i="26"/>
  <c r="AM7" i="17"/>
  <c r="K9" i="26"/>
  <c r="I18" i="26" s="1"/>
  <c r="I19" i="26" s="1"/>
  <c r="E8" i="26"/>
  <c r="F10" i="26"/>
  <c r="G10" i="26"/>
  <c r="I10" i="26"/>
  <c r="B6" i="24"/>
  <c r="H6" i="24"/>
  <c r="F62" i="60" l="1"/>
  <c r="M50" i="60"/>
  <c r="J8" i="26"/>
  <c r="D13" i="63" s="1"/>
  <c r="AC15" i="17"/>
  <c r="AC16" i="17" s="1"/>
  <c r="K8" i="26"/>
  <c r="C10" i="26"/>
  <c r="K10" i="26" s="1"/>
  <c r="E7" i="26"/>
  <c r="AM8" i="17"/>
  <c r="E9" i="26"/>
  <c r="H7" i="24"/>
  <c r="B7" i="24"/>
  <c r="M62" i="60" l="1"/>
  <c r="F74" i="60"/>
  <c r="D13" i="25"/>
  <c r="D13" i="56"/>
  <c r="J7" i="26"/>
  <c r="D12" i="25" s="1"/>
  <c r="J9" i="26"/>
  <c r="D14" i="63" s="1"/>
  <c r="AM9" i="17"/>
  <c r="E10" i="26"/>
  <c r="J10" i="26" s="1"/>
  <c r="B8" i="24"/>
  <c r="H8" i="24"/>
  <c r="D12" i="63" l="1"/>
  <c r="D17" i="63" s="1"/>
  <c r="D12" i="56"/>
  <c r="F86" i="60"/>
  <c r="M74" i="60"/>
  <c r="D18" i="26"/>
  <c r="D19" i="26" s="1"/>
  <c r="D14" i="56"/>
  <c r="D17" i="56"/>
  <c r="D14" i="25"/>
  <c r="D17" i="25" s="1"/>
  <c r="AM10" i="17"/>
  <c r="B9" i="24"/>
  <c r="H9" i="24"/>
  <c r="M86" i="60" l="1"/>
  <c r="F98" i="60"/>
  <c r="AM11" i="17"/>
  <c r="B10" i="24"/>
  <c r="H10" i="24"/>
  <c r="F110" i="60" l="1"/>
  <c r="M98" i="60"/>
  <c r="AM12" i="17"/>
  <c r="B11" i="24"/>
  <c r="H11" i="24"/>
  <c r="M110" i="60" l="1"/>
  <c r="AM13" i="17"/>
  <c r="AM14" i="17" s="1"/>
  <c r="B12" i="24"/>
  <c r="H12" i="24"/>
  <c r="M134" i="60" l="1"/>
  <c r="M122" i="60"/>
  <c r="AM15" i="17"/>
  <c r="AM16" i="17" s="1"/>
  <c r="H13" i="24"/>
  <c r="H14" i="24" s="1"/>
  <c r="B13" i="24"/>
  <c r="B14" i="24" s="1"/>
  <c r="N5" i="23" l="1"/>
  <c r="N6" i="23" s="1"/>
  <c r="N7" i="23" s="1"/>
  <c r="N8" i="23" s="1"/>
  <c r="N9" i="23" s="1"/>
  <c r="N10" i="23" s="1"/>
  <c r="N11" i="23" s="1"/>
  <c r="N12" i="23" s="1"/>
  <c r="R5" i="23"/>
  <c r="R6" i="23" s="1"/>
  <c r="R7" i="23" s="1"/>
  <c r="R8" i="23" s="1"/>
  <c r="R9" i="23" s="1"/>
  <c r="R10" i="23" s="1"/>
  <c r="R11" i="23" s="1"/>
  <c r="R12" i="23" s="1"/>
  <c r="J5" i="23"/>
  <c r="J6" i="23" s="1"/>
  <c r="J7" i="23" s="1"/>
  <c r="J8" i="23" s="1"/>
  <c r="J9" i="23" s="1"/>
  <c r="J10" i="23" s="1"/>
  <c r="J11" i="23" s="1"/>
  <c r="J12" i="23" s="1"/>
  <c r="F5" i="23"/>
  <c r="F6" i="23" s="1"/>
  <c r="F7" i="23" s="1"/>
  <c r="F8" i="23" s="1"/>
  <c r="F9" i="23" s="1"/>
  <c r="F10" i="23" s="1"/>
  <c r="F11" i="23" s="1"/>
  <c r="F12" i="23" s="1"/>
  <c r="B5" i="23"/>
  <c r="R13" i="23" l="1"/>
  <c r="R14" i="23" s="1"/>
  <c r="N13" i="23"/>
  <c r="N14" i="23" s="1"/>
  <c r="J13" i="23"/>
  <c r="J14" i="23" s="1"/>
  <c r="F13" i="23"/>
  <c r="F14" i="23" s="1"/>
  <c r="B6" i="23"/>
  <c r="N15" i="23" l="1"/>
  <c r="N19" i="23" s="1"/>
  <c r="N18" i="23"/>
  <c r="J15" i="23"/>
  <c r="J19" i="23" s="1"/>
  <c r="J18" i="23"/>
  <c r="R15" i="23"/>
  <c r="R19" i="23" s="1"/>
  <c r="R18" i="23"/>
  <c r="F15" i="23"/>
  <c r="F19" i="23" s="1"/>
  <c r="F18" i="23"/>
  <c r="B7" i="23"/>
  <c r="B8" i="23" l="1"/>
  <c r="B9" i="23" l="1"/>
  <c r="B10" i="23" l="1"/>
  <c r="B11" i="23" l="1"/>
  <c r="B12" i="23" l="1"/>
  <c r="B13" i="23" s="1"/>
  <c r="B14" i="23" l="1"/>
  <c r="B15" i="23" l="1"/>
  <c r="B19" i="23" s="1"/>
  <c r="B18" i="23"/>
  <c r="K6" i="17" l="1"/>
  <c r="T6" i="17"/>
  <c r="K7" i="17" l="1"/>
  <c r="T7" i="17"/>
  <c r="T8" i="17" l="1"/>
  <c r="K8" i="17"/>
  <c r="T9" i="17" l="1"/>
  <c r="K9" i="17"/>
  <c r="T10" i="17" l="1"/>
  <c r="K10" i="17"/>
  <c r="K11" i="17" l="1"/>
  <c r="T11" i="17"/>
  <c r="T12" i="17" l="1"/>
  <c r="K12" i="17"/>
  <c r="K13" i="17" l="1"/>
  <c r="K14" i="17" s="1"/>
  <c r="T13" i="17"/>
  <c r="T14" i="17" s="1"/>
  <c r="T15" i="17" l="1"/>
  <c r="T16" i="17" s="1"/>
  <c r="K15" i="17"/>
  <c r="K16" i="17" s="1"/>
  <c r="B6" i="17"/>
  <c r="BR60" i="4"/>
  <c r="CX91" i="4" s="1"/>
  <c r="BQ60" i="4"/>
  <c r="CW91" i="4" s="1"/>
  <c r="BM60" i="4"/>
  <c r="CS76" i="4" s="1"/>
  <c r="BL60" i="4"/>
  <c r="CR76" i="4" s="1"/>
  <c r="BD60" i="4"/>
  <c r="CZ91" i="4" s="1"/>
  <c r="BC60" i="4"/>
  <c r="CY91" i="4" s="1"/>
  <c r="AY60" i="4"/>
  <c r="CU76" i="4" s="1"/>
  <c r="AX60" i="4"/>
  <c r="CT76" i="4" s="1"/>
  <c r="AP60" i="4"/>
  <c r="DB91" i="4" s="1"/>
  <c r="AO60" i="4"/>
  <c r="DA91" i="4" s="1"/>
  <c r="AK60" i="4"/>
  <c r="CW76" i="4" s="1"/>
  <c r="AJ60" i="4"/>
  <c r="CV76" i="4" s="1"/>
  <c r="U121" i="4"/>
  <c r="T121" i="4"/>
  <c r="S121" i="4"/>
  <c r="W72" i="4"/>
  <c r="CY88" i="4" l="1"/>
  <c r="B7" i="17"/>
  <c r="B8" i="17" s="1"/>
  <c r="BM62" i="4"/>
  <c r="CS78" i="4" s="1"/>
  <c r="BL65" i="4"/>
  <c r="BM70" i="4"/>
  <c r="CS86" i="4" s="1"/>
  <c r="BM63" i="4"/>
  <c r="CS79" i="4" s="1"/>
  <c r="BM64" i="4"/>
  <c r="CS80" i="4" s="1"/>
  <c r="BM67" i="4"/>
  <c r="CS83" i="4" s="1"/>
  <c r="BM68" i="4"/>
  <c r="CS84" i="4" s="1"/>
  <c r="BM65" i="4"/>
  <c r="CS81" i="4" s="1"/>
  <c r="BL69" i="4"/>
  <c r="BL61" i="4"/>
  <c r="BL70" i="4"/>
  <c r="BL71" i="4"/>
  <c r="BL64" i="4"/>
  <c r="BM61" i="4"/>
  <c r="CS77" i="4" s="1"/>
  <c r="BL67" i="4"/>
  <c r="BL63" i="4"/>
  <c r="BL72" i="4"/>
  <c r="AX70" i="4"/>
  <c r="F11" i="60" s="1"/>
  <c r="AX62" i="4"/>
  <c r="F3" i="60" s="1"/>
  <c r="AY62" i="4"/>
  <c r="BL68" i="4"/>
  <c r="AX63" i="4"/>
  <c r="F4" i="60" s="1"/>
  <c r="AX67" i="4"/>
  <c r="F8" i="60" s="1"/>
  <c r="AX66" i="4"/>
  <c r="F7" i="60" s="1"/>
  <c r="AY70" i="4"/>
  <c r="AY72" i="4"/>
  <c r="AY69" i="4"/>
  <c r="AY65" i="4"/>
  <c r="AY61" i="4"/>
  <c r="AK61" i="4"/>
  <c r="AY66" i="4"/>
  <c r="AY68" i="4"/>
  <c r="AY64" i="4"/>
  <c r="AX65" i="4"/>
  <c r="F6" i="60" s="1"/>
  <c r="AY71" i="4"/>
  <c r="AY63" i="4"/>
  <c r="AY67" i="4"/>
  <c r="AX72" i="4"/>
  <c r="F13" i="60" s="1"/>
  <c r="AX64" i="4"/>
  <c r="F5" i="60" s="1"/>
  <c r="BL62" i="4"/>
  <c r="BL66" i="4"/>
  <c r="BM69" i="4"/>
  <c r="CS85" i="4" s="1"/>
  <c r="BM71" i="4"/>
  <c r="CS87" i="4" s="1"/>
  <c r="AX68" i="4"/>
  <c r="F9" i="60" s="1"/>
  <c r="BM72" i="4"/>
  <c r="CS88" i="4" s="1"/>
  <c r="BM66" i="4"/>
  <c r="CS82" i="4" s="1"/>
  <c r="AX69" i="4"/>
  <c r="F10" i="60" s="1"/>
  <c r="AJ69" i="4"/>
  <c r="CV85" i="4" s="1"/>
  <c r="AJ65" i="4"/>
  <c r="CV81" i="4" s="1"/>
  <c r="AK67" i="4"/>
  <c r="AJ62" i="4"/>
  <c r="CV78" i="4" s="1"/>
  <c r="AK70" i="4"/>
  <c r="AK62" i="4"/>
  <c r="AJ63" i="4"/>
  <c r="CV79" i="4" s="1"/>
  <c r="AK63" i="4"/>
  <c r="AK71" i="4"/>
  <c r="AJ70" i="4"/>
  <c r="CV86" i="4" s="1"/>
  <c r="AJ66" i="4"/>
  <c r="CV82" i="4" s="1"/>
  <c r="AK72" i="4"/>
  <c r="AK68" i="4"/>
  <c r="AK64" i="4"/>
  <c r="AX71" i="4"/>
  <c r="F12" i="60" s="1"/>
  <c r="AJ71" i="4"/>
  <c r="CV87" i="4" s="1"/>
  <c r="AJ67" i="4"/>
  <c r="CV83" i="4" s="1"/>
  <c r="AK66" i="4"/>
  <c r="AJ72" i="4"/>
  <c r="CV88" i="4" s="1"/>
  <c r="AJ68" i="4"/>
  <c r="CV84" i="4" s="1"/>
  <c r="AJ64" i="4"/>
  <c r="CV80" i="4" s="1"/>
  <c r="AK65" i="4"/>
  <c r="AK69" i="4"/>
  <c r="CW83" i="4" l="1"/>
  <c r="F8" i="59"/>
  <c r="F25" i="60"/>
  <c r="M13" i="60"/>
  <c r="M6" i="60"/>
  <c r="F18" i="60"/>
  <c r="CW77" i="4"/>
  <c r="F2" i="59"/>
  <c r="CU88" i="4"/>
  <c r="G13" i="60"/>
  <c r="F13" i="58"/>
  <c r="F16" i="60"/>
  <c r="M4" i="60"/>
  <c r="M11" i="60"/>
  <c r="F23" i="60"/>
  <c r="E2" i="58"/>
  <c r="E2" i="59"/>
  <c r="E6" i="58"/>
  <c r="E6" i="59"/>
  <c r="F24" i="60"/>
  <c r="M12" i="60"/>
  <c r="CW81" i="4"/>
  <c r="F6" i="59"/>
  <c r="CW82" i="4"/>
  <c r="F7" i="59"/>
  <c r="CW80" i="4"/>
  <c r="F5" i="59"/>
  <c r="CW78" i="4"/>
  <c r="F3" i="59"/>
  <c r="E7" i="59"/>
  <c r="E7" i="58"/>
  <c r="CU83" i="4"/>
  <c r="F8" i="58"/>
  <c r="G8" i="60"/>
  <c r="CU80" i="4"/>
  <c r="G5" i="60"/>
  <c r="F5" i="58"/>
  <c r="CU77" i="4"/>
  <c r="F2" i="58"/>
  <c r="G2" i="60"/>
  <c r="CU86" i="4"/>
  <c r="G11" i="60"/>
  <c r="F11" i="58"/>
  <c r="E9" i="58"/>
  <c r="E9" i="59"/>
  <c r="E13" i="58"/>
  <c r="E13" i="59"/>
  <c r="E5" i="58"/>
  <c r="E5" i="59"/>
  <c r="E10" i="59"/>
  <c r="E10" i="58"/>
  <c r="CW85" i="4"/>
  <c r="F10" i="59"/>
  <c r="CW84" i="4"/>
  <c r="F9" i="59"/>
  <c r="CW87" i="4"/>
  <c r="F12" i="59"/>
  <c r="CW86" i="4"/>
  <c r="F11" i="59"/>
  <c r="F21" i="60"/>
  <c r="M9" i="60"/>
  <c r="E3" i="58"/>
  <c r="E3" i="59"/>
  <c r="CU79" i="4"/>
  <c r="G4" i="60"/>
  <c r="F4" i="58"/>
  <c r="CU84" i="4"/>
  <c r="G9" i="60"/>
  <c r="F9" i="58"/>
  <c r="CU81" i="4"/>
  <c r="G6" i="60"/>
  <c r="F6" i="58"/>
  <c r="M7" i="60"/>
  <c r="F19" i="60"/>
  <c r="CU78" i="4"/>
  <c r="G3" i="60"/>
  <c r="F3" i="58"/>
  <c r="E4" i="58"/>
  <c r="E4" i="59"/>
  <c r="E12" i="58"/>
  <c r="E12" i="59"/>
  <c r="CW88" i="4"/>
  <c r="F13" i="59"/>
  <c r="CW79" i="4"/>
  <c r="F4" i="59"/>
  <c r="M10" i="60"/>
  <c r="F22" i="60"/>
  <c r="M5" i="60"/>
  <c r="F17" i="60"/>
  <c r="CU87" i="4"/>
  <c r="G12" i="60"/>
  <c r="F12" i="58"/>
  <c r="CU82" i="4"/>
  <c r="G7" i="60"/>
  <c r="F7" i="58"/>
  <c r="CU85" i="4"/>
  <c r="G10" i="60"/>
  <c r="F10" i="58"/>
  <c r="F20" i="60"/>
  <c r="M8" i="60"/>
  <c r="F15" i="60"/>
  <c r="M3" i="60"/>
  <c r="E8" i="58"/>
  <c r="E8" i="59"/>
  <c r="E11" i="59"/>
  <c r="E11" i="58"/>
  <c r="CT85" i="4"/>
  <c r="CT80" i="4"/>
  <c r="CT83" i="4"/>
  <c r="CT78" i="4"/>
  <c r="CR83" i="4"/>
  <c r="CR86" i="4"/>
  <c r="CT84" i="4"/>
  <c r="CT82" i="4"/>
  <c r="CT87" i="4"/>
  <c r="CT88" i="4"/>
  <c r="CT81" i="4"/>
  <c r="CT79" i="4"/>
  <c r="CT86" i="4"/>
  <c r="CR77" i="4"/>
  <c r="CR81" i="4"/>
  <c r="CR78" i="4"/>
  <c r="CR79" i="4"/>
  <c r="CR87" i="4"/>
  <c r="CR82" i="4"/>
  <c r="CR84" i="4"/>
  <c r="CR88" i="4"/>
  <c r="CR80" i="4"/>
  <c r="CR85" i="4"/>
  <c r="F2" i="34"/>
  <c r="M2" i="34" s="1"/>
  <c r="E3" i="38"/>
  <c r="L3" i="38" s="1"/>
  <c r="F4" i="38"/>
  <c r="M4" i="38" s="1"/>
  <c r="F9" i="38"/>
  <c r="M9" i="38" s="1"/>
  <c r="F6" i="38"/>
  <c r="M6" i="38" s="1"/>
  <c r="F3" i="38"/>
  <c r="M3" i="38" s="1"/>
  <c r="E4" i="38"/>
  <c r="L4" i="38" s="1"/>
  <c r="E12" i="38"/>
  <c r="L12" i="38" s="1"/>
  <c r="F12" i="38"/>
  <c r="M12" i="38" s="1"/>
  <c r="F7" i="38"/>
  <c r="M7" i="38" s="1"/>
  <c r="F10" i="38"/>
  <c r="M10" i="38" s="1"/>
  <c r="E8" i="38"/>
  <c r="L8" i="38" s="1"/>
  <c r="E11" i="38"/>
  <c r="L11" i="38" s="1"/>
  <c r="F13" i="38"/>
  <c r="M13" i="38" s="1"/>
  <c r="E2" i="38"/>
  <c r="E14" i="38" s="1"/>
  <c r="L14" i="38" s="1"/>
  <c r="E6" i="38"/>
  <c r="L6" i="38" s="1"/>
  <c r="E7" i="38"/>
  <c r="L7" i="38" s="1"/>
  <c r="F8" i="38"/>
  <c r="M8" i="38" s="1"/>
  <c r="F5" i="38"/>
  <c r="M5" i="38" s="1"/>
  <c r="F2" i="38"/>
  <c r="M2" i="38" s="1"/>
  <c r="F11" i="38"/>
  <c r="M11" i="38" s="1"/>
  <c r="E9" i="38"/>
  <c r="L9" i="38" s="1"/>
  <c r="E13" i="38"/>
  <c r="L13" i="38" s="1"/>
  <c r="E5" i="38"/>
  <c r="L5" i="38" s="1"/>
  <c r="E10" i="38"/>
  <c r="L10" i="38" s="1"/>
  <c r="F9" i="36"/>
  <c r="M9" i="36" s="1"/>
  <c r="G4" i="36"/>
  <c r="N4" i="36" s="1"/>
  <c r="G9" i="36"/>
  <c r="N9" i="36" s="1"/>
  <c r="G6" i="36"/>
  <c r="N6" i="36" s="1"/>
  <c r="F7" i="36"/>
  <c r="M7" i="36" s="1"/>
  <c r="G3" i="36"/>
  <c r="N3" i="36" s="1"/>
  <c r="F10" i="36"/>
  <c r="M10" i="36" s="1"/>
  <c r="F5" i="36"/>
  <c r="M5" i="36" s="1"/>
  <c r="G12" i="36"/>
  <c r="N12" i="36" s="1"/>
  <c r="G7" i="36"/>
  <c r="N7" i="36" s="1"/>
  <c r="G10" i="36"/>
  <c r="N10" i="36" s="1"/>
  <c r="F8" i="36"/>
  <c r="M8" i="36" s="1"/>
  <c r="F3" i="36"/>
  <c r="M3" i="36" s="1"/>
  <c r="F12" i="36"/>
  <c r="M12" i="36" s="1"/>
  <c r="F13" i="36"/>
  <c r="M13" i="36" s="1"/>
  <c r="F6" i="36"/>
  <c r="M6" i="36" s="1"/>
  <c r="G13" i="36"/>
  <c r="N13" i="36" s="1"/>
  <c r="F4" i="36"/>
  <c r="M4" i="36" s="1"/>
  <c r="F11" i="36"/>
  <c r="M11" i="36" s="1"/>
  <c r="G8" i="36"/>
  <c r="N8" i="36" s="1"/>
  <c r="G5" i="36"/>
  <c r="N5" i="36" s="1"/>
  <c r="G11" i="36"/>
  <c r="N11" i="36" s="1"/>
  <c r="G2" i="36"/>
  <c r="N2" i="36" s="1"/>
  <c r="E2" i="34"/>
  <c r="L2" i="34" s="1"/>
  <c r="F5" i="34"/>
  <c r="F17" i="34" s="1"/>
  <c r="F9" i="34"/>
  <c r="M9" i="34" s="1"/>
  <c r="F12" i="34"/>
  <c r="F24" i="34" s="1"/>
  <c r="F11" i="34"/>
  <c r="F23" i="34" s="1"/>
  <c r="E3" i="34"/>
  <c r="L3" i="34" s="1"/>
  <c r="E4" i="34"/>
  <c r="E16" i="34" s="1"/>
  <c r="E12" i="34"/>
  <c r="E24" i="34" s="1"/>
  <c r="F6" i="34"/>
  <c r="F18" i="34" s="1"/>
  <c r="E13" i="34"/>
  <c r="L13" i="34" s="1"/>
  <c r="E10" i="34"/>
  <c r="E22" i="34" s="1"/>
  <c r="F13" i="34"/>
  <c r="F25" i="34" s="1"/>
  <c r="F4" i="34"/>
  <c r="F16" i="34" s="1"/>
  <c r="E8" i="34"/>
  <c r="E20" i="34" s="1"/>
  <c r="E11" i="34"/>
  <c r="L11" i="34" s="1"/>
  <c r="F7" i="34"/>
  <c r="M7" i="34" s="1"/>
  <c r="F3" i="34"/>
  <c r="F15" i="34" s="1"/>
  <c r="E7" i="34"/>
  <c r="E19" i="34" s="1"/>
  <c r="E9" i="34"/>
  <c r="E21" i="34" s="1"/>
  <c r="E5" i="34"/>
  <c r="E17" i="34" s="1"/>
  <c r="F10" i="34"/>
  <c r="F22" i="34" s="1"/>
  <c r="F8" i="34"/>
  <c r="M8" i="34" s="1"/>
  <c r="E6" i="34"/>
  <c r="L6" i="34" s="1"/>
  <c r="B9" i="17"/>
  <c r="V67" i="4"/>
  <c r="CX83" i="4" s="1"/>
  <c r="V64" i="4"/>
  <c r="CX80" i="4" s="1"/>
  <c r="V70" i="4"/>
  <c r="CX86" i="4" s="1"/>
  <c r="V68" i="4"/>
  <c r="CX84" i="4" s="1"/>
  <c r="W71" i="4"/>
  <c r="W70" i="4"/>
  <c r="W64" i="4"/>
  <c r="V66" i="4"/>
  <c r="CX82" i="4" s="1"/>
  <c r="W63" i="4"/>
  <c r="W65" i="4"/>
  <c r="W69" i="4"/>
  <c r="W66" i="4"/>
  <c r="W62" i="4"/>
  <c r="V72" i="4"/>
  <c r="CX88" i="4" s="1"/>
  <c r="V62" i="4"/>
  <c r="CX78" i="4" s="1"/>
  <c r="W61" i="4"/>
  <c r="V71" i="4"/>
  <c r="CX87" i="4" s="1"/>
  <c r="V63" i="4"/>
  <c r="CX79" i="4" s="1"/>
  <c r="V65" i="4"/>
  <c r="CX81" i="4" s="1"/>
  <c r="W67" i="4"/>
  <c r="V69" i="4"/>
  <c r="CX85" i="4" s="1"/>
  <c r="W68" i="4"/>
  <c r="V61" i="4"/>
  <c r="CX77" i="4" s="1"/>
  <c r="L8" i="59" l="1"/>
  <c r="E20" i="59"/>
  <c r="F24" i="58"/>
  <c r="M12" i="58"/>
  <c r="L12" i="58"/>
  <c r="E24" i="58"/>
  <c r="N3" i="60"/>
  <c r="G15" i="60"/>
  <c r="F18" i="58"/>
  <c r="M6" i="58"/>
  <c r="G21" i="60"/>
  <c r="N9" i="60"/>
  <c r="F33" i="60"/>
  <c r="M21" i="60"/>
  <c r="L5" i="58"/>
  <c r="E17" i="58"/>
  <c r="L9" i="58"/>
  <c r="E21" i="58"/>
  <c r="G14" i="60"/>
  <c r="N2" i="60"/>
  <c r="G17" i="60"/>
  <c r="N5" i="60"/>
  <c r="M24" i="60"/>
  <c r="F36" i="60"/>
  <c r="L2" i="58"/>
  <c r="E14" i="58"/>
  <c r="F28" i="60"/>
  <c r="M16" i="60"/>
  <c r="M2" i="59"/>
  <c r="F14" i="59"/>
  <c r="L8" i="58"/>
  <c r="E20" i="58"/>
  <c r="F32" i="60"/>
  <c r="M20" i="60"/>
  <c r="M7" i="58"/>
  <c r="F19" i="58"/>
  <c r="G24" i="60"/>
  <c r="N12" i="60"/>
  <c r="M22" i="60"/>
  <c r="F34" i="60"/>
  <c r="F25" i="59"/>
  <c r="M13" i="59"/>
  <c r="E16" i="59"/>
  <c r="L4" i="59"/>
  <c r="G18" i="60"/>
  <c r="N6" i="60"/>
  <c r="L3" i="59"/>
  <c r="E15" i="59"/>
  <c r="F23" i="59"/>
  <c r="M11" i="59"/>
  <c r="F21" i="59"/>
  <c r="M9" i="59"/>
  <c r="L10" i="58"/>
  <c r="E22" i="58"/>
  <c r="L13" i="59"/>
  <c r="E25" i="59"/>
  <c r="M11" i="58"/>
  <c r="F23" i="58"/>
  <c r="M2" i="58"/>
  <c r="F14" i="58"/>
  <c r="L7" i="58"/>
  <c r="E19" i="58"/>
  <c r="F17" i="59"/>
  <c r="M5" i="59"/>
  <c r="M6" i="59"/>
  <c r="F18" i="59"/>
  <c r="E18" i="59"/>
  <c r="L6" i="59"/>
  <c r="M23" i="60"/>
  <c r="F35" i="60"/>
  <c r="M13" i="58"/>
  <c r="F25" i="58"/>
  <c r="F37" i="60"/>
  <c r="M25" i="60"/>
  <c r="L11" i="58"/>
  <c r="E23" i="58"/>
  <c r="F22" i="58"/>
  <c r="M10" i="58"/>
  <c r="N7" i="60"/>
  <c r="G19" i="60"/>
  <c r="L4" i="58"/>
  <c r="E16" i="58"/>
  <c r="M19" i="60"/>
  <c r="F31" i="60"/>
  <c r="F16" i="58"/>
  <c r="M4" i="58"/>
  <c r="L3" i="58"/>
  <c r="E15" i="58"/>
  <c r="L10" i="59"/>
  <c r="E22" i="59"/>
  <c r="L13" i="58"/>
  <c r="E25" i="58"/>
  <c r="G23" i="60"/>
  <c r="N11" i="60"/>
  <c r="G20" i="60"/>
  <c r="N8" i="60"/>
  <c r="E19" i="59"/>
  <c r="L7" i="59"/>
  <c r="L6" i="58"/>
  <c r="E18" i="58"/>
  <c r="N13" i="60"/>
  <c r="G25" i="60"/>
  <c r="M18" i="60"/>
  <c r="F30" i="60"/>
  <c r="M8" i="59"/>
  <c r="F20" i="59"/>
  <c r="E23" i="59"/>
  <c r="L11" i="59"/>
  <c r="M15" i="60"/>
  <c r="F27" i="60"/>
  <c r="G22" i="60"/>
  <c r="N10" i="60"/>
  <c r="F29" i="60"/>
  <c r="M17" i="60"/>
  <c r="M4" i="59"/>
  <c r="F16" i="59"/>
  <c r="L12" i="59"/>
  <c r="E24" i="59"/>
  <c r="M3" i="58"/>
  <c r="F15" i="58"/>
  <c r="M9" i="58"/>
  <c r="F21" i="58"/>
  <c r="G16" i="60"/>
  <c r="N4" i="60"/>
  <c r="M12" i="59"/>
  <c r="F24" i="59"/>
  <c r="M10" i="59"/>
  <c r="F22" i="59"/>
  <c r="E17" i="59"/>
  <c r="L5" i="59"/>
  <c r="E21" i="59"/>
  <c r="L9" i="59"/>
  <c r="M5" i="58"/>
  <c r="F17" i="58"/>
  <c r="F20" i="58"/>
  <c r="M8" i="58"/>
  <c r="F15" i="59"/>
  <c r="M3" i="59"/>
  <c r="F19" i="59"/>
  <c r="M7" i="59"/>
  <c r="E14" i="59"/>
  <c r="L2" i="59"/>
  <c r="CY84" i="4"/>
  <c r="CY78" i="4"/>
  <c r="CY79" i="4"/>
  <c r="CY87" i="4"/>
  <c r="CY86" i="4"/>
  <c r="CY83" i="4"/>
  <c r="CY81" i="4"/>
  <c r="CY82" i="4"/>
  <c r="CY85" i="4"/>
  <c r="CY80" i="4"/>
  <c r="CY77" i="4"/>
  <c r="F14" i="38"/>
  <c r="M14" i="38" s="1"/>
  <c r="F24" i="38"/>
  <c r="M24" i="38" s="1"/>
  <c r="F14" i="34"/>
  <c r="M14" i="34" s="1"/>
  <c r="E15" i="38"/>
  <c r="L15" i="38" s="1"/>
  <c r="E20" i="38"/>
  <c r="L20" i="38" s="1"/>
  <c r="F19" i="38"/>
  <c r="M19" i="38" s="1"/>
  <c r="F15" i="38"/>
  <c r="M15" i="38" s="1"/>
  <c r="F20" i="38"/>
  <c r="M20" i="38" s="1"/>
  <c r="F21" i="38"/>
  <c r="M21" i="38" s="1"/>
  <c r="F25" i="38"/>
  <c r="M25" i="38" s="1"/>
  <c r="E21" i="38"/>
  <c r="L21" i="38" s="1"/>
  <c r="E18" i="38"/>
  <c r="L18" i="38" s="1"/>
  <c r="E22" i="38"/>
  <c r="L22" i="38" s="1"/>
  <c r="E24" i="38"/>
  <c r="L24" i="38" s="1"/>
  <c r="E17" i="38"/>
  <c r="L17" i="38" s="1"/>
  <c r="F17" i="38"/>
  <c r="M17" i="38" s="1"/>
  <c r="L2" i="38"/>
  <c r="F16" i="38"/>
  <c r="M16" i="38" s="1"/>
  <c r="E19" i="38"/>
  <c r="L19" i="38" s="1"/>
  <c r="F18" i="38"/>
  <c r="M18" i="38" s="1"/>
  <c r="E16" i="38"/>
  <c r="L16" i="38" s="1"/>
  <c r="F23" i="38"/>
  <c r="M23" i="38" s="1"/>
  <c r="F22" i="38"/>
  <c r="M22" i="38" s="1"/>
  <c r="E25" i="38"/>
  <c r="L25" i="38" s="1"/>
  <c r="E23" i="38"/>
  <c r="L23" i="38" s="1"/>
  <c r="E26" i="38"/>
  <c r="L26" i="38" s="1"/>
  <c r="M11" i="34"/>
  <c r="E14" i="34"/>
  <c r="L14" i="34" s="1"/>
  <c r="G20" i="36"/>
  <c r="N20" i="36" s="1"/>
  <c r="F19" i="36"/>
  <c r="M19" i="36" s="1"/>
  <c r="F23" i="36"/>
  <c r="M23" i="36" s="1"/>
  <c r="G18" i="36"/>
  <c r="N18" i="36" s="1"/>
  <c r="F25" i="36"/>
  <c r="M25" i="36" s="1"/>
  <c r="F18" i="36"/>
  <c r="M18" i="36" s="1"/>
  <c r="G14" i="36"/>
  <c r="N14" i="36" s="1"/>
  <c r="G19" i="36"/>
  <c r="N19" i="36" s="1"/>
  <c r="F21" i="36"/>
  <c r="M21" i="36" s="1"/>
  <c r="G21" i="36"/>
  <c r="N21" i="36" s="1"/>
  <c r="G24" i="36"/>
  <c r="N24" i="36" s="1"/>
  <c r="F16" i="36"/>
  <c r="M16" i="36" s="1"/>
  <c r="F22" i="36"/>
  <c r="M22" i="36" s="1"/>
  <c r="F15" i="36"/>
  <c r="M15" i="36" s="1"/>
  <c r="F14" i="36"/>
  <c r="M14" i="36" s="1"/>
  <c r="F20" i="36"/>
  <c r="M20" i="36" s="1"/>
  <c r="G16" i="36"/>
  <c r="N16" i="36" s="1"/>
  <c r="F24" i="36"/>
  <c r="M24" i="36" s="1"/>
  <c r="G22" i="36"/>
  <c r="N22" i="36" s="1"/>
  <c r="G17" i="36"/>
  <c r="N17" i="36" s="1"/>
  <c r="G23" i="36"/>
  <c r="N23" i="36" s="1"/>
  <c r="F17" i="36"/>
  <c r="M17" i="36" s="1"/>
  <c r="G15" i="36"/>
  <c r="N15" i="36" s="1"/>
  <c r="G25" i="36"/>
  <c r="N25" i="36" s="1"/>
  <c r="M10" i="34"/>
  <c r="F21" i="34"/>
  <c r="M21" i="34" s="1"/>
  <c r="M6" i="34"/>
  <c r="E18" i="34"/>
  <c r="E30" i="34" s="1"/>
  <c r="L4" i="34"/>
  <c r="E23" i="34"/>
  <c r="L23" i="34" s="1"/>
  <c r="E25" i="34"/>
  <c r="E37" i="34" s="1"/>
  <c r="L9" i="34"/>
  <c r="L8" i="34"/>
  <c r="F19" i="34"/>
  <c r="F31" i="34" s="1"/>
  <c r="E15" i="34"/>
  <c r="E27" i="34" s="1"/>
  <c r="F20" i="34"/>
  <c r="M20" i="34" s="1"/>
  <c r="M13" i="34"/>
  <c r="L7" i="34"/>
  <c r="M5" i="34"/>
  <c r="L5" i="34"/>
  <c r="L12" i="34"/>
  <c r="M3" i="34"/>
  <c r="L10" i="34"/>
  <c r="M4" i="34"/>
  <c r="M12" i="34"/>
  <c r="F34" i="34"/>
  <c r="M22" i="34"/>
  <c r="F27" i="34"/>
  <c r="M15" i="34"/>
  <c r="F28" i="34"/>
  <c r="M16" i="34"/>
  <c r="E31" i="34"/>
  <c r="L19" i="34"/>
  <c r="E36" i="34"/>
  <c r="L24" i="34"/>
  <c r="F36" i="34"/>
  <c r="M24" i="34"/>
  <c r="E33" i="34"/>
  <c r="L21" i="34"/>
  <c r="E29" i="34"/>
  <c r="L17" i="34"/>
  <c r="F30" i="34"/>
  <c r="M18" i="34"/>
  <c r="E32" i="34"/>
  <c r="L20" i="34"/>
  <c r="F37" i="34"/>
  <c r="M25" i="34"/>
  <c r="E28" i="34"/>
  <c r="L16" i="34"/>
  <c r="F35" i="34"/>
  <c r="M23" i="34"/>
  <c r="E34" i="34"/>
  <c r="L22" i="34"/>
  <c r="F29" i="34"/>
  <c r="M17" i="34"/>
  <c r="B10" i="17"/>
  <c r="M22" i="59" l="1"/>
  <c r="F34" i="59"/>
  <c r="L24" i="59"/>
  <c r="E36" i="59"/>
  <c r="M27" i="60"/>
  <c r="F39" i="60"/>
  <c r="M20" i="59"/>
  <c r="F32" i="59"/>
  <c r="G37" i="60"/>
  <c r="N25" i="60"/>
  <c r="G32" i="60"/>
  <c r="N20" i="60"/>
  <c r="G31" i="60"/>
  <c r="N19" i="60"/>
  <c r="F49" i="60"/>
  <c r="M37" i="60"/>
  <c r="F35" i="59"/>
  <c r="M23" i="59"/>
  <c r="G30" i="60"/>
  <c r="N18" i="60"/>
  <c r="F37" i="59"/>
  <c r="M25" i="59"/>
  <c r="N24" i="60"/>
  <c r="G36" i="60"/>
  <c r="F44" i="60"/>
  <c r="M32" i="60"/>
  <c r="M14" i="59"/>
  <c r="F26" i="59"/>
  <c r="L14" i="58"/>
  <c r="E26" i="58"/>
  <c r="L21" i="58"/>
  <c r="E33" i="58"/>
  <c r="L24" i="58"/>
  <c r="E36" i="58"/>
  <c r="F36" i="58"/>
  <c r="M24" i="58"/>
  <c r="F31" i="59"/>
  <c r="M19" i="59"/>
  <c r="F32" i="58"/>
  <c r="M20" i="58"/>
  <c r="L21" i="59"/>
  <c r="E33" i="59"/>
  <c r="F41" i="60"/>
  <c r="M29" i="60"/>
  <c r="E34" i="59"/>
  <c r="L22" i="59"/>
  <c r="L16" i="58"/>
  <c r="E28" i="58"/>
  <c r="L23" i="58"/>
  <c r="E35" i="58"/>
  <c r="M25" i="58"/>
  <c r="F37" i="58"/>
  <c r="M14" i="58"/>
  <c r="F26" i="58"/>
  <c r="E37" i="59"/>
  <c r="L25" i="59"/>
  <c r="E27" i="59"/>
  <c r="L15" i="59"/>
  <c r="M34" i="60"/>
  <c r="F46" i="60"/>
  <c r="M19" i="58"/>
  <c r="F31" i="58"/>
  <c r="L20" i="58"/>
  <c r="E32" i="58"/>
  <c r="N17" i="60"/>
  <c r="G29" i="60"/>
  <c r="F45" i="60"/>
  <c r="M33" i="60"/>
  <c r="F30" i="58"/>
  <c r="M18" i="58"/>
  <c r="E26" i="59"/>
  <c r="L14" i="59"/>
  <c r="M17" i="58"/>
  <c r="F29" i="58"/>
  <c r="M24" i="59"/>
  <c r="F36" i="59"/>
  <c r="G28" i="60"/>
  <c r="N16" i="60"/>
  <c r="M15" i="58"/>
  <c r="F27" i="58"/>
  <c r="M16" i="59"/>
  <c r="F28" i="59"/>
  <c r="M30" i="60"/>
  <c r="F42" i="60"/>
  <c r="L19" i="59"/>
  <c r="E31" i="59"/>
  <c r="N23" i="60"/>
  <c r="G35" i="60"/>
  <c r="F28" i="58"/>
  <c r="M16" i="58"/>
  <c r="E30" i="59"/>
  <c r="L18" i="59"/>
  <c r="F29" i="59"/>
  <c r="M17" i="59"/>
  <c r="F33" i="59"/>
  <c r="M21" i="59"/>
  <c r="E28" i="59"/>
  <c r="L16" i="59"/>
  <c r="F48" i="60"/>
  <c r="M36" i="60"/>
  <c r="L17" i="58"/>
  <c r="E29" i="58"/>
  <c r="N15" i="60"/>
  <c r="G27" i="60"/>
  <c r="E32" i="59"/>
  <c r="L20" i="59"/>
  <c r="F27" i="59"/>
  <c r="M15" i="59"/>
  <c r="L17" i="59"/>
  <c r="E29" i="59"/>
  <c r="M21" i="58"/>
  <c r="F33" i="58"/>
  <c r="G34" i="60"/>
  <c r="N22" i="60"/>
  <c r="E35" i="59"/>
  <c r="L23" i="59"/>
  <c r="L18" i="58"/>
  <c r="E30" i="58"/>
  <c r="L25" i="58"/>
  <c r="E37" i="58"/>
  <c r="L15" i="58"/>
  <c r="E27" i="58"/>
  <c r="M31" i="60"/>
  <c r="F43" i="60"/>
  <c r="F34" i="58"/>
  <c r="M22" i="58"/>
  <c r="M35" i="60"/>
  <c r="F47" i="60"/>
  <c r="M18" i="59"/>
  <c r="F30" i="59"/>
  <c r="L19" i="58"/>
  <c r="E31" i="58"/>
  <c r="M23" i="58"/>
  <c r="F35" i="58"/>
  <c r="L22" i="58"/>
  <c r="E34" i="58"/>
  <c r="F40" i="60"/>
  <c r="M28" i="60"/>
  <c r="G26" i="60"/>
  <c r="N14" i="60"/>
  <c r="G33" i="60"/>
  <c r="N21" i="60"/>
  <c r="E36" i="38"/>
  <c r="L36" i="38" s="1"/>
  <c r="E33" i="38"/>
  <c r="L33" i="38" s="1"/>
  <c r="F36" i="38"/>
  <c r="M36" i="38" s="1"/>
  <c r="E32" i="38"/>
  <c r="L32" i="38" s="1"/>
  <c r="F33" i="38"/>
  <c r="M33" i="38" s="1"/>
  <c r="F26" i="38"/>
  <c r="M26" i="38" s="1"/>
  <c r="F26" i="34"/>
  <c r="F38" i="34" s="1"/>
  <c r="F37" i="38"/>
  <c r="M37" i="38" s="1"/>
  <c r="F32" i="38"/>
  <c r="M32" i="38" s="1"/>
  <c r="E31" i="38"/>
  <c r="L31" i="38" s="1"/>
  <c r="E27" i="38"/>
  <c r="L27" i="38" s="1"/>
  <c r="E34" i="38"/>
  <c r="L34" i="38" s="1"/>
  <c r="F29" i="38"/>
  <c r="M29" i="38" s="1"/>
  <c r="F27" i="38"/>
  <c r="M27" i="38" s="1"/>
  <c r="F31" i="38"/>
  <c r="M31" i="38" s="1"/>
  <c r="E30" i="38"/>
  <c r="L30" i="38" s="1"/>
  <c r="F28" i="38"/>
  <c r="M28" i="38" s="1"/>
  <c r="F30" i="38"/>
  <c r="M30" i="38" s="1"/>
  <c r="F35" i="38"/>
  <c r="M35" i="38" s="1"/>
  <c r="E35" i="38"/>
  <c r="L35" i="38" s="1"/>
  <c r="E29" i="38"/>
  <c r="L29" i="38" s="1"/>
  <c r="E37" i="38"/>
  <c r="L37" i="38" s="1"/>
  <c r="F34" i="38"/>
  <c r="M34" i="38" s="1"/>
  <c r="E28" i="38"/>
  <c r="L28" i="38" s="1"/>
  <c r="E38" i="38"/>
  <c r="L38" i="38" s="1"/>
  <c r="E26" i="34"/>
  <c r="L26" i="34" s="1"/>
  <c r="E35" i="34"/>
  <c r="E47" i="34" s="1"/>
  <c r="G37" i="36"/>
  <c r="N37" i="36" s="1"/>
  <c r="F28" i="36"/>
  <c r="M28" i="36" s="1"/>
  <c r="F29" i="36"/>
  <c r="M29" i="36" s="1"/>
  <c r="G28" i="36"/>
  <c r="N28" i="36" s="1"/>
  <c r="F32" i="36"/>
  <c r="M32" i="36" s="1"/>
  <c r="G36" i="36"/>
  <c r="N36" i="36" s="1"/>
  <c r="G31" i="36"/>
  <c r="N31" i="36" s="1"/>
  <c r="F35" i="36"/>
  <c r="M35" i="36" s="1"/>
  <c r="G27" i="36"/>
  <c r="N27" i="36" s="1"/>
  <c r="G35" i="36"/>
  <c r="N35" i="36" s="1"/>
  <c r="G34" i="36"/>
  <c r="N34" i="36" s="1"/>
  <c r="F36" i="36"/>
  <c r="M36" i="36" s="1"/>
  <c r="F26" i="36"/>
  <c r="M26" i="36" s="1"/>
  <c r="G33" i="36"/>
  <c r="N33" i="36" s="1"/>
  <c r="G26" i="36"/>
  <c r="N26" i="36" s="1"/>
  <c r="F30" i="36"/>
  <c r="M30" i="36" s="1"/>
  <c r="F37" i="36"/>
  <c r="M37" i="36" s="1"/>
  <c r="F31" i="36"/>
  <c r="M31" i="36" s="1"/>
  <c r="G29" i="36"/>
  <c r="N29" i="36" s="1"/>
  <c r="F34" i="36"/>
  <c r="M34" i="36" s="1"/>
  <c r="F27" i="36"/>
  <c r="M27" i="36" s="1"/>
  <c r="F33" i="36"/>
  <c r="M33" i="36" s="1"/>
  <c r="G30" i="36"/>
  <c r="N30" i="36" s="1"/>
  <c r="G32" i="36"/>
  <c r="N32" i="36" s="1"/>
  <c r="L15" i="34"/>
  <c r="F33" i="34"/>
  <c r="M33" i="34" s="1"/>
  <c r="L25" i="34"/>
  <c r="L18" i="34"/>
  <c r="M19" i="34"/>
  <c r="F32" i="34"/>
  <c r="F44" i="34" s="1"/>
  <c r="F41" i="34"/>
  <c r="M29" i="34"/>
  <c r="F47" i="34"/>
  <c r="M35" i="34"/>
  <c r="F43" i="34"/>
  <c r="M31" i="34"/>
  <c r="F49" i="34"/>
  <c r="M37" i="34"/>
  <c r="F42" i="34"/>
  <c r="M30" i="34"/>
  <c r="F48" i="34"/>
  <c r="M36" i="34"/>
  <c r="E48" i="34"/>
  <c r="L36" i="34"/>
  <c r="F46" i="34"/>
  <c r="M34" i="34"/>
  <c r="E46" i="34"/>
  <c r="L34" i="34"/>
  <c r="E40" i="34"/>
  <c r="L28" i="34"/>
  <c r="E49" i="34"/>
  <c r="L37" i="34"/>
  <c r="E44" i="34"/>
  <c r="L32" i="34"/>
  <c r="E41" i="34"/>
  <c r="L29" i="34"/>
  <c r="E45" i="34"/>
  <c r="L33" i="34"/>
  <c r="E39" i="34"/>
  <c r="L27" i="34"/>
  <c r="E43" i="34"/>
  <c r="L31" i="34"/>
  <c r="F40" i="34"/>
  <c r="M28" i="34"/>
  <c r="F39" i="34"/>
  <c r="M27" i="34"/>
  <c r="E42" i="34"/>
  <c r="L30" i="34"/>
  <c r="B11" i="17"/>
  <c r="M43" i="60" l="1"/>
  <c r="F55" i="60"/>
  <c r="L37" i="58"/>
  <c r="E49" i="58"/>
  <c r="G46" i="60"/>
  <c r="N34" i="60"/>
  <c r="E44" i="59"/>
  <c r="L32" i="59"/>
  <c r="L28" i="59"/>
  <c r="E40" i="59"/>
  <c r="E43" i="59"/>
  <c r="L31" i="59"/>
  <c r="M28" i="59"/>
  <c r="F40" i="59"/>
  <c r="M29" i="58"/>
  <c r="F41" i="58"/>
  <c r="L32" i="58"/>
  <c r="E44" i="58"/>
  <c r="M46" i="60"/>
  <c r="F58" i="60"/>
  <c r="E39" i="59"/>
  <c r="L27" i="59"/>
  <c r="E46" i="59"/>
  <c r="L34" i="59"/>
  <c r="F53" i="60"/>
  <c r="M41" i="60"/>
  <c r="F44" i="58"/>
  <c r="M32" i="58"/>
  <c r="F56" i="60"/>
  <c r="M44" i="60"/>
  <c r="F49" i="59"/>
  <c r="M37" i="59"/>
  <c r="F47" i="59"/>
  <c r="M35" i="59"/>
  <c r="N32" i="60"/>
  <c r="G44" i="60"/>
  <c r="L36" i="59"/>
  <c r="E48" i="59"/>
  <c r="F52" i="60"/>
  <c r="M40" i="60"/>
  <c r="M35" i="58"/>
  <c r="F47" i="58"/>
  <c r="M30" i="59"/>
  <c r="F42" i="59"/>
  <c r="M33" i="58"/>
  <c r="F45" i="58"/>
  <c r="G39" i="60"/>
  <c r="N27" i="60"/>
  <c r="F41" i="59"/>
  <c r="M29" i="59"/>
  <c r="F40" i="58"/>
  <c r="M28" i="58"/>
  <c r="N28" i="60"/>
  <c r="G40" i="60"/>
  <c r="M30" i="58"/>
  <c r="F42" i="58"/>
  <c r="G41" i="60"/>
  <c r="N29" i="60"/>
  <c r="M37" i="58"/>
  <c r="F49" i="58"/>
  <c r="L28" i="58"/>
  <c r="E40" i="58"/>
  <c r="E45" i="59"/>
  <c r="L33" i="59"/>
  <c r="F48" i="58"/>
  <c r="M36" i="58"/>
  <c r="L33" i="58"/>
  <c r="E45" i="58"/>
  <c r="M26" i="59"/>
  <c r="F38" i="59"/>
  <c r="N36" i="60"/>
  <c r="G48" i="60"/>
  <c r="F61" i="60"/>
  <c r="M49" i="60"/>
  <c r="M39" i="60"/>
  <c r="F51" i="60"/>
  <c r="G38" i="60"/>
  <c r="N26" i="60"/>
  <c r="L27" i="58"/>
  <c r="E39" i="58"/>
  <c r="L30" i="58"/>
  <c r="E42" i="58"/>
  <c r="L35" i="59"/>
  <c r="E47" i="59"/>
  <c r="F39" i="59"/>
  <c r="M27" i="59"/>
  <c r="G47" i="60"/>
  <c r="N35" i="60"/>
  <c r="F54" i="60"/>
  <c r="M42" i="60"/>
  <c r="M27" i="58"/>
  <c r="F39" i="58"/>
  <c r="M36" i="59"/>
  <c r="F48" i="59"/>
  <c r="M31" i="58"/>
  <c r="F43" i="58"/>
  <c r="L37" i="59"/>
  <c r="E49" i="59"/>
  <c r="F43" i="59"/>
  <c r="M31" i="59"/>
  <c r="L36" i="58"/>
  <c r="E48" i="58"/>
  <c r="G42" i="60"/>
  <c r="N30" i="60"/>
  <c r="G49" i="60"/>
  <c r="N37" i="60"/>
  <c r="M34" i="59"/>
  <c r="F46" i="59"/>
  <c r="G45" i="60"/>
  <c r="N33" i="60"/>
  <c r="L34" i="58"/>
  <c r="E46" i="58"/>
  <c r="L31" i="58"/>
  <c r="E43" i="58"/>
  <c r="M47" i="60"/>
  <c r="F59" i="60"/>
  <c r="F46" i="58"/>
  <c r="M34" i="58"/>
  <c r="L29" i="59"/>
  <c r="E41" i="59"/>
  <c r="L29" i="58"/>
  <c r="E41" i="58"/>
  <c r="M48" i="60"/>
  <c r="F60" i="60"/>
  <c r="F45" i="59"/>
  <c r="M33" i="59"/>
  <c r="E42" i="59"/>
  <c r="L30" i="59"/>
  <c r="L26" i="59"/>
  <c r="E38" i="59"/>
  <c r="F57" i="60"/>
  <c r="M45" i="60"/>
  <c r="M26" i="58"/>
  <c r="F38" i="58"/>
  <c r="L35" i="58"/>
  <c r="E47" i="58"/>
  <c r="L26" i="58"/>
  <c r="E38" i="58"/>
  <c r="G43" i="60"/>
  <c r="N31" i="60"/>
  <c r="M32" i="59"/>
  <c r="F44" i="59"/>
  <c r="E48" i="38"/>
  <c r="L48" i="38" s="1"/>
  <c r="E45" i="38"/>
  <c r="L45" i="38" s="1"/>
  <c r="F45" i="38"/>
  <c r="M45" i="38" s="1"/>
  <c r="F38" i="38"/>
  <c r="M38" i="38" s="1"/>
  <c r="F48" i="38"/>
  <c r="M48" i="38" s="1"/>
  <c r="E44" i="38"/>
  <c r="L44" i="38" s="1"/>
  <c r="M26" i="34"/>
  <c r="F49" i="38"/>
  <c r="M49" i="38" s="1"/>
  <c r="E42" i="38"/>
  <c r="L42" i="38" s="1"/>
  <c r="F39" i="38"/>
  <c r="M39" i="38" s="1"/>
  <c r="E43" i="38"/>
  <c r="L43" i="38" s="1"/>
  <c r="F44" i="38"/>
  <c r="M44" i="38" s="1"/>
  <c r="E39" i="38"/>
  <c r="L39" i="38" s="1"/>
  <c r="F42" i="38"/>
  <c r="M42" i="38" s="1"/>
  <c r="F41" i="38"/>
  <c r="M41" i="38" s="1"/>
  <c r="E46" i="38"/>
  <c r="L46" i="38" s="1"/>
  <c r="F47" i="38"/>
  <c r="M47" i="38" s="1"/>
  <c r="F43" i="38"/>
  <c r="M43" i="38" s="1"/>
  <c r="E49" i="38"/>
  <c r="L49" i="38" s="1"/>
  <c r="F40" i="38"/>
  <c r="M40" i="38" s="1"/>
  <c r="E41" i="38"/>
  <c r="L41" i="38" s="1"/>
  <c r="E47" i="38"/>
  <c r="L47" i="38" s="1"/>
  <c r="F46" i="38"/>
  <c r="M46" i="38" s="1"/>
  <c r="E40" i="38"/>
  <c r="L40" i="38" s="1"/>
  <c r="E50" i="38"/>
  <c r="L50" i="38" s="1"/>
  <c r="E38" i="34"/>
  <c r="E50" i="34" s="1"/>
  <c r="L35" i="34"/>
  <c r="F45" i="34"/>
  <c r="F57" i="34" s="1"/>
  <c r="F43" i="36"/>
  <c r="M43" i="36" s="1"/>
  <c r="F49" i="36"/>
  <c r="M49" i="36" s="1"/>
  <c r="F38" i="36"/>
  <c r="M38" i="36" s="1"/>
  <c r="G47" i="36"/>
  <c r="N47" i="36" s="1"/>
  <c r="G39" i="36"/>
  <c r="N39" i="36" s="1"/>
  <c r="G43" i="36"/>
  <c r="N43" i="36" s="1"/>
  <c r="G40" i="36"/>
  <c r="N40" i="36" s="1"/>
  <c r="F41" i="36"/>
  <c r="M41" i="36" s="1"/>
  <c r="G42" i="36"/>
  <c r="N42" i="36" s="1"/>
  <c r="F45" i="36"/>
  <c r="M45" i="36" s="1"/>
  <c r="F46" i="36"/>
  <c r="M46" i="36" s="1"/>
  <c r="G41" i="36"/>
  <c r="N41" i="36" s="1"/>
  <c r="F42" i="36"/>
  <c r="M42" i="36" s="1"/>
  <c r="G38" i="36"/>
  <c r="N38" i="36" s="1"/>
  <c r="F47" i="36"/>
  <c r="M47" i="36" s="1"/>
  <c r="G44" i="36"/>
  <c r="N44" i="36" s="1"/>
  <c r="F39" i="36"/>
  <c r="M39" i="36" s="1"/>
  <c r="G45" i="36"/>
  <c r="N45" i="36" s="1"/>
  <c r="F48" i="36"/>
  <c r="M48" i="36" s="1"/>
  <c r="G46" i="36"/>
  <c r="N46" i="36" s="1"/>
  <c r="G48" i="36"/>
  <c r="N48" i="36" s="1"/>
  <c r="F44" i="36"/>
  <c r="M44" i="36" s="1"/>
  <c r="F40" i="36"/>
  <c r="M40" i="36" s="1"/>
  <c r="G49" i="36"/>
  <c r="N49" i="36" s="1"/>
  <c r="M32" i="34"/>
  <c r="E56" i="34"/>
  <c r="L44" i="34"/>
  <c r="F56" i="34"/>
  <c r="M44" i="34"/>
  <c r="F61" i="34"/>
  <c r="M49" i="34"/>
  <c r="E54" i="34"/>
  <c r="L42" i="34"/>
  <c r="F52" i="34"/>
  <c r="M40" i="34"/>
  <c r="E51" i="34"/>
  <c r="L39" i="34"/>
  <c r="F50" i="34"/>
  <c r="M38" i="34"/>
  <c r="E52" i="34"/>
  <c r="L40" i="34"/>
  <c r="F58" i="34"/>
  <c r="M46" i="34"/>
  <c r="F60" i="34"/>
  <c r="M48" i="34"/>
  <c r="F59" i="34"/>
  <c r="M47" i="34"/>
  <c r="F51" i="34"/>
  <c r="M39" i="34"/>
  <c r="E55" i="34"/>
  <c r="L43" i="34"/>
  <c r="E57" i="34"/>
  <c r="L45" i="34"/>
  <c r="E53" i="34"/>
  <c r="L41" i="34"/>
  <c r="E61" i="34"/>
  <c r="L49" i="34"/>
  <c r="E58" i="34"/>
  <c r="L46" i="34"/>
  <c r="E59" i="34"/>
  <c r="L47" i="34"/>
  <c r="E60" i="34"/>
  <c r="L48" i="34"/>
  <c r="F54" i="34"/>
  <c r="M42" i="34"/>
  <c r="F55" i="34"/>
  <c r="M43" i="34"/>
  <c r="F53" i="34"/>
  <c r="M41" i="34"/>
  <c r="B12" i="17"/>
  <c r="G55" i="60" l="1"/>
  <c r="N43" i="60"/>
  <c r="F57" i="59"/>
  <c r="M45" i="59"/>
  <c r="F58" i="58"/>
  <c r="M46" i="58"/>
  <c r="N45" i="60"/>
  <c r="G57" i="60"/>
  <c r="F55" i="59"/>
  <c r="M43" i="59"/>
  <c r="N47" i="60"/>
  <c r="G59" i="60"/>
  <c r="F51" i="59"/>
  <c r="M39" i="59"/>
  <c r="G50" i="60"/>
  <c r="N38" i="60"/>
  <c r="M38" i="59"/>
  <c r="F50" i="59"/>
  <c r="L40" i="58"/>
  <c r="E52" i="58"/>
  <c r="F54" i="58"/>
  <c r="M42" i="58"/>
  <c r="E60" i="59"/>
  <c r="L48" i="59"/>
  <c r="F61" i="59"/>
  <c r="M49" i="59"/>
  <c r="E51" i="59"/>
  <c r="L39" i="59"/>
  <c r="G58" i="60"/>
  <c r="N46" i="60"/>
  <c r="M44" i="59"/>
  <c r="F56" i="59"/>
  <c r="L47" i="58"/>
  <c r="E59" i="58"/>
  <c r="F69" i="60"/>
  <c r="M57" i="60"/>
  <c r="F72" i="60"/>
  <c r="M60" i="60"/>
  <c r="E53" i="59"/>
  <c r="L41" i="59"/>
  <c r="M59" i="60"/>
  <c r="F71" i="60"/>
  <c r="L46" i="58"/>
  <c r="E58" i="58"/>
  <c r="M46" i="59"/>
  <c r="F58" i="59"/>
  <c r="N49" i="60"/>
  <c r="G61" i="60"/>
  <c r="L48" i="58"/>
  <c r="E60" i="58"/>
  <c r="M43" i="58"/>
  <c r="F55" i="58"/>
  <c r="M48" i="59"/>
  <c r="F60" i="59"/>
  <c r="E59" i="59"/>
  <c r="L47" i="59"/>
  <c r="L39" i="58"/>
  <c r="E51" i="58"/>
  <c r="F73" i="60"/>
  <c r="M61" i="60"/>
  <c r="F60" i="58"/>
  <c r="M48" i="58"/>
  <c r="F52" i="58"/>
  <c r="M40" i="58"/>
  <c r="G51" i="60"/>
  <c r="N39" i="60"/>
  <c r="M42" i="59"/>
  <c r="F54" i="59"/>
  <c r="F56" i="58"/>
  <c r="M44" i="58"/>
  <c r="E58" i="59"/>
  <c r="L46" i="59"/>
  <c r="M58" i="60"/>
  <c r="F70" i="60"/>
  <c r="M41" i="58"/>
  <c r="F53" i="58"/>
  <c r="L49" i="58"/>
  <c r="E61" i="58"/>
  <c r="L38" i="58"/>
  <c r="E50" i="58"/>
  <c r="E50" i="59"/>
  <c r="L38" i="59"/>
  <c r="L42" i="59"/>
  <c r="E54" i="59"/>
  <c r="M54" i="60"/>
  <c r="F66" i="60"/>
  <c r="M51" i="60"/>
  <c r="F63" i="60"/>
  <c r="N48" i="60"/>
  <c r="G60" i="60"/>
  <c r="L45" i="58"/>
  <c r="E57" i="58"/>
  <c r="M49" i="58"/>
  <c r="F61" i="58"/>
  <c r="N40" i="60"/>
  <c r="G52" i="60"/>
  <c r="M45" i="58"/>
  <c r="F57" i="58"/>
  <c r="F64" i="60"/>
  <c r="M52" i="60"/>
  <c r="N44" i="60"/>
  <c r="G56" i="60"/>
  <c r="F59" i="59"/>
  <c r="M47" i="59"/>
  <c r="M56" i="60"/>
  <c r="F68" i="60"/>
  <c r="L43" i="59"/>
  <c r="E55" i="59"/>
  <c r="L44" i="59"/>
  <c r="E56" i="59"/>
  <c r="F50" i="58"/>
  <c r="M38" i="58"/>
  <c r="L41" i="58"/>
  <c r="E53" i="58"/>
  <c r="L43" i="58"/>
  <c r="E55" i="58"/>
  <c r="G54" i="60"/>
  <c r="N42" i="60"/>
  <c r="E61" i="59"/>
  <c r="L49" i="59"/>
  <c r="M39" i="58"/>
  <c r="F51" i="58"/>
  <c r="L42" i="58"/>
  <c r="E54" i="58"/>
  <c r="L45" i="59"/>
  <c r="E57" i="59"/>
  <c r="G53" i="60"/>
  <c r="N41" i="60"/>
  <c r="F53" i="59"/>
  <c r="M41" i="59"/>
  <c r="M47" i="58"/>
  <c r="F59" i="58"/>
  <c r="F65" i="60"/>
  <c r="M53" i="60"/>
  <c r="L44" i="58"/>
  <c r="E56" i="58"/>
  <c r="M40" i="59"/>
  <c r="F52" i="59"/>
  <c r="E52" i="59"/>
  <c r="L40" i="59"/>
  <c r="M55" i="60"/>
  <c r="F67" i="60"/>
  <c r="E60" i="38"/>
  <c r="L60" i="38" s="1"/>
  <c r="E57" i="38"/>
  <c r="L57" i="38" s="1"/>
  <c r="F50" i="38"/>
  <c r="M50" i="38" s="1"/>
  <c r="F57" i="38"/>
  <c r="M57" i="38" s="1"/>
  <c r="F60" i="38"/>
  <c r="M60" i="38" s="1"/>
  <c r="F54" i="38"/>
  <c r="M54" i="38" s="1"/>
  <c r="F61" i="38"/>
  <c r="M61" i="38" s="1"/>
  <c r="E56" i="38"/>
  <c r="L56" i="38" s="1"/>
  <c r="F56" i="38"/>
  <c r="M56" i="38" s="1"/>
  <c r="E54" i="38"/>
  <c r="L54" i="38" s="1"/>
  <c r="F51" i="38"/>
  <c r="M51" i="38" s="1"/>
  <c r="E55" i="38"/>
  <c r="L55" i="38" s="1"/>
  <c r="E51" i="38"/>
  <c r="L51" i="38" s="1"/>
  <c r="F53" i="38"/>
  <c r="M53" i="38" s="1"/>
  <c r="E58" i="38"/>
  <c r="L58" i="38" s="1"/>
  <c r="F58" i="38"/>
  <c r="M58" i="38" s="1"/>
  <c r="F55" i="38"/>
  <c r="M55" i="38" s="1"/>
  <c r="F59" i="38"/>
  <c r="M59" i="38" s="1"/>
  <c r="E52" i="38"/>
  <c r="L52" i="38" s="1"/>
  <c r="E53" i="38"/>
  <c r="L53" i="38" s="1"/>
  <c r="E61" i="38"/>
  <c r="L61" i="38" s="1"/>
  <c r="E59" i="38"/>
  <c r="L59" i="38" s="1"/>
  <c r="F52" i="38"/>
  <c r="M52" i="38" s="1"/>
  <c r="E62" i="38"/>
  <c r="L62" i="38" s="1"/>
  <c r="L38" i="34"/>
  <c r="M45" i="34"/>
  <c r="G51" i="36"/>
  <c r="N51" i="36" s="1"/>
  <c r="G58" i="36"/>
  <c r="N58" i="36" s="1"/>
  <c r="G56" i="36"/>
  <c r="N56" i="36" s="1"/>
  <c r="G50" i="36"/>
  <c r="N50" i="36" s="1"/>
  <c r="G53" i="36"/>
  <c r="N53" i="36" s="1"/>
  <c r="F55" i="36"/>
  <c r="M55" i="36" s="1"/>
  <c r="G60" i="36"/>
  <c r="N60" i="36" s="1"/>
  <c r="F59" i="36"/>
  <c r="M59" i="36" s="1"/>
  <c r="G61" i="36"/>
  <c r="N61" i="36" s="1"/>
  <c r="F56" i="36"/>
  <c r="M56" i="36" s="1"/>
  <c r="F51" i="36"/>
  <c r="M51" i="36" s="1"/>
  <c r="F54" i="36"/>
  <c r="M54" i="36" s="1"/>
  <c r="F53" i="36"/>
  <c r="M53" i="36" s="1"/>
  <c r="G52" i="36"/>
  <c r="N52" i="36" s="1"/>
  <c r="G55" i="36"/>
  <c r="N55" i="36" s="1"/>
  <c r="G59" i="36"/>
  <c r="N59" i="36" s="1"/>
  <c r="F50" i="36"/>
  <c r="M50" i="36" s="1"/>
  <c r="F52" i="36"/>
  <c r="M52" i="36" s="1"/>
  <c r="G54" i="36"/>
  <c r="N54" i="36" s="1"/>
  <c r="F60" i="36"/>
  <c r="M60" i="36" s="1"/>
  <c r="G57" i="36"/>
  <c r="N57" i="36" s="1"/>
  <c r="F58" i="36"/>
  <c r="M58" i="36" s="1"/>
  <c r="F57" i="36"/>
  <c r="M57" i="36" s="1"/>
  <c r="F61" i="36"/>
  <c r="M61" i="36" s="1"/>
  <c r="F65" i="34"/>
  <c r="M53" i="34"/>
  <c r="F66" i="34"/>
  <c r="M54" i="34"/>
  <c r="E72" i="34"/>
  <c r="L60" i="34"/>
  <c r="E70" i="34"/>
  <c r="L58" i="34"/>
  <c r="E65" i="34"/>
  <c r="L53" i="34"/>
  <c r="E67" i="34"/>
  <c r="L55" i="34"/>
  <c r="F71" i="34"/>
  <c r="M59" i="34"/>
  <c r="F70" i="34"/>
  <c r="M58" i="34"/>
  <c r="F62" i="34"/>
  <c r="M50" i="34"/>
  <c r="F64" i="34"/>
  <c r="M52" i="34"/>
  <c r="F73" i="34"/>
  <c r="M61" i="34"/>
  <c r="F69" i="34"/>
  <c r="M57" i="34"/>
  <c r="F67" i="34"/>
  <c r="M55" i="34"/>
  <c r="E62" i="34"/>
  <c r="L50" i="34"/>
  <c r="E71" i="34"/>
  <c r="L59" i="34"/>
  <c r="E73" i="34"/>
  <c r="L61" i="34"/>
  <c r="E69" i="34"/>
  <c r="L57" i="34"/>
  <c r="F63" i="34"/>
  <c r="M51" i="34"/>
  <c r="F72" i="34"/>
  <c r="M60" i="34"/>
  <c r="E64" i="34"/>
  <c r="L52" i="34"/>
  <c r="E63" i="34"/>
  <c r="L51" i="34"/>
  <c r="E66" i="34"/>
  <c r="L54" i="34"/>
  <c r="F68" i="34"/>
  <c r="M56" i="34"/>
  <c r="E68" i="34"/>
  <c r="L56" i="34"/>
  <c r="B13" i="17"/>
  <c r="B14" i="17" s="1"/>
  <c r="L56" i="58" l="1"/>
  <c r="E68" i="58"/>
  <c r="F77" i="60"/>
  <c r="M65" i="60"/>
  <c r="G65" i="60"/>
  <c r="N53" i="60"/>
  <c r="G66" i="60"/>
  <c r="N54" i="60"/>
  <c r="F71" i="59"/>
  <c r="M59" i="59"/>
  <c r="F76" i="60"/>
  <c r="M64" i="60"/>
  <c r="L57" i="58"/>
  <c r="E69" i="58"/>
  <c r="M63" i="60"/>
  <c r="F75" i="60"/>
  <c r="E66" i="59"/>
  <c r="L54" i="59"/>
  <c r="L50" i="58"/>
  <c r="E62" i="58"/>
  <c r="M70" i="60"/>
  <c r="F82" i="60"/>
  <c r="G63" i="60"/>
  <c r="N51" i="60"/>
  <c r="F72" i="58"/>
  <c r="M60" i="58"/>
  <c r="M60" i="59"/>
  <c r="F72" i="59"/>
  <c r="L60" i="58"/>
  <c r="E72" i="58"/>
  <c r="M58" i="59"/>
  <c r="F70" i="59"/>
  <c r="M71" i="60"/>
  <c r="F83" i="60"/>
  <c r="L59" i="58"/>
  <c r="E71" i="58"/>
  <c r="M50" i="59"/>
  <c r="F62" i="59"/>
  <c r="G62" i="60"/>
  <c r="N50" i="60"/>
  <c r="F69" i="59"/>
  <c r="M57" i="59"/>
  <c r="L52" i="59"/>
  <c r="E64" i="59"/>
  <c r="E69" i="59"/>
  <c r="L57" i="59"/>
  <c r="L54" i="58"/>
  <c r="E66" i="58"/>
  <c r="L55" i="58"/>
  <c r="E67" i="58"/>
  <c r="E67" i="59"/>
  <c r="L55" i="59"/>
  <c r="F80" i="60"/>
  <c r="M68" i="60"/>
  <c r="N56" i="60"/>
  <c r="G68" i="60"/>
  <c r="M57" i="58"/>
  <c r="F69" i="58"/>
  <c r="M61" i="58"/>
  <c r="F73" i="58"/>
  <c r="F68" i="58"/>
  <c r="M56" i="58"/>
  <c r="M54" i="59"/>
  <c r="F66" i="59"/>
  <c r="F84" i="60"/>
  <c r="M72" i="60"/>
  <c r="F73" i="59"/>
  <c r="M61" i="59"/>
  <c r="M54" i="58"/>
  <c r="F66" i="58"/>
  <c r="M67" i="60"/>
  <c r="F79" i="60"/>
  <c r="M52" i="59"/>
  <c r="F64" i="59"/>
  <c r="F65" i="59"/>
  <c r="M53" i="59"/>
  <c r="L61" i="59"/>
  <c r="E73" i="59"/>
  <c r="N60" i="60"/>
  <c r="G72" i="60"/>
  <c r="L61" i="58"/>
  <c r="E73" i="58"/>
  <c r="M53" i="58"/>
  <c r="F65" i="58"/>
  <c r="F64" i="58"/>
  <c r="M52" i="58"/>
  <c r="F85" i="60"/>
  <c r="M73" i="60"/>
  <c r="L59" i="59"/>
  <c r="E71" i="59"/>
  <c r="M55" i="58"/>
  <c r="F67" i="58"/>
  <c r="G73" i="60"/>
  <c r="N61" i="60"/>
  <c r="L58" i="58"/>
  <c r="E70" i="58"/>
  <c r="M56" i="59"/>
  <c r="F68" i="59"/>
  <c r="G70" i="60"/>
  <c r="N58" i="60"/>
  <c r="L51" i="59"/>
  <c r="E63" i="59"/>
  <c r="L52" i="58"/>
  <c r="E64" i="58"/>
  <c r="F63" i="59"/>
  <c r="M51" i="59"/>
  <c r="F67" i="59"/>
  <c r="M55" i="59"/>
  <c r="M58" i="58"/>
  <c r="F70" i="58"/>
  <c r="M59" i="58"/>
  <c r="F71" i="58"/>
  <c r="M51" i="58"/>
  <c r="F63" i="58"/>
  <c r="L53" i="58"/>
  <c r="E65" i="58"/>
  <c r="F62" i="58"/>
  <c r="M50" i="58"/>
  <c r="E68" i="59"/>
  <c r="L56" i="59"/>
  <c r="N52" i="60"/>
  <c r="G64" i="60"/>
  <c r="M66" i="60"/>
  <c r="F78" i="60"/>
  <c r="L50" i="59"/>
  <c r="E62" i="59"/>
  <c r="L58" i="59"/>
  <c r="E70" i="59"/>
  <c r="L51" i="58"/>
  <c r="E63" i="58"/>
  <c r="L53" i="59"/>
  <c r="E65" i="59"/>
  <c r="F81" i="60"/>
  <c r="M69" i="60"/>
  <c r="L60" i="59"/>
  <c r="E72" i="59"/>
  <c r="G71" i="60"/>
  <c r="N59" i="60"/>
  <c r="G69" i="60"/>
  <c r="N57" i="60"/>
  <c r="N55" i="60"/>
  <c r="G67" i="60"/>
  <c r="E72" i="38"/>
  <c r="L72" i="38" s="1"/>
  <c r="E69" i="38"/>
  <c r="L69" i="38" s="1"/>
  <c r="E68" i="38"/>
  <c r="L68" i="38" s="1"/>
  <c r="F72" i="38"/>
  <c r="M72" i="38" s="1"/>
  <c r="F73" i="38"/>
  <c r="M73" i="38" s="1"/>
  <c r="F66" i="38"/>
  <c r="M66" i="38" s="1"/>
  <c r="F62" i="38"/>
  <c r="M62" i="38" s="1"/>
  <c r="F69" i="38"/>
  <c r="M69" i="38" s="1"/>
  <c r="F68" i="38"/>
  <c r="M68" i="38" s="1"/>
  <c r="F63" i="38"/>
  <c r="M63" i="38" s="1"/>
  <c r="E66" i="38"/>
  <c r="L66" i="38" s="1"/>
  <c r="E67" i="38"/>
  <c r="L67" i="38" s="1"/>
  <c r="E63" i="38"/>
  <c r="L63" i="38" s="1"/>
  <c r="F65" i="38"/>
  <c r="M65" i="38" s="1"/>
  <c r="F67" i="38"/>
  <c r="M67" i="38" s="1"/>
  <c r="F70" i="38"/>
  <c r="M70" i="38" s="1"/>
  <c r="E70" i="38"/>
  <c r="L70" i="38" s="1"/>
  <c r="E64" i="38"/>
  <c r="L64" i="38" s="1"/>
  <c r="F71" i="38"/>
  <c r="M71" i="38" s="1"/>
  <c r="E73" i="38"/>
  <c r="L73" i="38" s="1"/>
  <c r="E65" i="38"/>
  <c r="L65" i="38" s="1"/>
  <c r="E71" i="38"/>
  <c r="L71" i="38" s="1"/>
  <c r="F64" i="38"/>
  <c r="M64" i="38" s="1"/>
  <c r="E74" i="38"/>
  <c r="L74" i="38" s="1"/>
  <c r="G66" i="36"/>
  <c r="N66" i="36" s="1"/>
  <c r="F64" i="36"/>
  <c r="M64" i="36" s="1"/>
  <c r="G67" i="36"/>
  <c r="N67" i="36" s="1"/>
  <c r="F65" i="36"/>
  <c r="M65" i="36" s="1"/>
  <c r="G72" i="36"/>
  <c r="N72" i="36" s="1"/>
  <c r="G69" i="36"/>
  <c r="N69" i="36" s="1"/>
  <c r="F73" i="36"/>
  <c r="M73" i="36" s="1"/>
  <c r="F69" i="36"/>
  <c r="M69" i="36" s="1"/>
  <c r="F72" i="36"/>
  <c r="M72" i="36" s="1"/>
  <c r="G64" i="36"/>
  <c r="N64" i="36" s="1"/>
  <c r="F63" i="36"/>
  <c r="M63" i="36" s="1"/>
  <c r="G73" i="36"/>
  <c r="N73" i="36" s="1"/>
  <c r="F71" i="36"/>
  <c r="M71" i="36" s="1"/>
  <c r="G68" i="36"/>
  <c r="N68" i="36" s="1"/>
  <c r="F62" i="36"/>
  <c r="M62" i="36" s="1"/>
  <c r="F67" i="36"/>
  <c r="M67" i="36" s="1"/>
  <c r="G65" i="36"/>
  <c r="N65" i="36" s="1"/>
  <c r="G62" i="36"/>
  <c r="N62" i="36" s="1"/>
  <c r="G70" i="36"/>
  <c r="N70" i="36" s="1"/>
  <c r="F70" i="36"/>
  <c r="M70" i="36" s="1"/>
  <c r="G71" i="36"/>
  <c r="N71" i="36" s="1"/>
  <c r="F66" i="36"/>
  <c r="M66" i="36" s="1"/>
  <c r="F68" i="36"/>
  <c r="M68" i="36" s="1"/>
  <c r="G63" i="36"/>
  <c r="N63" i="36" s="1"/>
  <c r="E82" i="34"/>
  <c r="L70" i="34"/>
  <c r="E80" i="34"/>
  <c r="L68" i="34"/>
  <c r="E78" i="34"/>
  <c r="L66" i="34"/>
  <c r="E76" i="34"/>
  <c r="L64" i="34"/>
  <c r="F75" i="34"/>
  <c r="M63" i="34"/>
  <c r="E85" i="34"/>
  <c r="L73" i="34"/>
  <c r="E74" i="34"/>
  <c r="L62" i="34"/>
  <c r="F81" i="34"/>
  <c r="M69" i="34"/>
  <c r="F76" i="34"/>
  <c r="M64" i="34"/>
  <c r="F82" i="34"/>
  <c r="M70" i="34"/>
  <c r="E79" i="34"/>
  <c r="L67" i="34"/>
  <c r="F78" i="34"/>
  <c r="M66" i="34"/>
  <c r="F80" i="34"/>
  <c r="M68" i="34"/>
  <c r="E75" i="34"/>
  <c r="L63" i="34"/>
  <c r="F84" i="34"/>
  <c r="M72" i="34"/>
  <c r="E81" i="34"/>
  <c r="L69" i="34"/>
  <c r="E83" i="34"/>
  <c r="L71" i="34"/>
  <c r="F79" i="34"/>
  <c r="M67" i="34"/>
  <c r="F85" i="34"/>
  <c r="M73" i="34"/>
  <c r="F74" i="34"/>
  <c r="M62" i="34"/>
  <c r="F83" i="34"/>
  <c r="M71" i="34"/>
  <c r="E77" i="34"/>
  <c r="L65" i="34"/>
  <c r="E84" i="34"/>
  <c r="L72" i="34"/>
  <c r="F77" i="34"/>
  <c r="M65" i="34"/>
  <c r="F93" i="60" l="1"/>
  <c r="M81" i="60"/>
  <c r="E74" i="59"/>
  <c r="L62" i="59"/>
  <c r="N64" i="60"/>
  <c r="G76" i="60"/>
  <c r="L68" i="59"/>
  <c r="E80" i="59"/>
  <c r="F75" i="59"/>
  <c r="M63" i="59"/>
  <c r="E75" i="59"/>
  <c r="L63" i="59"/>
  <c r="M68" i="59"/>
  <c r="F80" i="59"/>
  <c r="L70" i="58"/>
  <c r="E82" i="58"/>
  <c r="M67" i="58"/>
  <c r="F79" i="58"/>
  <c r="M65" i="58"/>
  <c r="F77" i="58"/>
  <c r="E85" i="59"/>
  <c r="L73" i="59"/>
  <c r="M64" i="59"/>
  <c r="F76" i="59"/>
  <c r="M66" i="58"/>
  <c r="F78" i="58"/>
  <c r="L67" i="59"/>
  <c r="E79" i="59"/>
  <c r="G74" i="60"/>
  <c r="N62" i="60"/>
  <c r="M70" i="59"/>
  <c r="F82" i="59"/>
  <c r="M72" i="59"/>
  <c r="F84" i="59"/>
  <c r="F84" i="58"/>
  <c r="M72" i="58"/>
  <c r="L66" i="59"/>
  <c r="E78" i="59"/>
  <c r="L69" i="58"/>
  <c r="E81" i="58"/>
  <c r="G81" i="60"/>
  <c r="N69" i="60"/>
  <c r="E84" i="59"/>
  <c r="L72" i="59"/>
  <c r="E77" i="59"/>
  <c r="L65" i="59"/>
  <c r="E82" i="59"/>
  <c r="L70" i="59"/>
  <c r="M63" i="58"/>
  <c r="F75" i="58"/>
  <c r="L64" i="58"/>
  <c r="E76" i="58"/>
  <c r="F97" i="60"/>
  <c r="M85" i="60"/>
  <c r="N72" i="60"/>
  <c r="G84" i="60"/>
  <c r="M69" i="58"/>
  <c r="F81" i="58"/>
  <c r="L67" i="58"/>
  <c r="E79" i="58"/>
  <c r="M62" i="59"/>
  <c r="F74" i="59"/>
  <c r="L62" i="58"/>
  <c r="E74" i="58"/>
  <c r="F83" i="59"/>
  <c r="M71" i="59"/>
  <c r="G78" i="60"/>
  <c r="N66" i="60"/>
  <c r="F89" i="60"/>
  <c r="M77" i="60"/>
  <c r="G79" i="60"/>
  <c r="N67" i="60"/>
  <c r="M78" i="60"/>
  <c r="F90" i="60"/>
  <c r="M62" i="58"/>
  <c r="F74" i="58"/>
  <c r="F79" i="59"/>
  <c r="M67" i="59"/>
  <c r="E83" i="59"/>
  <c r="L71" i="59"/>
  <c r="L73" i="58"/>
  <c r="E85" i="58"/>
  <c r="M79" i="60"/>
  <c r="F91" i="60"/>
  <c r="F96" i="60"/>
  <c r="M84" i="60"/>
  <c r="F80" i="58"/>
  <c r="M68" i="58"/>
  <c r="M80" i="60"/>
  <c r="F92" i="60"/>
  <c r="L69" i="59"/>
  <c r="E81" i="59"/>
  <c r="F81" i="59"/>
  <c r="M69" i="59"/>
  <c r="M83" i="60"/>
  <c r="F95" i="60"/>
  <c r="L72" i="58"/>
  <c r="E84" i="58"/>
  <c r="G75" i="60"/>
  <c r="N63" i="60"/>
  <c r="M75" i="60"/>
  <c r="F87" i="60"/>
  <c r="L68" i="58"/>
  <c r="E80" i="58"/>
  <c r="G83" i="60"/>
  <c r="N71" i="60"/>
  <c r="L63" i="58"/>
  <c r="E75" i="58"/>
  <c r="L65" i="58"/>
  <c r="E77" i="58"/>
  <c r="M71" i="58"/>
  <c r="F83" i="58"/>
  <c r="F82" i="58"/>
  <c r="M70" i="58"/>
  <c r="G82" i="60"/>
  <c r="N70" i="60"/>
  <c r="G85" i="60"/>
  <c r="N73" i="60"/>
  <c r="F76" i="58"/>
  <c r="M64" i="58"/>
  <c r="F77" i="59"/>
  <c r="M65" i="59"/>
  <c r="F85" i="59"/>
  <c r="M73" i="59"/>
  <c r="M66" i="59"/>
  <c r="F78" i="59"/>
  <c r="M73" i="58"/>
  <c r="F85" i="58"/>
  <c r="N68" i="60"/>
  <c r="G80" i="60"/>
  <c r="L66" i="58"/>
  <c r="E78" i="58"/>
  <c r="E76" i="59"/>
  <c r="L64" i="59"/>
  <c r="L71" i="58"/>
  <c r="E83" i="58"/>
  <c r="F94" i="60"/>
  <c r="M82" i="60"/>
  <c r="F88" i="60"/>
  <c r="M76" i="60"/>
  <c r="G77" i="60"/>
  <c r="N65" i="60"/>
  <c r="E84" i="38"/>
  <c r="L84" i="38" s="1"/>
  <c r="E81" i="38"/>
  <c r="L81" i="38" s="1"/>
  <c r="E80" i="38"/>
  <c r="L80" i="38" s="1"/>
  <c r="F81" i="38"/>
  <c r="M81" i="38" s="1"/>
  <c r="F84" i="38"/>
  <c r="M84" i="38" s="1"/>
  <c r="F78" i="38"/>
  <c r="M78" i="38" s="1"/>
  <c r="F74" i="38"/>
  <c r="M74" i="38" s="1"/>
  <c r="F85" i="38"/>
  <c r="M85" i="38" s="1"/>
  <c r="F80" i="38"/>
  <c r="M80" i="38" s="1"/>
  <c r="F75" i="38"/>
  <c r="M75" i="38" s="1"/>
  <c r="F83" i="38"/>
  <c r="M83" i="38" s="1"/>
  <c r="E79" i="38"/>
  <c r="L79" i="38" s="1"/>
  <c r="E75" i="38"/>
  <c r="L75" i="38" s="1"/>
  <c r="E78" i="38"/>
  <c r="L78" i="38" s="1"/>
  <c r="F79" i="38"/>
  <c r="M79" i="38" s="1"/>
  <c r="F77" i="38"/>
  <c r="M77" i="38" s="1"/>
  <c r="F76" i="38"/>
  <c r="M76" i="38" s="1"/>
  <c r="F82" i="38"/>
  <c r="M82" i="38" s="1"/>
  <c r="E82" i="38"/>
  <c r="L82" i="38" s="1"/>
  <c r="E85" i="38"/>
  <c r="L85" i="38" s="1"/>
  <c r="E76" i="38"/>
  <c r="L76" i="38" s="1"/>
  <c r="E77" i="38"/>
  <c r="L77" i="38" s="1"/>
  <c r="E83" i="38"/>
  <c r="L83" i="38" s="1"/>
  <c r="E86" i="38"/>
  <c r="L86" i="38" s="1"/>
  <c r="G75" i="36"/>
  <c r="N75" i="36" s="1"/>
  <c r="G82" i="36"/>
  <c r="N82" i="36" s="1"/>
  <c r="G80" i="36"/>
  <c r="N80" i="36" s="1"/>
  <c r="F75" i="36"/>
  <c r="M75" i="36" s="1"/>
  <c r="G84" i="36"/>
  <c r="N84" i="36" s="1"/>
  <c r="G83" i="36"/>
  <c r="N83" i="36" s="1"/>
  <c r="F77" i="36"/>
  <c r="M77" i="36" s="1"/>
  <c r="F80" i="36"/>
  <c r="M80" i="36" s="1"/>
  <c r="F78" i="36"/>
  <c r="M78" i="36" s="1"/>
  <c r="F82" i="36"/>
  <c r="M82" i="36" s="1"/>
  <c r="F74" i="36"/>
  <c r="M74" i="36" s="1"/>
  <c r="G85" i="36"/>
  <c r="N85" i="36" s="1"/>
  <c r="F85" i="36"/>
  <c r="M85" i="36" s="1"/>
  <c r="G81" i="36"/>
  <c r="N81" i="36" s="1"/>
  <c r="G79" i="36"/>
  <c r="N79" i="36" s="1"/>
  <c r="G78" i="36"/>
  <c r="N78" i="36" s="1"/>
  <c r="G77" i="36"/>
  <c r="N77" i="36" s="1"/>
  <c r="F83" i="36"/>
  <c r="M83" i="36" s="1"/>
  <c r="F81" i="36"/>
  <c r="M81" i="36" s="1"/>
  <c r="G74" i="36"/>
  <c r="N74" i="36" s="1"/>
  <c r="F79" i="36"/>
  <c r="M79" i="36" s="1"/>
  <c r="G76" i="36"/>
  <c r="N76" i="36" s="1"/>
  <c r="F84" i="36"/>
  <c r="M84" i="36" s="1"/>
  <c r="F76" i="36"/>
  <c r="M76" i="36" s="1"/>
  <c r="F89" i="34"/>
  <c r="M77" i="34"/>
  <c r="E89" i="34"/>
  <c r="L77" i="34"/>
  <c r="F86" i="34"/>
  <c r="M74" i="34"/>
  <c r="F91" i="34"/>
  <c r="M79" i="34"/>
  <c r="E93" i="34"/>
  <c r="L81" i="34"/>
  <c r="E87" i="34"/>
  <c r="L75" i="34"/>
  <c r="F90" i="34"/>
  <c r="M78" i="34"/>
  <c r="F94" i="34"/>
  <c r="M82" i="34"/>
  <c r="F93" i="34"/>
  <c r="M81" i="34"/>
  <c r="E97" i="34"/>
  <c r="L85" i="34"/>
  <c r="E88" i="34"/>
  <c r="L76" i="34"/>
  <c r="E92" i="34"/>
  <c r="L80" i="34"/>
  <c r="E96" i="34"/>
  <c r="L84" i="34"/>
  <c r="F95" i="34"/>
  <c r="M83" i="34"/>
  <c r="F97" i="34"/>
  <c r="M85" i="34"/>
  <c r="E95" i="34"/>
  <c r="L83" i="34"/>
  <c r="F96" i="34"/>
  <c r="M84" i="34"/>
  <c r="F92" i="34"/>
  <c r="M80" i="34"/>
  <c r="E91" i="34"/>
  <c r="L79" i="34"/>
  <c r="F88" i="34"/>
  <c r="M76" i="34"/>
  <c r="E86" i="34"/>
  <c r="L74" i="34"/>
  <c r="F87" i="34"/>
  <c r="M75" i="34"/>
  <c r="E90" i="34"/>
  <c r="L78" i="34"/>
  <c r="E94" i="34"/>
  <c r="L82" i="34"/>
  <c r="B15" i="17"/>
  <c r="B16" i="17" s="1"/>
  <c r="N77" i="60" l="1"/>
  <c r="G89" i="60"/>
  <c r="L78" i="58"/>
  <c r="E90" i="58"/>
  <c r="M85" i="58"/>
  <c r="F97" i="58"/>
  <c r="F89" i="59"/>
  <c r="M77" i="59"/>
  <c r="G97" i="60"/>
  <c r="N85" i="60"/>
  <c r="M82" i="58"/>
  <c r="F94" i="58"/>
  <c r="F93" i="59"/>
  <c r="M81" i="59"/>
  <c r="F104" i="60"/>
  <c r="M92" i="60"/>
  <c r="L85" i="58"/>
  <c r="E97" i="58"/>
  <c r="M90" i="60"/>
  <c r="F102" i="60"/>
  <c r="F109" i="60"/>
  <c r="M97" i="60"/>
  <c r="M84" i="59"/>
  <c r="F96" i="59"/>
  <c r="L82" i="58"/>
  <c r="E94" i="58"/>
  <c r="E92" i="59"/>
  <c r="L80" i="59"/>
  <c r="M94" i="60"/>
  <c r="F106" i="60"/>
  <c r="F97" i="59"/>
  <c r="M85" i="59"/>
  <c r="M83" i="58"/>
  <c r="F95" i="58"/>
  <c r="M95" i="60"/>
  <c r="F107" i="60"/>
  <c r="E93" i="59"/>
  <c r="L81" i="59"/>
  <c r="F108" i="60"/>
  <c r="M96" i="60"/>
  <c r="F91" i="59"/>
  <c r="M79" i="59"/>
  <c r="F101" i="60"/>
  <c r="M89" i="60"/>
  <c r="F95" i="59"/>
  <c r="M83" i="59"/>
  <c r="M74" i="59"/>
  <c r="F86" i="59"/>
  <c r="N84" i="60"/>
  <c r="G96" i="60"/>
  <c r="M75" i="58"/>
  <c r="F87" i="58"/>
  <c r="L82" i="59"/>
  <c r="E94" i="59"/>
  <c r="L84" i="59"/>
  <c r="E96" i="59"/>
  <c r="L81" i="58"/>
  <c r="E93" i="58"/>
  <c r="E91" i="59"/>
  <c r="L79" i="59"/>
  <c r="M78" i="58"/>
  <c r="F90" i="58"/>
  <c r="L75" i="59"/>
  <c r="E87" i="59"/>
  <c r="L74" i="59"/>
  <c r="E86" i="59"/>
  <c r="M88" i="60"/>
  <c r="F100" i="60"/>
  <c r="N80" i="60"/>
  <c r="G92" i="60"/>
  <c r="M78" i="59"/>
  <c r="F90" i="59"/>
  <c r="F88" i="58"/>
  <c r="M76" i="58"/>
  <c r="G94" i="60"/>
  <c r="N82" i="60"/>
  <c r="L75" i="58"/>
  <c r="E87" i="58"/>
  <c r="G95" i="60"/>
  <c r="N83" i="60"/>
  <c r="M87" i="60"/>
  <c r="F99" i="60"/>
  <c r="G87" i="60"/>
  <c r="N75" i="60"/>
  <c r="M91" i="60"/>
  <c r="F103" i="60"/>
  <c r="M74" i="58"/>
  <c r="F86" i="58"/>
  <c r="M81" i="58"/>
  <c r="F93" i="58"/>
  <c r="M82" i="59"/>
  <c r="F94" i="59"/>
  <c r="G86" i="60"/>
  <c r="N74" i="60"/>
  <c r="L85" i="59"/>
  <c r="E97" i="59"/>
  <c r="M79" i="58"/>
  <c r="F91" i="58"/>
  <c r="M80" i="59"/>
  <c r="F92" i="59"/>
  <c r="N76" i="60"/>
  <c r="G88" i="60"/>
  <c r="L83" i="58"/>
  <c r="E95" i="58"/>
  <c r="L76" i="59"/>
  <c r="E88" i="59"/>
  <c r="L77" i="58"/>
  <c r="E89" i="58"/>
  <c r="L80" i="58"/>
  <c r="E92" i="58"/>
  <c r="L84" i="58"/>
  <c r="E96" i="58"/>
  <c r="F92" i="58"/>
  <c r="M80" i="58"/>
  <c r="L83" i="59"/>
  <c r="E95" i="59"/>
  <c r="N79" i="60"/>
  <c r="G91" i="60"/>
  <c r="G90" i="60"/>
  <c r="N78" i="60"/>
  <c r="L74" i="58"/>
  <c r="E86" i="58"/>
  <c r="L79" i="58"/>
  <c r="E91" i="58"/>
  <c r="L76" i="58"/>
  <c r="E88" i="58"/>
  <c r="L77" i="59"/>
  <c r="E89" i="59"/>
  <c r="N81" i="60"/>
  <c r="G93" i="60"/>
  <c r="E90" i="59"/>
  <c r="L78" i="59"/>
  <c r="F96" i="58"/>
  <c r="M84" i="58"/>
  <c r="M76" i="59"/>
  <c r="F88" i="59"/>
  <c r="M77" i="58"/>
  <c r="F89" i="58"/>
  <c r="F87" i="59"/>
  <c r="M75" i="59"/>
  <c r="F105" i="60"/>
  <c r="M93" i="60"/>
  <c r="E96" i="38"/>
  <c r="L96" i="38" s="1"/>
  <c r="E93" i="38"/>
  <c r="L93" i="38" s="1"/>
  <c r="E92" i="38"/>
  <c r="L92" i="38" s="1"/>
  <c r="E87" i="38"/>
  <c r="L87" i="38" s="1"/>
  <c r="F93" i="38"/>
  <c r="M93" i="38" s="1"/>
  <c r="E91" i="38"/>
  <c r="L91" i="38" s="1"/>
  <c r="F97" i="38"/>
  <c r="M97" i="38" s="1"/>
  <c r="F96" i="38"/>
  <c r="M96" i="38" s="1"/>
  <c r="F90" i="38"/>
  <c r="M90" i="38" s="1"/>
  <c r="F86" i="38"/>
  <c r="M86" i="38" s="1"/>
  <c r="F95" i="38"/>
  <c r="M95" i="38" s="1"/>
  <c r="F92" i="38"/>
  <c r="M92" i="38" s="1"/>
  <c r="F87" i="38"/>
  <c r="M87" i="38" s="1"/>
  <c r="E90" i="38"/>
  <c r="L90" i="38" s="1"/>
  <c r="F88" i="38"/>
  <c r="M88" i="38" s="1"/>
  <c r="E88" i="38"/>
  <c r="L88" i="38" s="1"/>
  <c r="F91" i="38"/>
  <c r="M91" i="38" s="1"/>
  <c r="F89" i="38"/>
  <c r="M89" i="38" s="1"/>
  <c r="F94" i="38"/>
  <c r="M94" i="38" s="1"/>
  <c r="E97" i="38"/>
  <c r="L97" i="38" s="1"/>
  <c r="E94" i="38"/>
  <c r="L94" i="38" s="1"/>
  <c r="E95" i="38"/>
  <c r="L95" i="38" s="1"/>
  <c r="E89" i="38"/>
  <c r="L89" i="38" s="1"/>
  <c r="E98" i="38"/>
  <c r="L98" i="38" s="1"/>
  <c r="F88" i="36"/>
  <c r="M88" i="36" s="1"/>
  <c r="G88" i="36"/>
  <c r="N88" i="36" s="1"/>
  <c r="G86" i="36"/>
  <c r="N86" i="36" s="1"/>
  <c r="F93" i="36"/>
  <c r="M93" i="36" s="1"/>
  <c r="G89" i="36"/>
  <c r="N89" i="36" s="1"/>
  <c r="G90" i="36"/>
  <c r="N90" i="36" s="1"/>
  <c r="G97" i="36"/>
  <c r="N97" i="36" s="1"/>
  <c r="F86" i="36"/>
  <c r="M86" i="36" s="1"/>
  <c r="F89" i="36"/>
  <c r="M89" i="36" s="1"/>
  <c r="G96" i="36"/>
  <c r="N96" i="36" s="1"/>
  <c r="G94" i="36"/>
  <c r="N94" i="36" s="1"/>
  <c r="F92" i="36"/>
  <c r="M92" i="36" s="1"/>
  <c r="G87" i="36"/>
  <c r="N87" i="36" s="1"/>
  <c r="F96" i="36"/>
  <c r="M96" i="36" s="1"/>
  <c r="G91" i="36"/>
  <c r="N91" i="36" s="1"/>
  <c r="F90" i="36"/>
  <c r="M90" i="36" s="1"/>
  <c r="F87" i="36"/>
  <c r="M87" i="36" s="1"/>
  <c r="F91" i="36"/>
  <c r="M91" i="36" s="1"/>
  <c r="F95" i="36"/>
  <c r="M95" i="36" s="1"/>
  <c r="G93" i="36"/>
  <c r="N93" i="36" s="1"/>
  <c r="F97" i="36"/>
  <c r="M97" i="36" s="1"/>
  <c r="F94" i="36"/>
  <c r="M94" i="36" s="1"/>
  <c r="G95" i="36"/>
  <c r="N95" i="36" s="1"/>
  <c r="G92" i="36"/>
  <c r="N92" i="36" s="1"/>
  <c r="E106" i="34"/>
  <c r="L94" i="34"/>
  <c r="F99" i="34"/>
  <c r="M87" i="34"/>
  <c r="F104" i="34"/>
  <c r="M92" i="34"/>
  <c r="F107" i="34"/>
  <c r="M95" i="34"/>
  <c r="E109" i="34"/>
  <c r="L97" i="34"/>
  <c r="E99" i="34"/>
  <c r="L87" i="34"/>
  <c r="E101" i="34"/>
  <c r="L89" i="34"/>
  <c r="E102" i="34"/>
  <c r="L90" i="34"/>
  <c r="E98" i="34"/>
  <c r="L86" i="34"/>
  <c r="E103" i="34"/>
  <c r="L91" i="34"/>
  <c r="F108" i="34"/>
  <c r="M96" i="34"/>
  <c r="F109" i="34"/>
  <c r="M97" i="34"/>
  <c r="E108" i="34"/>
  <c r="L96" i="34"/>
  <c r="E100" i="34"/>
  <c r="L88" i="34"/>
  <c r="F105" i="34"/>
  <c r="M93" i="34"/>
  <c r="F102" i="34"/>
  <c r="M90" i="34"/>
  <c r="E105" i="34"/>
  <c r="L93" i="34"/>
  <c r="F98" i="34"/>
  <c r="M86" i="34"/>
  <c r="F101" i="34"/>
  <c r="M89" i="34"/>
  <c r="F100" i="34"/>
  <c r="M88" i="34"/>
  <c r="E107" i="34"/>
  <c r="L95" i="34"/>
  <c r="E104" i="34"/>
  <c r="L92" i="34"/>
  <c r="F106" i="34"/>
  <c r="M94" i="34"/>
  <c r="F103" i="34"/>
  <c r="M91" i="34"/>
  <c r="M88" i="59" l="1"/>
  <c r="F100" i="59"/>
  <c r="E101" i="59"/>
  <c r="L89" i="59"/>
  <c r="M92" i="59"/>
  <c r="F104" i="59"/>
  <c r="E109" i="59"/>
  <c r="L97" i="59"/>
  <c r="G98" i="60"/>
  <c r="N86" i="60"/>
  <c r="M99" i="60"/>
  <c r="F111" i="60"/>
  <c r="L87" i="58"/>
  <c r="E99" i="58"/>
  <c r="N92" i="60"/>
  <c r="G104" i="60"/>
  <c r="E98" i="59"/>
  <c r="L86" i="59"/>
  <c r="M95" i="59"/>
  <c r="F107" i="59"/>
  <c r="F120" i="60"/>
  <c r="M108" i="60"/>
  <c r="M107" i="60"/>
  <c r="F119" i="60"/>
  <c r="L94" i="58"/>
  <c r="E106" i="58"/>
  <c r="F114" i="60"/>
  <c r="M102" i="60"/>
  <c r="F105" i="59"/>
  <c r="M93" i="59"/>
  <c r="F101" i="59"/>
  <c r="M89" i="59"/>
  <c r="F99" i="59"/>
  <c r="M87" i="59"/>
  <c r="L90" i="59"/>
  <c r="E102" i="59"/>
  <c r="L91" i="58"/>
  <c r="E103" i="58"/>
  <c r="E107" i="59"/>
  <c r="L95" i="59"/>
  <c r="F104" i="58"/>
  <c r="M92" i="58"/>
  <c r="L92" i="58"/>
  <c r="E104" i="58"/>
  <c r="E100" i="59"/>
  <c r="L88" i="59"/>
  <c r="M94" i="59"/>
  <c r="F106" i="59"/>
  <c r="M93" i="58"/>
  <c r="F105" i="58"/>
  <c r="F100" i="58"/>
  <c r="M88" i="58"/>
  <c r="L91" i="59"/>
  <c r="E103" i="59"/>
  <c r="E108" i="59"/>
  <c r="L96" i="59"/>
  <c r="M87" i="58"/>
  <c r="F99" i="58"/>
  <c r="M86" i="59"/>
  <c r="F98" i="59"/>
  <c r="F103" i="59"/>
  <c r="M91" i="59"/>
  <c r="M97" i="59"/>
  <c r="F109" i="59"/>
  <c r="F121" i="60"/>
  <c r="M109" i="60"/>
  <c r="F109" i="58"/>
  <c r="M97" i="58"/>
  <c r="M89" i="58"/>
  <c r="F101" i="58"/>
  <c r="G105" i="60"/>
  <c r="N93" i="60"/>
  <c r="L88" i="58"/>
  <c r="E100" i="58"/>
  <c r="G102" i="60"/>
  <c r="N90" i="60"/>
  <c r="E108" i="58"/>
  <c r="L96" i="58"/>
  <c r="N88" i="60"/>
  <c r="G100" i="60"/>
  <c r="M91" i="58"/>
  <c r="F103" i="58"/>
  <c r="M103" i="60"/>
  <c r="F115" i="60"/>
  <c r="M90" i="59"/>
  <c r="F102" i="59"/>
  <c r="M100" i="60"/>
  <c r="F112" i="60"/>
  <c r="E99" i="59"/>
  <c r="L87" i="59"/>
  <c r="F102" i="58"/>
  <c r="M90" i="58"/>
  <c r="F113" i="60"/>
  <c r="M101" i="60"/>
  <c r="M95" i="58"/>
  <c r="F107" i="58"/>
  <c r="F118" i="60"/>
  <c r="M106" i="60"/>
  <c r="F108" i="59"/>
  <c r="M96" i="59"/>
  <c r="L97" i="58"/>
  <c r="E109" i="58"/>
  <c r="F116" i="60"/>
  <c r="M104" i="60"/>
  <c r="G109" i="60"/>
  <c r="N97" i="60"/>
  <c r="G101" i="60"/>
  <c r="N89" i="60"/>
  <c r="M105" i="60"/>
  <c r="F117" i="60"/>
  <c r="F108" i="58"/>
  <c r="M96" i="58"/>
  <c r="L86" i="58"/>
  <c r="E98" i="58"/>
  <c r="G103" i="60"/>
  <c r="N91" i="60"/>
  <c r="L89" i="58"/>
  <c r="E101" i="58"/>
  <c r="L95" i="58"/>
  <c r="E107" i="58"/>
  <c r="M86" i="58"/>
  <c r="F98" i="58"/>
  <c r="N87" i="60"/>
  <c r="G99" i="60"/>
  <c r="G107" i="60"/>
  <c r="N95" i="60"/>
  <c r="G106" i="60"/>
  <c r="N94" i="60"/>
  <c r="L93" i="58"/>
  <c r="E105" i="58"/>
  <c r="E106" i="59"/>
  <c r="L94" i="59"/>
  <c r="G108" i="60"/>
  <c r="N96" i="60"/>
  <c r="L93" i="59"/>
  <c r="E105" i="59"/>
  <c r="L92" i="59"/>
  <c r="E104" i="59"/>
  <c r="M94" i="58"/>
  <c r="F106" i="58"/>
  <c r="L90" i="58"/>
  <c r="E102" i="58"/>
  <c r="E108" i="38"/>
  <c r="L108" i="38" s="1"/>
  <c r="E105" i="38"/>
  <c r="L105" i="38" s="1"/>
  <c r="E104" i="38"/>
  <c r="L104" i="38" s="1"/>
  <c r="E99" i="38"/>
  <c r="L99" i="38" s="1"/>
  <c r="F105" i="38"/>
  <c r="M105" i="38" s="1"/>
  <c r="E103" i="38"/>
  <c r="L103" i="38" s="1"/>
  <c r="E100" i="38"/>
  <c r="L100" i="38" s="1"/>
  <c r="E102" i="38"/>
  <c r="L102" i="38" s="1"/>
  <c r="F102" i="38"/>
  <c r="M102" i="38" s="1"/>
  <c r="F109" i="38"/>
  <c r="M109" i="38" s="1"/>
  <c r="F108" i="38"/>
  <c r="M108" i="38" s="1"/>
  <c r="F98" i="38"/>
  <c r="M98" i="38" s="1"/>
  <c r="F104" i="38"/>
  <c r="M104" i="38" s="1"/>
  <c r="F107" i="38"/>
  <c r="M107" i="38" s="1"/>
  <c r="F99" i="38"/>
  <c r="M99" i="38" s="1"/>
  <c r="F100" i="38"/>
  <c r="M100" i="38" s="1"/>
  <c r="E101" i="38"/>
  <c r="L101" i="38" s="1"/>
  <c r="F101" i="38"/>
  <c r="M101" i="38" s="1"/>
  <c r="E107" i="38"/>
  <c r="L107" i="38" s="1"/>
  <c r="E106" i="38"/>
  <c r="L106" i="38" s="1"/>
  <c r="F103" i="38"/>
  <c r="M103" i="38" s="1"/>
  <c r="F106" i="38"/>
  <c r="M106" i="38" s="1"/>
  <c r="E109" i="38"/>
  <c r="L109" i="38" s="1"/>
  <c r="E110" i="38"/>
  <c r="L110" i="38" s="1"/>
  <c r="F106" i="36"/>
  <c r="M106" i="36" s="1"/>
  <c r="F107" i="36"/>
  <c r="M107" i="36" s="1"/>
  <c r="F99" i="36"/>
  <c r="M99" i="36" s="1"/>
  <c r="G100" i="36"/>
  <c r="N100" i="36" s="1"/>
  <c r="G104" i="36"/>
  <c r="N104" i="36" s="1"/>
  <c r="G105" i="36"/>
  <c r="N105" i="36" s="1"/>
  <c r="F108" i="36"/>
  <c r="M108" i="36" s="1"/>
  <c r="G106" i="36"/>
  <c r="N106" i="36" s="1"/>
  <c r="F98" i="36"/>
  <c r="M98" i="36" s="1"/>
  <c r="F105" i="36"/>
  <c r="M105" i="36" s="1"/>
  <c r="F109" i="36"/>
  <c r="M109" i="36" s="1"/>
  <c r="G99" i="36"/>
  <c r="N99" i="36" s="1"/>
  <c r="G108" i="36"/>
  <c r="N108" i="36" s="1"/>
  <c r="G102" i="36"/>
  <c r="N102" i="36" s="1"/>
  <c r="F103" i="36"/>
  <c r="M103" i="36" s="1"/>
  <c r="G103" i="36"/>
  <c r="N103" i="36" s="1"/>
  <c r="F104" i="36"/>
  <c r="M104" i="36" s="1"/>
  <c r="G98" i="36"/>
  <c r="N98" i="36" s="1"/>
  <c r="F100" i="36"/>
  <c r="M100" i="36" s="1"/>
  <c r="G107" i="36"/>
  <c r="N107" i="36" s="1"/>
  <c r="F102" i="36"/>
  <c r="M102" i="36" s="1"/>
  <c r="F101" i="36"/>
  <c r="M101" i="36" s="1"/>
  <c r="G109" i="36"/>
  <c r="N109" i="36" s="1"/>
  <c r="G101" i="36"/>
  <c r="N101" i="36" s="1"/>
  <c r="F115" i="34"/>
  <c r="M103" i="34"/>
  <c r="E116" i="34"/>
  <c r="L104" i="34"/>
  <c r="F112" i="34"/>
  <c r="M100" i="34"/>
  <c r="F110" i="34"/>
  <c r="M98" i="34"/>
  <c r="F114" i="34"/>
  <c r="M102" i="34"/>
  <c r="E112" i="34"/>
  <c r="L100" i="34"/>
  <c r="F121" i="34"/>
  <c r="M109" i="34"/>
  <c r="E115" i="34"/>
  <c r="L103" i="34"/>
  <c r="E114" i="34"/>
  <c r="L102" i="34"/>
  <c r="E111" i="34"/>
  <c r="L99" i="34"/>
  <c r="F119" i="34"/>
  <c r="M107" i="34"/>
  <c r="F111" i="34"/>
  <c r="M99" i="34"/>
  <c r="F118" i="34"/>
  <c r="M106" i="34"/>
  <c r="E119" i="34"/>
  <c r="L107" i="34"/>
  <c r="F113" i="34"/>
  <c r="M101" i="34"/>
  <c r="E117" i="34"/>
  <c r="L105" i="34"/>
  <c r="F117" i="34"/>
  <c r="M105" i="34"/>
  <c r="E120" i="34"/>
  <c r="L108" i="34"/>
  <c r="F120" i="34"/>
  <c r="M108" i="34"/>
  <c r="E110" i="34"/>
  <c r="L98" i="34"/>
  <c r="E113" i="34"/>
  <c r="L101" i="34"/>
  <c r="E121" i="34"/>
  <c r="L109" i="34"/>
  <c r="F116" i="34"/>
  <c r="M104" i="34"/>
  <c r="E118" i="34"/>
  <c r="L106" i="34"/>
  <c r="L102" i="58" l="1"/>
  <c r="E114" i="58"/>
  <c r="L104" i="59"/>
  <c r="E116" i="59"/>
  <c r="L107" i="58"/>
  <c r="E119" i="58"/>
  <c r="N109" i="60"/>
  <c r="G121" i="60"/>
  <c r="F120" i="59"/>
  <c r="M108" i="59"/>
  <c r="M107" i="58"/>
  <c r="F119" i="58"/>
  <c r="M112" i="60"/>
  <c r="M115" i="60"/>
  <c r="G112" i="60"/>
  <c r="N100" i="60"/>
  <c r="E120" i="58"/>
  <c r="L108" i="58"/>
  <c r="L108" i="59"/>
  <c r="E120" i="59"/>
  <c r="E112" i="59"/>
  <c r="L100" i="59"/>
  <c r="F116" i="58"/>
  <c r="M104" i="58"/>
  <c r="F111" i="59"/>
  <c r="M99" i="59"/>
  <c r="E110" i="59"/>
  <c r="L98" i="59"/>
  <c r="G110" i="60"/>
  <c r="N98" i="60"/>
  <c r="E118" i="59"/>
  <c r="L106" i="59"/>
  <c r="N107" i="60"/>
  <c r="G119" i="60"/>
  <c r="M98" i="58"/>
  <c r="F110" i="58"/>
  <c r="F114" i="58"/>
  <c r="M102" i="58"/>
  <c r="F121" i="59"/>
  <c r="M109" i="59"/>
  <c r="F115" i="59"/>
  <c r="M103" i="59"/>
  <c r="F111" i="58"/>
  <c r="M99" i="58"/>
  <c r="E115" i="59"/>
  <c r="L103" i="59"/>
  <c r="F112" i="58"/>
  <c r="M100" i="58"/>
  <c r="M106" i="59"/>
  <c r="F118" i="59"/>
  <c r="E116" i="58"/>
  <c r="L104" i="58"/>
  <c r="L102" i="59"/>
  <c r="E114" i="59"/>
  <c r="F117" i="59"/>
  <c r="M105" i="59"/>
  <c r="L106" i="58"/>
  <c r="E118" i="58"/>
  <c r="N104" i="60"/>
  <c r="G116" i="60"/>
  <c r="M111" i="60"/>
  <c r="E113" i="59"/>
  <c r="L101" i="59"/>
  <c r="F118" i="58"/>
  <c r="M106" i="58"/>
  <c r="L105" i="58"/>
  <c r="E117" i="58"/>
  <c r="N99" i="60"/>
  <c r="G111" i="60"/>
  <c r="L101" i="58"/>
  <c r="E113" i="58"/>
  <c r="G115" i="60"/>
  <c r="N103" i="60"/>
  <c r="M108" i="58"/>
  <c r="F120" i="58"/>
  <c r="G113" i="60"/>
  <c r="N101" i="60"/>
  <c r="M116" i="60"/>
  <c r="M102" i="59"/>
  <c r="F114" i="59"/>
  <c r="M103" i="58"/>
  <c r="F115" i="58"/>
  <c r="G114" i="60"/>
  <c r="N102" i="60"/>
  <c r="G117" i="60"/>
  <c r="N105" i="60"/>
  <c r="L107" i="59"/>
  <c r="E119" i="59"/>
  <c r="M120" i="60"/>
  <c r="E121" i="59"/>
  <c r="L109" i="59"/>
  <c r="F112" i="59"/>
  <c r="M100" i="59"/>
  <c r="E117" i="59"/>
  <c r="L105" i="59"/>
  <c r="N108" i="60"/>
  <c r="G120" i="60"/>
  <c r="G118" i="60"/>
  <c r="N106" i="60"/>
  <c r="L98" i="58"/>
  <c r="E110" i="58"/>
  <c r="M117" i="60"/>
  <c r="E121" i="58"/>
  <c r="L109" i="58"/>
  <c r="M118" i="60"/>
  <c r="M113" i="60"/>
  <c r="E111" i="59"/>
  <c r="L99" i="59"/>
  <c r="E112" i="58"/>
  <c r="L100" i="58"/>
  <c r="F113" i="58"/>
  <c r="M101" i="58"/>
  <c r="F121" i="58"/>
  <c r="M109" i="58"/>
  <c r="M121" i="60"/>
  <c r="M98" i="59"/>
  <c r="F110" i="59"/>
  <c r="F117" i="58"/>
  <c r="M105" i="58"/>
  <c r="L103" i="58"/>
  <c r="E115" i="58"/>
  <c r="M101" i="59"/>
  <c r="F113" i="59"/>
  <c r="M114" i="60"/>
  <c r="M119" i="60"/>
  <c r="F119" i="59"/>
  <c r="M107" i="59"/>
  <c r="L99" i="58"/>
  <c r="E111" i="58"/>
  <c r="F116" i="59"/>
  <c r="M104" i="59"/>
  <c r="E120" i="38"/>
  <c r="L120" i="38" s="1"/>
  <c r="E117" i="38"/>
  <c r="L117" i="38" s="1"/>
  <c r="E116" i="38"/>
  <c r="L116" i="38" s="1"/>
  <c r="F117" i="38"/>
  <c r="M117" i="38" s="1"/>
  <c r="E111" i="38"/>
  <c r="L111" i="38" s="1"/>
  <c r="E115" i="38"/>
  <c r="L115" i="38" s="1"/>
  <c r="E114" i="38"/>
  <c r="L114" i="38" s="1"/>
  <c r="E112" i="38"/>
  <c r="L112" i="38" s="1"/>
  <c r="F120" i="38"/>
  <c r="M120" i="38" s="1"/>
  <c r="F110" i="38"/>
  <c r="M110" i="38" s="1"/>
  <c r="F114" i="38"/>
  <c r="M114" i="38" s="1"/>
  <c r="F121" i="38"/>
  <c r="M121" i="38" s="1"/>
  <c r="F116" i="38"/>
  <c r="M116" i="38" s="1"/>
  <c r="F119" i="38"/>
  <c r="M119" i="38" s="1"/>
  <c r="F111" i="38"/>
  <c r="M111" i="38" s="1"/>
  <c r="F118" i="38"/>
  <c r="M118" i="38" s="1"/>
  <c r="F112" i="38"/>
  <c r="M112" i="38" s="1"/>
  <c r="F113" i="38"/>
  <c r="M113" i="38" s="1"/>
  <c r="E113" i="38"/>
  <c r="L113" i="38" s="1"/>
  <c r="F115" i="38"/>
  <c r="M115" i="38" s="1"/>
  <c r="E119" i="38"/>
  <c r="L119" i="38" s="1"/>
  <c r="E118" i="38"/>
  <c r="L118" i="38" s="1"/>
  <c r="E121" i="38"/>
  <c r="L121" i="38" s="1"/>
  <c r="E122" i="38"/>
  <c r="F112" i="36"/>
  <c r="M112" i="36" s="1"/>
  <c r="G115" i="36"/>
  <c r="N115" i="36" s="1"/>
  <c r="F115" i="36"/>
  <c r="M115" i="36" s="1"/>
  <c r="G120" i="36"/>
  <c r="N120" i="36" s="1"/>
  <c r="G112" i="36"/>
  <c r="N112" i="36" s="1"/>
  <c r="F113" i="36"/>
  <c r="M113" i="36" s="1"/>
  <c r="F117" i="36"/>
  <c r="M117" i="36" s="1"/>
  <c r="G121" i="36"/>
  <c r="N121" i="36" s="1"/>
  <c r="F110" i="36"/>
  <c r="M110" i="36" s="1"/>
  <c r="G118" i="36"/>
  <c r="N118" i="36" s="1"/>
  <c r="F111" i="36"/>
  <c r="M111" i="36" s="1"/>
  <c r="F119" i="36"/>
  <c r="M119" i="36" s="1"/>
  <c r="G113" i="36"/>
  <c r="N113" i="36" s="1"/>
  <c r="F114" i="36"/>
  <c r="M114" i="36" s="1"/>
  <c r="G119" i="36"/>
  <c r="N119" i="36" s="1"/>
  <c r="G110" i="36"/>
  <c r="N110" i="36" s="1"/>
  <c r="F116" i="36"/>
  <c r="M116" i="36" s="1"/>
  <c r="G114" i="36"/>
  <c r="N114" i="36" s="1"/>
  <c r="G111" i="36"/>
  <c r="N111" i="36" s="1"/>
  <c r="F121" i="36"/>
  <c r="M121" i="36" s="1"/>
  <c r="F120" i="36"/>
  <c r="M120" i="36" s="1"/>
  <c r="G117" i="36"/>
  <c r="N117" i="36" s="1"/>
  <c r="G116" i="36"/>
  <c r="N116" i="36" s="1"/>
  <c r="F118" i="36"/>
  <c r="M118" i="36" s="1"/>
  <c r="E130" i="34"/>
  <c r="L118" i="34"/>
  <c r="E133" i="34"/>
  <c r="L121" i="34"/>
  <c r="E122" i="34"/>
  <c r="L110" i="34"/>
  <c r="E132" i="34"/>
  <c r="L120" i="34"/>
  <c r="E129" i="34"/>
  <c r="L117" i="34"/>
  <c r="E131" i="34"/>
  <c r="L119" i="34"/>
  <c r="F123" i="34"/>
  <c r="M111" i="34"/>
  <c r="E123" i="34"/>
  <c r="L111" i="34"/>
  <c r="E127" i="34"/>
  <c r="L115" i="34"/>
  <c r="E124" i="34"/>
  <c r="L112" i="34"/>
  <c r="F122" i="34"/>
  <c r="M110" i="34"/>
  <c r="E128" i="34"/>
  <c r="L116" i="34"/>
  <c r="F128" i="34"/>
  <c r="M116" i="34"/>
  <c r="E125" i="34"/>
  <c r="L113" i="34"/>
  <c r="F132" i="34"/>
  <c r="M120" i="34"/>
  <c r="F129" i="34"/>
  <c r="M117" i="34"/>
  <c r="F125" i="34"/>
  <c r="M113" i="34"/>
  <c r="F130" i="34"/>
  <c r="M118" i="34"/>
  <c r="F131" i="34"/>
  <c r="M119" i="34"/>
  <c r="E126" i="34"/>
  <c r="L114" i="34"/>
  <c r="F133" i="34"/>
  <c r="M121" i="34"/>
  <c r="F126" i="34"/>
  <c r="M114" i="34"/>
  <c r="F124" i="34"/>
  <c r="M112" i="34"/>
  <c r="F127" i="34"/>
  <c r="M115" i="34"/>
  <c r="L111" i="58" l="1"/>
  <c r="M119" i="59"/>
  <c r="M126" i="60"/>
  <c r="M138" i="60"/>
  <c r="M110" i="59"/>
  <c r="M125" i="60"/>
  <c r="M137" i="60"/>
  <c r="L110" i="58"/>
  <c r="N120" i="60"/>
  <c r="L121" i="59"/>
  <c r="N117" i="60"/>
  <c r="N111" i="60"/>
  <c r="L118" i="59"/>
  <c r="M116" i="58"/>
  <c r="N112" i="60"/>
  <c r="M124" i="60"/>
  <c r="M136" i="60"/>
  <c r="M120" i="59"/>
  <c r="L116" i="59"/>
  <c r="M131" i="60"/>
  <c r="M143" i="60"/>
  <c r="M113" i="59"/>
  <c r="M121" i="58"/>
  <c r="L112" i="58"/>
  <c r="L121" i="58"/>
  <c r="M112" i="59"/>
  <c r="M114" i="59"/>
  <c r="N113" i="60"/>
  <c r="N115" i="60"/>
  <c r="M118" i="58"/>
  <c r="M117" i="59"/>
  <c r="L116" i="58"/>
  <c r="M112" i="58"/>
  <c r="M111" i="58"/>
  <c r="M121" i="59"/>
  <c r="M114" i="58"/>
  <c r="N119" i="60"/>
  <c r="M111" i="59"/>
  <c r="M127" i="60"/>
  <c r="M139" i="60"/>
  <c r="M119" i="58"/>
  <c r="N121" i="60"/>
  <c r="M116" i="59"/>
  <c r="M117" i="58"/>
  <c r="M133" i="60"/>
  <c r="M145" i="60"/>
  <c r="M130" i="60"/>
  <c r="M142" i="60"/>
  <c r="M129" i="60"/>
  <c r="M141" i="60"/>
  <c r="N114" i="60"/>
  <c r="M120" i="58"/>
  <c r="L113" i="58"/>
  <c r="L117" i="58"/>
  <c r="M123" i="60"/>
  <c r="M135" i="60"/>
  <c r="L118" i="58"/>
  <c r="L114" i="59"/>
  <c r="M118" i="59"/>
  <c r="L110" i="59"/>
  <c r="L112" i="59"/>
  <c r="L120" i="58"/>
  <c r="L119" i="58"/>
  <c r="L114" i="58"/>
  <c r="L115" i="58"/>
  <c r="M113" i="58"/>
  <c r="L111" i="59"/>
  <c r="N118" i="60"/>
  <c r="L117" i="59"/>
  <c r="M132" i="60"/>
  <c r="M144" i="60"/>
  <c r="L119" i="59"/>
  <c r="M115" i="58"/>
  <c r="M128" i="60"/>
  <c r="M140" i="60"/>
  <c r="L113" i="59"/>
  <c r="N116" i="60"/>
  <c r="L115" i="59"/>
  <c r="M115" i="59"/>
  <c r="M110" i="58"/>
  <c r="N110" i="60"/>
  <c r="L120" i="59"/>
  <c r="E132" i="38"/>
  <c r="L132" i="38" s="1"/>
  <c r="E129" i="38"/>
  <c r="L129" i="38" s="1"/>
  <c r="L122" i="38"/>
  <c r="E128" i="38"/>
  <c r="L128" i="38" s="1"/>
  <c r="F129" i="38"/>
  <c r="M129" i="38" s="1"/>
  <c r="E127" i="38"/>
  <c r="E123" i="38"/>
  <c r="E124" i="38"/>
  <c r="E125" i="38"/>
  <c r="F132" i="38"/>
  <c r="M132" i="38" s="1"/>
  <c r="E126" i="38"/>
  <c r="F128" i="38"/>
  <c r="M128" i="38" s="1"/>
  <c r="F126" i="38"/>
  <c r="M126" i="38" s="1"/>
  <c r="F122" i="38"/>
  <c r="M122" i="38" s="1"/>
  <c r="F133" i="38"/>
  <c r="M133" i="38" s="1"/>
  <c r="F131" i="38"/>
  <c r="M131" i="38" s="1"/>
  <c r="F124" i="38"/>
  <c r="M124" i="38" s="1"/>
  <c r="F123" i="38"/>
  <c r="M123" i="38" s="1"/>
  <c r="F130" i="38"/>
  <c r="M130" i="38" s="1"/>
  <c r="F125" i="38"/>
  <c r="M125" i="38" s="1"/>
  <c r="E133" i="38"/>
  <c r="L133" i="38" s="1"/>
  <c r="E130" i="38"/>
  <c r="L130" i="38" s="1"/>
  <c r="E131" i="38"/>
  <c r="L131" i="38" s="1"/>
  <c r="F127" i="38"/>
  <c r="M127" i="38" s="1"/>
  <c r="E134" i="38"/>
  <c r="L134" i="38" s="1"/>
  <c r="G122" i="36"/>
  <c r="N122" i="36" s="1"/>
  <c r="F131" i="36"/>
  <c r="M131" i="36" s="1"/>
  <c r="F129" i="36"/>
  <c r="M129" i="36" s="1"/>
  <c r="F127" i="36"/>
  <c r="M127" i="36" s="1"/>
  <c r="G127" i="36"/>
  <c r="N127" i="36" s="1"/>
  <c r="F130" i="36"/>
  <c r="M130" i="36" s="1"/>
  <c r="G129" i="36"/>
  <c r="N129" i="36" s="1"/>
  <c r="G123" i="36"/>
  <c r="N123" i="36" s="1"/>
  <c r="F128" i="36"/>
  <c r="M128" i="36" s="1"/>
  <c r="G133" i="36"/>
  <c r="N133" i="36" s="1"/>
  <c r="F125" i="36"/>
  <c r="M125" i="36" s="1"/>
  <c r="F124" i="36"/>
  <c r="M124" i="36" s="1"/>
  <c r="F126" i="36"/>
  <c r="M126" i="36" s="1"/>
  <c r="G124" i="36"/>
  <c r="N124" i="36" s="1"/>
  <c r="G128" i="36"/>
  <c r="N128" i="36" s="1"/>
  <c r="G126" i="36"/>
  <c r="N126" i="36" s="1"/>
  <c r="F123" i="36"/>
  <c r="M123" i="36" s="1"/>
  <c r="G130" i="36"/>
  <c r="N130" i="36" s="1"/>
  <c r="G132" i="36"/>
  <c r="N132" i="36" s="1"/>
  <c r="G125" i="36"/>
  <c r="N125" i="36" s="1"/>
  <c r="F132" i="36"/>
  <c r="M132" i="36" s="1"/>
  <c r="F133" i="36"/>
  <c r="M133" i="36" s="1"/>
  <c r="G131" i="36"/>
  <c r="N131" i="36" s="1"/>
  <c r="F122" i="36"/>
  <c r="M122" i="36" s="1"/>
  <c r="F139" i="34"/>
  <c r="M139" i="34" s="1"/>
  <c r="M127" i="34"/>
  <c r="F138" i="34"/>
  <c r="M138" i="34" s="1"/>
  <c r="M126" i="34"/>
  <c r="E138" i="34"/>
  <c r="L138" i="34" s="1"/>
  <c r="L126" i="34"/>
  <c r="F142" i="34"/>
  <c r="M142" i="34" s="1"/>
  <c r="M130" i="34"/>
  <c r="F141" i="34"/>
  <c r="M141" i="34" s="1"/>
  <c r="M129" i="34"/>
  <c r="E137" i="34"/>
  <c r="L137" i="34" s="1"/>
  <c r="L125" i="34"/>
  <c r="E140" i="34"/>
  <c r="L140" i="34" s="1"/>
  <c r="L128" i="34"/>
  <c r="E136" i="34"/>
  <c r="L136" i="34" s="1"/>
  <c r="L124" i="34"/>
  <c r="E135" i="34"/>
  <c r="L135" i="34" s="1"/>
  <c r="L123" i="34"/>
  <c r="E143" i="34"/>
  <c r="L143" i="34" s="1"/>
  <c r="L131" i="34"/>
  <c r="E144" i="34"/>
  <c r="L144" i="34" s="1"/>
  <c r="L132" i="34"/>
  <c r="E145" i="34"/>
  <c r="L145" i="34" s="1"/>
  <c r="L133" i="34"/>
  <c r="F136" i="34"/>
  <c r="M136" i="34" s="1"/>
  <c r="M124" i="34"/>
  <c r="F145" i="34"/>
  <c r="M145" i="34" s="1"/>
  <c r="M133" i="34"/>
  <c r="F143" i="34"/>
  <c r="M143" i="34" s="1"/>
  <c r="M131" i="34"/>
  <c r="F137" i="34"/>
  <c r="M137" i="34" s="1"/>
  <c r="M125" i="34"/>
  <c r="F144" i="34"/>
  <c r="M144" i="34" s="1"/>
  <c r="M132" i="34"/>
  <c r="F140" i="34"/>
  <c r="M140" i="34" s="1"/>
  <c r="M128" i="34"/>
  <c r="F134" i="34"/>
  <c r="M134" i="34" s="1"/>
  <c r="M122" i="34"/>
  <c r="E139" i="34"/>
  <c r="L139" i="34" s="1"/>
  <c r="L127" i="34"/>
  <c r="F135" i="34"/>
  <c r="M135" i="34" s="1"/>
  <c r="M123" i="34"/>
  <c r="E141" i="34"/>
  <c r="L141" i="34" s="1"/>
  <c r="L129" i="34"/>
  <c r="E134" i="34"/>
  <c r="L134" i="34" s="1"/>
  <c r="L122" i="34"/>
  <c r="E142" i="34"/>
  <c r="L142" i="34" s="1"/>
  <c r="L130" i="34"/>
  <c r="X122" i="38" l="1"/>
  <c r="N122" i="60"/>
  <c r="N134" i="60"/>
  <c r="X127" i="58"/>
  <c r="L139" i="58"/>
  <c r="L127" i="58"/>
  <c r="L132" i="58"/>
  <c r="L144" i="58"/>
  <c r="L134" i="59"/>
  <c r="L122" i="59"/>
  <c r="N138" i="60"/>
  <c r="N126" i="60"/>
  <c r="M129" i="58"/>
  <c r="M141" i="58"/>
  <c r="M140" i="59"/>
  <c r="M128" i="59"/>
  <c r="M143" i="58"/>
  <c r="M131" i="58"/>
  <c r="M126" i="58"/>
  <c r="M138" i="58"/>
  <c r="M135" i="58"/>
  <c r="M123" i="58"/>
  <c r="M130" i="58"/>
  <c r="M142" i="58"/>
  <c r="L133" i="58"/>
  <c r="L145" i="58"/>
  <c r="M140" i="58"/>
  <c r="M128" i="58"/>
  <c r="L145" i="59"/>
  <c r="L133" i="59"/>
  <c r="M122" i="59"/>
  <c r="M134" i="59"/>
  <c r="M139" i="59"/>
  <c r="M127" i="59"/>
  <c r="L137" i="59"/>
  <c r="L125" i="59"/>
  <c r="L143" i="59"/>
  <c r="L131" i="59"/>
  <c r="L138" i="59"/>
  <c r="L126" i="59"/>
  <c r="L129" i="58"/>
  <c r="L141" i="58"/>
  <c r="M132" i="58"/>
  <c r="M144" i="58"/>
  <c r="N125" i="60"/>
  <c r="N137" i="60"/>
  <c r="M124" i="59"/>
  <c r="M136" i="59"/>
  <c r="M133" i="58"/>
  <c r="M145" i="58"/>
  <c r="N132" i="60"/>
  <c r="N144" i="60"/>
  <c r="M143" i="59"/>
  <c r="M131" i="59"/>
  <c r="L144" i="59"/>
  <c r="L132" i="59"/>
  <c r="M122" i="58"/>
  <c r="M134" i="58"/>
  <c r="L139" i="59"/>
  <c r="L127" i="59"/>
  <c r="N140" i="60"/>
  <c r="N128" i="60"/>
  <c r="L141" i="59"/>
  <c r="L129" i="59"/>
  <c r="M125" i="58"/>
  <c r="M137" i="58"/>
  <c r="L131" i="58"/>
  <c r="L143" i="58"/>
  <c r="L136" i="59"/>
  <c r="L124" i="59"/>
  <c r="L137" i="58"/>
  <c r="X125" i="58"/>
  <c r="L125" i="58"/>
  <c r="N143" i="60"/>
  <c r="N131" i="60"/>
  <c r="M145" i="59"/>
  <c r="M133" i="59"/>
  <c r="M124" i="58"/>
  <c r="M136" i="58"/>
  <c r="M141" i="59"/>
  <c r="M129" i="59"/>
  <c r="N127" i="60"/>
  <c r="N139" i="60"/>
  <c r="M126" i="59"/>
  <c r="M138" i="59"/>
  <c r="M144" i="59"/>
  <c r="M132" i="59"/>
  <c r="N124" i="60"/>
  <c r="N136" i="60"/>
  <c r="L142" i="59"/>
  <c r="L130" i="59"/>
  <c r="N141" i="60"/>
  <c r="N129" i="60"/>
  <c r="L123" i="58"/>
  <c r="L135" i="58"/>
  <c r="X123" i="58"/>
  <c r="M139" i="58"/>
  <c r="M127" i="58"/>
  <c r="N130" i="60"/>
  <c r="N142" i="60"/>
  <c r="L135" i="59"/>
  <c r="L123" i="59"/>
  <c r="L126" i="58"/>
  <c r="L138" i="58"/>
  <c r="X126" i="58"/>
  <c r="M142" i="59"/>
  <c r="M130" i="59"/>
  <c r="L142" i="58"/>
  <c r="L130" i="58"/>
  <c r="N145" i="60"/>
  <c r="N133" i="60"/>
  <c r="M135" i="59"/>
  <c r="M123" i="59"/>
  <c r="L128" i="58"/>
  <c r="L140" i="58"/>
  <c r="L136" i="58"/>
  <c r="L124" i="58"/>
  <c r="X124" i="58"/>
  <c r="M137" i="59"/>
  <c r="M125" i="59"/>
  <c r="L140" i="59"/>
  <c r="L128" i="59"/>
  <c r="N123" i="60"/>
  <c r="N135" i="60"/>
  <c r="L122" i="58"/>
  <c r="L134" i="58"/>
  <c r="X122" i="58"/>
  <c r="E144" i="38"/>
  <c r="L144" i="38" s="1"/>
  <c r="E141" i="38"/>
  <c r="L141" i="38" s="1"/>
  <c r="X127" i="38"/>
  <c r="X124" i="38"/>
  <c r="X126" i="38"/>
  <c r="X123" i="38"/>
  <c r="X125" i="38"/>
  <c r="L127" i="38"/>
  <c r="L125" i="38"/>
  <c r="L124" i="38"/>
  <c r="L126" i="38"/>
  <c r="L123" i="38"/>
  <c r="E140" i="38"/>
  <c r="L140" i="38" s="1"/>
  <c r="F141" i="38"/>
  <c r="M141" i="38" s="1"/>
  <c r="E139" i="38"/>
  <c r="L139" i="38" s="1"/>
  <c r="E135" i="38"/>
  <c r="L135" i="38" s="1"/>
  <c r="E137" i="38"/>
  <c r="L137" i="38" s="1"/>
  <c r="F144" i="38"/>
  <c r="M144" i="38" s="1"/>
  <c r="E143" i="38"/>
  <c r="L143" i="38" s="1"/>
  <c r="E136" i="38"/>
  <c r="L136" i="38" s="1"/>
  <c r="E138" i="38"/>
  <c r="L138" i="38" s="1"/>
  <c r="F134" i="38"/>
  <c r="M134" i="38" s="1"/>
  <c r="F138" i="38"/>
  <c r="M138" i="38" s="1"/>
  <c r="F140" i="38"/>
  <c r="M140" i="38" s="1"/>
  <c r="F143" i="38"/>
  <c r="M143" i="38" s="1"/>
  <c r="F135" i="38"/>
  <c r="M135" i="38" s="1"/>
  <c r="F145" i="38"/>
  <c r="M145" i="38" s="1"/>
  <c r="F136" i="38"/>
  <c r="M136" i="38" s="1"/>
  <c r="F137" i="38"/>
  <c r="M137" i="38" s="1"/>
  <c r="F142" i="38"/>
  <c r="M142" i="38" s="1"/>
  <c r="E142" i="38"/>
  <c r="L142" i="38" s="1"/>
  <c r="E145" i="38"/>
  <c r="L145" i="38" s="1"/>
  <c r="F139" i="38"/>
  <c r="M139" i="38" s="1"/>
  <c r="F135" i="36"/>
  <c r="M135" i="36" s="1"/>
  <c r="G139" i="36"/>
  <c r="N139" i="36" s="1"/>
  <c r="G143" i="36"/>
  <c r="N143" i="36" s="1"/>
  <c r="F145" i="36"/>
  <c r="M145" i="36" s="1"/>
  <c r="G137" i="36"/>
  <c r="N137" i="36" s="1"/>
  <c r="G144" i="36"/>
  <c r="N144" i="36" s="1"/>
  <c r="G142" i="36"/>
  <c r="N142" i="36" s="1"/>
  <c r="G140" i="36"/>
  <c r="N140" i="36" s="1"/>
  <c r="G136" i="36"/>
  <c r="N136" i="36" s="1"/>
  <c r="G145" i="36"/>
  <c r="N145" i="36" s="1"/>
  <c r="F140" i="36"/>
  <c r="M140" i="36" s="1"/>
  <c r="G134" i="36"/>
  <c r="N134" i="36" s="1"/>
  <c r="F136" i="36"/>
  <c r="M136" i="36" s="1"/>
  <c r="F137" i="36"/>
  <c r="M137" i="36" s="1"/>
  <c r="G135" i="36"/>
  <c r="N135" i="36" s="1"/>
  <c r="F142" i="36"/>
  <c r="M142" i="36" s="1"/>
  <c r="F139" i="36"/>
  <c r="M139" i="36" s="1"/>
  <c r="F143" i="36"/>
  <c r="M143" i="36" s="1"/>
  <c r="F141" i="36"/>
  <c r="M141" i="36" s="1"/>
  <c r="F134" i="36"/>
  <c r="M134" i="36" s="1"/>
  <c r="F144" i="36"/>
  <c r="M144" i="36" s="1"/>
  <c r="G138" i="36"/>
  <c r="N138" i="36" s="1"/>
  <c r="F138" i="36"/>
  <c r="M138" i="36" s="1"/>
  <c r="G141" i="36"/>
  <c r="N141" i="36" s="1"/>
  <c r="BG3" i="1" l="1"/>
  <c r="I3" i="60" l="1"/>
  <c r="P3" i="60" s="1"/>
  <c r="G3" i="59"/>
  <c r="N3" i="59" s="1"/>
  <c r="G3" i="58"/>
  <c r="N3" i="58" s="1"/>
  <c r="BG4" i="1"/>
  <c r="G3" i="38"/>
  <c r="N3" i="38" s="1"/>
  <c r="I3" i="36"/>
  <c r="P3" i="36" s="1"/>
  <c r="G3" i="34"/>
  <c r="N3" i="34" s="1"/>
  <c r="H3" i="32"/>
  <c r="O3" i="32" s="1"/>
  <c r="G3" i="30"/>
  <c r="N3" i="30" s="1"/>
  <c r="G3" i="28"/>
  <c r="N3" i="28" s="1"/>
  <c r="AC2" i="1"/>
  <c r="AF2" i="1"/>
  <c r="AC3" i="1"/>
  <c r="AF3" i="1"/>
  <c r="AC4" i="1"/>
  <c r="AF4" i="1"/>
  <c r="AC5" i="1"/>
  <c r="AF5" i="1"/>
  <c r="AC6" i="1"/>
  <c r="AF6" i="1"/>
  <c r="AC7" i="1"/>
  <c r="AF7" i="1"/>
  <c r="AC8" i="1"/>
  <c r="AF8" i="1"/>
  <c r="AC9" i="1"/>
  <c r="AF9" i="1"/>
  <c r="AC10" i="1"/>
  <c r="AF10" i="1"/>
  <c r="AC11" i="1"/>
  <c r="AF11" i="1"/>
  <c r="AC12" i="1"/>
  <c r="AF12" i="1"/>
  <c r="AC13" i="1"/>
  <c r="AF13" i="1"/>
  <c r="AC14" i="1"/>
  <c r="AF14" i="1"/>
  <c r="AC15" i="1"/>
  <c r="AF15" i="1"/>
  <c r="AC16" i="1"/>
  <c r="AF16" i="1"/>
  <c r="AC17" i="1"/>
  <c r="AF17" i="1"/>
  <c r="AC18" i="1"/>
  <c r="AF18" i="1"/>
  <c r="AC19" i="1"/>
  <c r="AF19" i="1"/>
  <c r="AC20" i="1"/>
  <c r="AF20" i="1"/>
  <c r="AC21" i="1"/>
  <c r="AF21" i="1"/>
  <c r="AC22" i="1"/>
  <c r="AF22" i="1"/>
  <c r="AC23" i="1"/>
  <c r="AF23" i="1"/>
  <c r="AC24" i="1"/>
  <c r="AF24" i="1"/>
  <c r="AC25" i="1"/>
  <c r="AF25" i="1"/>
  <c r="AC26" i="1"/>
  <c r="AF26" i="1"/>
  <c r="AC27" i="1"/>
  <c r="AF27" i="1"/>
  <c r="AC28" i="1"/>
  <c r="AF28" i="1"/>
  <c r="AC29" i="1"/>
  <c r="AF29" i="1"/>
  <c r="AC30" i="1"/>
  <c r="AF30" i="1"/>
  <c r="AC31" i="1"/>
  <c r="AF31" i="1"/>
  <c r="AC32" i="1"/>
  <c r="AF32" i="1"/>
  <c r="AC33" i="1"/>
  <c r="AF33" i="1"/>
  <c r="AC34" i="1"/>
  <c r="AF34" i="1"/>
  <c r="AC35" i="1"/>
  <c r="AF35" i="1"/>
  <c r="AC36" i="1"/>
  <c r="AF36" i="1"/>
  <c r="AC37" i="1"/>
  <c r="AF37" i="1"/>
  <c r="AC38" i="1"/>
  <c r="AF38" i="1"/>
  <c r="AC39" i="1"/>
  <c r="AF39" i="1"/>
  <c r="AC40" i="1"/>
  <c r="AF40" i="1"/>
  <c r="AC41" i="1"/>
  <c r="AF41" i="1"/>
  <c r="AC42" i="1"/>
  <c r="AF42" i="1"/>
  <c r="AC43" i="1"/>
  <c r="AF43" i="1"/>
  <c r="AC44" i="1"/>
  <c r="AF44" i="1"/>
  <c r="AC45" i="1"/>
  <c r="AF45" i="1"/>
  <c r="AC46" i="1"/>
  <c r="AF46" i="1"/>
  <c r="AC47" i="1"/>
  <c r="AF47" i="1"/>
  <c r="AC48" i="1"/>
  <c r="AF48" i="1"/>
  <c r="AC49" i="1"/>
  <c r="AF49" i="1"/>
  <c r="AC50" i="1"/>
  <c r="AF50" i="1"/>
  <c r="AC51" i="1"/>
  <c r="AF51" i="1"/>
  <c r="AC52" i="1"/>
  <c r="AF52" i="1"/>
  <c r="AC53" i="1"/>
  <c r="AF53" i="1"/>
  <c r="AC54" i="1"/>
  <c r="AF54" i="1"/>
  <c r="AC55" i="1"/>
  <c r="AF55" i="1"/>
  <c r="AC56" i="1"/>
  <c r="AF56" i="1"/>
  <c r="AC57" i="1"/>
  <c r="AF57" i="1"/>
  <c r="AC58" i="1"/>
  <c r="AF58" i="1"/>
  <c r="AC59" i="1"/>
  <c r="AF59" i="1"/>
  <c r="AC60" i="1"/>
  <c r="AF60" i="1"/>
  <c r="AC61" i="1"/>
  <c r="AF61" i="1"/>
  <c r="AC62" i="1"/>
  <c r="AF62" i="1"/>
  <c r="AC63" i="1"/>
  <c r="AF63" i="1"/>
  <c r="AC64" i="1"/>
  <c r="AF64" i="1"/>
  <c r="AC65" i="1"/>
  <c r="AF65" i="1"/>
  <c r="AC66" i="1"/>
  <c r="AF66" i="1"/>
  <c r="AC67" i="1"/>
  <c r="AF67" i="1"/>
  <c r="AC68" i="1"/>
  <c r="AF68" i="1"/>
  <c r="AC69" i="1"/>
  <c r="AF69" i="1"/>
  <c r="AC70" i="1"/>
  <c r="AF70" i="1"/>
  <c r="AC71" i="1"/>
  <c r="AF71" i="1"/>
  <c r="AC72" i="1"/>
  <c r="AF72" i="1"/>
  <c r="AC73" i="1"/>
  <c r="AF73" i="1"/>
  <c r="AC74" i="1"/>
  <c r="AF74" i="1"/>
  <c r="AC75" i="1"/>
  <c r="AF75" i="1"/>
  <c r="AC76" i="1"/>
  <c r="AF76" i="1"/>
  <c r="AC77" i="1"/>
  <c r="AF77" i="1"/>
  <c r="AC78" i="1"/>
  <c r="AF78" i="1"/>
  <c r="AC79" i="1"/>
  <c r="AF79" i="1"/>
  <c r="AC80" i="1"/>
  <c r="AF80" i="1"/>
  <c r="AC81" i="1"/>
  <c r="AF81" i="1"/>
  <c r="AC82" i="1"/>
  <c r="AF82" i="1"/>
  <c r="AC83" i="1"/>
  <c r="AF83" i="1"/>
  <c r="AC84" i="1"/>
  <c r="AF84" i="1"/>
  <c r="AC85" i="1"/>
  <c r="AF85" i="1"/>
  <c r="AC86" i="1"/>
  <c r="AF86" i="1"/>
  <c r="AC87" i="1"/>
  <c r="AF87" i="1"/>
  <c r="AC88" i="1"/>
  <c r="AF88" i="1"/>
  <c r="AC89" i="1"/>
  <c r="AF89" i="1"/>
  <c r="AC90" i="1"/>
  <c r="AF90" i="1"/>
  <c r="AC91" i="1"/>
  <c r="AF91" i="1"/>
  <c r="AC92" i="1"/>
  <c r="AF92" i="1"/>
  <c r="AC93" i="1"/>
  <c r="AF93" i="1"/>
  <c r="AC94" i="1"/>
  <c r="AF94" i="1"/>
  <c r="AC95" i="1"/>
  <c r="AF95" i="1"/>
  <c r="AC96" i="1"/>
  <c r="AF96" i="1"/>
  <c r="AC97" i="1"/>
  <c r="AF97" i="1"/>
  <c r="AC98" i="1"/>
  <c r="AF98" i="1"/>
  <c r="AC99" i="1"/>
  <c r="AF99" i="1"/>
  <c r="AC100" i="1"/>
  <c r="AF100" i="1"/>
  <c r="AC101" i="1"/>
  <c r="AF101" i="1"/>
  <c r="AC102" i="1"/>
  <c r="AF102" i="1"/>
  <c r="AC103" i="1"/>
  <c r="AF103" i="1"/>
  <c r="AC104" i="1"/>
  <c r="AF104" i="1"/>
  <c r="AC105" i="1"/>
  <c r="AF105" i="1"/>
  <c r="AC106" i="1"/>
  <c r="AF106" i="1"/>
  <c r="AC107" i="1"/>
  <c r="AF107" i="1"/>
  <c r="AC108" i="1"/>
  <c r="AF108" i="1"/>
  <c r="AC109" i="1"/>
  <c r="AF109" i="1"/>
  <c r="AF1" i="1"/>
  <c r="AC1" i="1"/>
  <c r="V2" i="1"/>
  <c r="H2" i="60" s="1"/>
  <c r="O2" i="60" s="1"/>
  <c r="T2" i="60" s="1"/>
  <c r="W2" i="1"/>
  <c r="H2" i="58" s="1"/>
  <c r="O2" i="58" s="1"/>
  <c r="S2" i="58" s="1"/>
  <c r="X2" i="1"/>
  <c r="H2" i="59" s="1"/>
  <c r="O2" i="59" s="1"/>
  <c r="S2" i="59" s="1"/>
  <c r="Y2" i="1"/>
  <c r="Z2" i="1"/>
  <c r="AA2" i="1"/>
  <c r="AB2" i="1"/>
  <c r="V3" i="1"/>
  <c r="H3" i="60" s="1"/>
  <c r="O3" i="60" s="1"/>
  <c r="T3" i="60" s="1"/>
  <c r="W3" i="1"/>
  <c r="H3" i="58" s="1"/>
  <c r="O3" i="58" s="1"/>
  <c r="X3" i="1"/>
  <c r="H3" i="59" s="1"/>
  <c r="O3" i="59" s="1"/>
  <c r="Y3" i="1"/>
  <c r="Z3" i="1"/>
  <c r="AA3" i="1"/>
  <c r="AB3" i="1"/>
  <c r="V4" i="1"/>
  <c r="H4" i="60" s="1"/>
  <c r="O4" i="60" s="1"/>
  <c r="W4" i="1"/>
  <c r="H4" i="58" s="1"/>
  <c r="O4" i="58" s="1"/>
  <c r="X4" i="1"/>
  <c r="H4" i="59" s="1"/>
  <c r="O4" i="59" s="1"/>
  <c r="Y4" i="1"/>
  <c r="Z4" i="1"/>
  <c r="AA4" i="1"/>
  <c r="AB4" i="1"/>
  <c r="V5" i="1"/>
  <c r="H5" i="60" s="1"/>
  <c r="O5" i="60" s="1"/>
  <c r="W5" i="1"/>
  <c r="H5" i="58" s="1"/>
  <c r="O5" i="58" s="1"/>
  <c r="X5" i="1"/>
  <c r="H5" i="59" s="1"/>
  <c r="O5" i="59" s="1"/>
  <c r="Y5" i="1"/>
  <c r="Z5" i="1"/>
  <c r="AA5" i="1"/>
  <c r="AB5" i="1"/>
  <c r="V6" i="1"/>
  <c r="H6" i="60" s="1"/>
  <c r="O6" i="60" s="1"/>
  <c r="W6" i="1"/>
  <c r="H6" i="58" s="1"/>
  <c r="O6" i="58" s="1"/>
  <c r="X6" i="1"/>
  <c r="H6" i="59" s="1"/>
  <c r="O6" i="59" s="1"/>
  <c r="Y6" i="1"/>
  <c r="Z6" i="1"/>
  <c r="AA6" i="1"/>
  <c r="AB6" i="1"/>
  <c r="V7" i="1"/>
  <c r="H7" i="60" s="1"/>
  <c r="O7" i="60" s="1"/>
  <c r="W7" i="1"/>
  <c r="H7" i="58" s="1"/>
  <c r="O7" i="58" s="1"/>
  <c r="X7" i="1"/>
  <c r="H7" i="59" s="1"/>
  <c r="O7" i="59" s="1"/>
  <c r="Y7" i="1"/>
  <c r="Z7" i="1"/>
  <c r="AA7" i="1"/>
  <c r="AB7" i="1"/>
  <c r="V8" i="1"/>
  <c r="H8" i="60" s="1"/>
  <c r="O8" i="60" s="1"/>
  <c r="W8" i="1"/>
  <c r="H8" i="58" s="1"/>
  <c r="O8" i="58" s="1"/>
  <c r="X8" i="1"/>
  <c r="H8" i="59" s="1"/>
  <c r="O8" i="59" s="1"/>
  <c r="Y8" i="1"/>
  <c r="Z8" i="1"/>
  <c r="AA8" i="1"/>
  <c r="AB8" i="1"/>
  <c r="V9" i="1"/>
  <c r="H9" i="60" s="1"/>
  <c r="O9" i="60" s="1"/>
  <c r="W9" i="1"/>
  <c r="H9" i="58" s="1"/>
  <c r="O9" i="58" s="1"/>
  <c r="X9" i="1"/>
  <c r="H9" i="59" s="1"/>
  <c r="O9" i="59" s="1"/>
  <c r="Y9" i="1"/>
  <c r="Z9" i="1"/>
  <c r="AA9" i="1"/>
  <c r="AB9" i="1"/>
  <c r="V10" i="1"/>
  <c r="H10" i="60" s="1"/>
  <c r="O10" i="60" s="1"/>
  <c r="W10" i="1"/>
  <c r="H10" i="58" s="1"/>
  <c r="O10" i="58" s="1"/>
  <c r="X10" i="1"/>
  <c r="H10" i="59" s="1"/>
  <c r="O10" i="59" s="1"/>
  <c r="Y10" i="1"/>
  <c r="Z10" i="1"/>
  <c r="AA10" i="1"/>
  <c r="AB10" i="1"/>
  <c r="V11" i="1"/>
  <c r="H11" i="60" s="1"/>
  <c r="O11" i="60" s="1"/>
  <c r="W11" i="1"/>
  <c r="H11" i="58" s="1"/>
  <c r="O11" i="58" s="1"/>
  <c r="X11" i="1"/>
  <c r="H11" i="59" s="1"/>
  <c r="O11" i="59" s="1"/>
  <c r="Y11" i="1"/>
  <c r="Z11" i="1"/>
  <c r="AA11" i="1"/>
  <c r="AB11" i="1"/>
  <c r="V12" i="1"/>
  <c r="H12" i="60" s="1"/>
  <c r="O12" i="60" s="1"/>
  <c r="W12" i="1"/>
  <c r="H12" i="58" s="1"/>
  <c r="O12" i="58" s="1"/>
  <c r="X12" i="1"/>
  <c r="H12" i="59" s="1"/>
  <c r="O12" i="59" s="1"/>
  <c r="Y12" i="1"/>
  <c r="Z12" i="1"/>
  <c r="AA12" i="1"/>
  <c r="AB12" i="1"/>
  <c r="V13" i="1"/>
  <c r="H13" i="60" s="1"/>
  <c r="O13" i="60" s="1"/>
  <c r="W13" i="1"/>
  <c r="H13" i="58" s="1"/>
  <c r="O13" i="58" s="1"/>
  <c r="X13" i="1"/>
  <c r="H13" i="59" s="1"/>
  <c r="O13" i="59" s="1"/>
  <c r="Y13" i="1"/>
  <c r="Z13" i="1"/>
  <c r="AA13" i="1"/>
  <c r="AB13" i="1"/>
  <c r="V14" i="1"/>
  <c r="H14" i="60" s="1"/>
  <c r="O14" i="60" s="1"/>
  <c r="W14" i="1"/>
  <c r="H14" i="58" s="1"/>
  <c r="O14" i="58" s="1"/>
  <c r="X14" i="1"/>
  <c r="H14" i="59" s="1"/>
  <c r="O14" i="59" s="1"/>
  <c r="Y14" i="1"/>
  <c r="Z14" i="1"/>
  <c r="AA14" i="1"/>
  <c r="AB14" i="1"/>
  <c r="V15" i="1"/>
  <c r="H15" i="60" s="1"/>
  <c r="O15" i="60" s="1"/>
  <c r="W15" i="1"/>
  <c r="H15" i="58" s="1"/>
  <c r="O15" i="58" s="1"/>
  <c r="X15" i="1"/>
  <c r="H15" i="59" s="1"/>
  <c r="O15" i="59" s="1"/>
  <c r="Y15" i="1"/>
  <c r="Z15" i="1"/>
  <c r="AA15" i="1"/>
  <c r="AB15" i="1"/>
  <c r="V16" i="1"/>
  <c r="H16" i="60" s="1"/>
  <c r="O16" i="60" s="1"/>
  <c r="W16" i="1"/>
  <c r="H16" i="58" s="1"/>
  <c r="O16" i="58" s="1"/>
  <c r="X16" i="1"/>
  <c r="H16" i="59" s="1"/>
  <c r="O16" i="59" s="1"/>
  <c r="Y16" i="1"/>
  <c r="Z16" i="1"/>
  <c r="AA16" i="1"/>
  <c r="AB16" i="1"/>
  <c r="V17" i="1"/>
  <c r="H17" i="60" s="1"/>
  <c r="O17" i="60" s="1"/>
  <c r="W17" i="1"/>
  <c r="H17" i="58" s="1"/>
  <c r="O17" i="58" s="1"/>
  <c r="X17" i="1"/>
  <c r="H17" i="59" s="1"/>
  <c r="O17" i="59" s="1"/>
  <c r="Y17" i="1"/>
  <c r="Z17" i="1"/>
  <c r="AA17" i="1"/>
  <c r="AB17" i="1"/>
  <c r="V18" i="1"/>
  <c r="H18" i="60" s="1"/>
  <c r="O18" i="60" s="1"/>
  <c r="W18" i="1"/>
  <c r="H18" i="58" s="1"/>
  <c r="O18" i="58" s="1"/>
  <c r="X18" i="1"/>
  <c r="H18" i="59" s="1"/>
  <c r="O18" i="59" s="1"/>
  <c r="Y18" i="1"/>
  <c r="Z18" i="1"/>
  <c r="AA18" i="1"/>
  <c r="AB18" i="1"/>
  <c r="V19" i="1"/>
  <c r="H19" i="60" s="1"/>
  <c r="O19" i="60" s="1"/>
  <c r="W19" i="1"/>
  <c r="H19" i="58" s="1"/>
  <c r="O19" i="58" s="1"/>
  <c r="X19" i="1"/>
  <c r="H19" i="59" s="1"/>
  <c r="O19" i="59" s="1"/>
  <c r="Y19" i="1"/>
  <c r="Z19" i="1"/>
  <c r="AA19" i="1"/>
  <c r="AB19" i="1"/>
  <c r="V20" i="1"/>
  <c r="H20" i="60" s="1"/>
  <c r="O20" i="60" s="1"/>
  <c r="W20" i="1"/>
  <c r="H20" i="58" s="1"/>
  <c r="O20" i="58" s="1"/>
  <c r="X20" i="1"/>
  <c r="H20" i="59" s="1"/>
  <c r="O20" i="59" s="1"/>
  <c r="Y20" i="1"/>
  <c r="Z20" i="1"/>
  <c r="AA20" i="1"/>
  <c r="AB20" i="1"/>
  <c r="V21" i="1"/>
  <c r="H21" i="60" s="1"/>
  <c r="O21" i="60" s="1"/>
  <c r="W21" i="1"/>
  <c r="H21" i="58" s="1"/>
  <c r="O21" i="58" s="1"/>
  <c r="X21" i="1"/>
  <c r="H21" i="59" s="1"/>
  <c r="O21" i="59" s="1"/>
  <c r="Y21" i="1"/>
  <c r="Z21" i="1"/>
  <c r="AA21" i="1"/>
  <c r="AB21" i="1"/>
  <c r="V22" i="1"/>
  <c r="H22" i="60" s="1"/>
  <c r="O22" i="60" s="1"/>
  <c r="W22" i="1"/>
  <c r="H22" i="58" s="1"/>
  <c r="O22" i="58" s="1"/>
  <c r="X22" i="1"/>
  <c r="H22" i="59" s="1"/>
  <c r="O22" i="59" s="1"/>
  <c r="Y22" i="1"/>
  <c r="Z22" i="1"/>
  <c r="AA22" i="1"/>
  <c r="AB22" i="1"/>
  <c r="V23" i="1"/>
  <c r="H23" i="60" s="1"/>
  <c r="O23" i="60" s="1"/>
  <c r="W23" i="1"/>
  <c r="H23" i="58" s="1"/>
  <c r="O23" i="58" s="1"/>
  <c r="X23" i="1"/>
  <c r="H23" i="59" s="1"/>
  <c r="O23" i="59" s="1"/>
  <c r="Y23" i="1"/>
  <c r="Z23" i="1"/>
  <c r="AA23" i="1"/>
  <c r="AB23" i="1"/>
  <c r="V24" i="1"/>
  <c r="H24" i="60" s="1"/>
  <c r="O24" i="60" s="1"/>
  <c r="W24" i="1"/>
  <c r="H24" i="58" s="1"/>
  <c r="O24" i="58" s="1"/>
  <c r="X24" i="1"/>
  <c r="H24" i="59" s="1"/>
  <c r="O24" i="59" s="1"/>
  <c r="Y24" i="1"/>
  <c r="Z24" i="1"/>
  <c r="AA24" i="1"/>
  <c r="AB24" i="1"/>
  <c r="V25" i="1"/>
  <c r="H25" i="60" s="1"/>
  <c r="O25" i="60" s="1"/>
  <c r="W25" i="1"/>
  <c r="H25" i="58" s="1"/>
  <c r="O25" i="58" s="1"/>
  <c r="X25" i="1"/>
  <c r="H25" i="59" s="1"/>
  <c r="O25" i="59" s="1"/>
  <c r="Y25" i="1"/>
  <c r="Z25" i="1"/>
  <c r="AA25" i="1"/>
  <c r="AB25" i="1"/>
  <c r="V26" i="1"/>
  <c r="H26" i="60" s="1"/>
  <c r="O26" i="60" s="1"/>
  <c r="W26" i="1"/>
  <c r="H26" i="58" s="1"/>
  <c r="O26" i="58" s="1"/>
  <c r="X26" i="1"/>
  <c r="H26" i="59" s="1"/>
  <c r="O26" i="59" s="1"/>
  <c r="Y26" i="1"/>
  <c r="Z26" i="1"/>
  <c r="AA26" i="1"/>
  <c r="AB26" i="1"/>
  <c r="V27" i="1"/>
  <c r="H27" i="60" s="1"/>
  <c r="O27" i="60" s="1"/>
  <c r="W27" i="1"/>
  <c r="H27" i="58" s="1"/>
  <c r="O27" i="58" s="1"/>
  <c r="X27" i="1"/>
  <c r="H27" i="59" s="1"/>
  <c r="O27" i="59" s="1"/>
  <c r="Y27" i="1"/>
  <c r="Z27" i="1"/>
  <c r="AA27" i="1"/>
  <c r="AB27" i="1"/>
  <c r="V28" i="1"/>
  <c r="H28" i="60" s="1"/>
  <c r="O28" i="60" s="1"/>
  <c r="W28" i="1"/>
  <c r="H28" i="58" s="1"/>
  <c r="O28" i="58" s="1"/>
  <c r="X28" i="1"/>
  <c r="H28" i="59" s="1"/>
  <c r="O28" i="59" s="1"/>
  <c r="Y28" i="1"/>
  <c r="Z28" i="1"/>
  <c r="AA28" i="1"/>
  <c r="AB28" i="1"/>
  <c r="V29" i="1"/>
  <c r="H29" i="60" s="1"/>
  <c r="O29" i="60" s="1"/>
  <c r="W29" i="1"/>
  <c r="H29" i="58" s="1"/>
  <c r="O29" i="58" s="1"/>
  <c r="X29" i="1"/>
  <c r="H29" i="59" s="1"/>
  <c r="O29" i="59" s="1"/>
  <c r="Y29" i="1"/>
  <c r="Z29" i="1"/>
  <c r="AA29" i="1"/>
  <c r="AB29" i="1"/>
  <c r="V30" i="1"/>
  <c r="H30" i="60" s="1"/>
  <c r="O30" i="60" s="1"/>
  <c r="W30" i="1"/>
  <c r="H30" i="58" s="1"/>
  <c r="O30" i="58" s="1"/>
  <c r="X30" i="1"/>
  <c r="H30" i="59" s="1"/>
  <c r="O30" i="59" s="1"/>
  <c r="Y30" i="1"/>
  <c r="Z30" i="1"/>
  <c r="AA30" i="1"/>
  <c r="AB30" i="1"/>
  <c r="V31" i="1"/>
  <c r="H31" i="60" s="1"/>
  <c r="O31" i="60" s="1"/>
  <c r="W31" i="1"/>
  <c r="H31" i="58" s="1"/>
  <c r="O31" i="58" s="1"/>
  <c r="X31" i="1"/>
  <c r="H31" i="59" s="1"/>
  <c r="O31" i="59" s="1"/>
  <c r="Y31" i="1"/>
  <c r="Z31" i="1"/>
  <c r="AA31" i="1"/>
  <c r="AB31" i="1"/>
  <c r="V32" i="1"/>
  <c r="H32" i="60" s="1"/>
  <c r="O32" i="60" s="1"/>
  <c r="W32" i="1"/>
  <c r="H32" i="58" s="1"/>
  <c r="O32" i="58" s="1"/>
  <c r="X32" i="1"/>
  <c r="H32" i="59" s="1"/>
  <c r="O32" i="59" s="1"/>
  <c r="Y32" i="1"/>
  <c r="Z32" i="1"/>
  <c r="AA32" i="1"/>
  <c r="AB32" i="1"/>
  <c r="V33" i="1"/>
  <c r="H33" i="60" s="1"/>
  <c r="O33" i="60" s="1"/>
  <c r="W33" i="1"/>
  <c r="H33" i="58" s="1"/>
  <c r="O33" i="58" s="1"/>
  <c r="X33" i="1"/>
  <c r="H33" i="59" s="1"/>
  <c r="O33" i="59" s="1"/>
  <c r="Y33" i="1"/>
  <c r="Z33" i="1"/>
  <c r="AA33" i="1"/>
  <c r="AB33" i="1"/>
  <c r="V34" i="1"/>
  <c r="H34" i="60" s="1"/>
  <c r="O34" i="60" s="1"/>
  <c r="W34" i="1"/>
  <c r="H34" i="58" s="1"/>
  <c r="O34" i="58" s="1"/>
  <c r="X34" i="1"/>
  <c r="H34" i="59" s="1"/>
  <c r="O34" i="59" s="1"/>
  <c r="Y34" i="1"/>
  <c r="Z34" i="1"/>
  <c r="AA34" i="1"/>
  <c r="AB34" i="1"/>
  <c r="V35" i="1"/>
  <c r="H35" i="60" s="1"/>
  <c r="O35" i="60" s="1"/>
  <c r="W35" i="1"/>
  <c r="H35" i="58" s="1"/>
  <c r="O35" i="58" s="1"/>
  <c r="X35" i="1"/>
  <c r="H35" i="59" s="1"/>
  <c r="O35" i="59" s="1"/>
  <c r="Y35" i="1"/>
  <c r="Z35" i="1"/>
  <c r="AA35" i="1"/>
  <c r="AB35" i="1"/>
  <c r="V36" i="1"/>
  <c r="H36" i="60" s="1"/>
  <c r="O36" i="60" s="1"/>
  <c r="W36" i="1"/>
  <c r="H36" i="58" s="1"/>
  <c r="O36" i="58" s="1"/>
  <c r="X36" i="1"/>
  <c r="H36" i="59" s="1"/>
  <c r="O36" i="59" s="1"/>
  <c r="Y36" i="1"/>
  <c r="Z36" i="1"/>
  <c r="AA36" i="1"/>
  <c r="AB36" i="1"/>
  <c r="V37" i="1"/>
  <c r="H37" i="60" s="1"/>
  <c r="O37" i="60" s="1"/>
  <c r="W37" i="1"/>
  <c r="H37" i="58" s="1"/>
  <c r="O37" i="58" s="1"/>
  <c r="X37" i="1"/>
  <c r="H37" i="59" s="1"/>
  <c r="O37" i="59" s="1"/>
  <c r="Y37" i="1"/>
  <c r="Z37" i="1"/>
  <c r="AA37" i="1"/>
  <c r="AB37" i="1"/>
  <c r="V38" i="1"/>
  <c r="H38" i="60" s="1"/>
  <c r="O38" i="60" s="1"/>
  <c r="W38" i="1"/>
  <c r="H38" i="58" s="1"/>
  <c r="O38" i="58" s="1"/>
  <c r="X38" i="1"/>
  <c r="H38" i="59" s="1"/>
  <c r="O38" i="59" s="1"/>
  <c r="Y38" i="1"/>
  <c r="Z38" i="1"/>
  <c r="AA38" i="1"/>
  <c r="AB38" i="1"/>
  <c r="V39" i="1"/>
  <c r="H39" i="60" s="1"/>
  <c r="O39" i="60" s="1"/>
  <c r="W39" i="1"/>
  <c r="H39" i="58" s="1"/>
  <c r="O39" i="58" s="1"/>
  <c r="X39" i="1"/>
  <c r="H39" i="59" s="1"/>
  <c r="O39" i="59" s="1"/>
  <c r="Y39" i="1"/>
  <c r="Z39" i="1"/>
  <c r="AA39" i="1"/>
  <c r="AB39" i="1"/>
  <c r="V40" i="1"/>
  <c r="H40" i="60" s="1"/>
  <c r="O40" i="60" s="1"/>
  <c r="W40" i="1"/>
  <c r="H40" i="58" s="1"/>
  <c r="O40" i="58" s="1"/>
  <c r="X40" i="1"/>
  <c r="H40" i="59" s="1"/>
  <c r="O40" i="59" s="1"/>
  <c r="Y40" i="1"/>
  <c r="Z40" i="1"/>
  <c r="AA40" i="1"/>
  <c r="AB40" i="1"/>
  <c r="V41" i="1"/>
  <c r="H41" i="60" s="1"/>
  <c r="O41" i="60" s="1"/>
  <c r="W41" i="1"/>
  <c r="H41" i="58" s="1"/>
  <c r="O41" i="58" s="1"/>
  <c r="X41" i="1"/>
  <c r="H41" i="59" s="1"/>
  <c r="O41" i="59" s="1"/>
  <c r="Y41" i="1"/>
  <c r="Z41" i="1"/>
  <c r="AA41" i="1"/>
  <c r="AB41" i="1"/>
  <c r="V42" i="1"/>
  <c r="H42" i="60" s="1"/>
  <c r="O42" i="60" s="1"/>
  <c r="W42" i="1"/>
  <c r="H42" i="58" s="1"/>
  <c r="O42" i="58" s="1"/>
  <c r="X42" i="1"/>
  <c r="H42" i="59" s="1"/>
  <c r="O42" i="59" s="1"/>
  <c r="Y42" i="1"/>
  <c r="Z42" i="1"/>
  <c r="AA42" i="1"/>
  <c r="AB42" i="1"/>
  <c r="V43" i="1"/>
  <c r="H43" i="60" s="1"/>
  <c r="O43" i="60" s="1"/>
  <c r="W43" i="1"/>
  <c r="H43" i="58" s="1"/>
  <c r="O43" i="58" s="1"/>
  <c r="X43" i="1"/>
  <c r="H43" i="59" s="1"/>
  <c r="O43" i="59" s="1"/>
  <c r="Y43" i="1"/>
  <c r="Z43" i="1"/>
  <c r="AA43" i="1"/>
  <c r="AB43" i="1"/>
  <c r="V44" i="1"/>
  <c r="H44" i="60" s="1"/>
  <c r="O44" i="60" s="1"/>
  <c r="W44" i="1"/>
  <c r="H44" i="58" s="1"/>
  <c r="O44" i="58" s="1"/>
  <c r="X44" i="1"/>
  <c r="H44" i="59" s="1"/>
  <c r="O44" i="59" s="1"/>
  <c r="Y44" i="1"/>
  <c r="Z44" i="1"/>
  <c r="AA44" i="1"/>
  <c r="AB44" i="1"/>
  <c r="V45" i="1"/>
  <c r="H45" i="60" s="1"/>
  <c r="O45" i="60" s="1"/>
  <c r="W45" i="1"/>
  <c r="H45" i="58" s="1"/>
  <c r="O45" i="58" s="1"/>
  <c r="X45" i="1"/>
  <c r="H45" i="59" s="1"/>
  <c r="O45" i="59" s="1"/>
  <c r="Y45" i="1"/>
  <c r="Z45" i="1"/>
  <c r="AA45" i="1"/>
  <c r="AB45" i="1"/>
  <c r="V46" i="1"/>
  <c r="H46" i="60" s="1"/>
  <c r="O46" i="60" s="1"/>
  <c r="W46" i="1"/>
  <c r="H46" i="58" s="1"/>
  <c r="O46" i="58" s="1"/>
  <c r="X46" i="1"/>
  <c r="H46" i="59" s="1"/>
  <c r="O46" i="59" s="1"/>
  <c r="Y46" i="1"/>
  <c r="Z46" i="1"/>
  <c r="AA46" i="1"/>
  <c r="AB46" i="1"/>
  <c r="V47" i="1"/>
  <c r="H47" i="60" s="1"/>
  <c r="O47" i="60" s="1"/>
  <c r="W47" i="1"/>
  <c r="H47" i="58" s="1"/>
  <c r="O47" i="58" s="1"/>
  <c r="X47" i="1"/>
  <c r="H47" i="59" s="1"/>
  <c r="O47" i="59" s="1"/>
  <c r="Y47" i="1"/>
  <c r="Z47" i="1"/>
  <c r="AA47" i="1"/>
  <c r="AB47" i="1"/>
  <c r="V48" i="1"/>
  <c r="H48" i="60" s="1"/>
  <c r="O48" i="60" s="1"/>
  <c r="W48" i="1"/>
  <c r="H48" i="58" s="1"/>
  <c r="O48" i="58" s="1"/>
  <c r="X48" i="1"/>
  <c r="H48" i="59" s="1"/>
  <c r="O48" i="59" s="1"/>
  <c r="Y48" i="1"/>
  <c r="Z48" i="1"/>
  <c r="AA48" i="1"/>
  <c r="AB48" i="1"/>
  <c r="V49" i="1"/>
  <c r="H49" i="60" s="1"/>
  <c r="O49" i="60" s="1"/>
  <c r="W49" i="1"/>
  <c r="H49" i="58" s="1"/>
  <c r="O49" i="58" s="1"/>
  <c r="X49" i="1"/>
  <c r="H49" i="59" s="1"/>
  <c r="O49" i="59" s="1"/>
  <c r="Y49" i="1"/>
  <c r="Z49" i="1"/>
  <c r="AA49" i="1"/>
  <c r="AB49" i="1"/>
  <c r="V50" i="1"/>
  <c r="H50" i="60" s="1"/>
  <c r="O50" i="60" s="1"/>
  <c r="W50" i="1"/>
  <c r="H50" i="58" s="1"/>
  <c r="O50" i="58" s="1"/>
  <c r="X50" i="1"/>
  <c r="H50" i="59" s="1"/>
  <c r="O50" i="59" s="1"/>
  <c r="Y50" i="1"/>
  <c r="Z50" i="1"/>
  <c r="AA50" i="1"/>
  <c r="AB50" i="1"/>
  <c r="V51" i="1"/>
  <c r="H51" i="60" s="1"/>
  <c r="O51" i="60" s="1"/>
  <c r="W51" i="1"/>
  <c r="H51" i="58" s="1"/>
  <c r="O51" i="58" s="1"/>
  <c r="X51" i="1"/>
  <c r="H51" i="59" s="1"/>
  <c r="O51" i="59" s="1"/>
  <c r="Y51" i="1"/>
  <c r="Z51" i="1"/>
  <c r="AA51" i="1"/>
  <c r="AB51" i="1"/>
  <c r="V52" i="1"/>
  <c r="H52" i="60" s="1"/>
  <c r="O52" i="60" s="1"/>
  <c r="W52" i="1"/>
  <c r="H52" i="58" s="1"/>
  <c r="O52" i="58" s="1"/>
  <c r="X52" i="1"/>
  <c r="H52" i="59" s="1"/>
  <c r="O52" i="59" s="1"/>
  <c r="Y52" i="1"/>
  <c r="Z52" i="1"/>
  <c r="AA52" i="1"/>
  <c r="AB52" i="1"/>
  <c r="V53" i="1"/>
  <c r="H53" i="60" s="1"/>
  <c r="O53" i="60" s="1"/>
  <c r="W53" i="1"/>
  <c r="H53" i="58" s="1"/>
  <c r="O53" i="58" s="1"/>
  <c r="X53" i="1"/>
  <c r="H53" i="59" s="1"/>
  <c r="O53" i="59" s="1"/>
  <c r="Y53" i="1"/>
  <c r="Z53" i="1"/>
  <c r="AA53" i="1"/>
  <c r="AB53" i="1"/>
  <c r="V54" i="1"/>
  <c r="H54" i="60" s="1"/>
  <c r="O54" i="60" s="1"/>
  <c r="W54" i="1"/>
  <c r="H54" i="58" s="1"/>
  <c r="O54" i="58" s="1"/>
  <c r="X54" i="1"/>
  <c r="H54" i="59" s="1"/>
  <c r="O54" i="59" s="1"/>
  <c r="Y54" i="1"/>
  <c r="Z54" i="1"/>
  <c r="AA54" i="1"/>
  <c r="AB54" i="1"/>
  <c r="V55" i="1"/>
  <c r="H55" i="60" s="1"/>
  <c r="O55" i="60" s="1"/>
  <c r="W55" i="1"/>
  <c r="H55" i="58" s="1"/>
  <c r="O55" i="58" s="1"/>
  <c r="X55" i="1"/>
  <c r="H55" i="59" s="1"/>
  <c r="O55" i="59" s="1"/>
  <c r="Y55" i="1"/>
  <c r="Z55" i="1"/>
  <c r="AA55" i="1"/>
  <c r="AB55" i="1"/>
  <c r="V56" i="1"/>
  <c r="H56" i="60" s="1"/>
  <c r="O56" i="60" s="1"/>
  <c r="W56" i="1"/>
  <c r="H56" i="58" s="1"/>
  <c r="O56" i="58" s="1"/>
  <c r="X56" i="1"/>
  <c r="H56" i="59" s="1"/>
  <c r="O56" i="59" s="1"/>
  <c r="Y56" i="1"/>
  <c r="Z56" i="1"/>
  <c r="AA56" i="1"/>
  <c r="AB56" i="1"/>
  <c r="V57" i="1"/>
  <c r="H57" i="60" s="1"/>
  <c r="O57" i="60" s="1"/>
  <c r="W57" i="1"/>
  <c r="H57" i="58" s="1"/>
  <c r="O57" i="58" s="1"/>
  <c r="X57" i="1"/>
  <c r="H57" i="59" s="1"/>
  <c r="O57" i="59" s="1"/>
  <c r="Y57" i="1"/>
  <c r="Z57" i="1"/>
  <c r="AA57" i="1"/>
  <c r="AB57" i="1"/>
  <c r="V58" i="1"/>
  <c r="H58" i="60" s="1"/>
  <c r="O58" i="60" s="1"/>
  <c r="W58" i="1"/>
  <c r="H58" i="58" s="1"/>
  <c r="O58" i="58" s="1"/>
  <c r="X58" i="1"/>
  <c r="H58" i="59" s="1"/>
  <c r="O58" i="59" s="1"/>
  <c r="Y58" i="1"/>
  <c r="Z58" i="1"/>
  <c r="AA58" i="1"/>
  <c r="AB58" i="1"/>
  <c r="V59" i="1"/>
  <c r="H59" i="60" s="1"/>
  <c r="O59" i="60" s="1"/>
  <c r="W59" i="1"/>
  <c r="H59" i="58" s="1"/>
  <c r="O59" i="58" s="1"/>
  <c r="X59" i="1"/>
  <c r="H59" i="59" s="1"/>
  <c r="O59" i="59" s="1"/>
  <c r="Y59" i="1"/>
  <c r="Z59" i="1"/>
  <c r="AA59" i="1"/>
  <c r="AB59" i="1"/>
  <c r="V60" i="1"/>
  <c r="H60" i="60" s="1"/>
  <c r="O60" i="60" s="1"/>
  <c r="W60" i="1"/>
  <c r="H60" i="58" s="1"/>
  <c r="O60" i="58" s="1"/>
  <c r="X60" i="1"/>
  <c r="H60" i="59" s="1"/>
  <c r="O60" i="59" s="1"/>
  <c r="Y60" i="1"/>
  <c r="Z60" i="1"/>
  <c r="AA60" i="1"/>
  <c r="AB60" i="1"/>
  <c r="V61" i="1"/>
  <c r="H61" i="60" s="1"/>
  <c r="O61" i="60" s="1"/>
  <c r="W61" i="1"/>
  <c r="H61" i="58" s="1"/>
  <c r="O61" i="58" s="1"/>
  <c r="X61" i="1"/>
  <c r="H61" i="59" s="1"/>
  <c r="O61" i="59" s="1"/>
  <c r="Y61" i="1"/>
  <c r="Z61" i="1"/>
  <c r="AA61" i="1"/>
  <c r="AB61" i="1"/>
  <c r="V62" i="1"/>
  <c r="H62" i="60" s="1"/>
  <c r="O62" i="60" s="1"/>
  <c r="W62" i="1"/>
  <c r="H62" i="58" s="1"/>
  <c r="O62" i="58" s="1"/>
  <c r="X62" i="1"/>
  <c r="H62" i="59" s="1"/>
  <c r="O62" i="59" s="1"/>
  <c r="Y62" i="1"/>
  <c r="Z62" i="1"/>
  <c r="AA62" i="1"/>
  <c r="AB62" i="1"/>
  <c r="V63" i="1"/>
  <c r="H63" i="60" s="1"/>
  <c r="O63" i="60" s="1"/>
  <c r="W63" i="1"/>
  <c r="H63" i="58" s="1"/>
  <c r="O63" i="58" s="1"/>
  <c r="X63" i="1"/>
  <c r="H63" i="59" s="1"/>
  <c r="O63" i="59" s="1"/>
  <c r="Y63" i="1"/>
  <c r="Z63" i="1"/>
  <c r="AA63" i="1"/>
  <c r="AB63" i="1"/>
  <c r="V64" i="1"/>
  <c r="H64" i="60" s="1"/>
  <c r="O64" i="60" s="1"/>
  <c r="W64" i="1"/>
  <c r="H64" i="58" s="1"/>
  <c r="O64" i="58" s="1"/>
  <c r="X64" i="1"/>
  <c r="H64" i="59" s="1"/>
  <c r="O64" i="59" s="1"/>
  <c r="Y64" i="1"/>
  <c r="Z64" i="1"/>
  <c r="AA64" i="1"/>
  <c r="AB64" i="1"/>
  <c r="V65" i="1"/>
  <c r="H65" i="60" s="1"/>
  <c r="O65" i="60" s="1"/>
  <c r="W65" i="1"/>
  <c r="H65" i="58" s="1"/>
  <c r="O65" i="58" s="1"/>
  <c r="X65" i="1"/>
  <c r="H65" i="59" s="1"/>
  <c r="O65" i="59" s="1"/>
  <c r="Y65" i="1"/>
  <c r="Z65" i="1"/>
  <c r="AA65" i="1"/>
  <c r="AB65" i="1"/>
  <c r="V66" i="1"/>
  <c r="H66" i="60" s="1"/>
  <c r="O66" i="60" s="1"/>
  <c r="W66" i="1"/>
  <c r="H66" i="58" s="1"/>
  <c r="O66" i="58" s="1"/>
  <c r="X66" i="1"/>
  <c r="H66" i="59" s="1"/>
  <c r="O66" i="59" s="1"/>
  <c r="Y66" i="1"/>
  <c r="Z66" i="1"/>
  <c r="AA66" i="1"/>
  <c r="AB66" i="1"/>
  <c r="V67" i="1"/>
  <c r="H67" i="60" s="1"/>
  <c r="O67" i="60" s="1"/>
  <c r="W67" i="1"/>
  <c r="H67" i="58" s="1"/>
  <c r="O67" i="58" s="1"/>
  <c r="X67" i="1"/>
  <c r="H67" i="59" s="1"/>
  <c r="O67" i="59" s="1"/>
  <c r="Y67" i="1"/>
  <c r="Z67" i="1"/>
  <c r="AA67" i="1"/>
  <c r="AB67" i="1"/>
  <c r="V68" i="1"/>
  <c r="H68" i="60" s="1"/>
  <c r="O68" i="60" s="1"/>
  <c r="W68" i="1"/>
  <c r="H68" i="58" s="1"/>
  <c r="O68" i="58" s="1"/>
  <c r="X68" i="1"/>
  <c r="H68" i="59" s="1"/>
  <c r="O68" i="59" s="1"/>
  <c r="Y68" i="1"/>
  <c r="Z68" i="1"/>
  <c r="AA68" i="1"/>
  <c r="AB68" i="1"/>
  <c r="V69" i="1"/>
  <c r="H69" i="60" s="1"/>
  <c r="O69" i="60" s="1"/>
  <c r="W69" i="1"/>
  <c r="H69" i="58" s="1"/>
  <c r="O69" i="58" s="1"/>
  <c r="X69" i="1"/>
  <c r="H69" i="59" s="1"/>
  <c r="O69" i="59" s="1"/>
  <c r="Y69" i="1"/>
  <c r="Z69" i="1"/>
  <c r="AA69" i="1"/>
  <c r="AB69" i="1"/>
  <c r="V70" i="1"/>
  <c r="H70" i="60" s="1"/>
  <c r="O70" i="60" s="1"/>
  <c r="W70" i="1"/>
  <c r="H70" i="58" s="1"/>
  <c r="O70" i="58" s="1"/>
  <c r="X70" i="1"/>
  <c r="H70" i="59" s="1"/>
  <c r="O70" i="59" s="1"/>
  <c r="Y70" i="1"/>
  <c r="Z70" i="1"/>
  <c r="AA70" i="1"/>
  <c r="AB70" i="1"/>
  <c r="V71" i="1"/>
  <c r="H71" i="60" s="1"/>
  <c r="O71" i="60" s="1"/>
  <c r="W71" i="1"/>
  <c r="H71" i="58" s="1"/>
  <c r="O71" i="58" s="1"/>
  <c r="X71" i="1"/>
  <c r="H71" i="59" s="1"/>
  <c r="O71" i="59" s="1"/>
  <c r="Y71" i="1"/>
  <c r="Z71" i="1"/>
  <c r="AA71" i="1"/>
  <c r="AB71" i="1"/>
  <c r="V72" i="1"/>
  <c r="H72" i="60" s="1"/>
  <c r="O72" i="60" s="1"/>
  <c r="W72" i="1"/>
  <c r="H72" i="58" s="1"/>
  <c r="O72" i="58" s="1"/>
  <c r="X72" i="1"/>
  <c r="H72" i="59" s="1"/>
  <c r="O72" i="59" s="1"/>
  <c r="Y72" i="1"/>
  <c r="Z72" i="1"/>
  <c r="AA72" i="1"/>
  <c r="AB72" i="1"/>
  <c r="V73" i="1"/>
  <c r="H73" i="60" s="1"/>
  <c r="O73" i="60" s="1"/>
  <c r="W73" i="1"/>
  <c r="H73" i="58" s="1"/>
  <c r="O73" i="58" s="1"/>
  <c r="X73" i="1"/>
  <c r="H73" i="59" s="1"/>
  <c r="O73" i="59" s="1"/>
  <c r="Y73" i="1"/>
  <c r="Z73" i="1"/>
  <c r="AA73" i="1"/>
  <c r="AB73" i="1"/>
  <c r="V74" i="1"/>
  <c r="H74" i="60" s="1"/>
  <c r="O74" i="60" s="1"/>
  <c r="W74" i="1"/>
  <c r="H74" i="58" s="1"/>
  <c r="O74" i="58" s="1"/>
  <c r="X74" i="1"/>
  <c r="H74" i="59" s="1"/>
  <c r="O74" i="59" s="1"/>
  <c r="Y74" i="1"/>
  <c r="Z74" i="1"/>
  <c r="AA74" i="1"/>
  <c r="AB74" i="1"/>
  <c r="V75" i="1"/>
  <c r="H75" i="60" s="1"/>
  <c r="O75" i="60" s="1"/>
  <c r="W75" i="1"/>
  <c r="H75" i="58" s="1"/>
  <c r="O75" i="58" s="1"/>
  <c r="X75" i="1"/>
  <c r="H75" i="59" s="1"/>
  <c r="O75" i="59" s="1"/>
  <c r="Y75" i="1"/>
  <c r="Z75" i="1"/>
  <c r="AA75" i="1"/>
  <c r="AB75" i="1"/>
  <c r="V76" i="1"/>
  <c r="H76" i="60" s="1"/>
  <c r="O76" i="60" s="1"/>
  <c r="W76" i="1"/>
  <c r="H76" i="58" s="1"/>
  <c r="O76" i="58" s="1"/>
  <c r="X76" i="1"/>
  <c r="H76" i="59" s="1"/>
  <c r="O76" i="59" s="1"/>
  <c r="Y76" i="1"/>
  <c r="Z76" i="1"/>
  <c r="AA76" i="1"/>
  <c r="AB76" i="1"/>
  <c r="V77" i="1"/>
  <c r="H77" i="60" s="1"/>
  <c r="O77" i="60" s="1"/>
  <c r="W77" i="1"/>
  <c r="H77" i="58" s="1"/>
  <c r="O77" i="58" s="1"/>
  <c r="X77" i="1"/>
  <c r="H77" i="59" s="1"/>
  <c r="O77" i="59" s="1"/>
  <c r="Y77" i="1"/>
  <c r="Z77" i="1"/>
  <c r="AA77" i="1"/>
  <c r="AB77" i="1"/>
  <c r="V78" i="1"/>
  <c r="H78" i="60" s="1"/>
  <c r="O78" i="60" s="1"/>
  <c r="W78" i="1"/>
  <c r="H78" i="58" s="1"/>
  <c r="O78" i="58" s="1"/>
  <c r="X78" i="1"/>
  <c r="H78" i="59" s="1"/>
  <c r="O78" i="59" s="1"/>
  <c r="Y78" i="1"/>
  <c r="Z78" i="1"/>
  <c r="AA78" i="1"/>
  <c r="AB78" i="1"/>
  <c r="V79" i="1"/>
  <c r="H79" i="60" s="1"/>
  <c r="O79" i="60" s="1"/>
  <c r="W79" i="1"/>
  <c r="H79" i="58" s="1"/>
  <c r="O79" i="58" s="1"/>
  <c r="X79" i="1"/>
  <c r="H79" i="59" s="1"/>
  <c r="O79" i="59" s="1"/>
  <c r="Y79" i="1"/>
  <c r="Z79" i="1"/>
  <c r="AA79" i="1"/>
  <c r="AB79" i="1"/>
  <c r="V80" i="1"/>
  <c r="H80" i="60" s="1"/>
  <c r="O80" i="60" s="1"/>
  <c r="W80" i="1"/>
  <c r="H80" i="58" s="1"/>
  <c r="O80" i="58" s="1"/>
  <c r="X80" i="1"/>
  <c r="H80" i="59" s="1"/>
  <c r="O80" i="59" s="1"/>
  <c r="Y80" i="1"/>
  <c r="Z80" i="1"/>
  <c r="AA80" i="1"/>
  <c r="AB80" i="1"/>
  <c r="V81" i="1"/>
  <c r="H81" i="60" s="1"/>
  <c r="O81" i="60" s="1"/>
  <c r="W81" i="1"/>
  <c r="H81" i="58" s="1"/>
  <c r="O81" i="58" s="1"/>
  <c r="X81" i="1"/>
  <c r="H81" i="59" s="1"/>
  <c r="O81" i="59" s="1"/>
  <c r="Y81" i="1"/>
  <c r="Z81" i="1"/>
  <c r="AA81" i="1"/>
  <c r="AB81" i="1"/>
  <c r="V82" i="1"/>
  <c r="H82" i="60" s="1"/>
  <c r="O82" i="60" s="1"/>
  <c r="W82" i="1"/>
  <c r="H82" i="58" s="1"/>
  <c r="O82" i="58" s="1"/>
  <c r="X82" i="1"/>
  <c r="H82" i="59" s="1"/>
  <c r="O82" i="59" s="1"/>
  <c r="Y82" i="1"/>
  <c r="Z82" i="1"/>
  <c r="AA82" i="1"/>
  <c r="AB82" i="1"/>
  <c r="V83" i="1"/>
  <c r="H83" i="60" s="1"/>
  <c r="O83" i="60" s="1"/>
  <c r="W83" i="1"/>
  <c r="H83" i="58" s="1"/>
  <c r="O83" i="58" s="1"/>
  <c r="X83" i="1"/>
  <c r="H83" i="59" s="1"/>
  <c r="O83" i="59" s="1"/>
  <c r="Y83" i="1"/>
  <c r="Z83" i="1"/>
  <c r="AA83" i="1"/>
  <c r="AB83" i="1"/>
  <c r="V84" i="1"/>
  <c r="H84" i="60" s="1"/>
  <c r="O84" i="60" s="1"/>
  <c r="W84" i="1"/>
  <c r="H84" i="58" s="1"/>
  <c r="O84" i="58" s="1"/>
  <c r="X84" i="1"/>
  <c r="H84" i="59" s="1"/>
  <c r="O84" i="59" s="1"/>
  <c r="Y84" i="1"/>
  <c r="Z84" i="1"/>
  <c r="AA84" i="1"/>
  <c r="AB84" i="1"/>
  <c r="V85" i="1"/>
  <c r="H85" i="60" s="1"/>
  <c r="O85" i="60" s="1"/>
  <c r="W85" i="1"/>
  <c r="H85" i="58" s="1"/>
  <c r="O85" i="58" s="1"/>
  <c r="X85" i="1"/>
  <c r="H85" i="59" s="1"/>
  <c r="O85" i="59" s="1"/>
  <c r="Y85" i="1"/>
  <c r="Z85" i="1"/>
  <c r="AA85" i="1"/>
  <c r="AB85" i="1"/>
  <c r="V86" i="1"/>
  <c r="H86" i="60" s="1"/>
  <c r="O86" i="60" s="1"/>
  <c r="W86" i="1"/>
  <c r="H86" i="58" s="1"/>
  <c r="O86" i="58" s="1"/>
  <c r="X86" i="1"/>
  <c r="H86" i="59" s="1"/>
  <c r="O86" i="59" s="1"/>
  <c r="Y86" i="1"/>
  <c r="Z86" i="1"/>
  <c r="AA86" i="1"/>
  <c r="AB86" i="1"/>
  <c r="V87" i="1"/>
  <c r="H87" i="60" s="1"/>
  <c r="O87" i="60" s="1"/>
  <c r="W87" i="1"/>
  <c r="H87" i="58" s="1"/>
  <c r="O87" i="58" s="1"/>
  <c r="X87" i="1"/>
  <c r="H87" i="59" s="1"/>
  <c r="O87" i="59" s="1"/>
  <c r="Y87" i="1"/>
  <c r="Z87" i="1"/>
  <c r="AA87" i="1"/>
  <c r="AB87" i="1"/>
  <c r="V88" i="1"/>
  <c r="H88" i="60" s="1"/>
  <c r="O88" i="60" s="1"/>
  <c r="W88" i="1"/>
  <c r="H88" i="58" s="1"/>
  <c r="O88" i="58" s="1"/>
  <c r="X88" i="1"/>
  <c r="H88" i="59" s="1"/>
  <c r="O88" i="59" s="1"/>
  <c r="Y88" i="1"/>
  <c r="Z88" i="1"/>
  <c r="AA88" i="1"/>
  <c r="AB88" i="1"/>
  <c r="V89" i="1"/>
  <c r="H89" i="60" s="1"/>
  <c r="O89" i="60" s="1"/>
  <c r="W89" i="1"/>
  <c r="H89" i="58" s="1"/>
  <c r="O89" i="58" s="1"/>
  <c r="X89" i="1"/>
  <c r="H89" i="59" s="1"/>
  <c r="O89" i="59" s="1"/>
  <c r="Y89" i="1"/>
  <c r="Z89" i="1"/>
  <c r="AA89" i="1"/>
  <c r="AB89" i="1"/>
  <c r="V90" i="1"/>
  <c r="H90" i="60" s="1"/>
  <c r="O90" i="60" s="1"/>
  <c r="W90" i="1"/>
  <c r="H90" i="58" s="1"/>
  <c r="O90" i="58" s="1"/>
  <c r="X90" i="1"/>
  <c r="H90" i="59" s="1"/>
  <c r="O90" i="59" s="1"/>
  <c r="Y90" i="1"/>
  <c r="Z90" i="1"/>
  <c r="AA90" i="1"/>
  <c r="AB90" i="1"/>
  <c r="V91" i="1"/>
  <c r="H91" i="60" s="1"/>
  <c r="O91" i="60" s="1"/>
  <c r="W91" i="1"/>
  <c r="H91" i="58" s="1"/>
  <c r="O91" i="58" s="1"/>
  <c r="X91" i="1"/>
  <c r="H91" i="59" s="1"/>
  <c r="O91" i="59" s="1"/>
  <c r="Y91" i="1"/>
  <c r="Z91" i="1"/>
  <c r="AA91" i="1"/>
  <c r="AB91" i="1"/>
  <c r="V92" i="1"/>
  <c r="H92" i="60" s="1"/>
  <c r="O92" i="60" s="1"/>
  <c r="W92" i="1"/>
  <c r="H92" i="58" s="1"/>
  <c r="O92" i="58" s="1"/>
  <c r="X92" i="1"/>
  <c r="H92" i="59" s="1"/>
  <c r="O92" i="59" s="1"/>
  <c r="Y92" i="1"/>
  <c r="Z92" i="1"/>
  <c r="AA92" i="1"/>
  <c r="AB92" i="1"/>
  <c r="V93" i="1"/>
  <c r="H93" i="60" s="1"/>
  <c r="O93" i="60" s="1"/>
  <c r="W93" i="1"/>
  <c r="H93" i="58" s="1"/>
  <c r="O93" i="58" s="1"/>
  <c r="X93" i="1"/>
  <c r="H93" i="59" s="1"/>
  <c r="O93" i="59" s="1"/>
  <c r="Y93" i="1"/>
  <c r="Z93" i="1"/>
  <c r="AA93" i="1"/>
  <c r="AB93" i="1"/>
  <c r="V94" i="1"/>
  <c r="H94" i="60" s="1"/>
  <c r="O94" i="60" s="1"/>
  <c r="W94" i="1"/>
  <c r="H94" i="58" s="1"/>
  <c r="O94" i="58" s="1"/>
  <c r="X94" i="1"/>
  <c r="H94" i="59" s="1"/>
  <c r="O94" i="59" s="1"/>
  <c r="Y94" i="1"/>
  <c r="Z94" i="1"/>
  <c r="AA94" i="1"/>
  <c r="AB94" i="1"/>
  <c r="V95" i="1"/>
  <c r="H95" i="60" s="1"/>
  <c r="O95" i="60" s="1"/>
  <c r="W95" i="1"/>
  <c r="H95" i="58" s="1"/>
  <c r="O95" i="58" s="1"/>
  <c r="X95" i="1"/>
  <c r="H95" i="59" s="1"/>
  <c r="O95" i="59" s="1"/>
  <c r="Y95" i="1"/>
  <c r="Z95" i="1"/>
  <c r="AA95" i="1"/>
  <c r="AB95" i="1"/>
  <c r="V96" i="1"/>
  <c r="H96" i="60" s="1"/>
  <c r="O96" i="60" s="1"/>
  <c r="W96" i="1"/>
  <c r="H96" i="58" s="1"/>
  <c r="O96" i="58" s="1"/>
  <c r="X96" i="1"/>
  <c r="H96" i="59" s="1"/>
  <c r="O96" i="59" s="1"/>
  <c r="Y96" i="1"/>
  <c r="Z96" i="1"/>
  <c r="AA96" i="1"/>
  <c r="AB96" i="1"/>
  <c r="V97" i="1"/>
  <c r="H97" i="60" s="1"/>
  <c r="O97" i="60" s="1"/>
  <c r="W97" i="1"/>
  <c r="H97" i="58" s="1"/>
  <c r="O97" i="58" s="1"/>
  <c r="X97" i="1"/>
  <c r="H97" i="59" s="1"/>
  <c r="O97" i="59" s="1"/>
  <c r="Y97" i="1"/>
  <c r="Z97" i="1"/>
  <c r="AA97" i="1"/>
  <c r="AB97" i="1"/>
  <c r="V98" i="1"/>
  <c r="H98" i="60" s="1"/>
  <c r="O98" i="60" s="1"/>
  <c r="W98" i="1"/>
  <c r="H98" i="58" s="1"/>
  <c r="O98" i="58" s="1"/>
  <c r="X98" i="1"/>
  <c r="H98" i="59" s="1"/>
  <c r="O98" i="59" s="1"/>
  <c r="Y98" i="1"/>
  <c r="Z98" i="1"/>
  <c r="AA98" i="1"/>
  <c r="AB98" i="1"/>
  <c r="V99" i="1"/>
  <c r="H99" i="60" s="1"/>
  <c r="O99" i="60" s="1"/>
  <c r="W99" i="1"/>
  <c r="H99" i="58" s="1"/>
  <c r="O99" i="58" s="1"/>
  <c r="X99" i="1"/>
  <c r="H99" i="59" s="1"/>
  <c r="O99" i="59" s="1"/>
  <c r="Y99" i="1"/>
  <c r="Z99" i="1"/>
  <c r="AA99" i="1"/>
  <c r="AB99" i="1"/>
  <c r="V100" i="1"/>
  <c r="H100" i="60" s="1"/>
  <c r="O100" i="60" s="1"/>
  <c r="W100" i="1"/>
  <c r="H100" i="58" s="1"/>
  <c r="O100" i="58" s="1"/>
  <c r="X100" i="1"/>
  <c r="H100" i="59" s="1"/>
  <c r="O100" i="59" s="1"/>
  <c r="Y100" i="1"/>
  <c r="Z100" i="1"/>
  <c r="AA100" i="1"/>
  <c r="AB100" i="1"/>
  <c r="V101" i="1"/>
  <c r="H101" i="60" s="1"/>
  <c r="O101" i="60" s="1"/>
  <c r="W101" i="1"/>
  <c r="H101" i="58" s="1"/>
  <c r="O101" i="58" s="1"/>
  <c r="X101" i="1"/>
  <c r="H101" i="59" s="1"/>
  <c r="O101" i="59" s="1"/>
  <c r="Y101" i="1"/>
  <c r="Z101" i="1"/>
  <c r="AA101" i="1"/>
  <c r="AB101" i="1"/>
  <c r="V102" i="1"/>
  <c r="H102" i="60" s="1"/>
  <c r="O102" i="60" s="1"/>
  <c r="W102" i="1"/>
  <c r="H102" i="58" s="1"/>
  <c r="O102" i="58" s="1"/>
  <c r="X102" i="1"/>
  <c r="H102" i="59" s="1"/>
  <c r="O102" i="59" s="1"/>
  <c r="Y102" i="1"/>
  <c r="Z102" i="1"/>
  <c r="AA102" i="1"/>
  <c r="AB102" i="1"/>
  <c r="V103" i="1"/>
  <c r="H103" i="60" s="1"/>
  <c r="O103" i="60" s="1"/>
  <c r="W103" i="1"/>
  <c r="H103" i="58" s="1"/>
  <c r="O103" i="58" s="1"/>
  <c r="X103" i="1"/>
  <c r="H103" i="59" s="1"/>
  <c r="O103" i="59" s="1"/>
  <c r="Y103" i="1"/>
  <c r="Z103" i="1"/>
  <c r="AA103" i="1"/>
  <c r="AB103" i="1"/>
  <c r="V104" i="1"/>
  <c r="H104" i="60" s="1"/>
  <c r="O104" i="60" s="1"/>
  <c r="W104" i="1"/>
  <c r="H104" i="58" s="1"/>
  <c r="O104" i="58" s="1"/>
  <c r="X104" i="1"/>
  <c r="H104" i="59" s="1"/>
  <c r="O104" i="59" s="1"/>
  <c r="Y104" i="1"/>
  <c r="Z104" i="1"/>
  <c r="AA104" i="1"/>
  <c r="AB104" i="1"/>
  <c r="V105" i="1"/>
  <c r="H105" i="60" s="1"/>
  <c r="O105" i="60" s="1"/>
  <c r="W105" i="1"/>
  <c r="H105" i="58" s="1"/>
  <c r="O105" i="58" s="1"/>
  <c r="X105" i="1"/>
  <c r="H105" i="59" s="1"/>
  <c r="O105" i="59" s="1"/>
  <c r="Y105" i="1"/>
  <c r="Z105" i="1"/>
  <c r="AA105" i="1"/>
  <c r="AB105" i="1"/>
  <c r="V106" i="1"/>
  <c r="H106" i="60" s="1"/>
  <c r="O106" i="60" s="1"/>
  <c r="W106" i="1"/>
  <c r="H106" i="58" s="1"/>
  <c r="O106" i="58" s="1"/>
  <c r="X106" i="1"/>
  <c r="H106" i="59" s="1"/>
  <c r="O106" i="59" s="1"/>
  <c r="Y106" i="1"/>
  <c r="Z106" i="1"/>
  <c r="AA106" i="1"/>
  <c r="AB106" i="1"/>
  <c r="V107" i="1"/>
  <c r="H107" i="60" s="1"/>
  <c r="O107" i="60" s="1"/>
  <c r="W107" i="1"/>
  <c r="H107" i="58" s="1"/>
  <c r="O107" i="58" s="1"/>
  <c r="X107" i="1"/>
  <c r="H107" i="59" s="1"/>
  <c r="O107" i="59" s="1"/>
  <c r="Y107" i="1"/>
  <c r="Z107" i="1"/>
  <c r="AA107" i="1"/>
  <c r="AB107" i="1"/>
  <c r="V108" i="1"/>
  <c r="H108" i="60" s="1"/>
  <c r="O108" i="60" s="1"/>
  <c r="W108" i="1"/>
  <c r="H108" i="58" s="1"/>
  <c r="O108" i="58" s="1"/>
  <c r="X108" i="1"/>
  <c r="H108" i="59" s="1"/>
  <c r="O108" i="59" s="1"/>
  <c r="Y108" i="1"/>
  <c r="Z108" i="1"/>
  <c r="AA108" i="1"/>
  <c r="AB108" i="1"/>
  <c r="V109" i="1"/>
  <c r="H109" i="60" s="1"/>
  <c r="O109" i="60" s="1"/>
  <c r="W109" i="1"/>
  <c r="H109" i="58" s="1"/>
  <c r="O109" i="58" s="1"/>
  <c r="X109" i="1"/>
  <c r="H109" i="59" s="1"/>
  <c r="O109" i="59" s="1"/>
  <c r="Y109" i="1"/>
  <c r="Z109" i="1"/>
  <c r="AA109" i="1"/>
  <c r="AB109" i="1"/>
  <c r="W1" i="1"/>
  <c r="H1" i="58" s="1"/>
  <c r="O1" i="58" s="1"/>
  <c r="X1" i="1"/>
  <c r="H1" i="59" s="1"/>
  <c r="O1" i="59" s="1"/>
  <c r="Y1" i="1"/>
  <c r="Z1" i="1"/>
  <c r="AA1" i="1"/>
  <c r="AB1" i="1"/>
  <c r="V1" i="1"/>
  <c r="H1" i="60" s="1"/>
  <c r="O1" i="60" s="1"/>
  <c r="J9" i="5"/>
  <c r="K9" i="5"/>
  <c r="L10" i="5"/>
  <c r="J7" i="5"/>
  <c r="K7" i="5"/>
  <c r="L7" i="5"/>
  <c r="M7" i="5"/>
  <c r="N7" i="5"/>
  <c r="J8" i="5"/>
  <c r="K8" i="5"/>
  <c r="L8" i="5"/>
  <c r="M8" i="5"/>
  <c r="N8" i="5"/>
  <c r="L9" i="5"/>
  <c r="M9" i="5"/>
  <c r="N9" i="5"/>
  <c r="K10" i="5"/>
  <c r="M10" i="5"/>
  <c r="N10" i="5"/>
  <c r="J11" i="5"/>
  <c r="K11" i="5"/>
  <c r="L11" i="5"/>
  <c r="M11" i="5"/>
  <c r="N11" i="5"/>
  <c r="J12" i="5"/>
  <c r="K12" i="5"/>
  <c r="L12" i="5"/>
  <c r="M12" i="5"/>
  <c r="N12" i="5"/>
  <c r="J13" i="5"/>
  <c r="K13" i="5"/>
  <c r="L13" i="5"/>
  <c r="M13" i="5"/>
  <c r="N13" i="5"/>
  <c r="L14" i="5"/>
  <c r="M14" i="5"/>
  <c r="M15" i="5"/>
  <c r="N15" i="5"/>
  <c r="K6" i="5"/>
  <c r="L6" i="5"/>
  <c r="M6" i="5"/>
  <c r="N6" i="5"/>
  <c r="I4" i="60" l="1"/>
  <c r="P4" i="60" s="1"/>
  <c r="T4" i="60" s="1"/>
  <c r="G4" i="59"/>
  <c r="N4" i="59" s="1"/>
  <c r="S4" i="59" s="1"/>
  <c r="G4" i="58"/>
  <c r="N4" i="58" s="1"/>
  <c r="S4" i="58" s="1"/>
  <c r="S3" i="58"/>
  <c r="S3" i="59"/>
  <c r="O10" i="5"/>
  <c r="O13" i="5"/>
  <c r="O8" i="5"/>
  <c r="O9" i="5"/>
  <c r="O15" i="5"/>
  <c r="O12" i="5"/>
  <c r="O11" i="5"/>
  <c r="O7" i="5"/>
  <c r="O6" i="5"/>
  <c r="O14" i="5"/>
  <c r="D91" i="54"/>
  <c r="E91" i="54" s="1"/>
  <c r="D97" i="54"/>
  <c r="E97" i="54" s="1"/>
  <c r="D86" i="54"/>
  <c r="E86" i="54" s="1"/>
  <c r="D87" i="54"/>
  <c r="E87" i="54" s="1"/>
  <c r="D95" i="54"/>
  <c r="E95" i="54" s="1"/>
  <c r="D89" i="54"/>
  <c r="E89" i="54" s="1"/>
  <c r="D93" i="54"/>
  <c r="E93" i="54" s="1"/>
  <c r="D88" i="54"/>
  <c r="E88" i="54" s="1"/>
  <c r="D92" i="54"/>
  <c r="E92" i="54" s="1"/>
  <c r="D90" i="54"/>
  <c r="E90" i="54" s="1"/>
  <c r="D94" i="54"/>
  <c r="E94" i="54" s="1"/>
  <c r="D96" i="54"/>
  <c r="E96" i="54" s="1"/>
  <c r="D44" i="54"/>
  <c r="E44" i="54" s="1"/>
  <c r="D42" i="54"/>
  <c r="E42" i="54" s="1"/>
  <c r="D46" i="54"/>
  <c r="E46" i="54" s="1"/>
  <c r="D48" i="54"/>
  <c r="E48" i="54" s="1"/>
  <c r="D39" i="54"/>
  <c r="E39" i="54" s="1"/>
  <c r="D41" i="54"/>
  <c r="E41" i="54" s="1"/>
  <c r="D49" i="54"/>
  <c r="E49" i="54" s="1"/>
  <c r="D43" i="54"/>
  <c r="E43" i="54" s="1"/>
  <c r="D45" i="54"/>
  <c r="E45" i="54" s="1"/>
  <c r="D47" i="54"/>
  <c r="E47" i="54" s="1"/>
  <c r="D38" i="54"/>
  <c r="E38" i="54" s="1"/>
  <c r="D40" i="54"/>
  <c r="E40" i="54" s="1"/>
  <c r="D60" i="54"/>
  <c r="E60" i="54" s="1"/>
  <c r="D59" i="54"/>
  <c r="E59" i="54" s="1"/>
  <c r="D50" i="54"/>
  <c r="E50" i="54" s="1"/>
  <c r="D51" i="54"/>
  <c r="E51" i="54" s="1"/>
  <c r="D52" i="54"/>
  <c r="E52" i="54" s="1"/>
  <c r="D61" i="54"/>
  <c r="E61" i="54" s="1"/>
  <c r="D54" i="54"/>
  <c r="E54" i="54" s="1"/>
  <c r="D56" i="54"/>
  <c r="E56" i="54" s="1"/>
  <c r="D55" i="54"/>
  <c r="E55" i="54" s="1"/>
  <c r="D58" i="54"/>
  <c r="E58" i="54" s="1"/>
  <c r="D53" i="54"/>
  <c r="E53" i="54" s="1"/>
  <c r="D57" i="54"/>
  <c r="E57" i="54" s="1"/>
  <c r="D108" i="54"/>
  <c r="E108" i="54" s="1"/>
  <c r="D107" i="54"/>
  <c r="E107" i="54" s="1"/>
  <c r="D99" i="54"/>
  <c r="E99" i="54" s="1"/>
  <c r="D105" i="54"/>
  <c r="E105" i="54" s="1"/>
  <c r="D100" i="54"/>
  <c r="E100" i="54" s="1"/>
  <c r="D104" i="54"/>
  <c r="E104" i="54" s="1"/>
  <c r="D109" i="54"/>
  <c r="E109" i="54" s="1"/>
  <c r="D103" i="54"/>
  <c r="E103" i="54" s="1"/>
  <c r="D106" i="54"/>
  <c r="E106" i="54" s="1"/>
  <c r="D101" i="54"/>
  <c r="E101" i="54" s="1"/>
  <c r="D98" i="54"/>
  <c r="E98" i="54" s="1"/>
  <c r="D102" i="54"/>
  <c r="E102" i="54" s="1"/>
  <c r="D75" i="54"/>
  <c r="E75" i="54" s="1"/>
  <c r="D82" i="54"/>
  <c r="E82" i="54" s="1"/>
  <c r="D83" i="54"/>
  <c r="E83" i="54" s="1"/>
  <c r="D76" i="54"/>
  <c r="E76" i="54" s="1"/>
  <c r="D85" i="54"/>
  <c r="E85" i="54" s="1"/>
  <c r="D80" i="54"/>
  <c r="E80" i="54" s="1"/>
  <c r="D74" i="54"/>
  <c r="E74" i="54" s="1"/>
  <c r="D77" i="54"/>
  <c r="E77" i="54" s="1"/>
  <c r="D78" i="54"/>
  <c r="E78" i="54" s="1"/>
  <c r="D79" i="54"/>
  <c r="E79" i="54" s="1"/>
  <c r="D84" i="54"/>
  <c r="E84" i="54" s="1"/>
  <c r="D81" i="54"/>
  <c r="E81" i="54" s="1"/>
  <c r="D36" i="54"/>
  <c r="E36" i="54" s="1"/>
  <c r="D28" i="54"/>
  <c r="E28" i="54" s="1"/>
  <c r="D27" i="54"/>
  <c r="E27" i="54" s="1"/>
  <c r="D34" i="54"/>
  <c r="E34" i="54" s="1"/>
  <c r="D29" i="54"/>
  <c r="E29" i="54" s="1"/>
  <c r="D30" i="54"/>
  <c r="E30" i="54" s="1"/>
  <c r="D32" i="54"/>
  <c r="E32" i="54" s="1"/>
  <c r="D31" i="54"/>
  <c r="E31" i="54" s="1"/>
  <c r="D33" i="54"/>
  <c r="E33" i="54" s="1"/>
  <c r="D26" i="54"/>
  <c r="E26" i="54" s="1"/>
  <c r="D35" i="54"/>
  <c r="E35" i="54" s="1"/>
  <c r="D37" i="54"/>
  <c r="E37" i="54" s="1"/>
  <c r="L50" i="54"/>
  <c r="M50" i="54" s="1"/>
  <c r="L56" i="54"/>
  <c r="M56" i="54" s="1"/>
  <c r="L60" i="54"/>
  <c r="M60" i="54" s="1"/>
  <c r="L59" i="54"/>
  <c r="M59" i="54" s="1"/>
  <c r="L54" i="54"/>
  <c r="M54" i="54" s="1"/>
  <c r="L52" i="54"/>
  <c r="M52" i="54" s="1"/>
  <c r="L55" i="54"/>
  <c r="M55" i="54" s="1"/>
  <c r="L53" i="54"/>
  <c r="M53" i="54" s="1"/>
  <c r="L51" i="54"/>
  <c r="M51" i="54" s="1"/>
  <c r="L58" i="54"/>
  <c r="M58" i="54" s="1"/>
  <c r="L61" i="54"/>
  <c r="M61" i="54" s="1"/>
  <c r="L57" i="54"/>
  <c r="M57" i="54" s="1"/>
  <c r="I46" i="54"/>
  <c r="J46" i="54" s="1"/>
  <c r="I38" i="54"/>
  <c r="J38" i="54" s="1"/>
  <c r="I44" i="54"/>
  <c r="J44" i="54" s="1"/>
  <c r="I42" i="54"/>
  <c r="J42" i="54" s="1"/>
  <c r="I48" i="54"/>
  <c r="J48" i="54" s="1"/>
  <c r="I40" i="54"/>
  <c r="J40" i="54" s="1"/>
  <c r="I47" i="54"/>
  <c r="J47" i="54" s="1"/>
  <c r="I43" i="54"/>
  <c r="J43" i="54" s="1"/>
  <c r="I45" i="54"/>
  <c r="J45" i="54" s="1"/>
  <c r="I39" i="54"/>
  <c r="J39" i="54" s="1"/>
  <c r="I41" i="54"/>
  <c r="J41" i="54" s="1"/>
  <c r="I49" i="54"/>
  <c r="J49" i="54" s="1"/>
  <c r="L36" i="54"/>
  <c r="M36" i="54" s="1"/>
  <c r="L28" i="54"/>
  <c r="M28" i="54" s="1"/>
  <c r="L34" i="54"/>
  <c r="M34" i="54" s="1"/>
  <c r="L32" i="54"/>
  <c r="M32" i="54" s="1"/>
  <c r="L30" i="54"/>
  <c r="M30" i="54" s="1"/>
  <c r="L26" i="54"/>
  <c r="M26" i="54" s="1"/>
  <c r="L31" i="54"/>
  <c r="M31" i="54" s="1"/>
  <c r="L29" i="54"/>
  <c r="M29" i="54" s="1"/>
  <c r="L27" i="54"/>
  <c r="M27" i="54" s="1"/>
  <c r="L37" i="54"/>
  <c r="M37" i="54" s="1"/>
  <c r="L33" i="54"/>
  <c r="M33" i="54" s="1"/>
  <c r="L35" i="54"/>
  <c r="M35" i="54" s="1"/>
  <c r="I59" i="54"/>
  <c r="J59" i="54" s="1"/>
  <c r="I54" i="54"/>
  <c r="J54" i="54" s="1"/>
  <c r="I50" i="54"/>
  <c r="J50" i="54" s="1"/>
  <c r="I58" i="54"/>
  <c r="J58" i="54" s="1"/>
  <c r="I55" i="54"/>
  <c r="J55" i="54" s="1"/>
  <c r="I61" i="54"/>
  <c r="J61" i="54" s="1"/>
  <c r="I51" i="54"/>
  <c r="J51" i="54" s="1"/>
  <c r="I53" i="54"/>
  <c r="J53" i="54" s="1"/>
  <c r="I60" i="54"/>
  <c r="J60" i="54" s="1"/>
  <c r="I52" i="54"/>
  <c r="J52" i="54" s="1"/>
  <c r="I56" i="54"/>
  <c r="J56" i="54" s="1"/>
  <c r="I57" i="54"/>
  <c r="J57" i="54" s="1"/>
  <c r="L79" i="54"/>
  <c r="M79" i="54" s="1"/>
  <c r="L83" i="54"/>
  <c r="M83" i="54" s="1"/>
  <c r="L78" i="54"/>
  <c r="M78" i="54" s="1"/>
  <c r="L82" i="54"/>
  <c r="M82" i="54" s="1"/>
  <c r="L75" i="54"/>
  <c r="M75" i="54" s="1"/>
  <c r="L85" i="54"/>
  <c r="M85" i="54" s="1"/>
  <c r="L77" i="54"/>
  <c r="M77" i="54" s="1"/>
  <c r="L80" i="54"/>
  <c r="M80" i="54" s="1"/>
  <c r="L74" i="54"/>
  <c r="M74" i="54" s="1"/>
  <c r="L76" i="54"/>
  <c r="M76" i="54" s="1"/>
  <c r="L81" i="54"/>
  <c r="M81" i="54" s="1"/>
  <c r="L84" i="54"/>
  <c r="M84" i="54" s="1"/>
  <c r="I82" i="54"/>
  <c r="J82" i="54" s="1"/>
  <c r="I77" i="54"/>
  <c r="J77" i="54" s="1"/>
  <c r="I75" i="54"/>
  <c r="J75" i="54" s="1"/>
  <c r="I81" i="54"/>
  <c r="J81" i="54" s="1"/>
  <c r="I85" i="54"/>
  <c r="J85" i="54" s="1"/>
  <c r="I74" i="54"/>
  <c r="J74" i="54" s="1"/>
  <c r="I78" i="54"/>
  <c r="J78" i="54" s="1"/>
  <c r="I76" i="54"/>
  <c r="J76" i="54" s="1"/>
  <c r="I80" i="54"/>
  <c r="J80" i="54" s="1"/>
  <c r="I79" i="54"/>
  <c r="J79" i="54" s="1"/>
  <c r="I83" i="54"/>
  <c r="J83" i="54" s="1"/>
  <c r="I84" i="54"/>
  <c r="J84" i="54" s="1"/>
  <c r="I66" i="54"/>
  <c r="J66" i="54" s="1"/>
  <c r="I70" i="54"/>
  <c r="J70" i="54" s="1"/>
  <c r="I63" i="54"/>
  <c r="J63" i="54" s="1"/>
  <c r="I67" i="54"/>
  <c r="J67" i="54" s="1"/>
  <c r="I71" i="54"/>
  <c r="J71" i="54" s="1"/>
  <c r="I62" i="54"/>
  <c r="J62" i="54" s="1"/>
  <c r="I69" i="54"/>
  <c r="J69" i="54" s="1"/>
  <c r="I72" i="54"/>
  <c r="J72" i="54" s="1"/>
  <c r="I73" i="54"/>
  <c r="J73" i="54" s="1"/>
  <c r="I64" i="54"/>
  <c r="J64" i="54" s="1"/>
  <c r="I68" i="54"/>
  <c r="J68" i="54" s="1"/>
  <c r="I65" i="54"/>
  <c r="J65" i="54" s="1"/>
  <c r="I30" i="54"/>
  <c r="J30" i="54" s="1"/>
  <c r="I36" i="54"/>
  <c r="J36" i="54" s="1"/>
  <c r="I27" i="54"/>
  <c r="J27" i="54" s="1"/>
  <c r="I34" i="54"/>
  <c r="J34" i="54" s="1"/>
  <c r="I32" i="54"/>
  <c r="J32" i="54" s="1"/>
  <c r="I35" i="54"/>
  <c r="J35" i="54" s="1"/>
  <c r="I37" i="54"/>
  <c r="J37" i="54" s="1"/>
  <c r="I33" i="54"/>
  <c r="J33" i="54" s="1"/>
  <c r="I26" i="54"/>
  <c r="J26" i="54" s="1"/>
  <c r="I31" i="54"/>
  <c r="J31" i="54" s="1"/>
  <c r="I29" i="54"/>
  <c r="J29" i="54" s="1"/>
  <c r="I28" i="54"/>
  <c r="J28" i="54" s="1"/>
  <c r="I122" i="54"/>
  <c r="J122" i="54" s="1"/>
  <c r="D122" i="59" s="1"/>
  <c r="I126" i="54"/>
  <c r="J126" i="54" s="1"/>
  <c r="D126" i="59" s="1"/>
  <c r="I127" i="54"/>
  <c r="J127" i="54" s="1"/>
  <c r="D127" i="59" s="1"/>
  <c r="I123" i="54"/>
  <c r="J123" i="54" s="1"/>
  <c r="D123" i="59" s="1"/>
  <c r="I124" i="54"/>
  <c r="J124" i="54" s="1"/>
  <c r="D124" i="59" s="1"/>
  <c r="I125" i="54"/>
  <c r="J125" i="54" s="1"/>
  <c r="D125" i="59" s="1"/>
  <c r="I93" i="54"/>
  <c r="J93" i="54" s="1"/>
  <c r="I91" i="54"/>
  <c r="J91" i="54" s="1"/>
  <c r="I86" i="54"/>
  <c r="J86" i="54" s="1"/>
  <c r="I97" i="54"/>
  <c r="J97" i="54" s="1"/>
  <c r="I90" i="54"/>
  <c r="J90" i="54" s="1"/>
  <c r="I89" i="54"/>
  <c r="J89" i="54" s="1"/>
  <c r="I95" i="54"/>
  <c r="J95" i="54" s="1"/>
  <c r="I87" i="54"/>
  <c r="J87" i="54" s="1"/>
  <c r="I94" i="54"/>
  <c r="J94" i="54" s="1"/>
  <c r="I96" i="54"/>
  <c r="J96" i="54" s="1"/>
  <c r="I88" i="54"/>
  <c r="J88" i="54" s="1"/>
  <c r="I92" i="54"/>
  <c r="J92" i="54" s="1"/>
  <c r="I23" i="54"/>
  <c r="J23" i="54" s="1"/>
  <c r="I15" i="54"/>
  <c r="J15" i="54" s="1"/>
  <c r="I21" i="54"/>
  <c r="J21" i="54" s="1"/>
  <c r="I19" i="54"/>
  <c r="J19" i="54" s="1"/>
  <c r="I17" i="54"/>
  <c r="J17" i="54" s="1"/>
  <c r="I18" i="54"/>
  <c r="J18" i="54" s="1"/>
  <c r="I22" i="54"/>
  <c r="J22" i="54" s="1"/>
  <c r="I24" i="54"/>
  <c r="J24" i="54" s="1"/>
  <c r="I14" i="54"/>
  <c r="J14" i="54" s="1"/>
  <c r="I25" i="54"/>
  <c r="J25" i="54" s="1"/>
  <c r="I20" i="54"/>
  <c r="J20" i="54" s="1"/>
  <c r="I16" i="54"/>
  <c r="J16" i="54" s="1"/>
  <c r="L112" i="54"/>
  <c r="M112" i="54" s="1"/>
  <c r="L111" i="54"/>
  <c r="M111" i="54" s="1"/>
  <c r="L116" i="54"/>
  <c r="M116" i="54" s="1"/>
  <c r="L120" i="54"/>
  <c r="M120" i="54" s="1"/>
  <c r="L119" i="54"/>
  <c r="M119" i="54" s="1"/>
  <c r="L115" i="54"/>
  <c r="M115" i="54" s="1"/>
  <c r="L114" i="54"/>
  <c r="M114" i="54" s="1"/>
  <c r="L110" i="54"/>
  <c r="M110" i="54" s="1"/>
  <c r="L117" i="54"/>
  <c r="M117" i="54" s="1"/>
  <c r="L118" i="54"/>
  <c r="M118" i="54" s="1"/>
  <c r="L113" i="54"/>
  <c r="M113" i="54" s="1"/>
  <c r="L121" i="54"/>
  <c r="M121" i="54" s="1"/>
  <c r="L107" i="54"/>
  <c r="M107" i="54" s="1"/>
  <c r="L99" i="54"/>
  <c r="M99" i="54" s="1"/>
  <c r="L108" i="54"/>
  <c r="M108" i="54" s="1"/>
  <c r="L101" i="54"/>
  <c r="M101" i="54" s="1"/>
  <c r="L105" i="54"/>
  <c r="M105" i="54" s="1"/>
  <c r="L100" i="54"/>
  <c r="M100" i="54" s="1"/>
  <c r="L103" i="54"/>
  <c r="M103" i="54" s="1"/>
  <c r="L104" i="54"/>
  <c r="M104" i="54" s="1"/>
  <c r="L102" i="54"/>
  <c r="M102" i="54" s="1"/>
  <c r="L109" i="54"/>
  <c r="M109" i="54" s="1"/>
  <c r="L98" i="54"/>
  <c r="M98" i="54" s="1"/>
  <c r="L106" i="54"/>
  <c r="M106" i="54" s="1"/>
  <c r="L21" i="54"/>
  <c r="M21" i="54" s="1"/>
  <c r="L24" i="54"/>
  <c r="M24" i="54" s="1"/>
  <c r="L19" i="54"/>
  <c r="M19" i="54" s="1"/>
  <c r="L17" i="54"/>
  <c r="M17" i="54" s="1"/>
  <c r="L23" i="54"/>
  <c r="M23" i="54" s="1"/>
  <c r="L15" i="54"/>
  <c r="M15" i="54" s="1"/>
  <c r="L16" i="54"/>
  <c r="M16" i="54" s="1"/>
  <c r="L22" i="54"/>
  <c r="M22" i="54" s="1"/>
  <c r="L20" i="54"/>
  <c r="M20" i="54" s="1"/>
  <c r="L18" i="54"/>
  <c r="M18" i="54" s="1"/>
  <c r="L25" i="54"/>
  <c r="M25" i="54" s="1"/>
  <c r="L14" i="54"/>
  <c r="M14" i="54" s="1"/>
  <c r="I119" i="54"/>
  <c r="J119" i="54" s="1"/>
  <c r="I118" i="54"/>
  <c r="J118" i="54" s="1"/>
  <c r="I115" i="54"/>
  <c r="J115" i="54" s="1"/>
  <c r="I114" i="54"/>
  <c r="J114" i="54" s="1"/>
  <c r="I111" i="54"/>
  <c r="J111" i="54" s="1"/>
  <c r="I110" i="54"/>
  <c r="J110" i="54" s="1"/>
  <c r="I112" i="54"/>
  <c r="J112" i="54" s="1"/>
  <c r="I116" i="54"/>
  <c r="J116" i="54" s="1"/>
  <c r="I120" i="54"/>
  <c r="J120" i="54" s="1"/>
  <c r="I113" i="54"/>
  <c r="J113" i="54" s="1"/>
  <c r="I121" i="54"/>
  <c r="J121" i="54" s="1"/>
  <c r="I117" i="54"/>
  <c r="J117" i="54" s="1"/>
  <c r="I101" i="54"/>
  <c r="J101" i="54" s="1"/>
  <c r="I107" i="54"/>
  <c r="J107" i="54" s="1"/>
  <c r="I99" i="54"/>
  <c r="J99" i="54" s="1"/>
  <c r="I106" i="54"/>
  <c r="J106" i="54" s="1"/>
  <c r="I105" i="54"/>
  <c r="J105" i="54" s="1"/>
  <c r="I103" i="54"/>
  <c r="J103" i="54" s="1"/>
  <c r="I108" i="54"/>
  <c r="J108" i="54" s="1"/>
  <c r="I104" i="54"/>
  <c r="J104" i="54" s="1"/>
  <c r="I102" i="54"/>
  <c r="J102" i="54" s="1"/>
  <c r="I100" i="54"/>
  <c r="J100" i="54" s="1"/>
  <c r="I109" i="54"/>
  <c r="J109" i="54" s="1"/>
  <c r="I98" i="54"/>
  <c r="J98" i="54" s="1"/>
  <c r="L91" i="54"/>
  <c r="M91" i="54" s="1"/>
  <c r="L86" i="54"/>
  <c r="M86" i="54" s="1"/>
  <c r="L97" i="54"/>
  <c r="M97" i="54" s="1"/>
  <c r="L95" i="54"/>
  <c r="M95" i="54" s="1"/>
  <c r="L87" i="54"/>
  <c r="M87" i="54" s="1"/>
  <c r="L93" i="54"/>
  <c r="M93" i="54" s="1"/>
  <c r="L89" i="54"/>
  <c r="M89" i="54" s="1"/>
  <c r="L90" i="54"/>
  <c r="M90" i="54" s="1"/>
  <c r="L96" i="54"/>
  <c r="M96" i="54" s="1"/>
  <c r="L92" i="54"/>
  <c r="M92" i="54" s="1"/>
  <c r="L94" i="54"/>
  <c r="M94" i="54" s="1"/>
  <c r="L88" i="54"/>
  <c r="M88" i="54" s="1"/>
  <c r="L44" i="54"/>
  <c r="M44" i="54" s="1"/>
  <c r="L42" i="54"/>
  <c r="M42" i="54" s="1"/>
  <c r="L48" i="54"/>
  <c r="M48" i="54" s="1"/>
  <c r="L40" i="54"/>
  <c r="M40" i="54" s="1"/>
  <c r="L46" i="54"/>
  <c r="M46" i="54" s="1"/>
  <c r="L38" i="54"/>
  <c r="M38" i="54" s="1"/>
  <c r="L41" i="54"/>
  <c r="M41" i="54" s="1"/>
  <c r="L47" i="54"/>
  <c r="M47" i="54" s="1"/>
  <c r="L43" i="54"/>
  <c r="M43" i="54" s="1"/>
  <c r="L49" i="54"/>
  <c r="M49" i="54" s="1"/>
  <c r="L39" i="54"/>
  <c r="M39" i="54" s="1"/>
  <c r="L45" i="54"/>
  <c r="M45" i="54" s="1"/>
  <c r="L68" i="54"/>
  <c r="M68" i="54" s="1"/>
  <c r="L63" i="54"/>
  <c r="M63" i="54" s="1"/>
  <c r="L72" i="54"/>
  <c r="M72" i="54" s="1"/>
  <c r="L67" i="54"/>
  <c r="M67" i="54" s="1"/>
  <c r="L71" i="54"/>
  <c r="M71" i="54" s="1"/>
  <c r="L64" i="54"/>
  <c r="M64" i="54" s="1"/>
  <c r="L70" i="54"/>
  <c r="M70" i="54" s="1"/>
  <c r="L69" i="54"/>
  <c r="M69" i="54" s="1"/>
  <c r="L62" i="54"/>
  <c r="M62" i="54" s="1"/>
  <c r="L65" i="54"/>
  <c r="M65" i="54" s="1"/>
  <c r="L66" i="54"/>
  <c r="M66" i="54" s="1"/>
  <c r="L73" i="54"/>
  <c r="M73" i="54" s="1"/>
  <c r="BG5" i="1"/>
  <c r="G4" i="38"/>
  <c r="N4" i="38" s="1"/>
  <c r="I4" i="36"/>
  <c r="P4" i="36" s="1"/>
  <c r="G4" i="34"/>
  <c r="N4" i="34" s="1"/>
  <c r="H4" i="32"/>
  <c r="O4" i="32" s="1"/>
  <c r="G4" i="30"/>
  <c r="N4" i="30" s="1"/>
  <c r="G4" i="28"/>
  <c r="N4" i="28" s="1"/>
  <c r="H109" i="34"/>
  <c r="O109" i="34" s="1"/>
  <c r="O109" i="30"/>
  <c r="H108" i="38"/>
  <c r="O108" i="38" s="1"/>
  <c r="H108" i="28"/>
  <c r="O108" i="28" s="1"/>
  <c r="H107" i="36"/>
  <c r="O107" i="36" s="1"/>
  <c r="G107" i="32"/>
  <c r="N107" i="32" s="1"/>
  <c r="H105" i="34"/>
  <c r="O105" i="34" s="1"/>
  <c r="O105" i="30"/>
  <c r="H104" i="38"/>
  <c r="O104" i="38" s="1"/>
  <c r="H104" i="28"/>
  <c r="O104" i="28" s="1"/>
  <c r="H103" i="36"/>
  <c r="O103" i="36" s="1"/>
  <c r="G103" i="32"/>
  <c r="N103" i="32" s="1"/>
  <c r="H101" i="34"/>
  <c r="O101" i="34" s="1"/>
  <c r="O101" i="30"/>
  <c r="H100" i="38"/>
  <c r="O100" i="38" s="1"/>
  <c r="H100" i="28"/>
  <c r="O100" i="28" s="1"/>
  <c r="H99" i="36"/>
  <c r="O99" i="36" s="1"/>
  <c r="G99" i="32"/>
  <c r="N99" i="32" s="1"/>
  <c r="H97" i="34"/>
  <c r="O97" i="34" s="1"/>
  <c r="O97" i="30"/>
  <c r="H96" i="38"/>
  <c r="O96" i="38" s="1"/>
  <c r="H96" i="28"/>
  <c r="O96" i="28" s="1"/>
  <c r="H95" i="36"/>
  <c r="O95" i="36" s="1"/>
  <c r="G95" i="32"/>
  <c r="N95" i="32" s="1"/>
  <c r="H93" i="34"/>
  <c r="O93" i="34" s="1"/>
  <c r="O93" i="30"/>
  <c r="H92" i="38"/>
  <c r="O92" i="38" s="1"/>
  <c r="H92" i="28"/>
  <c r="O92" i="28" s="1"/>
  <c r="H91" i="36"/>
  <c r="O91" i="36" s="1"/>
  <c r="G91" i="32"/>
  <c r="N91" i="32" s="1"/>
  <c r="H89" i="34"/>
  <c r="O89" i="34" s="1"/>
  <c r="O89" i="30"/>
  <c r="H88" i="38"/>
  <c r="O88" i="38" s="1"/>
  <c r="H88" i="28"/>
  <c r="O88" i="28" s="1"/>
  <c r="H87" i="36"/>
  <c r="O87" i="36" s="1"/>
  <c r="G87" i="32"/>
  <c r="N87" i="32" s="1"/>
  <c r="H85" i="34"/>
  <c r="O85" i="34" s="1"/>
  <c r="O85" i="30"/>
  <c r="H84" i="38"/>
  <c r="O84" i="38" s="1"/>
  <c r="H84" i="28"/>
  <c r="O84" i="28" s="1"/>
  <c r="H83" i="36"/>
  <c r="O83" i="36" s="1"/>
  <c r="G83" i="32"/>
  <c r="N83" i="32" s="1"/>
  <c r="H81" i="34"/>
  <c r="O81" i="34" s="1"/>
  <c r="O81" i="30"/>
  <c r="H80" i="38"/>
  <c r="O80" i="38" s="1"/>
  <c r="H80" i="28"/>
  <c r="O80" i="28" s="1"/>
  <c r="H79" i="36"/>
  <c r="O79" i="36" s="1"/>
  <c r="G79" i="32"/>
  <c r="N79" i="32" s="1"/>
  <c r="H77" i="34"/>
  <c r="O77" i="34" s="1"/>
  <c r="O77" i="30"/>
  <c r="H76" i="38"/>
  <c r="O76" i="38" s="1"/>
  <c r="H76" i="28"/>
  <c r="O76" i="28" s="1"/>
  <c r="H75" i="36"/>
  <c r="O75" i="36" s="1"/>
  <c r="G75" i="32"/>
  <c r="N75" i="32" s="1"/>
  <c r="H73" i="34"/>
  <c r="O73" i="34" s="1"/>
  <c r="O73" i="30"/>
  <c r="H72" i="38"/>
  <c r="O72" i="38" s="1"/>
  <c r="H72" i="28"/>
  <c r="O72" i="28" s="1"/>
  <c r="H71" i="36"/>
  <c r="O71" i="36" s="1"/>
  <c r="G71" i="32"/>
  <c r="N71" i="32" s="1"/>
  <c r="H69" i="34"/>
  <c r="O69" i="34" s="1"/>
  <c r="O69" i="30"/>
  <c r="H68" i="38"/>
  <c r="O68" i="38" s="1"/>
  <c r="H68" i="28"/>
  <c r="O68" i="28" s="1"/>
  <c r="H67" i="36"/>
  <c r="O67" i="36" s="1"/>
  <c r="G67" i="32"/>
  <c r="N67" i="32" s="1"/>
  <c r="H65" i="34"/>
  <c r="O65" i="34" s="1"/>
  <c r="O65" i="30"/>
  <c r="H64" i="38"/>
  <c r="O64" i="38" s="1"/>
  <c r="H64" i="28"/>
  <c r="O64" i="28" s="1"/>
  <c r="H63" i="36"/>
  <c r="O63" i="36" s="1"/>
  <c r="G63" i="32"/>
  <c r="N63" i="32" s="1"/>
  <c r="H61" i="34"/>
  <c r="O61" i="34" s="1"/>
  <c r="O61" i="30"/>
  <c r="H60" i="38"/>
  <c r="O60" i="38" s="1"/>
  <c r="H60" i="28"/>
  <c r="O60" i="28" s="1"/>
  <c r="H59" i="36"/>
  <c r="O59" i="36" s="1"/>
  <c r="G59" i="32"/>
  <c r="N59" i="32" s="1"/>
  <c r="H57" i="34"/>
  <c r="O57" i="34" s="1"/>
  <c r="O57" i="30"/>
  <c r="H56" i="38"/>
  <c r="O56" i="38" s="1"/>
  <c r="H56" i="28"/>
  <c r="O56" i="28" s="1"/>
  <c r="H55" i="36"/>
  <c r="O55" i="36" s="1"/>
  <c r="G55" i="32"/>
  <c r="N55" i="32" s="1"/>
  <c r="H53" i="34"/>
  <c r="O53" i="34" s="1"/>
  <c r="O53" i="30"/>
  <c r="H52" i="38"/>
  <c r="O52" i="38" s="1"/>
  <c r="H52" i="28"/>
  <c r="O52" i="28" s="1"/>
  <c r="H51" i="36"/>
  <c r="O51" i="36" s="1"/>
  <c r="G51" i="32"/>
  <c r="N51" i="32" s="1"/>
  <c r="H49" i="34"/>
  <c r="O49" i="34" s="1"/>
  <c r="O49" i="30"/>
  <c r="H48" i="38"/>
  <c r="O48" i="38" s="1"/>
  <c r="H48" i="28"/>
  <c r="O48" i="28" s="1"/>
  <c r="H47" i="36"/>
  <c r="O47" i="36" s="1"/>
  <c r="G47" i="32"/>
  <c r="N47" i="32" s="1"/>
  <c r="H45" i="34"/>
  <c r="O45" i="34" s="1"/>
  <c r="O45" i="30"/>
  <c r="H44" i="38"/>
  <c r="O44" i="38" s="1"/>
  <c r="H44" i="28"/>
  <c r="O44" i="28" s="1"/>
  <c r="H43" i="36"/>
  <c r="O43" i="36" s="1"/>
  <c r="G43" i="32"/>
  <c r="N43" i="32" s="1"/>
  <c r="H41" i="34"/>
  <c r="O41" i="34" s="1"/>
  <c r="O41" i="30"/>
  <c r="H40" i="38"/>
  <c r="O40" i="38" s="1"/>
  <c r="H40" i="28"/>
  <c r="O40" i="28" s="1"/>
  <c r="H39" i="36"/>
  <c r="O39" i="36" s="1"/>
  <c r="G39" i="32"/>
  <c r="N39" i="32" s="1"/>
  <c r="H37" i="34"/>
  <c r="O37" i="34" s="1"/>
  <c r="O37" i="30"/>
  <c r="H36" i="38"/>
  <c r="O36" i="38" s="1"/>
  <c r="H36" i="28"/>
  <c r="O36" i="28" s="1"/>
  <c r="H35" i="36"/>
  <c r="O35" i="36" s="1"/>
  <c r="G35" i="32"/>
  <c r="N35" i="32" s="1"/>
  <c r="H33" i="34"/>
  <c r="O33" i="34" s="1"/>
  <c r="O33" i="30"/>
  <c r="H32" i="38"/>
  <c r="O32" i="38" s="1"/>
  <c r="H32" i="28"/>
  <c r="O32" i="28" s="1"/>
  <c r="H31" i="36"/>
  <c r="O31" i="36" s="1"/>
  <c r="G31" i="32"/>
  <c r="N31" i="32" s="1"/>
  <c r="H29" i="34"/>
  <c r="O29" i="34" s="1"/>
  <c r="O29" i="30"/>
  <c r="H28" i="38"/>
  <c r="O28" i="38" s="1"/>
  <c r="H28" i="28"/>
  <c r="O28" i="28" s="1"/>
  <c r="H27" i="36"/>
  <c r="O27" i="36" s="1"/>
  <c r="G27" i="32"/>
  <c r="N27" i="32" s="1"/>
  <c r="H25" i="34"/>
  <c r="O25" i="34" s="1"/>
  <c r="O25" i="30"/>
  <c r="H24" i="38"/>
  <c r="O24" i="38" s="1"/>
  <c r="H24" i="28"/>
  <c r="O24" i="28" s="1"/>
  <c r="H23" i="36"/>
  <c r="O23" i="36" s="1"/>
  <c r="G23" i="32"/>
  <c r="N23" i="32" s="1"/>
  <c r="H21" i="34"/>
  <c r="O21" i="34" s="1"/>
  <c r="O21" i="30"/>
  <c r="H20" i="38"/>
  <c r="O20" i="38" s="1"/>
  <c r="H20" i="28"/>
  <c r="O20" i="28" s="1"/>
  <c r="H19" i="36"/>
  <c r="O19" i="36" s="1"/>
  <c r="G19" i="32"/>
  <c r="N19" i="32" s="1"/>
  <c r="H17" i="34"/>
  <c r="O17" i="34" s="1"/>
  <c r="O17" i="30"/>
  <c r="H16" i="38"/>
  <c r="O16" i="38" s="1"/>
  <c r="H16" i="28"/>
  <c r="O16" i="28" s="1"/>
  <c r="H15" i="36"/>
  <c r="O15" i="36" s="1"/>
  <c r="G15" i="32"/>
  <c r="N15" i="32" s="1"/>
  <c r="H13" i="34"/>
  <c r="O13" i="34" s="1"/>
  <c r="O13" i="30"/>
  <c r="H12" i="38"/>
  <c r="O12" i="38" s="1"/>
  <c r="H12" i="28"/>
  <c r="O12" i="28" s="1"/>
  <c r="H11" i="36"/>
  <c r="O11" i="36" s="1"/>
  <c r="G11" i="32"/>
  <c r="N11" i="32" s="1"/>
  <c r="H9" i="34"/>
  <c r="O9" i="34" s="1"/>
  <c r="O9" i="30"/>
  <c r="H8" i="38"/>
  <c r="O8" i="38" s="1"/>
  <c r="H8" i="28"/>
  <c r="O8" i="28" s="1"/>
  <c r="H7" i="36"/>
  <c r="O7" i="36" s="1"/>
  <c r="G7" i="32"/>
  <c r="N7" i="32" s="1"/>
  <c r="H5" i="34"/>
  <c r="O5" i="34" s="1"/>
  <c r="O5" i="30"/>
  <c r="H4" i="38"/>
  <c r="O4" i="38" s="1"/>
  <c r="H4" i="28"/>
  <c r="O4" i="28" s="1"/>
  <c r="H3" i="36"/>
  <c r="G3" i="32"/>
  <c r="H1" i="36"/>
  <c r="O1" i="36" s="1"/>
  <c r="G1" i="32"/>
  <c r="N1" i="32" s="1"/>
  <c r="H109" i="38"/>
  <c r="O109" i="38" s="1"/>
  <c r="H109" i="28"/>
  <c r="O109" i="28" s="1"/>
  <c r="H108" i="36"/>
  <c r="O108" i="36" s="1"/>
  <c r="G108" i="32"/>
  <c r="N108" i="32" s="1"/>
  <c r="H106" i="34"/>
  <c r="O106" i="34" s="1"/>
  <c r="O106" i="30"/>
  <c r="H105" i="38"/>
  <c r="O105" i="38" s="1"/>
  <c r="H105" i="28"/>
  <c r="O105" i="28" s="1"/>
  <c r="H104" i="36"/>
  <c r="O104" i="36" s="1"/>
  <c r="G104" i="32"/>
  <c r="N104" i="32" s="1"/>
  <c r="H102" i="34"/>
  <c r="O102" i="34" s="1"/>
  <c r="O102" i="30"/>
  <c r="H101" i="38"/>
  <c r="O101" i="38" s="1"/>
  <c r="H101" i="28"/>
  <c r="O101" i="28" s="1"/>
  <c r="H100" i="36"/>
  <c r="O100" i="36" s="1"/>
  <c r="G100" i="32"/>
  <c r="N100" i="32" s="1"/>
  <c r="H98" i="34"/>
  <c r="O98" i="34" s="1"/>
  <c r="O98" i="30"/>
  <c r="H97" i="38"/>
  <c r="O97" i="38" s="1"/>
  <c r="H97" i="28"/>
  <c r="O97" i="28" s="1"/>
  <c r="H96" i="36"/>
  <c r="O96" i="36" s="1"/>
  <c r="G96" i="32"/>
  <c r="N96" i="32" s="1"/>
  <c r="H94" i="34"/>
  <c r="O94" i="34" s="1"/>
  <c r="O94" i="30"/>
  <c r="H93" i="38"/>
  <c r="O93" i="38" s="1"/>
  <c r="H93" i="28"/>
  <c r="O93" i="28" s="1"/>
  <c r="H92" i="36"/>
  <c r="O92" i="36" s="1"/>
  <c r="G92" i="32"/>
  <c r="N92" i="32" s="1"/>
  <c r="H90" i="34"/>
  <c r="O90" i="34" s="1"/>
  <c r="O90" i="30"/>
  <c r="H89" i="38"/>
  <c r="O89" i="38" s="1"/>
  <c r="H89" i="28"/>
  <c r="O89" i="28" s="1"/>
  <c r="H88" i="36"/>
  <c r="O88" i="36" s="1"/>
  <c r="G88" i="32"/>
  <c r="N88" i="32" s="1"/>
  <c r="H86" i="34"/>
  <c r="O86" i="34" s="1"/>
  <c r="O86" i="30"/>
  <c r="H85" i="38"/>
  <c r="O85" i="38" s="1"/>
  <c r="H85" i="28"/>
  <c r="O85" i="28" s="1"/>
  <c r="H84" i="36"/>
  <c r="O84" i="36" s="1"/>
  <c r="G84" i="32"/>
  <c r="N84" i="32" s="1"/>
  <c r="H82" i="34"/>
  <c r="O82" i="34" s="1"/>
  <c r="O82" i="30"/>
  <c r="H81" i="38"/>
  <c r="O81" i="38" s="1"/>
  <c r="H81" i="28"/>
  <c r="O81" i="28" s="1"/>
  <c r="H80" i="36"/>
  <c r="O80" i="36" s="1"/>
  <c r="G80" i="32"/>
  <c r="N80" i="32" s="1"/>
  <c r="H78" i="34"/>
  <c r="O78" i="34" s="1"/>
  <c r="O78" i="30"/>
  <c r="H77" i="38"/>
  <c r="O77" i="38" s="1"/>
  <c r="H77" i="28"/>
  <c r="O77" i="28" s="1"/>
  <c r="H76" i="36"/>
  <c r="O76" i="36" s="1"/>
  <c r="G76" i="32"/>
  <c r="N76" i="32" s="1"/>
  <c r="H74" i="34"/>
  <c r="O74" i="34" s="1"/>
  <c r="O74" i="30"/>
  <c r="H73" i="38"/>
  <c r="O73" i="38" s="1"/>
  <c r="H73" i="28"/>
  <c r="O73" i="28" s="1"/>
  <c r="H72" i="36"/>
  <c r="O72" i="36" s="1"/>
  <c r="G72" i="32"/>
  <c r="N72" i="32" s="1"/>
  <c r="H70" i="34"/>
  <c r="O70" i="34" s="1"/>
  <c r="O70" i="30"/>
  <c r="H69" i="38"/>
  <c r="O69" i="38" s="1"/>
  <c r="H69" i="28"/>
  <c r="O69" i="28" s="1"/>
  <c r="H68" i="36"/>
  <c r="O68" i="36" s="1"/>
  <c r="G68" i="32"/>
  <c r="N68" i="32" s="1"/>
  <c r="H66" i="34"/>
  <c r="O66" i="34" s="1"/>
  <c r="O66" i="30"/>
  <c r="H65" i="38"/>
  <c r="O65" i="38" s="1"/>
  <c r="H65" i="28"/>
  <c r="O65" i="28" s="1"/>
  <c r="H64" i="36"/>
  <c r="O64" i="36" s="1"/>
  <c r="G64" i="32"/>
  <c r="N64" i="32" s="1"/>
  <c r="H62" i="34"/>
  <c r="O62" i="34" s="1"/>
  <c r="O62" i="30"/>
  <c r="H61" i="38"/>
  <c r="O61" i="38" s="1"/>
  <c r="H61" i="28"/>
  <c r="O61" i="28" s="1"/>
  <c r="H60" i="36"/>
  <c r="O60" i="36" s="1"/>
  <c r="G60" i="32"/>
  <c r="N60" i="32" s="1"/>
  <c r="H58" i="34"/>
  <c r="O58" i="34" s="1"/>
  <c r="O58" i="30"/>
  <c r="H57" i="38"/>
  <c r="O57" i="38" s="1"/>
  <c r="H57" i="28"/>
  <c r="O57" i="28" s="1"/>
  <c r="H56" i="36"/>
  <c r="O56" i="36" s="1"/>
  <c r="G56" i="32"/>
  <c r="N56" i="32" s="1"/>
  <c r="H54" i="34"/>
  <c r="O54" i="34" s="1"/>
  <c r="O54" i="30"/>
  <c r="H53" i="38"/>
  <c r="O53" i="38" s="1"/>
  <c r="H53" i="28"/>
  <c r="O53" i="28" s="1"/>
  <c r="H52" i="36"/>
  <c r="O52" i="36" s="1"/>
  <c r="G52" i="32"/>
  <c r="N52" i="32" s="1"/>
  <c r="H50" i="34"/>
  <c r="O50" i="34" s="1"/>
  <c r="O50" i="30"/>
  <c r="H49" i="38"/>
  <c r="O49" i="38" s="1"/>
  <c r="H49" i="28"/>
  <c r="O49" i="28" s="1"/>
  <c r="H48" i="36"/>
  <c r="O48" i="36" s="1"/>
  <c r="G48" i="32"/>
  <c r="N48" i="32" s="1"/>
  <c r="H46" i="34"/>
  <c r="O46" i="34" s="1"/>
  <c r="O46" i="30"/>
  <c r="H45" i="38"/>
  <c r="O45" i="38" s="1"/>
  <c r="H45" i="28"/>
  <c r="O45" i="28" s="1"/>
  <c r="H44" i="36"/>
  <c r="O44" i="36" s="1"/>
  <c r="G44" i="32"/>
  <c r="N44" i="32" s="1"/>
  <c r="H42" i="34"/>
  <c r="O42" i="34" s="1"/>
  <c r="O42" i="30"/>
  <c r="H41" i="38"/>
  <c r="O41" i="38" s="1"/>
  <c r="H41" i="28"/>
  <c r="O41" i="28" s="1"/>
  <c r="H40" i="36"/>
  <c r="O40" i="36" s="1"/>
  <c r="G40" i="32"/>
  <c r="N40" i="32" s="1"/>
  <c r="H38" i="34"/>
  <c r="O38" i="34" s="1"/>
  <c r="O38" i="30"/>
  <c r="H37" i="38"/>
  <c r="O37" i="38" s="1"/>
  <c r="H37" i="28"/>
  <c r="O37" i="28" s="1"/>
  <c r="H36" i="36"/>
  <c r="O36" i="36" s="1"/>
  <c r="G36" i="32"/>
  <c r="N36" i="32" s="1"/>
  <c r="H34" i="34"/>
  <c r="O34" i="34" s="1"/>
  <c r="O34" i="30"/>
  <c r="H33" i="38"/>
  <c r="O33" i="38" s="1"/>
  <c r="H33" i="28"/>
  <c r="O33" i="28" s="1"/>
  <c r="H32" i="36"/>
  <c r="O32" i="36" s="1"/>
  <c r="G32" i="32"/>
  <c r="N32" i="32" s="1"/>
  <c r="H30" i="34"/>
  <c r="O30" i="34" s="1"/>
  <c r="O30" i="30"/>
  <c r="H29" i="38"/>
  <c r="O29" i="38" s="1"/>
  <c r="H29" i="28"/>
  <c r="O29" i="28" s="1"/>
  <c r="H28" i="36"/>
  <c r="O28" i="36" s="1"/>
  <c r="G28" i="32"/>
  <c r="N28" i="32" s="1"/>
  <c r="H26" i="34"/>
  <c r="O26" i="34" s="1"/>
  <c r="O26" i="30"/>
  <c r="H25" i="38"/>
  <c r="O25" i="38" s="1"/>
  <c r="H25" i="28"/>
  <c r="O25" i="28" s="1"/>
  <c r="H24" i="36"/>
  <c r="O24" i="36" s="1"/>
  <c r="G24" i="32"/>
  <c r="N24" i="32" s="1"/>
  <c r="H22" i="34"/>
  <c r="O22" i="34" s="1"/>
  <c r="O22" i="30"/>
  <c r="H21" i="38"/>
  <c r="O21" i="38" s="1"/>
  <c r="H21" i="28"/>
  <c r="O21" i="28" s="1"/>
  <c r="H20" i="36"/>
  <c r="O20" i="36" s="1"/>
  <c r="G20" i="32"/>
  <c r="N20" i="32" s="1"/>
  <c r="H18" i="34"/>
  <c r="O18" i="34" s="1"/>
  <c r="O18" i="30"/>
  <c r="H17" i="38"/>
  <c r="O17" i="38" s="1"/>
  <c r="H17" i="28"/>
  <c r="O17" i="28" s="1"/>
  <c r="H16" i="36"/>
  <c r="O16" i="36" s="1"/>
  <c r="G16" i="32"/>
  <c r="N16" i="32" s="1"/>
  <c r="H14" i="34"/>
  <c r="O14" i="34" s="1"/>
  <c r="O14" i="30"/>
  <c r="H13" i="38"/>
  <c r="O13" i="38" s="1"/>
  <c r="H13" i="28"/>
  <c r="O13" i="28" s="1"/>
  <c r="H12" i="36"/>
  <c r="O12" i="36" s="1"/>
  <c r="G12" i="32"/>
  <c r="N12" i="32" s="1"/>
  <c r="H10" i="34"/>
  <c r="O10" i="34" s="1"/>
  <c r="O10" i="30"/>
  <c r="H9" i="38"/>
  <c r="O9" i="38" s="1"/>
  <c r="H9" i="28"/>
  <c r="O9" i="28" s="1"/>
  <c r="H8" i="36"/>
  <c r="O8" i="36" s="1"/>
  <c r="G8" i="32"/>
  <c r="N8" i="32" s="1"/>
  <c r="H6" i="34"/>
  <c r="O6" i="34" s="1"/>
  <c r="O6" i="30"/>
  <c r="H5" i="38"/>
  <c r="O5" i="38" s="1"/>
  <c r="H5" i="28"/>
  <c r="O5" i="28" s="1"/>
  <c r="H4" i="36"/>
  <c r="O4" i="36" s="1"/>
  <c r="G4" i="32"/>
  <c r="N4" i="32" s="1"/>
  <c r="H2" i="34"/>
  <c r="O2" i="34" s="1"/>
  <c r="S2" i="34" s="1"/>
  <c r="H2" i="30"/>
  <c r="O2" i="30" s="1"/>
  <c r="H1" i="34"/>
  <c r="O1" i="34" s="1"/>
  <c r="H1" i="30"/>
  <c r="O1" i="30" s="1"/>
  <c r="H109" i="36"/>
  <c r="O109" i="36" s="1"/>
  <c r="G109" i="32"/>
  <c r="N109" i="32" s="1"/>
  <c r="H107" i="34"/>
  <c r="O107" i="34" s="1"/>
  <c r="O107" i="30"/>
  <c r="H106" i="38"/>
  <c r="O106" i="38" s="1"/>
  <c r="H106" i="28"/>
  <c r="O106" i="28" s="1"/>
  <c r="H105" i="36"/>
  <c r="O105" i="36" s="1"/>
  <c r="G105" i="32"/>
  <c r="N105" i="32" s="1"/>
  <c r="H103" i="34"/>
  <c r="O103" i="34" s="1"/>
  <c r="O103" i="30"/>
  <c r="H102" i="38"/>
  <c r="O102" i="38" s="1"/>
  <c r="H102" i="28"/>
  <c r="O102" i="28" s="1"/>
  <c r="H101" i="36"/>
  <c r="O101" i="36" s="1"/>
  <c r="G101" i="32"/>
  <c r="N101" i="32" s="1"/>
  <c r="H99" i="34"/>
  <c r="O99" i="34" s="1"/>
  <c r="O99" i="30"/>
  <c r="H98" i="38"/>
  <c r="O98" i="38" s="1"/>
  <c r="H98" i="28"/>
  <c r="O98" i="28" s="1"/>
  <c r="H97" i="36"/>
  <c r="O97" i="36" s="1"/>
  <c r="G97" i="32"/>
  <c r="N97" i="32" s="1"/>
  <c r="H95" i="34"/>
  <c r="O95" i="34" s="1"/>
  <c r="O95" i="30"/>
  <c r="H94" i="38"/>
  <c r="O94" i="38" s="1"/>
  <c r="H94" i="28"/>
  <c r="O94" i="28" s="1"/>
  <c r="H93" i="36"/>
  <c r="O93" i="36" s="1"/>
  <c r="G93" i="32"/>
  <c r="N93" i="32" s="1"/>
  <c r="H91" i="34"/>
  <c r="O91" i="34" s="1"/>
  <c r="O91" i="30"/>
  <c r="H90" i="38"/>
  <c r="O90" i="38" s="1"/>
  <c r="H90" i="28"/>
  <c r="O90" i="28" s="1"/>
  <c r="H89" i="36"/>
  <c r="O89" i="36" s="1"/>
  <c r="G89" i="32"/>
  <c r="N89" i="32" s="1"/>
  <c r="H87" i="34"/>
  <c r="O87" i="34" s="1"/>
  <c r="O87" i="30"/>
  <c r="H86" i="38"/>
  <c r="O86" i="38" s="1"/>
  <c r="H86" i="28"/>
  <c r="O86" i="28" s="1"/>
  <c r="H85" i="36"/>
  <c r="O85" i="36" s="1"/>
  <c r="G85" i="32"/>
  <c r="N85" i="32" s="1"/>
  <c r="H83" i="34"/>
  <c r="O83" i="34" s="1"/>
  <c r="O83" i="30"/>
  <c r="H82" i="38"/>
  <c r="O82" i="38" s="1"/>
  <c r="H82" i="28"/>
  <c r="O82" i="28" s="1"/>
  <c r="H81" i="36"/>
  <c r="O81" i="36" s="1"/>
  <c r="G81" i="32"/>
  <c r="N81" i="32" s="1"/>
  <c r="H79" i="34"/>
  <c r="O79" i="34" s="1"/>
  <c r="O79" i="30"/>
  <c r="H78" i="38"/>
  <c r="O78" i="38" s="1"/>
  <c r="H78" i="28"/>
  <c r="O78" i="28" s="1"/>
  <c r="H77" i="36"/>
  <c r="O77" i="36" s="1"/>
  <c r="G77" i="32"/>
  <c r="N77" i="32" s="1"/>
  <c r="H75" i="34"/>
  <c r="O75" i="34" s="1"/>
  <c r="O75" i="30"/>
  <c r="H74" i="38"/>
  <c r="O74" i="38" s="1"/>
  <c r="H74" i="28"/>
  <c r="O74" i="28" s="1"/>
  <c r="H73" i="36"/>
  <c r="O73" i="36" s="1"/>
  <c r="G73" i="32"/>
  <c r="N73" i="32" s="1"/>
  <c r="H71" i="34"/>
  <c r="O71" i="34" s="1"/>
  <c r="O71" i="30"/>
  <c r="H70" i="38"/>
  <c r="O70" i="38" s="1"/>
  <c r="H70" i="28"/>
  <c r="O70" i="28" s="1"/>
  <c r="H69" i="36"/>
  <c r="O69" i="36" s="1"/>
  <c r="G69" i="32"/>
  <c r="N69" i="32" s="1"/>
  <c r="H67" i="34"/>
  <c r="O67" i="34" s="1"/>
  <c r="O67" i="30"/>
  <c r="H66" i="38"/>
  <c r="O66" i="38" s="1"/>
  <c r="H66" i="28"/>
  <c r="O66" i="28" s="1"/>
  <c r="H65" i="36"/>
  <c r="O65" i="36" s="1"/>
  <c r="G65" i="32"/>
  <c r="N65" i="32" s="1"/>
  <c r="H63" i="34"/>
  <c r="O63" i="34" s="1"/>
  <c r="O63" i="30"/>
  <c r="H62" i="38"/>
  <c r="O62" i="38" s="1"/>
  <c r="H62" i="28"/>
  <c r="O62" i="28" s="1"/>
  <c r="H61" i="36"/>
  <c r="O61" i="36" s="1"/>
  <c r="G61" i="32"/>
  <c r="N61" i="32" s="1"/>
  <c r="H59" i="34"/>
  <c r="O59" i="34" s="1"/>
  <c r="O59" i="30"/>
  <c r="H58" i="38"/>
  <c r="O58" i="38" s="1"/>
  <c r="H58" i="28"/>
  <c r="O58" i="28" s="1"/>
  <c r="H57" i="36"/>
  <c r="O57" i="36" s="1"/>
  <c r="G57" i="32"/>
  <c r="N57" i="32" s="1"/>
  <c r="H55" i="34"/>
  <c r="O55" i="34" s="1"/>
  <c r="O55" i="30"/>
  <c r="H54" i="38"/>
  <c r="O54" i="38" s="1"/>
  <c r="H54" i="28"/>
  <c r="O54" i="28" s="1"/>
  <c r="H53" i="36"/>
  <c r="O53" i="36" s="1"/>
  <c r="G53" i="32"/>
  <c r="N53" i="32" s="1"/>
  <c r="H51" i="34"/>
  <c r="O51" i="34" s="1"/>
  <c r="O51" i="30"/>
  <c r="H50" i="38"/>
  <c r="O50" i="38" s="1"/>
  <c r="H50" i="28"/>
  <c r="O50" i="28" s="1"/>
  <c r="H49" i="36"/>
  <c r="O49" i="36" s="1"/>
  <c r="G49" i="32"/>
  <c r="N49" i="32" s="1"/>
  <c r="H47" i="34"/>
  <c r="O47" i="34" s="1"/>
  <c r="O47" i="30"/>
  <c r="H46" i="38"/>
  <c r="O46" i="38" s="1"/>
  <c r="H46" i="28"/>
  <c r="O46" i="28" s="1"/>
  <c r="H45" i="36"/>
  <c r="O45" i="36" s="1"/>
  <c r="G45" i="32"/>
  <c r="N45" i="32" s="1"/>
  <c r="H43" i="34"/>
  <c r="O43" i="34" s="1"/>
  <c r="O43" i="30"/>
  <c r="H42" i="38"/>
  <c r="O42" i="38" s="1"/>
  <c r="H42" i="28"/>
  <c r="O42" i="28" s="1"/>
  <c r="H41" i="36"/>
  <c r="O41" i="36" s="1"/>
  <c r="G41" i="32"/>
  <c r="N41" i="32" s="1"/>
  <c r="H39" i="34"/>
  <c r="O39" i="34" s="1"/>
  <c r="O39" i="30"/>
  <c r="H38" i="38"/>
  <c r="O38" i="38" s="1"/>
  <c r="H38" i="28"/>
  <c r="O38" i="28" s="1"/>
  <c r="H37" i="36"/>
  <c r="O37" i="36" s="1"/>
  <c r="G37" i="32"/>
  <c r="N37" i="32" s="1"/>
  <c r="H35" i="34"/>
  <c r="O35" i="34" s="1"/>
  <c r="O35" i="30"/>
  <c r="H34" i="38"/>
  <c r="O34" i="38" s="1"/>
  <c r="H34" i="28"/>
  <c r="O34" i="28" s="1"/>
  <c r="H33" i="36"/>
  <c r="O33" i="36" s="1"/>
  <c r="G33" i="32"/>
  <c r="N33" i="32" s="1"/>
  <c r="H31" i="34"/>
  <c r="O31" i="34" s="1"/>
  <c r="O31" i="30"/>
  <c r="H30" i="38"/>
  <c r="O30" i="38" s="1"/>
  <c r="H30" i="28"/>
  <c r="O30" i="28" s="1"/>
  <c r="H29" i="36"/>
  <c r="O29" i="36" s="1"/>
  <c r="G29" i="32"/>
  <c r="N29" i="32" s="1"/>
  <c r="H27" i="34"/>
  <c r="O27" i="34" s="1"/>
  <c r="O27" i="30"/>
  <c r="H26" i="38"/>
  <c r="O26" i="38" s="1"/>
  <c r="H26" i="28"/>
  <c r="O26" i="28" s="1"/>
  <c r="H25" i="36"/>
  <c r="O25" i="36" s="1"/>
  <c r="G25" i="32"/>
  <c r="N25" i="32" s="1"/>
  <c r="H23" i="34"/>
  <c r="O23" i="34" s="1"/>
  <c r="O23" i="30"/>
  <c r="H22" i="38"/>
  <c r="O22" i="38" s="1"/>
  <c r="H22" i="28"/>
  <c r="O22" i="28" s="1"/>
  <c r="H21" i="36"/>
  <c r="O21" i="36" s="1"/>
  <c r="G21" i="32"/>
  <c r="N21" i="32" s="1"/>
  <c r="H19" i="34"/>
  <c r="O19" i="34" s="1"/>
  <c r="O19" i="30"/>
  <c r="H18" i="38"/>
  <c r="O18" i="38" s="1"/>
  <c r="H18" i="28"/>
  <c r="O18" i="28" s="1"/>
  <c r="H17" i="36"/>
  <c r="O17" i="36" s="1"/>
  <c r="G17" i="32"/>
  <c r="N17" i="32" s="1"/>
  <c r="H15" i="34"/>
  <c r="O15" i="34" s="1"/>
  <c r="O15" i="30"/>
  <c r="H14" i="38"/>
  <c r="O14" i="38" s="1"/>
  <c r="H14" i="28"/>
  <c r="O14" i="28" s="1"/>
  <c r="H13" i="36"/>
  <c r="O13" i="36" s="1"/>
  <c r="G13" i="32"/>
  <c r="N13" i="32" s="1"/>
  <c r="H11" i="34"/>
  <c r="O11" i="34" s="1"/>
  <c r="O11" i="30"/>
  <c r="H10" i="38"/>
  <c r="O10" i="38" s="1"/>
  <c r="H10" i="28"/>
  <c r="O10" i="28" s="1"/>
  <c r="H9" i="36"/>
  <c r="O9" i="36" s="1"/>
  <c r="G9" i="32"/>
  <c r="N9" i="32" s="1"/>
  <c r="H7" i="34"/>
  <c r="O7" i="34" s="1"/>
  <c r="O7" i="30"/>
  <c r="H6" i="38"/>
  <c r="O6" i="38" s="1"/>
  <c r="H6" i="28"/>
  <c r="O6" i="28" s="1"/>
  <c r="H5" i="36"/>
  <c r="O5" i="36" s="1"/>
  <c r="G5" i="32"/>
  <c r="N5" i="32" s="1"/>
  <c r="H3" i="34"/>
  <c r="O3" i="34" s="1"/>
  <c r="S3" i="34" s="1"/>
  <c r="O3" i="30"/>
  <c r="S3" i="30" s="1"/>
  <c r="H2" i="38"/>
  <c r="O2" i="38" s="1"/>
  <c r="S2" i="38" s="1"/>
  <c r="H2" i="28"/>
  <c r="O2" i="28" s="1"/>
  <c r="S2" i="28" s="1"/>
  <c r="H1" i="38"/>
  <c r="O1" i="38" s="1"/>
  <c r="H1" i="28"/>
  <c r="O1" i="28" s="1"/>
  <c r="H108" i="34"/>
  <c r="O108" i="34" s="1"/>
  <c r="O108" i="30"/>
  <c r="H107" i="38"/>
  <c r="O107" i="38" s="1"/>
  <c r="H107" i="28"/>
  <c r="O107" i="28" s="1"/>
  <c r="H106" i="36"/>
  <c r="O106" i="36" s="1"/>
  <c r="G106" i="32"/>
  <c r="N106" i="32" s="1"/>
  <c r="H104" i="34"/>
  <c r="O104" i="34" s="1"/>
  <c r="O104" i="30"/>
  <c r="H103" i="38"/>
  <c r="O103" i="38" s="1"/>
  <c r="H103" i="28"/>
  <c r="O103" i="28" s="1"/>
  <c r="H102" i="36"/>
  <c r="O102" i="36" s="1"/>
  <c r="G102" i="32"/>
  <c r="N102" i="32" s="1"/>
  <c r="H100" i="34"/>
  <c r="O100" i="34" s="1"/>
  <c r="O100" i="30"/>
  <c r="H99" i="38"/>
  <c r="O99" i="38" s="1"/>
  <c r="H99" i="28"/>
  <c r="O99" i="28" s="1"/>
  <c r="H98" i="36"/>
  <c r="O98" i="36" s="1"/>
  <c r="G98" i="32"/>
  <c r="N98" i="32" s="1"/>
  <c r="H96" i="34"/>
  <c r="O96" i="34" s="1"/>
  <c r="O96" i="30"/>
  <c r="H95" i="38"/>
  <c r="O95" i="38" s="1"/>
  <c r="H95" i="28"/>
  <c r="O95" i="28" s="1"/>
  <c r="H94" i="36"/>
  <c r="O94" i="36" s="1"/>
  <c r="G94" i="32"/>
  <c r="N94" i="32" s="1"/>
  <c r="H92" i="34"/>
  <c r="O92" i="34" s="1"/>
  <c r="O92" i="30"/>
  <c r="H91" i="38"/>
  <c r="O91" i="38" s="1"/>
  <c r="H91" i="28"/>
  <c r="O91" i="28" s="1"/>
  <c r="H90" i="36"/>
  <c r="O90" i="36" s="1"/>
  <c r="G90" i="32"/>
  <c r="N90" i="32" s="1"/>
  <c r="H88" i="34"/>
  <c r="O88" i="34" s="1"/>
  <c r="O88" i="30"/>
  <c r="H87" i="38"/>
  <c r="O87" i="38" s="1"/>
  <c r="H87" i="28"/>
  <c r="O87" i="28" s="1"/>
  <c r="H86" i="36"/>
  <c r="O86" i="36" s="1"/>
  <c r="G86" i="32"/>
  <c r="N86" i="32" s="1"/>
  <c r="H84" i="34"/>
  <c r="O84" i="34" s="1"/>
  <c r="O84" i="30"/>
  <c r="H83" i="38"/>
  <c r="O83" i="38" s="1"/>
  <c r="H83" i="28"/>
  <c r="O83" i="28" s="1"/>
  <c r="H82" i="36"/>
  <c r="O82" i="36" s="1"/>
  <c r="G82" i="32"/>
  <c r="N82" i="32" s="1"/>
  <c r="H80" i="34"/>
  <c r="O80" i="34" s="1"/>
  <c r="O80" i="30"/>
  <c r="H79" i="38"/>
  <c r="O79" i="38" s="1"/>
  <c r="H79" i="28"/>
  <c r="O79" i="28" s="1"/>
  <c r="H78" i="36"/>
  <c r="O78" i="36" s="1"/>
  <c r="G78" i="32"/>
  <c r="N78" i="32" s="1"/>
  <c r="H76" i="34"/>
  <c r="O76" i="34" s="1"/>
  <c r="O76" i="30"/>
  <c r="H75" i="38"/>
  <c r="O75" i="38" s="1"/>
  <c r="H75" i="28"/>
  <c r="O75" i="28" s="1"/>
  <c r="H74" i="36"/>
  <c r="O74" i="36" s="1"/>
  <c r="G74" i="32"/>
  <c r="N74" i="32" s="1"/>
  <c r="H72" i="34"/>
  <c r="O72" i="34" s="1"/>
  <c r="O72" i="30"/>
  <c r="H71" i="38"/>
  <c r="O71" i="38" s="1"/>
  <c r="H71" i="28"/>
  <c r="O71" i="28" s="1"/>
  <c r="H70" i="36"/>
  <c r="O70" i="36" s="1"/>
  <c r="G70" i="32"/>
  <c r="N70" i="32" s="1"/>
  <c r="H68" i="34"/>
  <c r="O68" i="34" s="1"/>
  <c r="O68" i="30"/>
  <c r="H67" i="38"/>
  <c r="O67" i="38" s="1"/>
  <c r="H67" i="28"/>
  <c r="O67" i="28" s="1"/>
  <c r="H66" i="36"/>
  <c r="O66" i="36" s="1"/>
  <c r="G66" i="32"/>
  <c r="N66" i="32" s="1"/>
  <c r="H64" i="34"/>
  <c r="O64" i="34" s="1"/>
  <c r="O64" i="30"/>
  <c r="H63" i="38"/>
  <c r="O63" i="38" s="1"/>
  <c r="H63" i="28"/>
  <c r="O63" i="28" s="1"/>
  <c r="H62" i="36"/>
  <c r="O62" i="36" s="1"/>
  <c r="G62" i="32"/>
  <c r="N62" i="32" s="1"/>
  <c r="H60" i="34"/>
  <c r="O60" i="34" s="1"/>
  <c r="O60" i="30"/>
  <c r="H59" i="38"/>
  <c r="O59" i="38" s="1"/>
  <c r="H59" i="28"/>
  <c r="O59" i="28" s="1"/>
  <c r="H58" i="36"/>
  <c r="O58" i="36" s="1"/>
  <c r="G58" i="32"/>
  <c r="N58" i="32" s="1"/>
  <c r="H56" i="34"/>
  <c r="O56" i="34" s="1"/>
  <c r="O56" i="30"/>
  <c r="H55" i="38"/>
  <c r="O55" i="38" s="1"/>
  <c r="H55" i="28"/>
  <c r="O55" i="28" s="1"/>
  <c r="H54" i="36"/>
  <c r="O54" i="36" s="1"/>
  <c r="G54" i="32"/>
  <c r="N54" i="32" s="1"/>
  <c r="H52" i="34"/>
  <c r="O52" i="34" s="1"/>
  <c r="O52" i="30"/>
  <c r="H51" i="38"/>
  <c r="O51" i="38" s="1"/>
  <c r="H51" i="28"/>
  <c r="O51" i="28" s="1"/>
  <c r="H50" i="36"/>
  <c r="O50" i="36" s="1"/>
  <c r="G50" i="32"/>
  <c r="N50" i="32" s="1"/>
  <c r="H48" i="34"/>
  <c r="O48" i="34" s="1"/>
  <c r="O48" i="30"/>
  <c r="H47" i="38"/>
  <c r="O47" i="38" s="1"/>
  <c r="H47" i="28"/>
  <c r="O47" i="28" s="1"/>
  <c r="H46" i="36"/>
  <c r="O46" i="36" s="1"/>
  <c r="G46" i="32"/>
  <c r="N46" i="32" s="1"/>
  <c r="H44" i="34"/>
  <c r="O44" i="34" s="1"/>
  <c r="O44" i="30"/>
  <c r="H43" i="38"/>
  <c r="O43" i="38" s="1"/>
  <c r="H43" i="28"/>
  <c r="O43" i="28" s="1"/>
  <c r="H42" i="36"/>
  <c r="O42" i="36" s="1"/>
  <c r="G42" i="32"/>
  <c r="N42" i="32" s="1"/>
  <c r="H40" i="34"/>
  <c r="O40" i="34" s="1"/>
  <c r="O40" i="30"/>
  <c r="H39" i="38"/>
  <c r="O39" i="38" s="1"/>
  <c r="H39" i="28"/>
  <c r="O39" i="28" s="1"/>
  <c r="H38" i="36"/>
  <c r="O38" i="36" s="1"/>
  <c r="G38" i="32"/>
  <c r="N38" i="32" s="1"/>
  <c r="H36" i="34"/>
  <c r="O36" i="34" s="1"/>
  <c r="O36" i="30"/>
  <c r="H35" i="38"/>
  <c r="O35" i="38" s="1"/>
  <c r="H35" i="28"/>
  <c r="O35" i="28" s="1"/>
  <c r="H34" i="36"/>
  <c r="O34" i="36" s="1"/>
  <c r="G34" i="32"/>
  <c r="N34" i="32" s="1"/>
  <c r="H32" i="34"/>
  <c r="O32" i="34" s="1"/>
  <c r="O32" i="30"/>
  <c r="H31" i="38"/>
  <c r="O31" i="38" s="1"/>
  <c r="H31" i="28"/>
  <c r="O31" i="28" s="1"/>
  <c r="H30" i="36"/>
  <c r="O30" i="36" s="1"/>
  <c r="G30" i="32"/>
  <c r="N30" i="32" s="1"/>
  <c r="H28" i="34"/>
  <c r="O28" i="34" s="1"/>
  <c r="O28" i="30"/>
  <c r="H27" i="38"/>
  <c r="O27" i="38" s="1"/>
  <c r="H27" i="28"/>
  <c r="O27" i="28" s="1"/>
  <c r="H26" i="36"/>
  <c r="O26" i="36" s="1"/>
  <c r="G26" i="32"/>
  <c r="N26" i="32" s="1"/>
  <c r="H24" i="34"/>
  <c r="O24" i="34" s="1"/>
  <c r="O24" i="30"/>
  <c r="H23" i="38"/>
  <c r="O23" i="38" s="1"/>
  <c r="H23" i="28"/>
  <c r="O23" i="28" s="1"/>
  <c r="H22" i="36"/>
  <c r="O22" i="36" s="1"/>
  <c r="G22" i="32"/>
  <c r="N22" i="32" s="1"/>
  <c r="H20" i="34"/>
  <c r="O20" i="34" s="1"/>
  <c r="O20" i="30"/>
  <c r="H19" i="38"/>
  <c r="O19" i="38" s="1"/>
  <c r="H19" i="28"/>
  <c r="O19" i="28" s="1"/>
  <c r="H18" i="36"/>
  <c r="O18" i="36" s="1"/>
  <c r="G18" i="32"/>
  <c r="N18" i="32" s="1"/>
  <c r="H16" i="34"/>
  <c r="O16" i="34" s="1"/>
  <c r="O16" i="30"/>
  <c r="H15" i="38"/>
  <c r="O15" i="38" s="1"/>
  <c r="H15" i="28"/>
  <c r="O15" i="28" s="1"/>
  <c r="H14" i="36"/>
  <c r="O14" i="36" s="1"/>
  <c r="G14" i="32"/>
  <c r="N14" i="32" s="1"/>
  <c r="H12" i="34"/>
  <c r="O12" i="34" s="1"/>
  <c r="O12" i="30"/>
  <c r="H11" i="38"/>
  <c r="O11" i="38" s="1"/>
  <c r="H11" i="28"/>
  <c r="O11" i="28" s="1"/>
  <c r="H10" i="36"/>
  <c r="O10" i="36" s="1"/>
  <c r="G10" i="32"/>
  <c r="N10" i="32" s="1"/>
  <c r="H8" i="34"/>
  <c r="O8" i="34" s="1"/>
  <c r="O8" i="30"/>
  <c r="H7" i="38"/>
  <c r="O7" i="38" s="1"/>
  <c r="H7" i="28"/>
  <c r="O7" i="28" s="1"/>
  <c r="H6" i="36"/>
  <c r="O6" i="36" s="1"/>
  <c r="G6" i="32"/>
  <c r="N6" i="32" s="1"/>
  <c r="H4" i="34"/>
  <c r="O4" i="34" s="1"/>
  <c r="O4" i="30"/>
  <c r="H3" i="38"/>
  <c r="O3" i="38" s="1"/>
  <c r="S3" i="38" s="1"/>
  <c r="H3" i="28"/>
  <c r="O3" i="28" s="1"/>
  <c r="S3" i="28" s="1"/>
  <c r="H2" i="36"/>
  <c r="G2" i="32"/>
  <c r="L112" i="1"/>
  <c r="M112" i="1" s="1"/>
  <c r="D112" i="60" s="1"/>
  <c r="L115" i="1"/>
  <c r="M115" i="1" s="1"/>
  <c r="D115" i="60" s="1"/>
  <c r="L120" i="1"/>
  <c r="M120" i="1" s="1"/>
  <c r="D120" i="60" s="1"/>
  <c r="L117" i="1"/>
  <c r="M117" i="1" s="1"/>
  <c r="D117" i="60" s="1"/>
  <c r="L110" i="1"/>
  <c r="L113" i="1"/>
  <c r="M113" i="1" s="1"/>
  <c r="D113" i="60" s="1"/>
  <c r="L118" i="1"/>
  <c r="M118" i="1" s="1"/>
  <c r="D118" i="60" s="1"/>
  <c r="L121" i="1"/>
  <c r="M121" i="1" s="1"/>
  <c r="D121" i="60" s="1"/>
  <c r="L111" i="1"/>
  <c r="M111" i="1" s="1"/>
  <c r="D111" i="60" s="1"/>
  <c r="L116" i="1"/>
  <c r="M116" i="1" s="1"/>
  <c r="D116" i="60" s="1"/>
  <c r="L119" i="1"/>
  <c r="M119" i="1" s="1"/>
  <c r="D119" i="60" s="1"/>
  <c r="L114" i="1"/>
  <c r="M114" i="1" s="1"/>
  <c r="D114" i="60" s="1"/>
  <c r="I111" i="1"/>
  <c r="J111" i="1" s="1"/>
  <c r="D111" i="59" s="1"/>
  <c r="I116" i="1"/>
  <c r="J116" i="1" s="1"/>
  <c r="D116" i="59" s="1"/>
  <c r="I119" i="1"/>
  <c r="J119" i="1" s="1"/>
  <c r="D119" i="59" s="1"/>
  <c r="I115" i="1"/>
  <c r="J115" i="1" s="1"/>
  <c r="D115" i="59" s="1"/>
  <c r="I110" i="1"/>
  <c r="I113" i="1"/>
  <c r="J113" i="1" s="1"/>
  <c r="D113" i="59" s="1"/>
  <c r="I121" i="1"/>
  <c r="J121" i="1" s="1"/>
  <c r="D121" i="59" s="1"/>
  <c r="I114" i="1"/>
  <c r="J114" i="1" s="1"/>
  <c r="D114" i="59" s="1"/>
  <c r="I117" i="1"/>
  <c r="J117" i="1" s="1"/>
  <c r="D117" i="59" s="1"/>
  <c r="I112" i="1"/>
  <c r="J112" i="1" s="1"/>
  <c r="D112" i="59" s="1"/>
  <c r="I120" i="1"/>
  <c r="J120" i="1" s="1"/>
  <c r="D120" i="59" s="1"/>
  <c r="I118" i="1"/>
  <c r="J118" i="1" s="1"/>
  <c r="D118" i="59" s="1"/>
  <c r="D113" i="1"/>
  <c r="E113" i="1" s="1"/>
  <c r="D117" i="1"/>
  <c r="E117" i="1" s="1"/>
  <c r="D121" i="1"/>
  <c r="E121" i="1" s="1"/>
  <c r="D111" i="1"/>
  <c r="E111" i="1" s="1"/>
  <c r="D119" i="1"/>
  <c r="E119" i="1" s="1"/>
  <c r="D112" i="1"/>
  <c r="E112" i="1" s="1"/>
  <c r="D120" i="1"/>
  <c r="E120" i="1" s="1"/>
  <c r="D110" i="1"/>
  <c r="D114" i="1"/>
  <c r="E114" i="1" s="1"/>
  <c r="D118" i="1"/>
  <c r="E118" i="1" s="1"/>
  <c r="D115" i="1"/>
  <c r="E115" i="1" s="1"/>
  <c r="D116" i="1"/>
  <c r="E116" i="1" s="1"/>
  <c r="B134" i="2"/>
  <c r="V134" i="2" s="1"/>
  <c r="B135" i="2"/>
  <c r="V135" i="2" s="1"/>
  <c r="B136" i="2"/>
  <c r="V136" i="2" s="1"/>
  <c r="B137" i="2"/>
  <c r="V137" i="2" s="1"/>
  <c r="B138" i="2"/>
  <c r="V138" i="2" s="1"/>
  <c r="B139" i="2"/>
  <c r="V139" i="2" s="1"/>
  <c r="B140" i="2"/>
  <c r="V140" i="2" s="1"/>
  <c r="B141" i="2"/>
  <c r="V141" i="2" s="1"/>
  <c r="B142" i="2"/>
  <c r="V142" i="2" s="1"/>
  <c r="B143" i="2"/>
  <c r="V143" i="2" s="1"/>
  <c r="B144" i="2"/>
  <c r="V144" i="2" s="1"/>
  <c r="B145" i="2"/>
  <c r="V145" i="2" s="1"/>
  <c r="B133" i="2"/>
  <c r="V133" i="2" s="1"/>
  <c r="B122" i="2"/>
  <c r="V122" i="2" s="1"/>
  <c r="B123" i="2"/>
  <c r="V123" i="2" s="1"/>
  <c r="B124" i="2"/>
  <c r="V124" i="2" s="1"/>
  <c r="B125" i="2"/>
  <c r="V125" i="2" s="1"/>
  <c r="B126" i="2"/>
  <c r="V126" i="2" s="1"/>
  <c r="B127" i="2"/>
  <c r="V127" i="2" s="1"/>
  <c r="B128" i="2"/>
  <c r="V128" i="2" s="1"/>
  <c r="B129" i="2"/>
  <c r="V129" i="2" s="1"/>
  <c r="B130" i="2"/>
  <c r="V130" i="2" s="1"/>
  <c r="B131" i="2"/>
  <c r="V131" i="2" s="1"/>
  <c r="B132" i="2"/>
  <c r="V132" i="2" s="1"/>
  <c r="S4" i="30" l="1"/>
  <c r="S2" i="30"/>
  <c r="W1" i="30"/>
  <c r="S246" i="4"/>
  <c r="D114" i="58"/>
  <c r="S251" i="4"/>
  <c r="D119" i="58"/>
  <c r="S245" i="4"/>
  <c r="D113" i="58"/>
  <c r="S248" i="4"/>
  <c r="D116" i="58"/>
  <c r="S243" i="4"/>
  <c r="D111" i="58"/>
  <c r="I5" i="60"/>
  <c r="P5" i="60" s="1"/>
  <c r="T5" i="60" s="1"/>
  <c r="G5" i="59"/>
  <c r="N5" i="59" s="1"/>
  <c r="S5" i="59" s="1"/>
  <c r="G5" i="58"/>
  <c r="N5" i="58" s="1"/>
  <c r="S5" i="58" s="1"/>
  <c r="S247" i="4"/>
  <c r="D115" i="58"/>
  <c r="S252" i="4"/>
  <c r="D120" i="58"/>
  <c r="S253" i="4"/>
  <c r="D121" i="58"/>
  <c r="S250" i="4"/>
  <c r="D118" i="58"/>
  <c r="S244" i="4"/>
  <c r="D112" i="58"/>
  <c r="S249" i="4"/>
  <c r="D117" i="58"/>
  <c r="T250" i="4"/>
  <c r="T246" i="4"/>
  <c r="T247" i="4"/>
  <c r="U246" i="4"/>
  <c r="U253" i="4"/>
  <c r="U249" i="4"/>
  <c r="T252" i="4"/>
  <c r="T253" i="4"/>
  <c r="T251" i="4"/>
  <c r="U251" i="4"/>
  <c r="U250" i="4"/>
  <c r="U252" i="4"/>
  <c r="T244" i="4"/>
  <c r="T245" i="4"/>
  <c r="T248" i="4"/>
  <c r="U248" i="4"/>
  <c r="U245" i="4"/>
  <c r="U247" i="4"/>
  <c r="T249" i="4"/>
  <c r="T243" i="4"/>
  <c r="U243" i="4"/>
  <c r="U244" i="4"/>
  <c r="D125" i="34"/>
  <c r="BM125" i="54"/>
  <c r="BN125" i="54" s="1"/>
  <c r="BO125" i="54"/>
  <c r="BJ31" i="54"/>
  <c r="BK31" i="54" s="1"/>
  <c r="BL31" i="54"/>
  <c r="BL81" i="54"/>
  <c r="BJ81" i="54"/>
  <c r="BK81" i="54" s="1"/>
  <c r="BJ76" i="54"/>
  <c r="BK76" i="54" s="1"/>
  <c r="BL76" i="54"/>
  <c r="BL103" i="54"/>
  <c r="BJ103" i="54"/>
  <c r="BK103" i="54" s="1"/>
  <c r="BJ57" i="54"/>
  <c r="BK57" i="54" s="1"/>
  <c r="BL57" i="54"/>
  <c r="BL51" i="54"/>
  <c r="BJ51" i="54"/>
  <c r="BK51" i="54" s="1"/>
  <c r="BJ43" i="54"/>
  <c r="BK43" i="54" s="1"/>
  <c r="BL43" i="54"/>
  <c r="BL87" i="54"/>
  <c r="BJ87" i="54"/>
  <c r="BK87" i="54" s="1"/>
  <c r="D124" i="34"/>
  <c r="BM124" i="54"/>
  <c r="BN124" i="54" s="1"/>
  <c r="BO124" i="54"/>
  <c r="D122" i="34"/>
  <c r="BM122" i="54"/>
  <c r="BN122" i="54" s="1"/>
  <c r="BO122" i="54"/>
  <c r="BL35" i="54"/>
  <c r="BJ35" i="54"/>
  <c r="BK35" i="54" s="1"/>
  <c r="BJ32" i="54"/>
  <c r="BK32" i="54" s="1"/>
  <c r="BL32" i="54"/>
  <c r="BJ27" i="54"/>
  <c r="BK27" i="54" s="1"/>
  <c r="BL27" i="54"/>
  <c r="BJ84" i="54"/>
  <c r="BK84" i="54" s="1"/>
  <c r="BL84" i="54"/>
  <c r="BJ74" i="54"/>
  <c r="BK74" i="54" s="1"/>
  <c r="BL74" i="54"/>
  <c r="BL83" i="54"/>
  <c r="BJ83" i="54"/>
  <c r="BK83" i="54" s="1"/>
  <c r="BJ98" i="54"/>
  <c r="BK98" i="54" s="1"/>
  <c r="BL98" i="54"/>
  <c r="BJ109" i="54"/>
  <c r="BK109" i="54" s="1"/>
  <c r="BL109" i="54"/>
  <c r="BL99" i="54"/>
  <c r="BJ99" i="54"/>
  <c r="BK99" i="54" s="1"/>
  <c r="BJ53" i="54"/>
  <c r="BK53" i="54" s="1"/>
  <c r="BL53" i="54"/>
  <c r="BL54" i="54"/>
  <c r="BJ54" i="54"/>
  <c r="BK54" i="54" s="1"/>
  <c r="BL50" i="54"/>
  <c r="BJ50" i="54"/>
  <c r="BK50" i="54" s="1"/>
  <c r="BL38" i="54"/>
  <c r="BJ38" i="54"/>
  <c r="BK38" i="54" s="1"/>
  <c r="BL49" i="54"/>
  <c r="BJ49" i="54"/>
  <c r="BK49" i="54" s="1"/>
  <c r="BL46" i="54"/>
  <c r="BJ46" i="54"/>
  <c r="BK46" i="54" s="1"/>
  <c r="BL94" i="54"/>
  <c r="BJ94" i="54"/>
  <c r="BK94" i="54" s="1"/>
  <c r="BL93" i="54"/>
  <c r="BJ93" i="54"/>
  <c r="BK93" i="54" s="1"/>
  <c r="BL86" i="54"/>
  <c r="BJ86" i="54"/>
  <c r="BK86" i="54" s="1"/>
  <c r="D126" i="34"/>
  <c r="BO126" i="54"/>
  <c r="BM126" i="54"/>
  <c r="BN126" i="54" s="1"/>
  <c r="BJ88" i="54"/>
  <c r="BK88" i="54" s="1"/>
  <c r="BL88" i="54"/>
  <c r="D123" i="34"/>
  <c r="BM123" i="54"/>
  <c r="BN123" i="54" s="1"/>
  <c r="BO123" i="54"/>
  <c r="BL26" i="54"/>
  <c r="BJ26" i="54"/>
  <c r="BK26" i="54" s="1"/>
  <c r="BL30" i="54"/>
  <c r="BJ30" i="54"/>
  <c r="BK30" i="54" s="1"/>
  <c r="BJ28" i="54"/>
  <c r="BK28" i="54" s="1"/>
  <c r="BL28" i="54"/>
  <c r="BL79" i="54"/>
  <c r="BJ79" i="54"/>
  <c r="BK79" i="54" s="1"/>
  <c r="BJ80" i="54"/>
  <c r="BK80" i="54" s="1"/>
  <c r="BL80" i="54"/>
  <c r="BL82" i="54"/>
  <c r="BJ82" i="54"/>
  <c r="BK82" i="54" s="1"/>
  <c r="BL101" i="54"/>
  <c r="BJ101" i="54"/>
  <c r="BK101" i="54" s="1"/>
  <c r="BJ104" i="54"/>
  <c r="BK104" i="54" s="1"/>
  <c r="BL104" i="54"/>
  <c r="BL107" i="54"/>
  <c r="BJ107" i="54"/>
  <c r="BK107" i="54" s="1"/>
  <c r="BJ58" i="54"/>
  <c r="BK58" i="54" s="1"/>
  <c r="BL58" i="54"/>
  <c r="BJ61" i="54"/>
  <c r="BK61" i="54" s="1"/>
  <c r="BL61" i="54"/>
  <c r="BL59" i="54"/>
  <c r="BJ59" i="54"/>
  <c r="BK59" i="54" s="1"/>
  <c r="BL47" i="54"/>
  <c r="BJ47" i="54"/>
  <c r="BK47" i="54" s="1"/>
  <c r="BL41" i="54"/>
  <c r="BJ41" i="54"/>
  <c r="BK41" i="54" s="1"/>
  <c r="BJ42" i="54"/>
  <c r="BK42" i="54" s="1"/>
  <c r="BL42" i="54"/>
  <c r="BL90" i="54"/>
  <c r="BJ90" i="54"/>
  <c r="BK90" i="54" s="1"/>
  <c r="BJ89" i="54"/>
  <c r="BK89" i="54" s="1"/>
  <c r="BL89" i="54"/>
  <c r="BL97" i="54"/>
  <c r="BJ97" i="54"/>
  <c r="BK97" i="54" s="1"/>
  <c r="BL37" i="54"/>
  <c r="BJ37" i="54"/>
  <c r="BK37" i="54" s="1"/>
  <c r="BL34" i="54"/>
  <c r="BJ34" i="54"/>
  <c r="BK34" i="54" s="1"/>
  <c r="BJ77" i="54"/>
  <c r="BK77" i="54" s="1"/>
  <c r="BL77" i="54"/>
  <c r="BL102" i="54"/>
  <c r="BJ102" i="54"/>
  <c r="BK102" i="54" s="1"/>
  <c r="BJ105" i="54"/>
  <c r="BK105" i="54" s="1"/>
  <c r="BL105" i="54"/>
  <c r="BL56" i="54"/>
  <c r="BJ56" i="54"/>
  <c r="BK56" i="54" s="1"/>
  <c r="BL40" i="54"/>
  <c r="BJ40" i="54"/>
  <c r="BK40" i="54" s="1"/>
  <c r="BJ48" i="54"/>
  <c r="BK48" i="54" s="1"/>
  <c r="BL48" i="54"/>
  <c r="BL96" i="54"/>
  <c r="BJ96" i="54"/>
  <c r="BK96" i="54" s="1"/>
  <c r="D127" i="34"/>
  <c r="BO127" i="54"/>
  <c r="BM127" i="54"/>
  <c r="BN127" i="54" s="1"/>
  <c r="BL33" i="54"/>
  <c r="BJ33" i="54"/>
  <c r="BK33" i="54" s="1"/>
  <c r="BL29" i="54"/>
  <c r="BJ29" i="54"/>
  <c r="BK29" i="54" s="1"/>
  <c r="BJ36" i="54"/>
  <c r="BK36" i="54" s="1"/>
  <c r="BL36" i="54"/>
  <c r="BL78" i="54"/>
  <c r="BJ78" i="54"/>
  <c r="BK78" i="54" s="1"/>
  <c r="BJ85" i="54"/>
  <c r="BK85" i="54" s="1"/>
  <c r="BL85" i="54"/>
  <c r="BL75" i="54"/>
  <c r="BJ75" i="54"/>
  <c r="BK75" i="54" s="1"/>
  <c r="BJ106" i="54"/>
  <c r="BK106" i="54" s="1"/>
  <c r="BL106" i="54"/>
  <c r="BL100" i="54"/>
  <c r="BJ100" i="54"/>
  <c r="BK100" i="54" s="1"/>
  <c r="BL108" i="54"/>
  <c r="BJ108" i="54"/>
  <c r="BK108" i="54" s="1"/>
  <c r="BL55" i="54"/>
  <c r="BJ55" i="54"/>
  <c r="BK55" i="54" s="1"/>
  <c r="BL52" i="54"/>
  <c r="BJ52" i="54"/>
  <c r="BK52" i="54" s="1"/>
  <c r="BL60" i="54"/>
  <c r="BJ60" i="54"/>
  <c r="BK60" i="54" s="1"/>
  <c r="BJ45" i="54"/>
  <c r="BK45" i="54" s="1"/>
  <c r="BL45" i="54"/>
  <c r="BL39" i="54"/>
  <c r="BJ39" i="54"/>
  <c r="BK39" i="54" s="1"/>
  <c r="BJ44" i="54"/>
  <c r="BK44" i="54" s="1"/>
  <c r="BL44" i="54"/>
  <c r="BL92" i="54"/>
  <c r="BJ92" i="54"/>
  <c r="BK92" i="54" s="1"/>
  <c r="BL95" i="54"/>
  <c r="BJ95" i="54"/>
  <c r="BK95" i="54" s="1"/>
  <c r="BL91" i="54"/>
  <c r="BJ91" i="54"/>
  <c r="BK91" i="54" s="1"/>
  <c r="N2" i="32"/>
  <c r="S2" i="32" s="1"/>
  <c r="N3" i="32"/>
  <c r="S3" i="32" s="1"/>
  <c r="O2" i="36"/>
  <c r="T2" i="36" s="1"/>
  <c r="O3" i="36"/>
  <c r="T3" i="36" s="1"/>
  <c r="T4" i="36"/>
  <c r="BP65" i="54"/>
  <c r="BS65" i="54"/>
  <c r="BT65" i="54"/>
  <c r="BT64" i="54"/>
  <c r="BP64" i="54"/>
  <c r="BS64" i="54"/>
  <c r="BT63" i="54"/>
  <c r="BS63" i="54"/>
  <c r="BP63" i="54"/>
  <c r="BP49" i="54"/>
  <c r="BT49" i="54"/>
  <c r="BS49" i="54"/>
  <c r="BT38" i="54"/>
  <c r="BP38" i="54"/>
  <c r="BS38" i="54"/>
  <c r="BT42" i="54"/>
  <c r="BP42" i="54"/>
  <c r="BS42" i="54"/>
  <c r="BT92" i="54"/>
  <c r="BS92" i="54"/>
  <c r="BP92" i="54"/>
  <c r="BP93" i="54"/>
  <c r="BS93" i="54"/>
  <c r="BT93" i="54"/>
  <c r="BS86" i="54"/>
  <c r="BT86" i="54"/>
  <c r="BP86" i="54"/>
  <c r="BM100" i="54"/>
  <c r="BN100" i="54" s="1"/>
  <c r="BO100" i="54"/>
  <c r="BO103" i="54"/>
  <c r="BM103" i="54"/>
  <c r="BN103" i="54" s="1"/>
  <c r="BM107" i="54"/>
  <c r="BN107" i="54" s="1"/>
  <c r="BO107" i="54"/>
  <c r="BO113" i="54"/>
  <c r="BM113" i="54"/>
  <c r="BN113" i="54" s="1"/>
  <c r="BM110" i="54"/>
  <c r="BN110" i="54" s="1"/>
  <c r="BO110" i="54"/>
  <c r="BM118" i="54"/>
  <c r="BN118" i="54" s="1"/>
  <c r="BO118" i="54"/>
  <c r="BT18" i="54"/>
  <c r="BP18" i="54"/>
  <c r="BS18" i="54"/>
  <c r="BS15" i="54"/>
  <c r="BT15" i="54"/>
  <c r="BP15" i="54"/>
  <c r="BP24" i="54"/>
  <c r="BS24" i="54"/>
  <c r="BT24" i="54"/>
  <c r="BP109" i="54"/>
  <c r="BS109" i="54"/>
  <c r="BT109" i="54"/>
  <c r="BT100" i="54"/>
  <c r="BP100" i="54"/>
  <c r="BS100" i="54"/>
  <c r="BT99" i="54"/>
  <c r="BP99" i="54"/>
  <c r="BS99" i="54"/>
  <c r="BT118" i="54"/>
  <c r="BP118" i="54"/>
  <c r="BS118" i="54"/>
  <c r="BT115" i="54"/>
  <c r="BP115" i="54"/>
  <c r="BS115" i="54"/>
  <c r="BS111" i="54"/>
  <c r="BT111" i="54"/>
  <c r="BP111" i="54"/>
  <c r="BM25" i="54"/>
  <c r="BN25" i="54" s="1"/>
  <c r="BO25" i="54"/>
  <c r="BO18" i="54"/>
  <c r="BM18" i="54"/>
  <c r="BN18" i="54" s="1"/>
  <c r="BO15" i="54"/>
  <c r="BM15" i="54"/>
  <c r="BN15" i="54" s="1"/>
  <c r="BO96" i="54"/>
  <c r="BM96" i="54"/>
  <c r="BN96" i="54" s="1"/>
  <c r="BM89" i="54"/>
  <c r="BN89" i="54" s="1"/>
  <c r="BO89" i="54"/>
  <c r="BO91" i="54"/>
  <c r="BM91" i="54"/>
  <c r="BN91" i="54" s="1"/>
  <c r="BO28" i="54"/>
  <c r="BM28" i="54"/>
  <c r="BN28" i="54" s="1"/>
  <c r="BM33" i="54"/>
  <c r="BN33" i="54" s="1"/>
  <c r="BO33" i="54"/>
  <c r="BO34" i="54"/>
  <c r="BM34" i="54"/>
  <c r="BN34" i="54" s="1"/>
  <c r="BO65" i="54"/>
  <c r="BM65" i="54"/>
  <c r="BN65" i="54" s="1"/>
  <c r="BM72" i="54"/>
  <c r="BN72" i="54" s="1"/>
  <c r="BO72" i="54"/>
  <c r="BO67" i="54"/>
  <c r="BM67" i="54"/>
  <c r="BN67" i="54" s="1"/>
  <c r="BO84" i="54"/>
  <c r="BM84" i="54"/>
  <c r="BN84" i="54" s="1"/>
  <c r="BM76" i="54"/>
  <c r="BN76" i="54" s="1"/>
  <c r="BO76" i="54"/>
  <c r="BM81" i="54"/>
  <c r="BN81" i="54" s="1"/>
  <c r="BO81" i="54"/>
  <c r="BS84" i="54"/>
  <c r="BT84" i="54"/>
  <c r="BP84" i="54"/>
  <c r="BS80" i="54"/>
  <c r="BT80" i="54"/>
  <c r="BP80" i="54"/>
  <c r="BP82" i="54"/>
  <c r="BS82" i="54"/>
  <c r="BT82" i="54"/>
  <c r="BO57" i="54"/>
  <c r="BM57" i="54"/>
  <c r="BN57" i="54" s="1"/>
  <c r="BO53" i="54"/>
  <c r="BM53" i="54"/>
  <c r="BN53" i="54" s="1"/>
  <c r="BM58" i="54"/>
  <c r="BN58" i="54" s="1"/>
  <c r="BO58" i="54"/>
  <c r="BP35" i="54"/>
  <c r="BS35" i="54"/>
  <c r="BT35" i="54"/>
  <c r="BS29" i="54"/>
  <c r="BT29" i="54"/>
  <c r="BP29" i="54"/>
  <c r="BT32" i="54"/>
  <c r="BP32" i="54"/>
  <c r="BS32" i="54"/>
  <c r="BM49" i="54"/>
  <c r="BN49" i="54" s="1"/>
  <c r="BO49" i="54"/>
  <c r="BM43" i="54"/>
  <c r="BN43" i="54" s="1"/>
  <c r="BO43" i="54"/>
  <c r="BO42" i="54"/>
  <c r="BM42" i="54"/>
  <c r="BN42" i="54" s="1"/>
  <c r="BP57" i="54"/>
  <c r="BS57" i="54"/>
  <c r="BT57" i="54"/>
  <c r="BP53" i="54"/>
  <c r="BT53" i="54"/>
  <c r="BS53" i="54"/>
  <c r="BT59" i="54"/>
  <c r="BS59" i="54"/>
  <c r="BP59" i="54"/>
  <c r="BS62" i="54"/>
  <c r="BT62" i="54"/>
  <c r="BP62" i="54"/>
  <c r="BT71" i="54"/>
  <c r="BP71" i="54"/>
  <c r="BS71" i="54"/>
  <c r="BP68" i="54"/>
  <c r="BS68" i="54"/>
  <c r="BT68" i="54"/>
  <c r="BS43" i="54"/>
  <c r="BT43" i="54"/>
  <c r="BP43" i="54"/>
  <c r="BS46" i="54"/>
  <c r="BT46" i="54"/>
  <c r="BP46" i="54"/>
  <c r="BP44" i="54"/>
  <c r="BS44" i="54"/>
  <c r="BT44" i="54"/>
  <c r="BT96" i="54"/>
  <c r="BP96" i="54"/>
  <c r="BS96" i="54"/>
  <c r="BT87" i="54"/>
  <c r="BP87" i="54"/>
  <c r="BS87" i="54"/>
  <c r="BT91" i="54"/>
  <c r="BP91" i="54"/>
  <c r="BS91" i="54"/>
  <c r="BM102" i="54"/>
  <c r="BN102" i="54" s="1"/>
  <c r="BO102" i="54"/>
  <c r="BO105" i="54"/>
  <c r="BM105" i="54"/>
  <c r="BN105" i="54" s="1"/>
  <c r="BO101" i="54"/>
  <c r="BM101" i="54"/>
  <c r="BN101" i="54" s="1"/>
  <c r="BO120" i="54"/>
  <c r="BM120" i="54"/>
  <c r="BN120" i="54" s="1"/>
  <c r="BM111" i="54"/>
  <c r="BN111" i="54" s="1"/>
  <c r="BO111" i="54"/>
  <c r="BM119" i="54"/>
  <c r="BN119" i="54" s="1"/>
  <c r="BO119" i="54"/>
  <c r="BT20" i="54"/>
  <c r="BP20" i="54"/>
  <c r="BS20" i="54"/>
  <c r="BS23" i="54"/>
  <c r="BP23" i="54"/>
  <c r="BT23" i="54"/>
  <c r="BT21" i="54"/>
  <c r="BP21" i="54"/>
  <c r="BS21" i="54"/>
  <c r="BT102" i="54"/>
  <c r="BP102" i="54"/>
  <c r="BS102" i="54"/>
  <c r="BS105" i="54"/>
  <c r="BP105" i="54"/>
  <c r="BT105" i="54"/>
  <c r="BT107" i="54"/>
  <c r="BP107" i="54"/>
  <c r="BS107" i="54"/>
  <c r="BS117" i="54"/>
  <c r="BT117" i="54"/>
  <c r="BP117" i="54"/>
  <c r="BS119" i="54"/>
  <c r="BT119" i="54"/>
  <c r="BP119" i="54"/>
  <c r="BT112" i="54"/>
  <c r="BP112" i="54"/>
  <c r="BS112" i="54"/>
  <c r="BO14" i="54"/>
  <c r="BM14" i="54"/>
  <c r="BN14" i="54" s="1"/>
  <c r="BM17" i="54"/>
  <c r="BN17" i="54" s="1"/>
  <c r="BO17" i="54"/>
  <c r="BO23" i="54"/>
  <c r="BM23" i="54"/>
  <c r="BN23" i="54" s="1"/>
  <c r="BM94" i="54"/>
  <c r="BN94" i="54" s="1"/>
  <c r="BO94" i="54"/>
  <c r="BO90" i="54"/>
  <c r="BM90" i="54"/>
  <c r="BN90" i="54" s="1"/>
  <c r="BM93" i="54"/>
  <c r="BN93" i="54" s="1"/>
  <c r="BO93" i="54"/>
  <c r="BM29" i="54"/>
  <c r="BN29" i="54" s="1"/>
  <c r="BO29" i="54"/>
  <c r="BM37" i="54"/>
  <c r="BN37" i="54" s="1"/>
  <c r="BO37" i="54"/>
  <c r="BO27" i="54"/>
  <c r="BM27" i="54"/>
  <c r="BN27" i="54" s="1"/>
  <c r="BO68" i="54"/>
  <c r="BM68" i="54"/>
  <c r="BN68" i="54" s="1"/>
  <c r="BO69" i="54"/>
  <c r="BM69" i="54"/>
  <c r="BN69" i="54" s="1"/>
  <c r="BM63" i="54"/>
  <c r="BN63" i="54" s="1"/>
  <c r="BO63" i="54"/>
  <c r="BO83" i="54"/>
  <c r="BM83" i="54"/>
  <c r="BN83" i="54" s="1"/>
  <c r="BM78" i="54"/>
  <c r="BN78" i="54" s="1"/>
  <c r="BO78" i="54"/>
  <c r="BM75" i="54"/>
  <c r="BN75" i="54" s="1"/>
  <c r="BO75" i="54"/>
  <c r="BS81" i="54"/>
  <c r="BT81" i="54"/>
  <c r="BP81" i="54"/>
  <c r="BP77" i="54"/>
  <c r="BS77" i="54"/>
  <c r="BT77" i="54"/>
  <c r="BT78" i="54"/>
  <c r="BP78" i="54"/>
  <c r="BS78" i="54"/>
  <c r="BM56" i="54"/>
  <c r="BN56" i="54" s="1"/>
  <c r="BO56" i="54"/>
  <c r="BO51" i="54"/>
  <c r="BM51" i="54"/>
  <c r="BN51" i="54" s="1"/>
  <c r="BM50" i="54"/>
  <c r="BN50" i="54" s="1"/>
  <c r="BO50" i="54"/>
  <c r="BP33" i="54"/>
  <c r="BS33" i="54"/>
  <c r="BT33" i="54"/>
  <c r="BT31" i="54"/>
  <c r="BP31" i="54"/>
  <c r="BS31" i="54"/>
  <c r="BP34" i="54"/>
  <c r="BS34" i="54"/>
  <c r="BT34" i="54"/>
  <c r="BM41" i="54"/>
  <c r="BN41" i="54" s="1"/>
  <c r="BO41" i="54"/>
  <c r="BO47" i="54"/>
  <c r="BM47" i="54"/>
  <c r="BN47" i="54" s="1"/>
  <c r="BM44" i="54"/>
  <c r="BN44" i="54" s="1"/>
  <c r="BO44" i="54"/>
  <c r="BS61" i="54"/>
  <c r="BT61" i="54"/>
  <c r="BP61" i="54"/>
  <c r="BT55" i="54"/>
  <c r="BP55" i="54"/>
  <c r="BS55" i="54"/>
  <c r="BT60" i="54"/>
  <c r="BP60" i="54"/>
  <c r="BS60" i="54"/>
  <c r="BS73" i="54"/>
  <c r="BT73" i="54"/>
  <c r="BP73" i="54"/>
  <c r="BT69" i="54"/>
  <c r="BP69" i="54"/>
  <c r="BS69" i="54"/>
  <c r="BT67" i="54"/>
  <c r="BS67" i="54"/>
  <c r="BP67" i="54"/>
  <c r="BS45" i="54"/>
  <c r="BT45" i="54"/>
  <c r="BP45" i="54"/>
  <c r="BS47" i="54"/>
  <c r="BT47" i="54"/>
  <c r="BP47" i="54"/>
  <c r="BS40" i="54"/>
  <c r="BT40" i="54"/>
  <c r="BP40" i="54"/>
  <c r="BS88" i="54"/>
  <c r="BP88" i="54"/>
  <c r="BT88" i="54"/>
  <c r="BT90" i="54"/>
  <c r="BS90" i="54"/>
  <c r="BP90" i="54"/>
  <c r="BT95" i="54"/>
  <c r="BP95" i="54"/>
  <c r="BS95" i="54"/>
  <c r="BO98" i="54"/>
  <c r="BM98" i="54"/>
  <c r="BN98" i="54" s="1"/>
  <c r="BM104" i="54"/>
  <c r="BN104" i="54" s="1"/>
  <c r="BO104" i="54"/>
  <c r="BM106" i="54"/>
  <c r="BN106" i="54" s="1"/>
  <c r="BO106" i="54"/>
  <c r="BO117" i="54"/>
  <c r="BM117" i="54"/>
  <c r="BN117" i="54" s="1"/>
  <c r="BO116" i="54"/>
  <c r="BM116" i="54"/>
  <c r="BN116" i="54" s="1"/>
  <c r="BM114" i="54"/>
  <c r="BN114" i="54" s="1"/>
  <c r="BO114" i="54"/>
  <c r="BT14" i="54"/>
  <c r="BP14" i="54"/>
  <c r="BS14" i="54"/>
  <c r="BP22" i="54"/>
  <c r="BS22" i="54"/>
  <c r="BT22" i="54"/>
  <c r="BT17" i="54"/>
  <c r="BP17" i="54"/>
  <c r="BS17" i="54"/>
  <c r="BS106" i="54"/>
  <c r="BP106" i="54"/>
  <c r="BT106" i="54"/>
  <c r="BT104" i="54"/>
  <c r="BS104" i="54"/>
  <c r="BP104" i="54"/>
  <c r="BP101" i="54"/>
  <c r="BS101" i="54"/>
  <c r="BT101" i="54"/>
  <c r="BS121" i="54"/>
  <c r="BP121" i="54"/>
  <c r="BT121" i="54"/>
  <c r="BS110" i="54"/>
  <c r="BT110" i="54"/>
  <c r="BP110" i="54"/>
  <c r="BT120" i="54"/>
  <c r="BP120" i="54"/>
  <c r="BS120" i="54"/>
  <c r="BM16" i="54"/>
  <c r="BN16" i="54" s="1"/>
  <c r="BO16" i="54"/>
  <c r="BM24" i="54"/>
  <c r="BN24" i="54" s="1"/>
  <c r="BO24" i="54"/>
  <c r="BM19" i="54"/>
  <c r="BN19" i="54" s="1"/>
  <c r="BO19" i="54"/>
  <c r="BM92" i="54"/>
  <c r="BN92" i="54" s="1"/>
  <c r="BO92" i="54"/>
  <c r="BO87" i="54"/>
  <c r="BM87" i="54"/>
  <c r="BN87" i="54" s="1"/>
  <c r="BO97" i="54"/>
  <c r="BM97" i="54"/>
  <c r="BN97" i="54" s="1"/>
  <c r="BO31" i="54"/>
  <c r="BM31" i="54"/>
  <c r="BN31" i="54" s="1"/>
  <c r="BO35" i="54"/>
  <c r="BM35" i="54"/>
  <c r="BN35" i="54" s="1"/>
  <c r="BM36" i="54"/>
  <c r="BN36" i="54" s="1"/>
  <c r="BO36" i="54"/>
  <c r="BO64" i="54"/>
  <c r="BM64" i="54"/>
  <c r="BN64" i="54" s="1"/>
  <c r="BM62" i="54"/>
  <c r="BN62" i="54" s="1"/>
  <c r="BO62" i="54"/>
  <c r="BM70" i="54"/>
  <c r="BN70" i="54" s="1"/>
  <c r="BO70" i="54"/>
  <c r="BO79" i="54"/>
  <c r="BM79" i="54"/>
  <c r="BN79" i="54" s="1"/>
  <c r="BM74" i="54"/>
  <c r="BN74" i="54" s="1"/>
  <c r="BO74" i="54"/>
  <c r="BM77" i="54"/>
  <c r="BN77" i="54" s="1"/>
  <c r="BO77" i="54"/>
  <c r="BP76" i="54"/>
  <c r="BT76" i="54"/>
  <c r="BS76" i="54"/>
  <c r="BT85" i="54"/>
  <c r="BP85" i="54"/>
  <c r="BS85" i="54"/>
  <c r="BS83" i="54"/>
  <c r="BT83" i="54"/>
  <c r="BP83" i="54"/>
  <c r="BO52" i="54"/>
  <c r="BM52" i="54"/>
  <c r="BN52" i="54" s="1"/>
  <c r="BO61" i="54"/>
  <c r="BM61" i="54"/>
  <c r="BN61" i="54" s="1"/>
  <c r="BO54" i="54"/>
  <c r="BM54" i="54"/>
  <c r="BN54" i="54" s="1"/>
  <c r="BT37" i="54"/>
  <c r="BP37" i="54"/>
  <c r="BS37" i="54"/>
  <c r="BT26" i="54"/>
  <c r="BP26" i="54"/>
  <c r="BS26" i="54"/>
  <c r="BT28" i="54"/>
  <c r="BP28" i="54"/>
  <c r="BS28" i="54"/>
  <c r="BM39" i="54"/>
  <c r="BN39" i="54" s="1"/>
  <c r="BO39" i="54"/>
  <c r="BO40" i="54"/>
  <c r="BM40" i="54"/>
  <c r="BN40" i="54" s="1"/>
  <c r="BO38" i="54"/>
  <c r="BM38" i="54"/>
  <c r="BN38" i="54" s="1"/>
  <c r="BT58" i="54"/>
  <c r="BP58" i="54"/>
  <c r="BS58" i="54"/>
  <c r="BP52" i="54"/>
  <c r="BT52" i="54"/>
  <c r="BS52" i="54"/>
  <c r="BS56" i="54"/>
  <c r="BT56" i="54"/>
  <c r="BP56" i="54"/>
  <c r="BP66" i="54"/>
  <c r="BS66" i="54"/>
  <c r="BT66" i="54"/>
  <c r="BT70" i="54"/>
  <c r="BP70" i="54"/>
  <c r="BS70" i="54"/>
  <c r="BS72" i="54"/>
  <c r="BT72" i="54"/>
  <c r="BP72" i="54"/>
  <c r="BS39" i="54"/>
  <c r="BT39" i="54"/>
  <c r="BP39" i="54"/>
  <c r="BT41" i="54"/>
  <c r="BP41" i="54"/>
  <c r="BS41" i="54"/>
  <c r="BS48" i="54"/>
  <c r="BP48" i="54"/>
  <c r="BT48" i="54"/>
  <c r="BT94" i="54"/>
  <c r="BP94" i="54"/>
  <c r="BS94" i="54"/>
  <c r="BS89" i="54"/>
  <c r="BT89" i="54"/>
  <c r="BP89" i="54"/>
  <c r="BT97" i="54"/>
  <c r="BP97" i="54"/>
  <c r="BS97" i="54"/>
  <c r="BO109" i="54"/>
  <c r="BM109" i="54"/>
  <c r="BN109" i="54" s="1"/>
  <c r="BO108" i="54"/>
  <c r="BM108" i="54"/>
  <c r="BN108" i="54" s="1"/>
  <c r="BM99" i="54"/>
  <c r="BN99" i="54" s="1"/>
  <c r="BO99" i="54"/>
  <c r="BO121" i="54"/>
  <c r="BM121" i="54"/>
  <c r="BN121" i="54" s="1"/>
  <c r="BO112" i="54"/>
  <c r="BM112" i="54"/>
  <c r="BN112" i="54" s="1"/>
  <c r="BO115" i="54"/>
  <c r="BM115" i="54"/>
  <c r="BN115" i="54" s="1"/>
  <c r="BT25" i="54"/>
  <c r="BP25" i="54"/>
  <c r="BS25" i="54"/>
  <c r="BT16" i="54"/>
  <c r="BP16" i="54"/>
  <c r="BS16" i="54"/>
  <c r="BP19" i="54"/>
  <c r="BS19" i="54"/>
  <c r="BT19" i="54"/>
  <c r="BP98" i="54"/>
  <c r="BS98" i="54"/>
  <c r="BT98" i="54"/>
  <c r="BT103" i="54"/>
  <c r="BP103" i="54"/>
  <c r="BS103" i="54"/>
  <c r="BT108" i="54"/>
  <c r="BP108" i="54"/>
  <c r="BS108" i="54"/>
  <c r="BT113" i="54"/>
  <c r="BP113" i="54"/>
  <c r="BS113" i="54"/>
  <c r="BS114" i="54"/>
  <c r="BT114" i="54"/>
  <c r="BP114" i="54"/>
  <c r="BT116" i="54"/>
  <c r="BP116" i="54"/>
  <c r="BS116" i="54"/>
  <c r="BM20" i="54"/>
  <c r="BN20" i="54" s="1"/>
  <c r="BO20" i="54"/>
  <c r="BM22" i="54"/>
  <c r="BN22" i="54" s="1"/>
  <c r="BO22" i="54"/>
  <c r="BM21" i="54"/>
  <c r="BN21" i="54" s="1"/>
  <c r="BO21" i="54"/>
  <c r="BO88" i="54"/>
  <c r="BM88" i="54"/>
  <c r="BN88" i="54" s="1"/>
  <c r="BM95" i="54"/>
  <c r="BN95" i="54" s="1"/>
  <c r="BO95" i="54"/>
  <c r="BM86" i="54"/>
  <c r="BN86" i="54" s="1"/>
  <c r="BO86" i="54"/>
  <c r="BO26" i="54"/>
  <c r="BM26" i="54"/>
  <c r="BN26" i="54" s="1"/>
  <c r="BM32" i="54"/>
  <c r="BN32" i="54" s="1"/>
  <c r="BO32" i="54"/>
  <c r="BO30" i="54"/>
  <c r="BM30" i="54"/>
  <c r="BN30" i="54" s="1"/>
  <c r="BO73" i="54"/>
  <c r="BM73" i="54"/>
  <c r="BN73" i="54" s="1"/>
  <c r="BM71" i="54"/>
  <c r="BN71" i="54" s="1"/>
  <c r="BO71" i="54"/>
  <c r="BM66" i="54"/>
  <c r="BN66" i="54" s="1"/>
  <c r="BO66" i="54"/>
  <c r="BM80" i="54"/>
  <c r="BN80" i="54" s="1"/>
  <c r="BO80" i="54"/>
  <c r="BM85" i="54"/>
  <c r="BN85" i="54" s="1"/>
  <c r="BO85" i="54"/>
  <c r="BO82" i="54"/>
  <c r="BM82" i="54"/>
  <c r="BN82" i="54" s="1"/>
  <c r="BT74" i="54"/>
  <c r="BP74" i="54"/>
  <c r="BS74" i="54"/>
  <c r="BS75" i="54"/>
  <c r="BP75" i="54"/>
  <c r="BT75" i="54"/>
  <c r="BT79" i="54"/>
  <c r="BP79" i="54"/>
  <c r="BS79" i="54"/>
  <c r="BO60" i="54"/>
  <c r="BM60" i="54"/>
  <c r="BN60" i="54" s="1"/>
  <c r="BM55" i="54"/>
  <c r="BN55" i="54" s="1"/>
  <c r="BO55" i="54"/>
  <c r="BO59" i="54"/>
  <c r="BM59" i="54"/>
  <c r="BN59" i="54" s="1"/>
  <c r="BP27" i="54"/>
  <c r="BS27" i="54"/>
  <c r="BT27" i="54"/>
  <c r="BS30" i="54"/>
  <c r="BT30" i="54"/>
  <c r="BP30" i="54"/>
  <c r="BS36" i="54"/>
  <c r="BT36" i="54"/>
  <c r="BP36" i="54"/>
  <c r="BO45" i="54"/>
  <c r="BM45" i="54"/>
  <c r="BN45" i="54" s="1"/>
  <c r="BO48" i="54"/>
  <c r="BM48" i="54"/>
  <c r="BN48" i="54" s="1"/>
  <c r="BO46" i="54"/>
  <c r="BM46" i="54"/>
  <c r="BN46" i="54" s="1"/>
  <c r="BS51" i="54"/>
  <c r="BP51" i="54"/>
  <c r="BT51" i="54"/>
  <c r="BP54" i="54"/>
  <c r="BS54" i="54"/>
  <c r="BT54" i="54"/>
  <c r="BT50" i="54"/>
  <c r="BP50" i="54"/>
  <c r="BS50" i="54"/>
  <c r="S4" i="32"/>
  <c r="S4" i="38"/>
  <c r="BL118" i="1"/>
  <c r="BL112" i="1"/>
  <c r="BL117" i="1"/>
  <c r="BL119" i="1"/>
  <c r="BL113" i="1"/>
  <c r="BL116" i="1"/>
  <c r="BL111" i="1"/>
  <c r="BL114" i="1"/>
  <c r="BL115" i="1"/>
  <c r="BL120" i="1"/>
  <c r="BL121" i="1"/>
  <c r="S4" i="34"/>
  <c r="S4" i="28"/>
  <c r="BG6" i="1"/>
  <c r="G5" i="38"/>
  <c r="N5" i="38" s="1"/>
  <c r="S5" i="38" s="1"/>
  <c r="I5" i="36"/>
  <c r="G5" i="34"/>
  <c r="N5" i="34" s="1"/>
  <c r="S5" i="34" s="1"/>
  <c r="G5" i="30"/>
  <c r="N5" i="30" s="1"/>
  <c r="S5" i="30" s="1"/>
  <c r="H5" i="32"/>
  <c r="G5" i="28"/>
  <c r="N5" i="28" s="1"/>
  <c r="S5" i="28" s="1"/>
  <c r="BM118" i="1"/>
  <c r="BN118" i="1" s="1"/>
  <c r="D118" i="34"/>
  <c r="D118" i="30"/>
  <c r="BO118" i="1"/>
  <c r="BM114" i="1"/>
  <c r="BN114" i="1" s="1"/>
  <c r="D114" i="34"/>
  <c r="D114" i="30"/>
  <c r="BO114" i="1"/>
  <c r="BM115" i="1"/>
  <c r="BN115" i="1" s="1"/>
  <c r="D115" i="34"/>
  <c r="D115" i="30"/>
  <c r="BO115" i="1"/>
  <c r="BP114" i="1"/>
  <c r="BQ114" i="1" s="1"/>
  <c r="E114" i="60" s="1"/>
  <c r="D114" i="36"/>
  <c r="D114" i="32"/>
  <c r="BS114" i="1"/>
  <c r="BT114" i="1"/>
  <c r="BP121" i="1"/>
  <c r="BR121" i="1" s="1"/>
  <c r="D121" i="36"/>
  <c r="BS121" i="1"/>
  <c r="D121" i="32"/>
  <c r="BT121" i="1"/>
  <c r="BP117" i="1"/>
  <c r="BQ117" i="1" s="1"/>
  <c r="E117" i="60" s="1"/>
  <c r="D117" i="36"/>
  <c r="BS117" i="1"/>
  <c r="D117" i="32"/>
  <c r="BT117" i="1"/>
  <c r="BM120" i="1"/>
  <c r="BN120" i="1" s="1"/>
  <c r="D120" i="34"/>
  <c r="BO120" i="1"/>
  <c r="D120" i="30"/>
  <c r="BM121" i="1"/>
  <c r="BN121" i="1" s="1"/>
  <c r="D121" i="34"/>
  <c r="D121" i="30"/>
  <c r="BO121" i="1"/>
  <c r="BM119" i="1"/>
  <c r="BN119" i="1" s="1"/>
  <c r="D119" i="34"/>
  <c r="D119" i="30"/>
  <c r="BO119" i="1"/>
  <c r="BP119" i="1"/>
  <c r="BQ119" i="1" s="1"/>
  <c r="E119" i="60" s="1"/>
  <c r="D119" i="36"/>
  <c r="BS119" i="1"/>
  <c r="D119" i="32"/>
  <c r="BT119" i="1"/>
  <c r="BP118" i="1"/>
  <c r="BR118" i="1" s="1"/>
  <c r="D118" i="36"/>
  <c r="D118" i="32"/>
  <c r="BS118" i="1"/>
  <c r="BT118" i="1"/>
  <c r="BP120" i="1"/>
  <c r="BR120" i="1" s="1"/>
  <c r="D120" i="36"/>
  <c r="D120" i="32"/>
  <c r="BS120" i="1"/>
  <c r="BT120" i="1"/>
  <c r="BM112" i="1"/>
  <c r="BN112" i="1" s="1"/>
  <c r="D112" i="34"/>
  <c r="D112" i="30"/>
  <c r="BO112" i="1"/>
  <c r="BM113" i="1"/>
  <c r="BN113" i="1" s="1"/>
  <c r="D113" i="34"/>
  <c r="D113" i="30"/>
  <c r="BO113" i="1"/>
  <c r="BM116" i="1"/>
  <c r="BN116" i="1" s="1"/>
  <c r="D116" i="34"/>
  <c r="BO116" i="1"/>
  <c r="D116" i="30"/>
  <c r="BP116" i="1"/>
  <c r="BQ116" i="1" s="1"/>
  <c r="E116" i="60" s="1"/>
  <c r="D116" i="36"/>
  <c r="D116" i="32"/>
  <c r="BS116" i="1"/>
  <c r="BT116" i="1"/>
  <c r="BP113" i="1"/>
  <c r="BQ113" i="1" s="1"/>
  <c r="E113" i="60" s="1"/>
  <c r="D113" i="36"/>
  <c r="BS113" i="1"/>
  <c r="D113" i="32"/>
  <c r="BT113" i="1"/>
  <c r="BP115" i="1"/>
  <c r="BQ115" i="1" s="1"/>
  <c r="E115" i="60" s="1"/>
  <c r="D115" i="36"/>
  <c r="BS115" i="1"/>
  <c r="D115" i="32"/>
  <c r="BT115" i="1"/>
  <c r="BM117" i="1"/>
  <c r="BN117" i="1" s="1"/>
  <c r="D117" i="34"/>
  <c r="D117" i="30"/>
  <c r="BO117" i="1"/>
  <c r="BM111" i="1"/>
  <c r="BN111" i="1" s="1"/>
  <c r="D111" i="34"/>
  <c r="D111" i="30"/>
  <c r="BO111" i="1"/>
  <c r="BP111" i="1"/>
  <c r="BR111" i="1" s="1"/>
  <c r="D111" i="36"/>
  <c r="BS111" i="1"/>
  <c r="D111" i="32"/>
  <c r="BT111" i="1"/>
  <c r="BP112" i="1"/>
  <c r="BR112" i="1" s="1"/>
  <c r="D112" i="36"/>
  <c r="D112" i="32"/>
  <c r="BS112" i="1"/>
  <c r="BT112" i="1"/>
  <c r="D116" i="38"/>
  <c r="D115" i="38"/>
  <c r="D118" i="38"/>
  <c r="D114" i="38"/>
  <c r="D120" i="38"/>
  <c r="D112" i="38"/>
  <c r="D119" i="38"/>
  <c r="D111" i="38"/>
  <c r="D121" i="38"/>
  <c r="D117" i="38"/>
  <c r="D113" i="38"/>
  <c r="D116" i="28"/>
  <c r="BJ116" i="1"/>
  <c r="BK116" i="1" s="1"/>
  <c r="D111" i="28"/>
  <c r="BJ111" i="1"/>
  <c r="BK111" i="1" s="1"/>
  <c r="BJ115" i="1"/>
  <c r="BK115" i="1" s="1"/>
  <c r="D115" i="28"/>
  <c r="D120" i="28"/>
  <c r="BJ120" i="1"/>
  <c r="BK120" i="1" s="1"/>
  <c r="D121" i="28"/>
  <c r="BJ121" i="1"/>
  <c r="BK121" i="1" s="1"/>
  <c r="D118" i="28"/>
  <c r="BJ118" i="1"/>
  <c r="BK118" i="1" s="1"/>
  <c r="D112" i="28"/>
  <c r="BJ112" i="1"/>
  <c r="BK112" i="1" s="1"/>
  <c r="D117" i="28"/>
  <c r="BJ117" i="1"/>
  <c r="BK117" i="1" s="1"/>
  <c r="BR116" i="1"/>
  <c r="BJ114" i="1"/>
  <c r="BK114" i="1" s="1"/>
  <c r="D114" i="28"/>
  <c r="D119" i="28"/>
  <c r="BJ119" i="1"/>
  <c r="BK119" i="1" s="1"/>
  <c r="D113" i="28"/>
  <c r="BJ113" i="1"/>
  <c r="BK113" i="1" s="1"/>
  <c r="E110" i="1"/>
  <c r="J110" i="1"/>
  <c r="D110" i="59" s="1"/>
  <c r="M110" i="1"/>
  <c r="D110" i="60" s="1"/>
  <c r="B3" i="2"/>
  <c r="V3" i="2" s="1"/>
  <c r="B4" i="2"/>
  <c r="V4" i="2" s="1"/>
  <c r="B5" i="2"/>
  <c r="V5" i="2" s="1"/>
  <c r="B6" i="2"/>
  <c r="V6" i="2" s="1"/>
  <c r="B7" i="2"/>
  <c r="V7" i="2" s="1"/>
  <c r="B8" i="2"/>
  <c r="V8" i="2" s="1"/>
  <c r="B9" i="2"/>
  <c r="V9" i="2" s="1"/>
  <c r="B10" i="2"/>
  <c r="V10" i="2" s="1"/>
  <c r="B11" i="2"/>
  <c r="V11" i="2" s="1"/>
  <c r="B12" i="2"/>
  <c r="V12" i="2" s="1"/>
  <c r="B13" i="2"/>
  <c r="V13" i="2" s="1"/>
  <c r="B14" i="2"/>
  <c r="V14" i="2" s="1"/>
  <c r="B15" i="2"/>
  <c r="V15" i="2" s="1"/>
  <c r="B16" i="2"/>
  <c r="V16" i="2" s="1"/>
  <c r="B17" i="2"/>
  <c r="V17" i="2" s="1"/>
  <c r="B18" i="2"/>
  <c r="V18" i="2" s="1"/>
  <c r="B19" i="2"/>
  <c r="V19" i="2" s="1"/>
  <c r="B20" i="2"/>
  <c r="V20" i="2" s="1"/>
  <c r="B21" i="2"/>
  <c r="V21" i="2" s="1"/>
  <c r="B22" i="2"/>
  <c r="V22" i="2" s="1"/>
  <c r="B23" i="2"/>
  <c r="V23" i="2" s="1"/>
  <c r="B24" i="2"/>
  <c r="V24" i="2" s="1"/>
  <c r="B25" i="2"/>
  <c r="V25" i="2" s="1"/>
  <c r="B26" i="2"/>
  <c r="V26" i="2" s="1"/>
  <c r="B27" i="2"/>
  <c r="V27" i="2" s="1"/>
  <c r="B28" i="2"/>
  <c r="V28" i="2" s="1"/>
  <c r="B29" i="2"/>
  <c r="V29" i="2" s="1"/>
  <c r="B30" i="2"/>
  <c r="V30" i="2" s="1"/>
  <c r="B31" i="2"/>
  <c r="V31" i="2" s="1"/>
  <c r="B32" i="2"/>
  <c r="V32" i="2" s="1"/>
  <c r="B33" i="2"/>
  <c r="V33" i="2" s="1"/>
  <c r="B34" i="2"/>
  <c r="V34" i="2" s="1"/>
  <c r="B35" i="2"/>
  <c r="V35" i="2" s="1"/>
  <c r="B36" i="2"/>
  <c r="V36" i="2" s="1"/>
  <c r="B37" i="2"/>
  <c r="V37" i="2" s="1"/>
  <c r="B38" i="2"/>
  <c r="V38" i="2" s="1"/>
  <c r="B39" i="2"/>
  <c r="V39" i="2" s="1"/>
  <c r="B40" i="2"/>
  <c r="V40" i="2" s="1"/>
  <c r="B41" i="2"/>
  <c r="V41" i="2" s="1"/>
  <c r="B42" i="2"/>
  <c r="V42" i="2" s="1"/>
  <c r="B43" i="2"/>
  <c r="V43" i="2" s="1"/>
  <c r="B44" i="2"/>
  <c r="V44" i="2" s="1"/>
  <c r="B45" i="2"/>
  <c r="V45" i="2" s="1"/>
  <c r="B46" i="2"/>
  <c r="V46" i="2" s="1"/>
  <c r="B47" i="2"/>
  <c r="V47" i="2" s="1"/>
  <c r="B48" i="2"/>
  <c r="V48" i="2" s="1"/>
  <c r="B49" i="2"/>
  <c r="V49" i="2" s="1"/>
  <c r="B50" i="2"/>
  <c r="V50" i="2" s="1"/>
  <c r="B51" i="2"/>
  <c r="V51" i="2" s="1"/>
  <c r="B52" i="2"/>
  <c r="V52" i="2" s="1"/>
  <c r="B53" i="2"/>
  <c r="V53" i="2" s="1"/>
  <c r="B54" i="2"/>
  <c r="V54" i="2" s="1"/>
  <c r="B55" i="2"/>
  <c r="V55" i="2" s="1"/>
  <c r="B56" i="2"/>
  <c r="V56" i="2" s="1"/>
  <c r="B57" i="2"/>
  <c r="V57" i="2" s="1"/>
  <c r="B58" i="2"/>
  <c r="V58" i="2" s="1"/>
  <c r="B59" i="2"/>
  <c r="V59" i="2" s="1"/>
  <c r="B60" i="2"/>
  <c r="V60" i="2" s="1"/>
  <c r="B61" i="2"/>
  <c r="V61" i="2" s="1"/>
  <c r="B62" i="2"/>
  <c r="V62" i="2" s="1"/>
  <c r="B63" i="2"/>
  <c r="V63" i="2" s="1"/>
  <c r="B64" i="2"/>
  <c r="V64" i="2" s="1"/>
  <c r="B65" i="2"/>
  <c r="V65" i="2" s="1"/>
  <c r="B66" i="2"/>
  <c r="V66" i="2" s="1"/>
  <c r="B67" i="2"/>
  <c r="V67" i="2" s="1"/>
  <c r="B68" i="2"/>
  <c r="V68" i="2" s="1"/>
  <c r="B69" i="2"/>
  <c r="V69" i="2" s="1"/>
  <c r="B70" i="2"/>
  <c r="V70" i="2" s="1"/>
  <c r="B71" i="2"/>
  <c r="V71" i="2" s="1"/>
  <c r="B72" i="2"/>
  <c r="V72" i="2" s="1"/>
  <c r="B73" i="2"/>
  <c r="V73" i="2" s="1"/>
  <c r="B74" i="2"/>
  <c r="V74" i="2" s="1"/>
  <c r="B75" i="2"/>
  <c r="V75" i="2" s="1"/>
  <c r="B76" i="2"/>
  <c r="V76" i="2" s="1"/>
  <c r="B77" i="2"/>
  <c r="V77" i="2" s="1"/>
  <c r="B78" i="2"/>
  <c r="V78" i="2" s="1"/>
  <c r="B79" i="2"/>
  <c r="V79" i="2" s="1"/>
  <c r="B80" i="2"/>
  <c r="V80" i="2" s="1"/>
  <c r="B81" i="2"/>
  <c r="V81" i="2" s="1"/>
  <c r="B82" i="2"/>
  <c r="V82" i="2" s="1"/>
  <c r="B83" i="2"/>
  <c r="V83" i="2" s="1"/>
  <c r="B84" i="2"/>
  <c r="V84" i="2" s="1"/>
  <c r="B85" i="2"/>
  <c r="V85" i="2" s="1"/>
  <c r="B86" i="2"/>
  <c r="V86" i="2" s="1"/>
  <c r="B87" i="2"/>
  <c r="V87" i="2" s="1"/>
  <c r="B88" i="2"/>
  <c r="V88" i="2" s="1"/>
  <c r="B89" i="2"/>
  <c r="V89" i="2" s="1"/>
  <c r="B90" i="2"/>
  <c r="V90" i="2" s="1"/>
  <c r="B91" i="2"/>
  <c r="V91" i="2" s="1"/>
  <c r="B92" i="2"/>
  <c r="V92" i="2" s="1"/>
  <c r="B93" i="2"/>
  <c r="V93" i="2" s="1"/>
  <c r="B94" i="2"/>
  <c r="V94" i="2" s="1"/>
  <c r="B95" i="2"/>
  <c r="V95" i="2" s="1"/>
  <c r="B96" i="2"/>
  <c r="V96" i="2" s="1"/>
  <c r="B97" i="2"/>
  <c r="V97" i="2" s="1"/>
  <c r="B98" i="2"/>
  <c r="V98" i="2" s="1"/>
  <c r="B99" i="2"/>
  <c r="V99" i="2" s="1"/>
  <c r="B100" i="2"/>
  <c r="V100" i="2" s="1"/>
  <c r="B101" i="2"/>
  <c r="V101" i="2" s="1"/>
  <c r="B102" i="2"/>
  <c r="V102" i="2" s="1"/>
  <c r="B103" i="2"/>
  <c r="V103" i="2" s="1"/>
  <c r="B104" i="2"/>
  <c r="V104" i="2" s="1"/>
  <c r="B105" i="2"/>
  <c r="V105" i="2" s="1"/>
  <c r="B106" i="2"/>
  <c r="V106" i="2" s="1"/>
  <c r="B107" i="2"/>
  <c r="V107" i="2" s="1"/>
  <c r="B108" i="2"/>
  <c r="V108" i="2" s="1"/>
  <c r="B109" i="2"/>
  <c r="V109" i="2" s="1"/>
  <c r="B110" i="2"/>
  <c r="V110" i="2" s="1"/>
  <c r="B111" i="2"/>
  <c r="V111" i="2" s="1"/>
  <c r="B112" i="2"/>
  <c r="V112" i="2" s="1"/>
  <c r="B113" i="2"/>
  <c r="V113" i="2" s="1"/>
  <c r="B114" i="2"/>
  <c r="V114" i="2" s="1"/>
  <c r="B115" i="2"/>
  <c r="V115" i="2" s="1"/>
  <c r="B116" i="2"/>
  <c r="V116" i="2" s="1"/>
  <c r="B117" i="2"/>
  <c r="V117" i="2" s="1"/>
  <c r="B118" i="2"/>
  <c r="V118" i="2" s="1"/>
  <c r="B119" i="2"/>
  <c r="V119" i="2" s="1"/>
  <c r="B120" i="2"/>
  <c r="V120" i="2" s="1"/>
  <c r="B121" i="2"/>
  <c r="V121" i="2" s="1"/>
  <c r="B2" i="2"/>
  <c r="V2" i="2" s="1"/>
  <c r="O55" i="1"/>
  <c r="R55" i="60" s="1"/>
  <c r="H55" i="1"/>
  <c r="Q55" i="59" s="1"/>
  <c r="F55" i="1"/>
  <c r="Q55" i="58" s="1"/>
  <c r="S242" i="4" l="1"/>
  <c r="D110" i="58"/>
  <c r="BQ121" i="1"/>
  <c r="E121" i="60" s="1"/>
  <c r="I6" i="60"/>
  <c r="P6" i="60" s="1"/>
  <c r="T6" i="60" s="1"/>
  <c r="G6" i="59"/>
  <c r="N6" i="59" s="1"/>
  <c r="S6" i="59" s="1"/>
  <c r="G6" i="58"/>
  <c r="N6" i="58" s="1"/>
  <c r="S6" i="58" s="1"/>
  <c r="BQ118" i="1"/>
  <c r="E118" i="60" s="1"/>
  <c r="T242" i="4"/>
  <c r="U242" i="4"/>
  <c r="O5" i="32"/>
  <c r="S5" i="32" s="1"/>
  <c r="P5" i="36"/>
  <c r="T5" i="36" s="1"/>
  <c r="BR114" i="54"/>
  <c r="BQ114" i="54"/>
  <c r="BR113" i="54"/>
  <c r="BQ113" i="54"/>
  <c r="BR52" i="54"/>
  <c r="BQ52" i="54"/>
  <c r="BR104" i="54"/>
  <c r="BQ104" i="54"/>
  <c r="BQ106" i="54"/>
  <c r="BR106" i="54"/>
  <c r="BR95" i="54"/>
  <c r="BQ95" i="54"/>
  <c r="BR40" i="54"/>
  <c r="BQ40" i="54"/>
  <c r="BR61" i="54"/>
  <c r="BQ61" i="54"/>
  <c r="BQ112" i="54"/>
  <c r="BR112" i="54"/>
  <c r="BR105" i="54"/>
  <c r="BQ105" i="54"/>
  <c r="BR20" i="54"/>
  <c r="BQ20" i="54"/>
  <c r="BQ71" i="54"/>
  <c r="BR71" i="54"/>
  <c r="BR35" i="54"/>
  <c r="BQ35" i="54"/>
  <c r="BQ99" i="54"/>
  <c r="BR99" i="54"/>
  <c r="BQ50" i="54"/>
  <c r="BR50" i="54"/>
  <c r="BR54" i="54"/>
  <c r="BQ54" i="54"/>
  <c r="BR74" i="54"/>
  <c r="BQ74" i="54"/>
  <c r="BR19" i="54"/>
  <c r="BQ19" i="54"/>
  <c r="BR97" i="54"/>
  <c r="BQ97" i="54"/>
  <c r="BR41" i="54"/>
  <c r="BQ41" i="54"/>
  <c r="BQ37" i="54"/>
  <c r="BR37" i="54"/>
  <c r="BR83" i="54"/>
  <c r="BQ83" i="54"/>
  <c r="BQ85" i="54"/>
  <c r="BR85" i="54"/>
  <c r="BR76" i="54"/>
  <c r="BQ76" i="54"/>
  <c r="BR120" i="54"/>
  <c r="BQ120" i="54"/>
  <c r="BQ14" i="54"/>
  <c r="BR14" i="54"/>
  <c r="BR67" i="54"/>
  <c r="BQ67" i="54"/>
  <c r="BR69" i="54"/>
  <c r="BQ69" i="54"/>
  <c r="BR31" i="54"/>
  <c r="BQ31" i="54"/>
  <c r="BQ33" i="54"/>
  <c r="BR33" i="54"/>
  <c r="BQ78" i="54"/>
  <c r="BR78" i="54"/>
  <c r="BQ77" i="54"/>
  <c r="BR77" i="54"/>
  <c r="BR117" i="54"/>
  <c r="BQ117" i="54"/>
  <c r="BR107" i="54"/>
  <c r="BQ107" i="54"/>
  <c r="BR23" i="54"/>
  <c r="BQ23" i="54"/>
  <c r="BQ96" i="54"/>
  <c r="BR96" i="54"/>
  <c r="BR44" i="54"/>
  <c r="BQ44" i="54"/>
  <c r="BR43" i="54"/>
  <c r="BQ43" i="54"/>
  <c r="BQ59" i="54"/>
  <c r="BR59" i="54"/>
  <c r="BQ57" i="54"/>
  <c r="BR57" i="54"/>
  <c r="BQ32" i="54"/>
  <c r="BR32" i="54"/>
  <c r="BQ82" i="54"/>
  <c r="BR82" i="54"/>
  <c r="BR84" i="54"/>
  <c r="BQ84" i="54"/>
  <c r="BQ118" i="54"/>
  <c r="BR118" i="54"/>
  <c r="BQ86" i="54"/>
  <c r="BR86" i="54"/>
  <c r="BR30" i="54"/>
  <c r="BQ30" i="54"/>
  <c r="BR75" i="54"/>
  <c r="BQ75" i="54"/>
  <c r="BR116" i="54"/>
  <c r="BQ116" i="54"/>
  <c r="BR103" i="54"/>
  <c r="BQ103" i="54"/>
  <c r="BR98" i="54"/>
  <c r="BQ98" i="54"/>
  <c r="BQ25" i="54"/>
  <c r="BR25" i="54"/>
  <c r="BR48" i="54"/>
  <c r="BQ48" i="54"/>
  <c r="BR72" i="54"/>
  <c r="BQ72" i="54"/>
  <c r="BR70" i="54"/>
  <c r="BQ70" i="54"/>
  <c r="BQ66" i="54"/>
  <c r="BR66" i="54"/>
  <c r="BR58" i="54"/>
  <c r="BQ58" i="54"/>
  <c r="BR26" i="54"/>
  <c r="BQ26" i="54"/>
  <c r="BQ90" i="54"/>
  <c r="BR90" i="54"/>
  <c r="BR88" i="54"/>
  <c r="BQ88" i="54"/>
  <c r="BQ45" i="54"/>
  <c r="BR45" i="54"/>
  <c r="BQ55" i="54"/>
  <c r="BR55" i="54"/>
  <c r="BR81" i="54"/>
  <c r="BQ81" i="54"/>
  <c r="BQ119" i="54"/>
  <c r="BR119" i="54"/>
  <c r="BR21" i="54"/>
  <c r="BQ21" i="54"/>
  <c r="BQ87" i="54"/>
  <c r="BR87" i="54"/>
  <c r="BR46" i="54"/>
  <c r="BQ46" i="54"/>
  <c r="BR68" i="54"/>
  <c r="BQ68" i="54"/>
  <c r="BR62" i="54"/>
  <c r="BQ62" i="54"/>
  <c r="BQ53" i="54"/>
  <c r="BR53" i="54"/>
  <c r="BR80" i="54"/>
  <c r="BQ80" i="54"/>
  <c r="BQ111" i="54"/>
  <c r="BR111" i="54"/>
  <c r="BQ115" i="54"/>
  <c r="BR115" i="54"/>
  <c r="BR24" i="54"/>
  <c r="BQ24" i="54"/>
  <c r="BQ93" i="54"/>
  <c r="BR93" i="54"/>
  <c r="BQ38" i="54"/>
  <c r="BR38" i="54"/>
  <c r="BR49" i="54"/>
  <c r="BQ49" i="54"/>
  <c r="BQ51" i="54"/>
  <c r="BR51" i="54"/>
  <c r="BQ36" i="54"/>
  <c r="BR36" i="54"/>
  <c r="BR27" i="54"/>
  <c r="BQ27" i="54"/>
  <c r="BR79" i="54"/>
  <c r="BQ79" i="54"/>
  <c r="BR108" i="54"/>
  <c r="BQ108" i="54"/>
  <c r="BR16" i="54"/>
  <c r="BQ16" i="54"/>
  <c r="BQ89" i="54"/>
  <c r="BR89" i="54"/>
  <c r="BR94" i="54"/>
  <c r="BQ94" i="54"/>
  <c r="BR39" i="54"/>
  <c r="BQ39" i="54"/>
  <c r="BQ56" i="54"/>
  <c r="BR56" i="54"/>
  <c r="BR28" i="54"/>
  <c r="BQ28" i="54"/>
  <c r="BR110" i="54"/>
  <c r="BQ110" i="54"/>
  <c r="BR121" i="54"/>
  <c r="BQ121" i="54"/>
  <c r="BR101" i="54"/>
  <c r="BQ101" i="54"/>
  <c r="BQ17" i="54"/>
  <c r="BR17" i="54"/>
  <c r="BR22" i="54"/>
  <c r="BQ22" i="54"/>
  <c r="BR47" i="54"/>
  <c r="BQ47" i="54"/>
  <c r="BR73" i="54"/>
  <c r="BQ73" i="54"/>
  <c r="BR60" i="54"/>
  <c r="BQ60" i="54"/>
  <c r="BR34" i="54"/>
  <c r="BQ34" i="54"/>
  <c r="BR102" i="54"/>
  <c r="BQ102" i="54"/>
  <c r="BQ91" i="54"/>
  <c r="BR91" i="54"/>
  <c r="BR29" i="54"/>
  <c r="BQ29" i="54"/>
  <c r="BQ100" i="54"/>
  <c r="BR100" i="54"/>
  <c r="BR109" i="54"/>
  <c r="BQ109" i="54"/>
  <c r="BR15" i="54"/>
  <c r="BQ15" i="54"/>
  <c r="BR18" i="54"/>
  <c r="BQ18" i="54"/>
  <c r="BQ92" i="54"/>
  <c r="BR92" i="54"/>
  <c r="BR42" i="54"/>
  <c r="BQ42" i="54"/>
  <c r="BQ63" i="54"/>
  <c r="BR63" i="54"/>
  <c r="BR64" i="54"/>
  <c r="BQ64" i="54"/>
  <c r="BR65" i="54"/>
  <c r="BQ65" i="54"/>
  <c r="BR113" i="1"/>
  <c r="BR115" i="1"/>
  <c r="BR117" i="1"/>
  <c r="BQ112" i="1"/>
  <c r="E112" i="60" s="1"/>
  <c r="BR119" i="1"/>
  <c r="BL110" i="1"/>
  <c r="BR114" i="1"/>
  <c r="BQ120" i="1"/>
  <c r="E120" i="60" s="1"/>
  <c r="BQ111" i="1"/>
  <c r="E111" i="60" s="1"/>
  <c r="Q55" i="38"/>
  <c r="Q55" i="28"/>
  <c r="R55" i="36"/>
  <c r="R55" i="32"/>
  <c r="Q55" i="30"/>
  <c r="Q55" i="34"/>
  <c r="BG7" i="1"/>
  <c r="G6" i="38"/>
  <c r="N6" i="38" s="1"/>
  <c r="S6" i="38" s="1"/>
  <c r="I6" i="36"/>
  <c r="G6" i="28"/>
  <c r="N6" i="28" s="1"/>
  <c r="S6" i="28" s="1"/>
  <c r="G6" i="34"/>
  <c r="N6" i="34" s="1"/>
  <c r="S6" i="34" s="1"/>
  <c r="H6" i="32"/>
  <c r="G6" i="30"/>
  <c r="N6" i="30" s="1"/>
  <c r="S6" i="30" s="1"/>
  <c r="E115" i="36"/>
  <c r="E116" i="36"/>
  <c r="E113" i="36"/>
  <c r="E117" i="36"/>
  <c r="BP110" i="1"/>
  <c r="BQ110" i="1" s="1"/>
  <c r="E110" i="60" s="1"/>
  <c r="D110" i="36"/>
  <c r="BS110" i="1"/>
  <c r="D110" i="32"/>
  <c r="O13" i="15" s="1"/>
  <c r="BT110" i="1"/>
  <c r="BM110" i="1"/>
  <c r="BN110" i="1" s="1"/>
  <c r="D110" i="34"/>
  <c r="D110" i="30"/>
  <c r="I13" i="15" s="1"/>
  <c r="BO110" i="1"/>
  <c r="E119" i="36"/>
  <c r="E114" i="36"/>
  <c r="E121" i="36"/>
  <c r="D110" i="38"/>
  <c r="D110" i="28"/>
  <c r="C13" i="15" s="1"/>
  <c r="BJ110" i="1"/>
  <c r="BK110" i="1" s="1"/>
  <c r="B98" i="1"/>
  <c r="B99" i="1"/>
  <c r="B100" i="1"/>
  <c r="B101" i="1"/>
  <c r="B102" i="1"/>
  <c r="B103" i="1"/>
  <c r="B104" i="1"/>
  <c r="B105" i="1"/>
  <c r="B106" i="1"/>
  <c r="B107" i="1"/>
  <c r="B108" i="1"/>
  <c r="B109" i="1"/>
  <c r="B95" i="1"/>
  <c r="B96" i="1"/>
  <c r="B97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E112" i="36" l="1"/>
  <c r="E118" i="36"/>
  <c r="E111" i="36"/>
  <c r="I7" i="60"/>
  <c r="P7" i="60" s="1"/>
  <c r="T7" i="60" s="1"/>
  <c r="G7" i="59"/>
  <c r="N7" i="59" s="1"/>
  <c r="S7" i="59" s="1"/>
  <c r="G7" i="58"/>
  <c r="N7" i="58" s="1"/>
  <c r="S7" i="58" s="1"/>
  <c r="J5" i="62"/>
  <c r="U5" i="61"/>
  <c r="C5" i="61"/>
  <c r="D5" i="62"/>
  <c r="AN5" i="61"/>
  <c r="AD5" i="61"/>
  <c r="D6" i="62"/>
  <c r="L5" i="61"/>
  <c r="AD6" i="61"/>
  <c r="J6" i="62"/>
  <c r="L8" i="61"/>
  <c r="C6" i="61"/>
  <c r="AN6" i="61"/>
  <c r="D7" i="62"/>
  <c r="L7" i="61"/>
  <c r="U6" i="61"/>
  <c r="J7" i="62"/>
  <c r="L6" i="61"/>
  <c r="D8" i="62"/>
  <c r="AD7" i="61"/>
  <c r="C7" i="61"/>
  <c r="U7" i="61"/>
  <c r="AN7" i="61"/>
  <c r="J8" i="62"/>
  <c r="D9" i="62"/>
  <c r="C21" i="63" s="1"/>
  <c r="L9" i="61"/>
  <c r="AD8" i="61"/>
  <c r="C8" i="61"/>
  <c r="AN8" i="61"/>
  <c r="J9" i="62"/>
  <c r="C22" i="63" s="1"/>
  <c r="D10" i="62"/>
  <c r="D21" i="63" s="1"/>
  <c r="AD9" i="61"/>
  <c r="L10" i="61"/>
  <c r="U8" i="61"/>
  <c r="U9" i="61"/>
  <c r="D11" i="62"/>
  <c r="E21" i="63" s="1"/>
  <c r="C9" i="61"/>
  <c r="AD10" i="61"/>
  <c r="AN9" i="61"/>
  <c r="C7" i="63" s="1"/>
  <c r="J10" i="62"/>
  <c r="D22" i="63" s="1"/>
  <c r="L11" i="61"/>
  <c r="AN10" i="61"/>
  <c r="D7" i="63" s="1"/>
  <c r="L12" i="61"/>
  <c r="J11" i="62"/>
  <c r="E22" i="63" s="1"/>
  <c r="D12" i="62"/>
  <c r="F21" i="63" s="1"/>
  <c r="U10" i="61"/>
  <c r="AD11" i="61"/>
  <c r="C10" i="61"/>
  <c r="L13" i="61"/>
  <c r="U11" i="61"/>
  <c r="J12" i="62"/>
  <c r="F22" i="63" s="1"/>
  <c r="AN11" i="61"/>
  <c r="E7" i="63" s="1"/>
  <c r="D13" i="62"/>
  <c r="G21" i="63" s="1"/>
  <c r="AD12" i="61"/>
  <c r="C11" i="61"/>
  <c r="D14" i="62"/>
  <c r="AN12" i="61"/>
  <c r="F7" i="63" s="1"/>
  <c r="M14" i="61"/>
  <c r="Q14" i="61" s="1"/>
  <c r="AD13" i="61"/>
  <c r="U12" i="61"/>
  <c r="J13" i="62"/>
  <c r="G22" i="63" s="1"/>
  <c r="C12" i="61"/>
  <c r="L14" i="61"/>
  <c r="J14" i="62"/>
  <c r="AN13" i="61"/>
  <c r="G7" i="63" s="1"/>
  <c r="C13" i="61"/>
  <c r="U13" i="61"/>
  <c r="AD14" i="61"/>
  <c r="C14" i="61"/>
  <c r="U14" i="61"/>
  <c r="V14" i="61"/>
  <c r="Z14" i="61" s="1"/>
  <c r="D14" i="61"/>
  <c r="H14" i="61" s="1"/>
  <c r="AN14" i="61"/>
  <c r="H7" i="63" s="1"/>
  <c r="J5" i="57"/>
  <c r="J6" i="57"/>
  <c r="J7" i="57"/>
  <c r="J8" i="57"/>
  <c r="J9" i="57"/>
  <c r="J10" i="57"/>
  <c r="J11" i="57"/>
  <c r="J12" i="57"/>
  <c r="J13" i="57"/>
  <c r="J14" i="57"/>
  <c r="O6" i="32"/>
  <c r="S6" i="32" s="1"/>
  <c r="P6" i="36"/>
  <c r="T6" i="36" s="1"/>
  <c r="U11" i="17"/>
  <c r="E5" i="25" s="1"/>
  <c r="E120" i="36"/>
  <c r="BR110" i="1"/>
  <c r="AD14" i="17"/>
  <c r="J12" i="24"/>
  <c r="AN14" i="17"/>
  <c r="H7" i="25" s="1"/>
  <c r="D14" i="24"/>
  <c r="J14" i="24"/>
  <c r="H22" i="56" s="1"/>
  <c r="K13" i="23"/>
  <c r="S13" i="23"/>
  <c r="O13" i="23"/>
  <c r="C13" i="23"/>
  <c r="G13" i="23"/>
  <c r="U14" i="17"/>
  <c r="H5" i="25" s="1"/>
  <c r="L14" i="17"/>
  <c r="H4" i="25" s="1"/>
  <c r="C14" i="17"/>
  <c r="H3" i="25" s="1"/>
  <c r="M14" i="17"/>
  <c r="Q14" i="17" s="1"/>
  <c r="V14" i="17"/>
  <c r="Z14" i="17" s="1"/>
  <c r="D14" i="17"/>
  <c r="H14" i="17" s="1"/>
  <c r="BG8" i="1"/>
  <c r="G7" i="38"/>
  <c r="N7" i="38" s="1"/>
  <c r="S7" i="38" s="1"/>
  <c r="I7" i="36"/>
  <c r="G7" i="34"/>
  <c r="N7" i="34" s="1"/>
  <c r="S7" i="34" s="1"/>
  <c r="H7" i="32"/>
  <c r="G7" i="30"/>
  <c r="N7" i="30" s="1"/>
  <c r="S7" i="30" s="1"/>
  <c r="G7" i="28"/>
  <c r="N7" i="28" s="1"/>
  <c r="S7" i="28" s="1"/>
  <c r="E110" i="36"/>
  <c r="L4" i="1"/>
  <c r="M4" i="1" s="1"/>
  <c r="D4" i="60" s="1"/>
  <c r="I4" i="1"/>
  <c r="J4" i="1" s="1"/>
  <c r="D4" i="59" s="1"/>
  <c r="D4" i="1"/>
  <c r="E4" i="1" s="1"/>
  <c r="D4" i="58" s="1"/>
  <c r="T4" i="58" s="1"/>
  <c r="U4" i="58" s="1"/>
  <c r="I20" i="1"/>
  <c r="J20" i="1" s="1"/>
  <c r="D20" i="59" s="1"/>
  <c r="D20" i="1"/>
  <c r="E20" i="1" s="1"/>
  <c r="D20" i="58" s="1"/>
  <c r="L20" i="1"/>
  <c r="M20" i="1" s="1"/>
  <c r="D20" i="60" s="1"/>
  <c r="I36" i="1"/>
  <c r="J36" i="1" s="1"/>
  <c r="D36" i="59" s="1"/>
  <c r="D36" i="1"/>
  <c r="E36" i="1" s="1"/>
  <c r="D36" i="58" s="1"/>
  <c r="L36" i="1"/>
  <c r="M36" i="1" s="1"/>
  <c r="D36" i="60" s="1"/>
  <c r="D52" i="1"/>
  <c r="E52" i="1" s="1"/>
  <c r="D52" i="58" s="1"/>
  <c r="I52" i="1"/>
  <c r="J52" i="1" s="1"/>
  <c r="D52" i="59" s="1"/>
  <c r="L52" i="1"/>
  <c r="M52" i="1" s="1"/>
  <c r="D52" i="60" s="1"/>
  <c r="I72" i="1"/>
  <c r="J72" i="1" s="1"/>
  <c r="D72" i="59" s="1"/>
  <c r="L72" i="1"/>
  <c r="M72" i="1" s="1"/>
  <c r="D72" i="60" s="1"/>
  <c r="D72" i="1"/>
  <c r="E72" i="1" s="1"/>
  <c r="D72" i="58" s="1"/>
  <c r="L5" i="1"/>
  <c r="M5" i="1" s="1"/>
  <c r="D5" i="60" s="1"/>
  <c r="D5" i="1"/>
  <c r="E5" i="1" s="1"/>
  <c r="D5" i="58" s="1"/>
  <c r="T5" i="58" s="1"/>
  <c r="U5" i="58" s="1"/>
  <c r="I5" i="1"/>
  <c r="J5" i="1" s="1"/>
  <c r="D5" i="59" s="1"/>
  <c r="L17" i="1"/>
  <c r="M17" i="1" s="1"/>
  <c r="D17" i="60" s="1"/>
  <c r="D17" i="1"/>
  <c r="E17" i="1" s="1"/>
  <c r="D17" i="58" s="1"/>
  <c r="I17" i="1"/>
  <c r="J17" i="1" s="1"/>
  <c r="D17" i="59" s="1"/>
  <c r="I29" i="1"/>
  <c r="J29" i="1" s="1"/>
  <c r="D29" i="59" s="1"/>
  <c r="D29" i="1"/>
  <c r="E29" i="1" s="1"/>
  <c r="D29" i="58" s="1"/>
  <c r="L29" i="1"/>
  <c r="M29" i="1" s="1"/>
  <c r="D29" i="60" s="1"/>
  <c r="D41" i="1"/>
  <c r="E41" i="1" s="1"/>
  <c r="D41" i="58" s="1"/>
  <c r="I41" i="1"/>
  <c r="J41" i="1" s="1"/>
  <c r="D41" i="59" s="1"/>
  <c r="L41" i="1"/>
  <c r="M41" i="1" s="1"/>
  <c r="D41" i="60" s="1"/>
  <c r="AD6" i="17"/>
  <c r="I6" i="57" s="1"/>
  <c r="K6" i="57" s="1"/>
  <c r="AD10" i="17"/>
  <c r="AN5" i="17"/>
  <c r="AD7" i="17"/>
  <c r="I7" i="57" s="1"/>
  <c r="K7" i="57" s="1"/>
  <c r="AD11" i="17"/>
  <c r="D5" i="24"/>
  <c r="D24" i="24" s="1"/>
  <c r="AD13" i="17"/>
  <c r="AD12" i="17"/>
  <c r="AD5" i="17"/>
  <c r="I5" i="57" s="1"/>
  <c r="K5" i="57" s="1"/>
  <c r="AN6" i="17"/>
  <c r="J5" i="24"/>
  <c r="AD9" i="17"/>
  <c r="AD8" i="17"/>
  <c r="I8" i="57" s="1"/>
  <c r="K8" i="57" s="1"/>
  <c r="AN7" i="17"/>
  <c r="J6" i="24"/>
  <c r="D6" i="24"/>
  <c r="D7" i="24"/>
  <c r="J7" i="24"/>
  <c r="AN8" i="17"/>
  <c r="J8" i="24"/>
  <c r="D8" i="24"/>
  <c r="AN9" i="17"/>
  <c r="C7" i="25" s="1"/>
  <c r="J9" i="24"/>
  <c r="AN10" i="17"/>
  <c r="D7" i="25" s="1"/>
  <c r="D9" i="24"/>
  <c r="C21" i="25" s="1"/>
  <c r="D10" i="24"/>
  <c r="D21" i="25" s="1"/>
  <c r="J10" i="24"/>
  <c r="D22" i="56" s="1"/>
  <c r="AN11" i="17"/>
  <c r="E7" i="25" s="1"/>
  <c r="AN12" i="17"/>
  <c r="F7" i="25" s="1"/>
  <c r="J11" i="24"/>
  <c r="D11" i="24"/>
  <c r="E21" i="25" s="1"/>
  <c r="AN13" i="17"/>
  <c r="G7" i="25" s="1"/>
  <c r="D12" i="24"/>
  <c r="F21" i="25" s="1"/>
  <c r="D13" i="24"/>
  <c r="G21" i="25" s="1"/>
  <c r="J13" i="24"/>
  <c r="G5" i="23"/>
  <c r="S4" i="23"/>
  <c r="AO5" i="61" s="1"/>
  <c r="AP5" i="61" s="1"/>
  <c r="AQ5" i="61" s="1"/>
  <c r="K5" i="23"/>
  <c r="K4" i="23"/>
  <c r="G4" i="23"/>
  <c r="C5" i="23"/>
  <c r="S5" i="23"/>
  <c r="AO6" i="61" s="1"/>
  <c r="AP6" i="61" s="1"/>
  <c r="AQ6" i="61" s="1"/>
  <c r="O5" i="23"/>
  <c r="AG6" i="61" s="1"/>
  <c r="C4" i="23"/>
  <c r="O4" i="23"/>
  <c r="AG5" i="61" s="1"/>
  <c r="C6" i="23"/>
  <c r="O6" i="23"/>
  <c r="AG7" i="61" s="1"/>
  <c r="G6" i="23"/>
  <c r="K6" i="23"/>
  <c r="S6" i="23"/>
  <c r="AO7" i="61" s="1"/>
  <c r="AP7" i="61" s="1"/>
  <c r="AQ7" i="61" s="1"/>
  <c r="O7" i="23"/>
  <c r="AG8" i="61" s="1"/>
  <c r="K7" i="23"/>
  <c r="C7" i="23"/>
  <c r="S7" i="23"/>
  <c r="AO8" i="61" s="1"/>
  <c r="AP8" i="61" s="1"/>
  <c r="AQ8" i="61" s="1"/>
  <c r="G7" i="23"/>
  <c r="K8" i="23"/>
  <c r="G8" i="23"/>
  <c r="O8" i="23"/>
  <c r="C8" i="23"/>
  <c r="S8" i="23"/>
  <c r="G9" i="23"/>
  <c r="S9" i="23"/>
  <c r="K9" i="23"/>
  <c r="O9" i="23"/>
  <c r="C9" i="23"/>
  <c r="C10" i="23"/>
  <c r="O10" i="23"/>
  <c r="S10" i="23"/>
  <c r="G10" i="23"/>
  <c r="K10" i="23"/>
  <c r="O11" i="23"/>
  <c r="K11" i="23"/>
  <c r="C11" i="23"/>
  <c r="S11" i="23"/>
  <c r="G11" i="23"/>
  <c r="K12" i="23"/>
  <c r="G12" i="23"/>
  <c r="O12" i="23"/>
  <c r="C12" i="23"/>
  <c r="S12" i="23"/>
  <c r="U5" i="17"/>
  <c r="C5" i="24" s="1"/>
  <c r="L5" i="17"/>
  <c r="U6" i="17"/>
  <c r="C6" i="24" s="1"/>
  <c r="L6" i="17"/>
  <c r="U7" i="17"/>
  <c r="C7" i="24" s="1"/>
  <c r="L7" i="17"/>
  <c r="U8" i="17"/>
  <c r="C8" i="24" s="1"/>
  <c r="L8" i="17"/>
  <c r="U9" i="17"/>
  <c r="C5" i="25" s="1"/>
  <c r="L9" i="17"/>
  <c r="C4" i="25" s="1"/>
  <c r="L10" i="17"/>
  <c r="D4" i="25" s="1"/>
  <c r="U10" i="17"/>
  <c r="D5" i="25" s="1"/>
  <c r="L11" i="17"/>
  <c r="E4" i="25" s="1"/>
  <c r="L12" i="17"/>
  <c r="F4" i="25" s="1"/>
  <c r="U12" i="17"/>
  <c r="F5" i="25" s="1"/>
  <c r="U13" i="17"/>
  <c r="G5" i="25" s="1"/>
  <c r="L13" i="17"/>
  <c r="G4" i="25" s="1"/>
  <c r="C5" i="17"/>
  <c r="C6" i="17"/>
  <c r="C8" i="17"/>
  <c r="C7" i="17"/>
  <c r="C9" i="17"/>
  <c r="C3" i="25" s="1"/>
  <c r="C10" i="17"/>
  <c r="D3" i="25" s="1"/>
  <c r="C11" i="17"/>
  <c r="E3" i="25" s="1"/>
  <c r="C12" i="17"/>
  <c r="F3" i="25" s="1"/>
  <c r="C13" i="17"/>
  <c r="G3" i="25" s="1"/>
  <c r="L2" i="1"/>
  <c r="I2" i="1"/>
  <c r="D2" i="1"/>
  <c r="L10" i="1"/>
  <c r="M10" i="1" s="1"/>
  <c r="D10" i="60" s="1"/>
  <c r="I10" i="1"/>
  <c r="J10" i="1" s="1"/>
  <c r="D10" i="59" s="1"/>
  <c r="D10" i="1"/>
  <c r="E10" i="1" s="1"/>
  <c r="D10" i="58" s="1"/>
  <c r="D14" i="1"/>
  <c r="I14" i="1"/>
  <c r="L14" i="1"/>
  <c r="L22" i="1"/>
  <c r="M22" i="1" s="1"/>
  <c r="D22" i="60" s="1"/>
  <c r="D22" i="1"/>
  <c r="E22" i="1" s="1"/>
  <c r="D22" i="58" s="1"/>
  <c r="I22" i="1"/>
  <c r="J22" i="1" s="1"/>
  <c r="D22" i="59" s="1"/>
  <c r="I30" i="1"/>
  <c r="J30" i="1" s="1"/>
  <c r="D30" i="59" s="1"/>
  <c r="D30" i="1"/>
  <c r="E30" i="1" s="1"/>
  <c r="D30" i="58" s="1"/>
  <c r="L30" i="1"/>
  <c r="M30" i="1" s="1"/>
  <c r="D30" i="60" s="1"/>
  <c r="I34" i="1"/>
  <c r="J34" i="1" s="1"/>
  <c r="D34" i="59" s="1"/>
  <c r="D34" i="1"/>
  <c r="E34" i="1" s="1"/>
  <c r="D34" i="58" s="1"/>
  <c r="L34" i="1"/>
  <c r="M34" i="1" s="1"/>
  <c r="D34" i="60" s="1"/>
  <c r="I42" i="1"/>
  <c r="J42" i="1" s="1"/>
  <c r="D42" i="59" s="1"/>
  <c r="D42" i="1"/>
  <c r="E42" i="1" s="1"/>
  <c r="D42" i="58" s="1"/>
  <c r="L42" i="1"/>
  <c r="M42" i="1" s="1"/>
  <c r="D42" i="60" s="1"/>
  <c r="D50" i="1"/>
  <c r="L50" i="1"/>
  <c r="I50" i="1"/>
  <c r="I54" i="1"/>
  <c r="J54" i="1" s="1"/>
  <c r="D54" i="59" s="1"/>
  <c r="D54" i="1"/>
  <c r="E54" i="1" s="1"/>
  <c r="D54" i="58" s="1"/>
  <c r="L54" i="1"/>
  <c r="M54" i="1" s="1"/>
  <c r="D54" i="60" s="1"/>
  <c r="L62" i="1"/>
  <c r="I62" i="1"/>
  <c r="D62" i="1"/>
  <c r="I70" i="1"/>
  <c r="J70" i="1" s="1"/>
  <c r="D70" i="59" s="1"/>
  <c r="D70" i="1"/>
  <c r="E70" i="1" s="1"/>
  <c r="D70" i="58" s="1"/>
  <c r="L70" i="1"/>
  <c r="M70" i="1" s="1"/>
  <c r="D70" i="60" s="1"/>
  <c r="D74" i="1"/>
  <c r="L74" i="1"/>
  <c r="I74" i="1"/>
  <c r="I82" i="1"/>
  <c r="J82" i="1" s="1"/>
  <c r="D82" i="59" s="1"/>
  <c r="D82" i="1"/>
  <c r="E82" i="1" s="1"/>
  <c r="D82" i="58" s="1"/>
  <c r="L82" i="1"/>
  <c r="M82" i="1" s="1"/>
  <c r="D82" i="60" s="1"/>
  <c r="D86" i="1"/>
  <c r="L86" i="1"/>
  <c r="I86" i="1"/>
  <c r="I94" i="1"/>
  <c r="J94" i="1" s="1"/>
  <c r="D94" i="59" s="1"/>
  <c r="L94" i="1"/>
  <c r="M94" i="1" s="1"/>
  <c r="D94" i="60" s="1"/>
  <c r="D94" i="1"/>
  <c r="E94" i="1" s="1"/>
  <c r="D94" i="58" s="1"/>
  <c r="L109" i="1"/>
  <c r="M109" i="1" s="1"/>
  <c r="D109" i="60" s="1"/>
  <c r="I109" i="1"/>
  <c r="J109" i="1" s="1"/>
  <c r="D109" i="59" s="1"/>
  <c r="D109" i="1"/>
  <c r="E109" i="1" s="1"/>
  <c r="D109" i="58" s="1"/>
  <c r="L105" i="1"/>
  <c r="M105" i="1" s="1"/>
  <c r="D105" i="60" s="1"/>
  <c r="I105" i="1"/>
  <c r="J105" i="1" s="1"/>
  <c r="D105" i="59" s="1"/>
  <c r="D105" i="1"/>
  <c r="E105" i="1" s="1"/>
  <c r="D105" i="58" s="1"/>
  <c r="L3" i="1"/>
  <c r="M3" i="1" s="1"/>
  <c r="D3" i="60" s="1"/>
  <c r="I3" i="1"/>
  <c r="J3" i="1" s="1"/>
  <c r="D3" i="59" s="1"/>
  <c r="D3" i="1"/>
  <c r="E3" i="1" s="1"/>
  <c r="D3" i="58" s="1"/>
  <c r="T3" i="58" s="1"/>
  <c r="U3" i="58" s="1"/>
  <c r="L7" i="1"/>
  <c r="M7" i="1" s="1"/>
  <c r="D7" i="60" s="1"/>
  <c r="I7" i="1"/>
  <c r="J7" i="1" s="1"/>
  <c r="D7" i="59" s="1"/>
  <c r="D7" i="1"/>
  <c r="E7" i="1" s="1"/>
  <c r="D7" i="58" s="1"/>
  <c r="L11" i="1"/>
  <c r="M11" i="1" s="1"/>
  <c r="D11" i="60" s="1"/>
  <c r="I11" i="1"/>
  <c r="J11" i="1" s="1"/>
  <c r="D11" i="59" s="1"/>
  <c r="D11" i="1"/>
  <c r="E11" i="1" s="1"/>
  <c r="D11" i="58" s="1"/>
  <c r="L15" i="1"/>
  <c r="M15" i="1" s="1"/>
  <c r="D15" i="60" s="1"/>
  <c r="D15" i="1"/>
  <c r="E15" i="1" s="1"/>
  <c r="D15" i="58" s="1"/>
  <c r="I15" i="1"/>
  <c r="J15" i="1" s="1"/>
  <c r="D15" i="59" s="1"/>
  <c r="I19" i="1"/>
  <c r="J19" i="1" s="1"/>
  <c r="D19" i="59" s="1"/>
  <c r="D19" i="1"/>
  <c r="E19" i="1" s="1"/>
  <c r="D19" i="58" s="1"/>
  <c r="L19" i="1"/>
  <c r="M19" i="1" s="1"/>
  <c r="D19" i="60" s="1"/>
  <c r="D23" i="1"/>
  <c r="E23" i="1" s="1"/>
  <c r="D23" i="58" s="1"/>
  <c r="I23" i="1"/>
  <c r="J23" i="1" s="1"/>
  <c r="D23" i="59" s="1"/>
  <c r="L23" i="1"/>
  <c r="M23" i="1" s="1"/>
  <c r="D23" i="60" s="1"/>
  <c r="D27" i="1"/>
  <c r="E27" i="1" s="1"/>
  <c r="D27" i="58" s="1"/>
  <c r="L27" i="1"/>
  <c r="M27" i="1" s="1"/>
  <c r="D27" i="60" s="1"/>
  <c r="I27" i="1"/>
  <c r="J27" i="1" s="1"/>
  <c r="D27" i="59" s="1"/>
  <c r="D31" i="1"/>
  <c r="E31" i="1" s="1"/>
  <c r="D31" i="58" s="1"/>
  <c r="L31" i="1"/>
  <c r="M31" i="1" s="1"/>
  <c r="D31" i="60" s="1"/>
  <c r="I31" i="1"/>
  <c r="J31" i="1" s="1"/>
  <c r="D31" i="59" s="1"/>
  <c r="L35" i="1"/>
  <c r="M35" i="1" s="1"/>
  <c r="D35" i="60" s="1"/>
  <c r="I35" i="1"/>
  <c r="J35" i="1" s="1"/>
  <c r="D35" i="59" s="1"/>
  <c r="D35" i="1"/>
  <c r="E35" i="1" s="1"/>
  <c r="D35" i="58" s="1"/>
  <c r="D39" i="1"/>
  <c r="E39" i="1" s="1"/>
  <c r="D39" i="58" s="1"/>
  <c r="I39" i="1"/>
  <c r="J39" i="1" s="1"/>
  <c r="D39" i="59" s="1"/>
  <c r="L39" i="1"/>
  <c r="M39" i="1" s="1"/>
  <c r="D39" i="60" s="1"/>
  <c r="I43" i="1"/>
  <c r="J43" i="1" s="1"/>
  <c r="D43" i="59" s="1"/>
  <c r="L43" i="1"/>
  <c r="M43" i="1" s="1"/>
  <c r="D43" i="60" s="1"/>
  <c r="D43" i="1"/>
  <c r="E43" i="1" s="1"/>
  <c r="D43" i="58" s="1"/>
  <c r="I47" i="1"/>
  <c r="J47" i="1" s="1"/>
  <c r="D47" i="59" s="1"/>
  <c r="L47" i="1"/>
  <c r="M47" i="1" s="1"/>
  <c r="D47" i="60" s="1"/>
  <c r="D47" i="1"/>
  <c r="E47" i="1" s="1"/>
  <c r="D47" i="58" s="1"/>
  <c r="L51" i="1"/>
  <c r="M51" i="1" s="1"/>
  <c r="D51" i="60" s="1"/>
  <c r="I51" i="1"/>
  <c r="J51" i="1" s="1"/>
  <c r="D51" i="59" s="1"/>
  <c r="D51" i="1"/>
  <c r="E51" i="1" s="1"/>
  <c r="D51" i="58" s="1"/>
  <c r="D55" i="1"/>
  <c r="E55" i="1" s="1"/>
  <c r="D55" i="58" s="1"/>
  <c r="I55" i="1"/>
  <c r="J55" i="1" s="1"/>
  <c r="D55" i="59" s="1"/>
  <c r="L55" i="1"/>
  <c r="M55" i="1" s="1"/>
  <c r="D55" i="60" s="1"/>
  <c r="D59" i="1"/>
  <c r="E59" i="1" s="1"/>
  <c r="D59" i="58" s="1"/>
  <c r="L59" i="1"/>
  <c r="M59" i="1" s="1"/>
  <c r="D59" i="60" s="1"/>
  <c r="I59" i="1"/>
  <c r="J59" i="1" s="1"/>
  <c r="D59" i="59" s="1"/>
  <c r="L63" i="1"/>
  <c r="M63" i="1" s="1"/>
  <c r="D63" i="60" s="1"/>
  <c r="I63" i="1"/>
  <c r="J63" i="1" s="1"/>
  <c r="D63" i="59" s="1"/>
  <c r="D63" i="1"/>
  <c r="E63" i="1" s="1"/>
  <c r="D63" i="58" s="1"/>
  <c r="L67" i="1"/>
  <c r="M67" i="1" s="1"/>
  <c r="D67" i="60" s="1"/>
  <c r="I67" i="1"/>
  <c r="J67" i="1" s="1"/>
  <c r="D67" i="59" s="1"/>
  <c r="D67" i="1"/>
  <c r="E67" i="1" s="1"/>
  <c r="D67" i="58" s="1"/>
  <c r="I71" i="1"/>
  <c r="J71" i="1" s="1"/>
  <c r="D71" i="59" s="1"/>
  <c r="D71" i="1"/>
  <c r="E71" i="1" s="1"/>
  <c r="D71" i="58" s="1"/>
  <c r="L71" i="1"/>
  <c r="M71" i="1" s="1"/>
  <c r="D71" i="60" s="1"/>
  <c r="D75" i="1"/>
  <c r="E75" i="1" s="1"/>
  <c r="D75" i="58" s="1"/>
  <c r="L75" i="1"/>
  <c r="M75" i="1" s="1"/>
  <c r="D75" i="60" s="1"/>
  <c r="I75" i="1"/>
  <c r="J75" i="1" s="1"/>
  <c r="D75" i="59" s="1"/>
  <c r="L79" i="1"/>
  <c r="M79" i="1" s="1"/>
  <c r="D79" i="60" s="1"/>
  <c r="D79" i="1"/>
  <c r="E79" i="1" s="1"/>
  <c r="D79" i="58" s="1"/>
  <c r="I79" i="1"/>
  <c r="J79" i="1" s="1"/>
  <c r="D79" i="59" s="1"/>
  <c r="I83" i="1"/>
  <c r="J83" i="1" s="1"/>
  <c r="D83" i="59" s="1"/>
  <c r="D83" i="1"/>
  <c r="E83" i="1" s="1"/>
  <c r="D83" i="58" s="1"/>
  <c r="L83" i="1"/>
  <c r="M83" i="1" s="1"/>
  <c r="D83" i="60" s="1"/>
  <c r="L87" i="1"/>
  <c r="M87" i="1" s="1"/>
  <c r="D87" i="60" s="1"/>
  <c r="D87" i="1"/>
  <c r="E87" i="1" s="1"/>
  <c r="D87" i="58" s="1"/>
  <c r="I87" i="1"/>
  <c r="J87" i="1" s="1"/>
  <c r="D87" i="59" s="1"/>
  <c r="D91" i="1"/>
  <c r="E91" i="1" s="1"/>
  <c r="D91" i="58" s="1"/>
  <c r="L91" i="1"/>
  <c r="M91" i="1" s="1"/>
  <c r="D91" i="60" s="1"/>
  <c r="I91" i="1"/>
  <c r="J91" i="1" s="1"/>
  <c r="D91" i="59" s="1"/>
  <c r="L97" i="1"/>
  <c r="M97" i="1" s="1"/>
  <c r="D97" i="60" s="1"/>
  <c r="D97" i="1"/>
  <c r="E97" i="1" s="1"/>
  <c r="D97" i="58" s="1"/>
  <c r="I97" i="1"/>
  <c r="J97" i="1" s="1"/>
  <c r="D97" i="59" s="1"/>
  <c r="I108" i="1"/>
  <c r="J108" i="1" s="1"/>
  <c r="D108" i="59" s="1"/>
  <c r="D108" i="1"/>
  <c r="E108" i="1" s="1"/>
  <c r="D108" i="58" s="1"/>
  <c r="L108" i="1"/>
  <c r="M108" i="1" s="1"/>
  <c r="D108" i="60" s="1"/>
  <c r="D104" i="1"/>
  <c r="E104" i="1" s="1"/>
  <c r="D104" i="58" s="1"/>
  <c r="L104" i="1"/>
  <c r="M104" i="1" s="1"/>
  <c r="D104" i="60" s="1"/>
  <c r="I104" i="1"/>
  <c r="J104" i="1" s="1"/>
  <c r="D104" i="59" s="1"/>
  <c r="D100" i="1"/>
  <c r="E100" i="1" s="1"/>
  <c r="D100" i="58" s="1"/>
  <c r="I100" i="1"/>
  <c r="J100" i="1" s="1"/>
  <c r="D100" i="59" s="1"/>
  <c r="L100" i="1"/>
  <c r="M100" i="1" s="1"/>
  <c r="D100" i="60" s="1"/>
  <c r="L12" i="1"/>
  <c r="M12" i="1" s="1"/>
  <c r="D12" i="60" s="1"/>
  <c r="I12" i="1"/>
  <c r="J12" i="1" s="1"/>
  <c r="D12" i="59" s="1"/>
  <c r="D12" i="1"/>
  <c r="E12" i="1" s="1"/>
  <c r="D12" i="58" s="1"/>
  <c r="I28" i="1"/>
  <c r="J28" i="1" s="1"/>
  <c r="D28" i="59" s="1"/>
  <c r="D28" i="1"/>
  <c r="E28" i="1" s="1"/>
  <c r="D28" i="58" s="1"/>
  <c r="L28" i="1"/>
  <c r="M28" i="1" s="1"/>
  <c r="D28" i="60" s="1"/>
  <c r="D48" i="1"/>
  <c r="E48" i="1" s="1"/>
  <c r="D48" i="58" s="1"/>
  <c r="I48" i="1"/>
  <c r="J48" i="1" s="1"/>
  <c r="D48" i="59" s="1"/>
  <c r="L48" i="1"/>
  <c r="M48" i="1" s="1"/>
  <c r="D48" i="60" s="1"/>
  <c r="D64" i="1"/>
  <c r="E64" i="1" s="1"/>
  <c r="D64" i="58" s="1"/>
  <c r="I64" i="1"/>
  <c r="J64" i="1" s="1"/>
  <c r="D64" i="59" s="1"/>
  <c r="L64" i="1"/>
  <c r="M64" i="1" s="1"/>
  <c r="D64" i="60" s="1"/>
  <c r="I80" i="1"/>
  <c r="J80" i="1" s="1"/>
  <c r="D80" i="59" s="1"/>
  <c r="L80" i="1"/>
  <c r="M80" i="1" s="1"/>
  <c r="D80" i="60" s="1"/>
  <c r="D80" i="1"/>
  <c r="E80" i="1" s="1"/>
  <c r="D80" i="58" s="1"/>
  <c r="D107" i="1"/>
  <c r="E107" i="1" s="1"/>
  <c r="D107" i="58" s="1"/>
  <c r="I107" i="1"/>
  <c r="J107" i="1" s="1"/>
  <c r="D107" i="59" s="1"/>
  <c r="L107" i="1"/>
  <c r="M107" i="1" s="1"/>
  <c r="D107" i="60" s="1"/>
  <c r="L8" i="1"/>
  <c r="M8" i="1" s="1"/>
  <c r="D8" i="60" s="1"/>
  <c r="I8" i="1"/>
  <c r="J8" i="1" s="1"/>
  <c r="D8" i="59" s="1"/>
  <c r="D8" i="1"/>
  <c r="E8" i="1" s="1"/>
  <c r="D8" i="58" s="1"/>
  <c r="D24" i="1"/>
  <c r="E24" i="1" s="1"/>
  <c r="D24" i="58" s="1"/>
  <c r="L24" i="1"/>
  <c r="M24" i="1" s="1"/>
  <c r="D24" i="60" s="1"/>
  <c r="I24" i="1"/>
  <c r="J24" i="1" s="1"/>
  <c r="D24" i="59" s="1"/>
  <c r="L40" i="1"/>
  <c r="M40" i="1" s="1"/>
  <c r="D40" i="60" s="1"/>
  <c r="D40" i="1"/>
  <c r="E40" i="1" s="1"/>
  <c r="D40" i="58" s="1"/>
  <c r="I40" i="1"/>
  <c r="J40" i="1" s="1"/>
  <c r="D40" i="59" s="1"/>
  <c r="L56" i="1"/>
  <c r="M56" i="1" s="1"/>
  <c r="D56" i="60" s="1"/>
  <c r="I56" i="1"/>
  <c r="J56" i="1" s="1"/>
  <c r="D56" i="59" s="1"/>
  <c r="D56" i="1"/>
  <c r="E56" i="1" s="1"/>
  <c r="D56" i="58" s="1"/>
  <c r="D68" i="1"/>
  <c r="E68" i="1" s="1"/>
  <c r="D68" i="58" s="1"/>
  <c r="L68" i="1"/>
  <c r="M68" i="1" s="1"/>
  <c r="D68" i="60" s="1"/>
  <c r="I68" i="1"/>
  <c r="J68" i="1" s="1"/>
  <c r="D68" i="59" s="1"/>
  <c r="I84" i="1"/>
  <c r="J84" i="1" s="1"/>
  <c r="D84" i="59" s="1"/>
  <c r="L84" i="1"/>
  <c r="M84" i="1" s="1"/>
  <c r="D84" i="60" s="1"/>
  <c r="D84" i="1"/>
  <c r="E84" i="1" s="1"/>
  <c r="D84" i="58" s="1"/>
  <c r="L92" i="1"/>
  <c r="M92" i="1" s="1"/>
  <c r="D92" i="60" s="1"/>
  <c r="D92" i="1"/>
  <c r="E92" i="1" s="1"/>
  <c r="D92" i="58" s="1"/>
  <c r="I92" i="1"/>
  <c r="J92" i="1" s="1"/>
  <c r="D92" i="59" s="1"/>
  <c r="L103" i="1"/>
  <c r="M103" i="1" s="1"/>
  <c r="D103" i="60" s="1"/>
  <c r="D103" i="1"/>
  <c r="E103" i="1" s="1"/>
  <c r="D103" i="58" s="1"/>
  <c r="I103" i="1"/>
  <c r="J103" i="1" s="1"/>
  <c r="D103" i="59" s="1"/>
  <c r="L13" i="1"/>
  <c r="M13" i="1" s="1"/>
  <c r="D13" i="60" s="1"/>
  <c r="D13" i="1"/>
  <c r="E13" i="1" s="1"/>
  <c r="D13" i="58" s="1"/>
  <c r="I13" i="1"/>
  <c r="J13" i="1" s="1"/>
  <c r="D13" i="59" s="1"/>
  <c r="I25" i="1"/>
  <c r="J25" i="1" s="1"/>
  <c r="D25" i="59" s="1"/>
  <c r="L25" i="1"/>
  <c r="M25" i="1" s="1"/>
  <c r="D25" i="60" s="1"/>
  <c r="D25" i="1"/>
  <c r="E25" i="1" s="1"/>
  <c r="D25" i="58" s="1"/>
  <c r="D37" i="1"/>
  <c r="E37" i="1" s="1"/>
  <c r="D37" i="58" s="1"/>
  <c r="L37" i="1"/>
  <c r="M37" i="1" s="1"/>
  <c r="D37" i="60" s="1"/>
  <c r="I37" i="1"/>
  <c r="J37" i="1" s="1"/>
  <c r="D37" i="59" s="1"/>
  <c r="I49" i="1"/>
  <c r="J49" i="1" s="1"/>
  <c r="D49" i="59" s="1"/>
  <c r="L49" i="1"/>
  <c r="M49" i="1" s="1"/>
  <c r="D49" i="60" s="1"/>
  <c r="D49" i="1"/>
  <c r="E49" i="1" s="1"/>
  <c r="D49" i="58" s="1"/>
  <c r="D53" i="1"/>
  <c r="E53" i="1" s="1"/>
  <c r="D53" i="58" s="1"/>
  <c r="I53" i="1"/>
  <c r="J53" i="1" s="1"/>
  <c r="D53" i="59" s="1"/>
  <c r="L53" i="1"/>
  <c r="M53" i="1" s="1"/>
  <c r="D53" i="60" s="1"/>
  <c r="I57" i="1"/>
  <c r="J57" i="1" s="1"/>
  <c r="D57" i="59" s="1"/>
  <c r="L57" i="1"/>
  <c r="M57" i="1" s="1"/>
  <c r="D57" i="60" s="1"/>
  <c r="D57" i="1"/>
  <c r="E57" i="1" s="1"/>
  <c r="D57" i="58" s="1"/>
  <c r="L61" i="1"/>
  <c r="M61" i="1" s="1"/>
  <c r="D61" i="60" s="1"/>
  <c r="D61" i="1"/>
  <c r="E61" i="1" s="1"/>
  <c r="D61" i="58" s="1"/>
  <c r="I61" i="1"/>
  <c r="J61" i="1" s="1"/>
  <c r="D61" i="59" s="1"/>
  <c r="I65" i="1"/>
  <c r="J65" i="1" s="1"/>
  <c r="D65" i="59" s="1"/>
  <c r="L65" i="1"/>
  <c r="M65" i="1" s="1"/>
  <c r="D65" i="60" s="1"/>
  <c r="D65" i="1"/>
  <c r="E65" i="1" s="1"/>
  <c r="D65" i="58" s="1"/>
  <c r="I69" i="1"/>
  <c r="J69" i="1" s="1"/>
  <c r="D69" i="59" s="1"/>
  <c r="D69" i="1"/>
  <c r="E69" i="1" s="1"/>
  <c r="D69" i="58" s="1"/>
  <c r="L69" i="1"/>
  <c r="M69" i="1" s="1"/>
  <c r="D69" i="60" s="1"/>
  <c r="L73" i="1"/>
  <c r="M73" i="1" s="1"/>
  <c r="D73" i="60" s="1"/>
  <c r="D73" i="1"/>
  <c r="E73" i="1" s="1"/>
  <c r="D73" i="58" s="1"/>
  <c r="I73" i="1"/>
  <c r="J73" i="1" s="1"/>
  <c r="D73" i="59" s="1"/>
  <c r="I77" i="1"/>
  <c r="J77" i="1" s="1"/>
  <c r="D77" i="59" s="1"/>
  <c r="D77" i="1"/>
  <c r="E77" i="1" s="1"/>
  <c r="D77" i="58" s="1"/>
  <c r="L77" i="1"/>
  <c r="M77" i="1" s="1"/>
  <c r="D77" i="60" s="1"/>
  <c r="L81" i="1"/>
  <c r="M81" i="1" s="1"/>
  <c r="D81" i="60" s="1"/>
  <c r="D81" i="1"/>
  <c r="E81" i="1" s="1"/>
  <c r="D81" i="58" s="1"/>
  <c r="I81" i="1"/>
  <c r="J81" i="1" s="1"/>
  <c r="D81" i="59" s="1"/>
  <c r="L85" i="1"/>
  <c r="M85" i="1" s="1"/>
  <c r="D85" i="60" s="1"/>
  <c r="I85" i="1"/>
  <c r="J85" i="1" s="1"/>
  <c r="D85" i="59" s="1"/>
  <c r="D85" i="1"/>
  <c r="E85" i="1" s="1"/>
  <c r="D85" i="58" s="1"/>
  <c r="I89" i="1"/>
  <c r="J89" i="1" s="1"/>
  <c r="D89" i="59" s="1"/>
  <c r="D89" i="1"/>
  <c r="E89" i="1" s="1"/>
  <c r="D89" i="58" s="1"/>
  <c r="L89" i="1"/>
  <c r="M89" i="1" s="1"/>
  <c r="D89" i="60" s="1"/>
  <c r="I93" i="1"/>
  <c r="J93" i="1" s="1"/>
  <c r="D93" i="59" s="1"/>
  <c r="D93" i="1"/>
  <c r="E93" i="1" s="1"/>
  <c r="D93" i="58" s="1"/>
  <c r="L93" i="1"/>
  <c r="M93" i="1" s="1"/>
  <c r="D93" i="60" s="1"/>
  <c r="I95" i="1"/>
  <c r="J95" i="1" s="1"/>
  <c r="D95" i="59" s="1"/>
  <c r="D95" i="1"/>
  <c r="E95" i="1" s="1"/>
  <c r="D95" i="58" s="1"/>
  <c r="L95" i="1"/>
  <c r="M95" i="1" s="1"/>
  <c r="D95" i="60" s="1"/>
  <c r="L106" i="1"/>
  <c r="M106" i="1" s="1"/>
  <c r="D106" i="60" s="1"/>
  <c r="D106" i="1"/>
  <c r="E106" i="1" s="1"/>
  <c r="D106" i="58" s="1"/>
  <c r="I106" i="1"/>
  <c r="J106" i="1" s="1"/>
  <c r="D106" i="59" s="1"/>
  <c r="D102" i="1"/>
  <c r="E102" i="1" s="1"/>
  <c r="D102" i="58" s="1"/>
  <c r="I102" i="1"/>
  <c r="J102" i="1" s="1"/>
  <c r="D102" i="59" s="1"/>
  <c r="L102" i="1"/>
  <c r="M102" i="1" s="1"/>
  <c r="D102" i="60" s="1"/>
  <c r="L98" i="1"/>
  <c r="D98" i="1"/>
  <c r="I98" i="1"/>
  <c r="L16" i="1"/>
  <c r="M16" i="1" s="1"/>
  <c r="D16" i="60" s="1"/>
  <c r="I16" i="1"/>
  <c r="J16" i="1" s="1"/>
  <c r="D16" i="59" s="1"/>
  <c r="D16" i="1"/>
  <c r="E16" i="1" s="1"/>
  <c r="D16" i="58" s="1"/>
  <c r="D32" i="1"/>
  <c r="E32" i="1" s="1"/>
  <c r="D32" i="58" s="1"/>
  <c r="L32" i="1"/>
  <c r="M32" i="1" s="1"/>
  <c r="D32" i="60" s="1"/>
  <c r="I32" i="1"/>
  <c r="J32" i="1" s="1"/>
  <c r="D32" i="59" s="1"/>
  <c r="L44" i="1"/>
  <c r="M44" i="1" s="1"/>
  <c r="D44" i="60" s="1"/>
  <c r="I44" i="1"/>
  <c r="J44" i="1" s="1"/>
  <c r="D44" i="59" s="1"/>
  <c r="D44" i="1"/>
  <c r="E44" i="1" s="1"/>
  <c r="D44" i="58" s="1"/>
  <c r="L60" i="1"/>
  <c r="M60" i="1" s="1"/>
  <c r="D60" i="60" s="1"/>
  <c r="I60" i="1"/>
  <c r="J60" i="1" s="1"/>
  <c r="D60" i="59" s="1"/>
  <c r="D60" i="1"/>
  <c r="E60" i="1" s="1"/>
  <c r="D60" i="58" s="1"/>
  <c r="D76" i="1"/>
  <c r="E76" i="1" s="1"/>
  <c r="D76" i="58" s="1"/>
  <c r="I76" i="1"/>
  <c r="J76" i="1" s="1"/>
  <c r="D76" i="59" s="1"/>
  <c r="L76" i="1"/>
  <c r="M76" i="1" s="1"/>
  <c r="D76" i="60" s="1"/>
  <c r="L88" i="1"/>
  <c r="M88" i="1" s="1"/>
  <c r="D88" i="60" s="1"/>
  <c r="D88" i="1"/>
  <c r="E88" i="1" s="1"/>
  <c r="D88" i="58" s="1"/>
  <c r="I88" i="1"/>
  <c r="J88" i="1" s="1"/>
  <c r="D88" i="59" s="1"/>
  <c r="D96" i="1"/>
  <c r="E96" i="1" s="1"/>
  <c r="D96" i="58" s="1"/>
  <c r="L96" i="1"/>
  <c r="M96" i="1" s="1"/>
  <c r="D96" i="60" s="1"/>
  <c r="I96" i="1"/>
  <c r="J96" i="1" s="1"/>
  <c r="D96" i="59" s="1"/>
  <c r="L99" i="1"/>
  <c r="M99" i="1" s="1"/>
  <c r="D99" i="60" s="1"/>
  <c r="I99" i="1"/>
  <c r="J99" i="1" s="1"/>
  <c r="D99" i="59" s="1"/>
  <c r="D99" i="1"/>
  <c r="E99" i="1" s="1"/>
  <c r="D99" i="58" s="1"/>
  <c r="I9" i="1"/>
  <c r="J9" i="1" s="1"/>
  <c r="D9" i="59" s="1"/>
  <c r="L9" i="1"/>
  <c r="M9" i="1" s="1"/>
  <c r="D9" i="60" s="1"/>
  <c r="D9" i="1"/>
  <c r="E9" i="1" s="1"/>
  <c r="D9" i="58" s="1"/>
  <c r="L21" i="1"/>
  <c r="M21" i="1" s="1"/>
  <c r="D21" i="60" s="1"/>
  <c r="I21" i="1"/>
  <c r="J21" i="1" s="1"/>
  <c r="D21" i="59" s="1"/>
  <c r="D21" i="1"/>
  <c r="E21" i="1" s="1"/>
  <c r="D21" i="58" s="1"/>
  <c r="I33" i="1"/>
  <c r="J33" i="1" s="1"/>
  <c r="D33" i="59" s="1"/>
  <c r="D33" i="1"/>
  <c r="E33" i="1" s="1"/>
  <c r="D33" i="58" s="1"/>
  <c r="L33" i="1"/>
  <c r="M33" i="1" s="1"/>
  <c r="D33" i="60" s="1"/>
  <c r="L45" i="1"/>
  <c r="M45" i="1" s="1"/>
  <c r="D45" i="60" s="1"/>
  <c r="I45" i="1"/>
  <c r="J45" i="1" s="1"/>
  <c r="D45" i="59" s="1"/>
  <c r="D45" i="1"/>
  <c r="E45" i="1" s="1"/>
  <c r="D45" i="58" s="1"/>
  <c r="L6" i="1"/>
  <c r="M6" i="1" s="1"/>
  <c r="D6" i="60" s="1"/>
  <c r="I6" i="1"/>
  <c r="J6" i="1" s="1"/>
  <c r="D6" i="59" s="1"/>
  <c r="D6" i="1"/>
  <c r="E6" i="1" s="1"/>
  <c r="D6" i="58" s="1"/>
  <c r="T6" i="58" s="1"/>
  <c r="U6" i="58" s="1"/>
  <c r="I18" i="1"/>
  <c r="J18" i="1" s="1"/>
  <c r="D18" i="59" s="1"/>
  <c r="D18" i="1"/>
  <c r="E18" i="1" s="1"/>
  <c r="D18" i="58" s="1"/>
  <c r="L18" i="1"/>
  <c r="M18" i="1" s="1"/>
  <c r="D18" i="60" s="1"/>
  <c r="D26" i="1"/>
  <c r="L26" i="1"/>
  <c r="I26" i="1"/>
  <c r="I38" i="1"/>
  <c r="D38" i="1"/>
  <c r="L38" i="1"/>
  <c r="I46" i="1"/>
  <c r="J46" i="1" s="1"/>
  <c r="D46" i="59" s="1"/>
  <c r="L46" i="1"/>
  <c r="M46" i="1" s="1"/>
  <c r="D46" i="60" s="1"/>
  <c r="D46" i="1"/>
  <c r="E46" i="1" s="1"/>
  <c r="D46" i="58" s="1"/>
  <c r="L58" i="1"/>
  <c r="M58" i="1" s="1"/>
  <c r="D58" i="60" s="1"/>
  <c r="D58" i="1"/>
  <c r="E58" i="1" s="1"/>
  <c r="D58" i="58" s="1"/>
  <c r="I58" i="1"/>
  <c r="J58" i="1" s="1"/>
  <c r="D58" i="59" s="1"/>
  <c r="D66" i="1"/>
  <c r="E66" i="1" s="1"/>
  <c r="D66" i="58" s="1"/>
  <c r="I66" i="1"/>
  <c r="J66" i="1" s="1"/>
  <c r="D66" i="59" s="1"/>
  <c r="L66" i="1"/>
  <c r="M66" i="1" s="1"/>
  <c r="D66" i="60" s="1"/>
  <c r="I78" i="1"/>
  <c r="J78" i="1" s="1"/>
  <c r="D78" i="59" s="1"/>
  <c r="L78" i="1"/>
  <c r="M78" i="1" s="1"/>
  <c r="D78" i="60" s="1"/>
  <c r="D78" i="1"/>
  <c r="E78" i="1" s="1"/>
  <c r="D78" i="58" s="1"/>
  <c r="I90" i="1"/>
  <c r="J90" i="1" s="1"/>
  <c r="D90" i="59" s="1"/>
  <c r="D90" i="1"/>
  <c r="E90" i="1" s="1"/>
  <c r="D90" i="58" s="1"/>
  <c r="L90" i="1"/>
  <c r="M90" i="1" s="1"/>
  <c r="D90" i="60" s="1"/>
  <c r="D101" i="1"/>
  <c r="E101" i="1" s="1"/>
  <c r="D101" i="58" s="1"/>
  <c r="I101" i="1"/>
  <c r="J101" i="1" s="1"/>
  <c r="D101" i="59" s="1"/>
  <c r="L101" i="1"/>
  <c r="M101" i="1" s="1"/>
  <c r="D101" i="60" s="1"/>
  <c r="E23" i="63" l="1"/>
  <c r="D7" i="61"/>
  <c r="H7" i="61" s="1"/>
  <c r="D13" i="61"/>
  <c r="H13" i="61" s="1"/>
  <c r="D10" i="61"/>
  <c r="H10" i="61" s="1"/>
  <c r="V8" i="61"/>
  <c r="Z8" i="61" s="1"/>
  <c r="V7" i="61"/>
  <c r="Z7" i="61" s="1"/>
  <c r="M13" i="61"/>
  <c r="Q13" i="61" s="1"/>
  <c r="V11" i="61"/>
  <c r="Z11" i="61" s="1"/>
  <c r="V9" i="61"/>
  <c r="Z9" i="61" s="1"/>
  <c r="D6" i="61"/>
  <c r="H6" i="61" s="1"/>
  <c r="D5" i="61"/>
  <c r="H5" i="61" s="1"/>
  <c r="M5" i="61"/>
  <c r="Q5" i="61" s="1"/>
  <c r="D8" i="61"/>
  <c r="H8" i="61" s="1"/>
  <c r="D11" i="61"/>
  <c r="H11" i="61" s="1"/>
  <c r="V12" i="61"/>
  <c r="Z12" i="61" s="1"/>
  <c r="M10" i="61"/>
  <c r="Q10" i="61" s="1"/>
  <c r="V6" i="61"/>
  <c r="Z6" i="61" s="1"/>
  <c r="V5" i="61"/>
  <c r="Z5" i="61" s="1"/>
  <c r="M12" i="61"/>
  <c r="Q12" i="61" s="1"/>
  <c r="D9" i="61"/>
  <c r="H9" i="61" s="1"/>
  <c r="M8" i="61"/>
  <c r="Q8" i="61" s="1"/>
  <c r="V13" i="61"/>
  <c r="Z13" i="61" s="1"/>
  <c r="M7" i="61"/>
  <c r="Q7" i="61" s="1"/>
  <c r="D12" i="61"/>
  <c r="H12" i="61" s="1"/>
  <c r="M11" i="61"/>
  <c r="Q11" i="61" s="1"/>
  <c r="V10" i="61"/>
  <c r="Z10" i="61" s="1"/>
  <c r="M9" i="61"/>
  <c r="Q9" i="61" s="1"/>
  <c r="M6" i="61"/>
  <c r="Q6" i="61" s="1"/>
  <c r="D23" i="63"/>
  <c r="G23" i="63"/>
  <c r="F23" i="63"/>
  <c r="C23" i="63"/>
  <c r="J33" i="57"/>
  <c r="J32" i="57"/>
  <c r="AE13" i="61"/>
  <c r="AF13" i="61" s="1"/>
  <c r="G5" i="63"/>
  <c r="C13" i="62"/>
  <c r="E13" i="62" s="1"/>
  <c r="G6" i="63"/>
  <c r="I13" i="62"/>
  <c r="K13" i="62" s="1"/>
  <c r="E11" i="61"/>
  <c r="E3" i="63"/>
  <c r="C11" i="62"/>
  <c r="E11" i="62" s="1"/>
  <c r="AE11" i="61"/>
  <c r="AJ11" i="61" s="1"/>
  <c r="W11" i="61"/>
  <c r="E5" i="63"/>
  <c r="C10" i="62"/>
  <c r="E10" i="62" s="1"/>
  <c r="AE10" i="61"/>
  <c r="AJ10" i="61" s="1"/>
  <c r="D5" i="63"/>
  <c r="I8" i="62"/>
  <c r="K8" i="62" s="1"/>
  <c r="AE7" i="61"/>
  <c r="AJ7" i="61" s="1"/>
  <c r="C7" i="62"/>
  <c r="E7" i="62" s="1"/>
  <c r="W7" i="61"/>
  <c r="G22" i="25"/>
  <c r="G22" i="56"/>
  <c r="C22" i="25"/>
  <c r="C22" i="56"/>
  <c r="F22" i="25"/>
  <c r="F22" i="56"/>
  <c r="AE14" i="61"/>
  <c r="AF14" i="61" s="1"/>
  <c r="H5" i="63"/>
  <c r="W14" i="61"/>
  <c r="C14" i="62"/>
  <c r="J24" i="62"/>
  <c r="H22" i="63"/>
  <c r="J23" i="62"/>
  <c r="G4" i="63"/>
  <c r="F4" i="63"/>
  <c r="E4" i="63"/>
  <c r="AE9" i="61"/>
  <c r="AJ9" i="61" s="1"/>
  <c r="C9" i="62"/>
  <c r="E9" i="62" s="1"/>
  <c r="C5" i="63"/>
  <c r="D4" i="63"/>
  <c r="C4" i="63"/>
  <c r="E7" i="61"/>
  <c r="E6" i="61"/>
  <c r="I5" i="62"/>
  <c r="E22" i="25"/>
  <c r="E22" i="56"/>
  <c r="I8" i="60"/>
  <c r="P8" i="60" s="1"/>
  <c r="T8" i="60" s="1"/>
  <c r="G8" i="59"/>
  <c r="N8" i="59" s="1"/>
  <c r="S8" i="59" s="1"/>
  <c r="G8" i="58"/>
  <c r="N8" i="58" s="1"/>
  <c r="S8" i="58" s="1"/>
  <c r="E14" i="61"/>
  <c r="H3" i="63"/>
  <c r="H4" i="63"/>
  <c r="N14" i="61"/>
  <c r="I12" i="62"/>
  <c r="K12" i="62" s="1"/>
  <c r="F6" i="63"/>
  <c r="D3" i="63"/>
  <c r="I10" i="62"/>
  <c r="K10" i="62" s="1"/>
  <c r="D6" i="63"/>
  <c r="AF10" i="61"/>
  <c r="I9" i="62"/>
  <c r="K9" i="62" s="1"/>
  <c r="C6" i="63"/>
  <c r="AF9" i="61"/>
  <c r="I7" i="62"/>
  <c r="K7" i="62" s="1"/>
  <c r="L9" i="62" s="1"/>
  <c r="AF7" i="61"/>
  <c r="AH7" i="61" s="1"/>
  <c r="AI7" i="61" s="1"/>
  <c r="AK7" i="61" s="1"/>
  <c r="I6" i="62"/>
  <c r="K6" i="62" s="1"/>
  <c r="W5" i="61"/>
  <c r="C5" i="62"/>
  <c r="E5" i="62" s="1"/>
  <c r="AE5" i="61"/>
  <c r="AJ5" i="61" s="1"/>
  <c r="T7" i="58"/>
  <c r="U7" i="58" s="1"/>
  <c r="D23" i="24"/>
  <c r="H21" i="25"/>
  <c r="H6" i="63"/>
  <c r="I14" i="62"/>
  <c r="G3" i="63"/>
  <c r="F3" i="63"/>
  <c r="F5" i="63"/>
  <c r="C12" i="62"/>
  <c r="E12" i="62" s="1"/>
  <c r="AE12" i="61"/>
  <c r="AJ12" i="61" s="1"/>
  <c r="H21" i="63"/>
  <c r="D23" i="62"/>
  <c r="D24" i="62"/>
  <c r="E14" i="62"/>
  <c r="I11" i="62"/>
  <c r="K11" i="62" s="1"/>
  <c r="E6" i="63"/>
  <c r="AF11" i="61"/>
  <c r="C3" i="63"/>
  <c r="C8" i="62"/>
  <c r="E8" i="62" s="1"/>
  <c r="AE8" i="61"/>
  <c r="AJ8" i="61" s="1"/>
  <c r="C6" i="62"/>
  <c r="E6" i="62" s="1"/>
  <c r="F8" i="62" s="1"/>
  <c r="AE6" i="61"/>
  <c r="AJ6" i="61" s="1"/>
  <c r="K5" i="62"/>
  <c r="F33" i="63"/>
  <c r="F33" i="56"/>
  <c r="E34" i="63"/>
  <c r="E34" i="56"/>
  <c r="D33" i="63"/>
  <c r="D33" i="56"/>
  <c r="D34" i="63"/>
  <c r="D34" i="56"/>
  <c r="C34" i="25"/>
  <c r="C34" i="63"/>
  <c r="C34" i="56"/>
  <c r="H33" i="63"/>
  <c r="H33" i="56"/>
  <c r="G34" i="63"/>
  <c r="G34" i="56"/>
  <c r="G37" i="63"/>
  <c r="AO13" i="61"/>
  <c r="AP13" i="61" s="1"/>
  <c r="AQ13" i="61" s="1"/>
  <c r="G37" i="56"/>
  <c r="G35" i="63"/>
  <c r="G35" i="56"/>
  <c r="F35" i="63"/>
  <c r="F35" i="56"/>
  <c r="AO11" i="61"/>
  <c r="AP11" i="61" s="1"/>
  <c r="AQ11" i="61" s="1"/>
  <c r="E37" i="63"/>
  <c r="E37" i="56"/>
  <c r="D36" i="63"/>
  <c r="AG10" i="61"/>
  <c r="AH10" i="61" s="1"/>
  <c r="AI10" i="61" s="1"/>
  <c r="AK10" i="61" s="1"/>
  <c r="D36" i="56"/>
  <c r="C37" i="63"/>
  <c r="AO9" i="61"/>
  <c r="AP9" i="61" s="1"/>
  <c r="AQ9" i="61" s="1"/>
  <c r="C37" i="56"/>
  <c r="C35" i="25"/>
  <c r="C35" i="63"/>
  <c r="C35" i="56"/>
  <c r="AG14" i="61"/>
  <c r="AH14" i="61" s="1"/>
  <c r="H36" i="63"/>
  <c r="H36" i="56"/>
  <c r="F34" i="63"/>
  <c r="F34" i="56"/>
  <c r="AG11" i="61"/>
  <c r="AH11" i="61" s="1"/>
  <c r="AI11" i="61" s="1"/>
  <c r="AK11" i="61" s="1"/>
  <c r="E36" i="63"/>
  <c r="E36" i="56"/>
  <c r="D35" i="63"/>
  <c r="D35" i="56"/>
  <c r="C33" i="25"/>
  <c r="C33" i="63"/>
  <c r="C33" i="56"/>
  <c r="AO14" i="61"/>
  <c r="AP14" i="61" s="1"/>
  <c r="H37" i="63"/>
  <c r="H37" i="56"/>
  <c r="G33" i="63"/>
  <c r="G33" i="56"/>
  <c r="F36" i="63"/>
  <c r="AG12" i="61"/>
  <c r="F36" i="56"/>
  <c r="G36" i="63"/>
  <c r="AG13" i="61"/>
  <c r="AH13" i="61" s="1"/>
  <c r="AI13" i="61" s="1"/>
  <c r="AK13" i="61" s="1"/>
  <c r="G36" i="56"/>
  <c r="F37" i="63"/>
  <c r="AO12" i="61"/>
  <c r="AP12" i="61" s="1"/>
  <c r="AQ12" i="61" s="1"/>
  <c r="F37" i="56"/>
  <c r="E35" i="63"/>
  <c r="E35" i="56"/>
  <c r="E33" i="63"/>
  <c r="E33" i="56"/>
  <c r="AO10" i="61"/>
  <c r="AP10" i="61" s="1"/>
  <c r="AQ10" i="61" s="1"/>
  <c r="D37" i="63"/>
  <c r="D37" i="56"/>
  <c r="C36" i="63"/>
  <c r="AG9" i="61"/>
  <c r="AH9" i="61" s="1"/>
  <c r="AI9" i="61" s="1"/>
  <c r="AK9" i="61" s="1"/>
  <c r="C36" i="56"/>
  <c r="H34" i="63"/>
  <c r="H34" i="56"/>
  <c r="H35" i="63"/>
  <c r="H35" i="56"/>
  <c r="D6" i="25"/>
  <c r="I10" i="57"/>
  <c r="K10" i="57" s="1"/>
  <c r="L7" i="57"/>
  <c r="I11" i="57"/>
  <c r="K11" i="57" s="1"/>
  <c r="E6" i="25"/>
  <c r="L8" i="57"/>
  <c r="H6" i="25"/>
  <c r="I14" i="57"/>
  <c r="G6" i="25"/>
  <c r="I13" i="57"/>
  <c r="K13" i="57" s="1"/>
  <c r="C6" i="25"/>
  <c r="I9" i="57"/>
  <c r="K9" i="57" s="1"/>
  <c r="I12" i="57"/>
  <c r="K12" i="57" s="1"/>
  <c r="F6" i="25"/>
  <c r="C37" i="25"/>
  <c r="J24" i="24"/>
  <c r="C36" i="25"/>
  <c r="P7" i="36"/>
  <c r="T7" i="36" s="1"/>
  <c r="C9" i="24"/>
  <c r="O7" i="32"/>
  <c r="S7" i="32" s="1"/>
  <c r="I9" i="24"/>
  <c r="K9" i="24" s="1"/>
  <c r="I7" i="24"/>
  <c r="I8" i="24"/>
  <c r="K8" i="24" s="1"/>
  <c r="I5" i="24"/>
  <c r="I6" i="24"/>
  <c r="BL101" i="1"/>
  <c r="M38" i="1"/>
  <c r="D38" i="60" s="1"/>
  <c r="M26" i="1"/>
  <c r="D26" i="60" s="1"/>
  <c r="BL9" i="1"/>
  <c r="BL106" i="1"/>
  <c r="BL69" i="1"/>
  <c r="BL57" i="1"/>
  <c r="BL13" i="1"/>
  <c r="BL40" i="1"/>
  <c r="BL28" i="1"/>
  <c r="BL11" i="1"/>
  <c r="BL94" i="1"/>
  <c r="M86" i="1"/>
  <c r="D86" i="60" s="1"/>
  <c r="J62" i="1"/>
  <c r="D62" i="59" s="1"/>
  <c r="BL34" i="1"/>
  <c r="M2" i="1"/>
  <c r="D2" i="60" s="1"/>
  <c r="BL41" i="1"/>
  <c r="BL5" i="1"/>
  <c r="BL20" i="1"/>
  <c r="BL66" i="1"/>
  <c r="E38" i="1"/>
  <c r="BJ38" i="1" s="1"/>
  <c r="BK38" i="1" s="1"/>
  <c r="BL76" i="1"/>
  <c r="J98" i="1"/>
  <c r="D98" i="59" s="1"/>
  <c r="BL89" i="1"/>
  <c r="BL73" i="1"/>
  <c r="BL107" i="1"/>
  <c r="BL63" i="1"/>
  <c r="BL55" i="1"/>
  <c r="BL47" i="1"/>
  <c r="BL39" i="1"/>
  <c r="J74" i="1"/>
  <c r="D74" i="59" s="1"/>
  <c r="M62" i="1"/>
  <c r="D62" i="60" s="1"/>
  <c r="J14" i="1"/>
  <c r="D14" i="59" s="1"/>
  <c r="BL90" i="1"/>
  <c r="J38" i="1"/>
  <c r="D38" i="59" s="1"/>
  <c r="BL99" i="1"/>
  <c r="BL60" i="1"/>
  <c r="BL32" i="1"/>
  <c r="E98" i="1"/>
  <c r="BJ98" i="1" s="1"/>
  <c r="BK98" i="1" s="1"/>
  <c r="BL102" i="1"/>
  <c r="BL93" i="1"/>
  <c r="BL77" i="1"/>
  <c r="BL65" i="1"/>
  <c r="BL61" i="1"/>
  <c r="BL49" i="1"/>
  <c r="BL84" i="1"/>
  <c r="BL80" i="1"/>
  <c r="BL48" i="1"/>
  <c r="BL12" i="1"/>
  <c r="BL100" i="1"/>
  <c r="BL97" i="1"/>
  <c r="BL91" i="1"/>
  <c r="BL79" i="1"/>
  <c r="BL75" i="1"/>
  <c r="BL67" i="1"/>
  <c r="BL59" i="1"/>
  <c r="BL51" i="1"/>
  <c r="BL35" i="1"/>
  <c r="BL27" i="1"/>
  <c r="BL15" i="1"/>
  <c r="BL3" i="1"/>
  <c r="BL105" i="1"/>
  <c r="M74" i="1"/>
  <c r="D74" i="60" s="1"/>
  <c r="M50" i="1"/>
  <c r="D50" i="60" s="1"/>
  <c r="BL22" i="1"/>
  <c r="E14" i="1"/>
  <c r="D14" i="38" s="1"/>
  <c r="E2" i="1"/>
  <c r="D2" i="58" s="1"/>
  <c r="T2" i="58" s="1"/>
  <c r="U2" i="58" s="1"/>
  <c r="BL29" i="1"/>
  <c r="BL72" i="1"/>
  <c r="BL4" i="1"/>
  <c r="BL78" i="1"/>
  <c r="BL25" i="1"/>
  <c r="BL92" i="1"/>
  <c r="BL56" i="1"/>
  <c r="BL24" i="1"/>
  <c r="BL87" i="1"/>
  <c r="BL71" i="1"/>
  <c r="BL43" i="1"/>
  <c r="M14" i="1"/>
  <c r="D14" i="60" s="1"/>
  <c r="BL46" i="1"/>
  <c r="E26" i="1"/>
  <c r="BJ26" i="1" s="1"/>
  <c r="BK26" i="1" s="1"/>
  <c r="BL6" i="1"/>
  <c r="BL21" i="1"/>
  <c r="BL88" i="1"/>
  <c r="BL44" i="1"/>
  <c r="BL53" i="1"/>
  <c r="BL103" i="1"/>
  <c r="BL8" i="1"/>
  <c r="BL104" i="1"/>
  <c r="BL23" i="1"/>
  <c r="BL109" i="1"/>
  <c r="E86" i="1"/>
  <c r="BJ86" i="1" s="1"/>
  <c r="BK86" i="1" s="1"/>
  <c r="BL70" i="1"/>
  <c r="J50" i="1"/>
  <c r="D50" i="59" s="1"/>
  <c r="BL42" i="1"/>
  <c r="BL17" i="1"/>
  <c r="BL36" i="1"/>
  <c r="BL58" i="1"/>
  <c r="J26" i="1"/>
  <c r="D26" i="59" s="1"/>
  <c r="BL18" i="1"/>
  <c r="BL45" i="1"/>
  <c r="BL33" i="1"/>
  <c r="BL96" i="1"/>
  <c r="BL16" i="1"/>
  <c r="M98" i="1"/>
  <c r="D98" i="60" s="1"/>
  <c r="BL95" i="1"/>
  <c r="BL85" i="1"/>
  <c r="BL81" i="1"/>
  <c r="BL37" i="1"/>
  <c r="BL68" i="1"/>
  <c r="BL64" i="1"/>
  <c r="BL108" i="1"/>
  <c r="BL83" i="1"/>
  <c r="BL31" i="1"/>
  <c r="BL19" i="1"/>
  <c r="BL7" i="1"/>
  <c r="J86" i="1"/>
  <c r="D86" i="59" s="1"/>
  <c r="BL82" i="1"/>
  <c r="E74" i="1"/>
  <c r="S206" i="4" s="1"/>
  <c r="E62" i="1"/>
  <c r="D62" i="58" s="1"/>
  <c r="BL54" i="1"/>
  <c r="E50" i="1"/>
  <c r="BL30" i="1"/>
  <c r="BL10" i="1"/>
  <c r="J2" i="1"/>
  <c r="D2" i="59" s="1"/>
  <c r="BL52" i="1"/>
  <c r="E34" i="25"/>
  <c r="D34" i="25"/>
  <c r="F35" i="25"/>
  <c r="F34" i="25"/>
  <c r="F36" i="25"/>
  <c r="E36" i="25"/>
  <c r="D35" i="25"/>
  <c r="F33" i="25"/>
  <c r="D33" i="25"/>
  <c r="H34" i="25"/>
  <c r="H35" i="25"/>
  <c r="E37" i="25"/>
  <c r="D36" i="25"/>
  <c r="H33" i="25"/>
  <c r="F37" i="25"/>
  <c r="E35" i="25"/>
  <c r="E33" i="25"/>
  <c r="D37" i="25"/>
  <c r="H37" i="25"/>
  <c r="AO14" i="17"/>
  <c r="AP14" i="17" s="1"/>
  <c r="AQ14" i="17" s="1"/>
  <c r="BG9" i="1"/>
  <c r="G8" i="38"/>
  <c r="N8" i="38" s="1"/>
  <c r="S8" i="38" s="1"/>
  <c r="I8" i="36"/>
  <c r="G8" i="34"/>
  <c r="N8" i="34" s="1"/>
  <c r="S8" i="34" s="1"/>
  <c r="H8" i="32"/>
  <c r="G8" i="30"/>
  <c r="N8" i="30" s="1"/>
  <c r="S8" i="30" s="1"/>
  <c r="G8" i="28"/>
  <c r="N8" i="28" s="1"/>
  <c r="S8" i="28" s="1"/>
  <c r="AE14" i="17"/>
  <c r="AF14" i="17" s="1"/>
  <c r="C14" i="24"/>
  <c r="C24" i="24" s="1"/>
  <c r="E24" i="24" s="1"/>
  <c r="W14" i="17"/>
  <c r="E14" i="17"/>
  <c r="H22" i="25"/>
  <c r="I14" i="24"/>
  <c r="I24" i="24" s="1"/>
  <c r="K24" i="24" s="1"/>
  <c r="N14" i="17"/>
  <c r="H36" i="25"/>
  <c r="AG14" i="17"/>
  <c r="D58" i="34"/>
  <c r="D58" i="30"/>
  <c r="BO58" i="1"/>
  <c r="D6" i="34"/>
  <c r="BO6" i="1"/>
  <c r="D6" i="30"/>
  <c r="T6" i="30" s="1"/>
  <c r="D90" i="36"/>
  <c r="BS90" i="1"/>
  <c r="D90" i="32"/>
  <c r="BT90" i="1"/>
  <c r="D78" i="36"/>
  <c r="BS78" i="1"/>
  <c r="D78" i="32"/>
  <c r="BT78" i="1"/>
  <c r="D45" i="36"/>
  <c r="D45" i="32"/>
  <c r="BS45" i="1"/>
  <c r="BT45" i="1"/>
  <c r="D9" i="36"/>
  <c r="BS9" i="1"/>
  <c r="D9" i="32"/>
  <c r="BT9" i="1"/>
  <c r="D96" i="34"/>
  <c r="D96" i="30"/>
  <c r="BO96" i="1"/>
  <c r="D32" i="36"/>
  <c r="D32" i="32"/>
  <c r="BS32" i="1"/>
  <c r="BT32" i="1"/>
  <c r="D16" i="36"/>
  <c r="D16" i="32"/>
  <c r="BS16" i="1"/>
  <c r="BT16" i="1"/>
  <c r="D102" i="34"/>
  <c r="D102" i="30"/>
  <c r="BO102" i="1"/>
  <c r="D106" i="36"/>
  <c r="BS106" i="1"/>
  <c r="D106" i="32"/>
  <c r="BT106" i="1"/>
  <c r="D93" i="36"/>
  <c r="BS93" i="1"/>
  <c r="D93" i="32"/>
  <c r="BT93" i="1"/>
  <c r="D85" i="36"/>
  <c r="BS85" i="1"/>
  <c r="D85" i="32"/>
  <c r="BT85" i="1"/>
  <c r="D77" i="36"/>
  <c r="BS77" i="1"/>
  <c r="D77" i="32"/>
  <c r="BT77" i="1"/>
  <c r="D69" i="34"/>
  <c r="D69" i="30"/>
  <c r="BO69" i="1"/>
  <c r="D61" i="34"/>
  <c r="D61" i="30"/>
  <c r="BO61" i="1"/>
  <c r="D57" i="36"/>
  <c r="D57" i="32"/>
  <c r="BS57" i="1"/>
  <c r="BT57" i="1"/>
  <c r="D37" i="34"/>
  <c r="D37" i="30"/>
  <c r="BO37" i="1"/>
  <c r="D25" i="36"/>
  <c r="D25" i="32"/>
  <c r="BS25" i="1"/>
  <c r="BT25" i="1"/>
  <c r="D13" i="36"/>
  <c r="BS13" i="1"/>
  <c r="D13" i="32"/>
  <c r="BT13" i="1"/>
  <c r="D92" i="36"/>
  <c r="BS92" i="1"/>
  <c r="D92" i="32"/>
  <c r="BT92" i="1"/>
  <c r="D68" i="34"/>
  <c r="D68" i="30"/>
  <c r="BO68" i="1"/>
  <c r="D56" i="34"/>
  <c r="D56" i="30"/>
  <c r="BO56" i="1"/>
  <c r="D40" i="36"/>
  <c r="D40" i="32"/>
  <c r="BS40" i="1"/>
  <c r="BT40" i="1"/>
  <c r="D64" i="36"/>
  <c r="BS64" i="1"/>
  <c r="D64" i="32"/>
  <c r="BT64" i="1"/>
  <c r="D48" i="34"/>
  <c r="D48" i="30"/>
  <c r="BO48" i="1"/>
  <c r="D28" i="34"/>
  <c r="D28" i="30"/>
  <c r="BO28" i="1"/>
  <c r="D100" i="34"/>
  <c r="D100" i="30"/>
  <c r="BO100" i="1"/>
  <c r="D97" i="34"/>
  <c r="D97" i="30"/>
  <c r="BO97" i="1"/>
  <c r="D91" i="36"/>
  <c r="BS91" i="1"/>
  <c r="D91" i="32"/>
  <c r="BT91" i="1"/>
  <c r="D87" i="36"/>
  <c r="BS87" i="1"/>
  <c r="D87" i="32"/>
  <c r="BT87" i="1"/>
  <c r="D79" i="34"/>
  <c r="D79" i="30"/>
  <c r="BO79" i="1"/>
  <c r="D75" i="36"/>
  <c r="BS75" i="1"/>
  <c r="D75" i="32"/>
  <c r="BT75" i="1"/>
  <c r="D71" i="34"/>
  <c r="D71" i="30"/>
  <c r="BO71" i="1"/>
  <c r="D59" i="36"/>
  <c r="D59" i="32"/>
  <c r="BS59" i="1"/>
  <c r="BT59" i="1"/>
  <c r="D43" i="36"/>
  <c r="D43" i="32"/>
  <c r="BS43" i="1"/>
  <c r="BT43" i="1"/>
  <c r="D31" i="34"/>
  <c r="D31" i="30"/>
  <c r="BO31" i="1"/>
  <c r="D27" i="36"/>
  <c r="D27" i="32"/>
  <c r="BS27" i="1"/>
  <c r="BT27" i="1"/>
  <c r="D15" i="34"/>
  <c r="D15" i="30"/>
  <c r="BO15" i="1"/>
  <c r="D11" i="34"/>
  <c r="D11" i="30"/>
  <c r="BO11" i="1"/>
  <c r="D7" i="36"/>
  <c r="BS7" i="1"/>
  <c r="D7" i="32"/>
  <c r="BT7" i="1"/>
  <c r="D94" i="36"/>
  <c r="BS94" i="1"/>
  <c r="D94" i="32"/>
  <c r="BT94" i="1"/>
  <c r="D34" i="34"/>
  <c r="BO34" i="1"/>
  <c r="D34" i="30"/>
  <c r="D22" i="34"/>
  <c r="BO22" i="1"/>
  <c r="D22" i="30"/>
  <c r="D10" i="36"/>
  <c r="D10" i="32"/>
  <c r="BS10" i="1"/>
  <c r="BT10" i="1"/>
  <c r="D29" i="36"/>
  <c r="D29" i="32"/>
  <c r="BS29" i="1"/>
  <c r="BT29" i="1"/>
  <c r="D5" i="36"/>
  <c r="BS5" i="1"/>
  <c r="D5" i="32"/>
  <c r="T5" i="32" s="1"/>
  <c r="BT5" i="1"/>
  <c r="D52" i="36"/>
  <c r="D52" i="32"/>
  <c r="BS52" i="1"/>
  <c r="BT52" i="1"/>
  <c r="D20" i="34"/>
  <c r="D20" i="30"/>
  <c r="BO20" i="1"/>
  <c r="D78" i="34"/>
  <c r="D78" i="30"/>
  <c r="BO78" i="1"/>
  <c r="D18" i="36"/>
  <c r="D18" i="32"/>
  <c r="BS18" i="1"/>
  <c r="BT18" i="1"/>
  <c r="D33" i="36"/>
  <c r="D33" i="32"/>
  <c r="BS33" i="1"/>
  <c r="BT33" i="1"/>
  <c r="D21" i="34"/>
  <c r="D21" i="30"/>
  <c r="BO21" i="1"/>
  <c r="D9" i="34"/>
  <c r="D9" i="30"/>
  <c r="BO9" i="1"/>
  <c r="D96" i="36"/>
  <c r="BS96" i="1"/>
  <c r="D96" i="32"/>
  <c r="BT96" i="1"/>
  <c r="D88" i="36"/>
  <c r="BS88" i="1"/>
  <c r="D88" i="32"/>
  <c r="BT88" i="1"/>
  <c r="D44" i="34"/>
  <c r="D44" i="30"/>
  <c r="BO44" i="1"/>
  <c r="D95" i="36"/>
  <c r="BS95" i="1"/>
  <c r="D95" i="32"/>
  <c r="BT95" i="1"/>
  <c r="D89" i="34"/>
  <c r="D89" i="30"/>
  <c r="BO89" i="1"/>
  <c r="D81" i="34"/>
  <c r="D81" i="30"/>
  <c r="BO81" i="1"/>
  <c r="D73" i="36"/>
  <c r="BS73" i="1"/>
  <c r="D73" i="32"/>
  <c r="BT73" i="1"/>
  <c r="D57" i="34"/>
  <c r="D57" i="30"/>
  <c r="BO57" i="1"/>
  <c r="D37" i="36"/>
  <c r="D37" i="32"/>
  <c r="BS37" i="1"/>
  <c r="BT37" i="1"/>
  <c r="D25" i="34"/>
  <c r="D25" i="30"/>
  <c r="BO25" i="1"/>
  <c r="D103" i="36"/>
  <c r="BS103" i="1"/>
  <c r="D103" i="32"/>
  <c r="BT103" i="1"/>
  <c r="D68" i="36"/>
  <c r="BS68" i="1"/>
  <c r="D68" i="32"/>
  <c r="BT68" i="1"/>
  <c r="D56" i="36"/>
  <c r="D56" i="32"/>
  <c r="BS56" i="1"/>
  <c r="BT56" i="1"/>
  <c r="D24" i="34"/>
  <c r="D24" i="30"/>
  <c r="BO24" i="1"/>
  <c r="D8" i="34"/>
  <c r="D8" i="30"/>
  <c r="BO8" i="1"/>
  <c r="D64" i="34"/>
  <c r="D64" i="30"/>
  <c r="BO64" i="1"/>
  <c r="D108" i="36"/>
  <c r="BS108" i="1"/>
  <c r="D108" i="32"/>
  <c r="BT108" i="1"/>
  <c r="D83" i="36"/>
  <c r="BS83" i="1"/>
  <c r="D83" i="32"/>
  <c r="BT83" i="1"/>
  <c r="D63" i="34"/>
  <c r="D63" i="30"/>
  <c r="BO63" i="1"/>
  <c r="D47" i="36"/>
  <c r="D47" i="32"/>
  <c r="BS47" i="1"/>
  <c r="BT47" i="1"/>
  <c r="D43" i="34"/>
  <c r="D43" i="30"/>
  <c r="BO43" i="1"/>
  <c r="D31" i="36"/>
  <c r="D31" i="32"/>
  <c r="BS31" i="1"/>
  <c r="BT31" i="1"/>
  <c r="D19" i="36"/>
  <c r="D19" i="32"/>
  <c r="BS19" i="1"/>
  <c r="BT19" i="1"/>
  <c r="D11" i="36"/>
  <c r="BS11" i="1"/>
  <c r="D11" i="32"/>
  <c r="BT11" i="1"/>
  <c r="BM109" i="1"/>
  <c r="BN109" i="1" s="1"/>
  <c r="D109" i="34"/>
  <c r="D109" i="30"/>
  <c r="BO109" i="1"/>
  <c r="D94" i="34"/>
  <c r="D94" i="30"/>
  <c r="BO94" i="1"/>
  <c r="D82" i="36"/>
  <c r="BS82" i="1"/>
  <c r="D82" i="32"/>
  <c r="BT82" i="1"/>
  <c r="D70" i="34"/>
  <c r="D70" i="30"/>
  <c r="BO70" i="1"/>
  <c r="D54" i="36"/>
  <c r="D54" i="32"/>
  <c r="BS54" i="1"/>
  <c r="BT54" i="1"/>
  <c r="D42" i="34"/>
  <c r="BO42" i="1"/>
  <c r="D42" i="30"/>
  <c r="D30" i="36"/>
  <c r="D30" i="32"/>
  <c r="BS30" i="1"/>
  <c r="BT30" i="1"/>
  <c r="D41" i="36"/>
  <c r="D41" i="32"/>
  <c r="BS41" i="1"/>
  <c r="BT41" i="1"/>
  <c r="D17" i="36"/>
  <c r="D17" i="32"/>
  <c r="BS17" i="1"/>
  <c r="BT17" i="1"/>
  <c r="D52" i="34"/>
  <c r="D52" i="30"/>
  <c r="BO52" i="1"/>
  <c r="D36" i="34"/>
  <c r="D36" i="30"/>
  <c r="BO36" i="1"/>
  <c r="D90" i="34"/>
  <c r="D90" i="30"/>
  <c r="BO90" i="1"/>
  <c r="D6" i="36"/>
  <c r="D6" i="32"/>
  <c r="T6" i="32" s="1"/>
  <c r="BS6" i="1"/>
  <c r="BT6" i="1"/>
  <c r="D99" i="34"/>
  <c r="D99" i="30"/>
  <c r="BO99" i="1"/>
  <c r="D76" i="36"/>
  <c r="BS76" i="1"/>
  <c r="D76" i="32"/>
  <c r="BT76" i="1"/>
  <c r="D44" i="36"/>
  <c r="D44" i="32"/>
  <c r="BS44" i="1"/>
  <c r="BT44" i="1"/>
  <c r="D77" i="34"/>
  <c r="D77" i="30"/>
  <c r="BO77" i="1"/>
  <c r="D65" i="36"/>
  <c r="BS65" i="1"/>
  <c r="D65" i="32"/>
  <c r="BT65" i="1"/>
  <c r="D53" i="36"/>
  <c r="D53" i="32"/>
  <c r="BS53" i="1"/>
  <c r="BT53" i="1"/>
  <c r="D92" i="34"/>
  <c r="D92" i="30"/>
  <c r="BO92" i="1"/>
  <c r="D84" i="36"/>
  <c r="BS84" i="1"/>
  <c r="D84" i="32"/>
  <c r="BT84" i="1"/>
  <c r="D40" i="34"/>
  <c r="D40" i="30"/>
  <c r="BO40" i="1"/>
  <c r="D24" i="36"/>
  <c r="D24" i="32"/>
  <c r="BS24" i="1"/>
  <c r="BT24" i="1"/>
  <c r="D8" i="36"/>
  <c r="D8" i="32"/>
  <c r="BS8" i="1"/>
  <c r="BT8" i="1"/>
  <c r="D107" i="36"/>
  <c r="BS107" i="1"/>
  <c r="D107" i="32"/>
  <c r="BT107" i="1"/>
  <c r="D80" i="36"/>
  <c r="BS80" i="1"/>
  <c r="D80" i="32"/>
  <c r="BT80" i="1"/>
  <c r="D28" i="36"/>
  <c r="D28" i="32"/>
  <c r="BS28" i="1"/>
  <c r="BT28" i="1"/>
  <c r="D12" i="34"/>
  <c r="D12" i="30"/>
  <c r="BO12" i="1"/>
  <c r="D104" i="34"/>
  <c r="D104" i="30"/>
  <c r="BO104" i="1"/>
  <c r="D97" i="36"/>
  <c r="BS97" i="1"/>
  <c r="D97" i="32"/>
  <c r="BT97" i="1"/>
  <c r="D87" i="34"/>
  <c r="D87" i="30"/>
  <c r="BO87" i="1"/>
  <c r="D79" i="36"/>
  <c r="BS79" i="1"/>
  <c r="D79" i="32"/>
  <c r="BT79" i="1"/>
  <c r="D71" i="36"/>
  <c r="BS71" i="1"/>
  <c r="D71" i="32"/>
  <c r="BT71" i="1"/>
  <c r="D67" i="34"/>
  <c r="D67" i="30"/>
  <c r="BO67" i="1"/>
  <c r="D63" i="36"/>
  <c r="BS63" i="1"/>
  <c r="D63" i="32"/>
  <c r="BT63" i="1"/>
  <c r="D55" i="36"/>
  <c r="D55" i="32"/>
  <c r="BS55" i="1"/>
  <c r="BT55" i="1"/>
  <c r="D51" i="34"/>
  <c r="D51" i="30"/>
  <c r="BO51" i="1"/>
  <c r="D47" i="34"/>
  <c r="D47" i="30"/>
  <c r="BO47" i="1"/>
  <c r="D39" i="36"/>
  <c r="D39" i="32"/>
  <c r="BS39" i="1"/>
  <c r="BT39" i="1"/>
  <c r="D35" i="34"/>
  <c r="D35" i="30"/>
  <c r="BO35" i="1"/>
  <c r="D23" i="36"/>
  <c r="D23" i="32"/>
  <c r="BS23" i="1"/>
  <c r="BT23" i="1"/>
  <c r="D15" i="36"/>
  <c r="D15" i="32"/>
  <c r="BS15" i="1"/>
  <c r="BT15" i="1"/>
  <c r="D3" i="34"/>
  <c r="D3" i="30"/>
  <c r="T3" i="30" s="1"/>
  <c r="BO3" i="1"/>
  <c r="D105" i="34"/>
  <c r="D105" i="30"/>
  <c r="BO105" i="1"/>
  <c r="BP109" i="1"/>
  <c r="BR109" i="1" s="1"/>
  <c r="D109" i="36"/>
  <c r="BS109" i="1"/>
  <c r="D109" i="32"/>
  <c r="BT109" i="1"/>
  <c r="D34" i="36"/>
  <c r="D34" i="32"/>
  <c r="BS34" i="1"/>
  <c r="BT34" i="1"/>
  <c r="D22" i="36"/>
  <c r="D22" i="32"/>
  <c r="BS22" i="1"/>
  <c r="BT22" i="1"/>
  <c r="D41" i="34"/>
  <c r="D41" i="30"/>
  <c r="BO41" i="1"/>
  <c r="D29" i="34"/>
  <c r="D29" i="30"/>
  <c r="BO29" i="1"/>
  <c r="D5" i="34"/>
  <c r="D5" i="30"/>
  <c r="T5" i="30" s="1"/>
  <c r="BO5" i="1"/>
  <c r="D72" i="36"/>
  <c r="BS72" i="1"/>
  <c r="D72" i="32"/>
  <c r="BT72" i="1"/>
  <c r="D20" i="36"/>
  <c r="D20" i="32"/>
  <c r="BS20" i="1"/>
  <c r="BT20" i="1"/>
  <c r="D4" i="34"/>
  <c r="D4" i="30"/>
  <c r="T4" i="30" s="1"/>
  <c r="BO4" i="1"/>
  <c r="D101" i="36"/>
  <c r="BS101" i="1"/>
  <c r="D101" i="32"/>
  <c r="BT101" i="1"/>
  <c r="D46" i="36"/>
  <c r="D46" i="32"/>
  <c r="BS46" i="1"/>
  <c r="BT46" i="1"/>
  <c r="D101" i="34"/>
  <c r="D101" i="30"/>
  <c r="BO101" i="1"/>
  <c r="D66" i="36"/>
  <c r="BS66" i="1"/>
  <c r="D66" i="32"/>
  <c r="BT66" i="1"/>
  <c r="D46" i="34"/>
  <c r="BO46" i="1"/>
  <c r="D46" i="30"/>
  <c r="D21" i="36"/>
  <c r="D21" i="32"/>
  <c r="BS21" i="1"/>
  <c r="BT21" i="1"/>
  <c r="D60" i="34"/>
  <c r="D60" i="30"/>
  <c r="BO60" i="1"/>
  <c r="D106" i="34"/>
  <c r="D106" i="30"/>
  <c r="BO106" i="1"/>
  <c r="D93" i="34"/>
  <c r="D93" i="30"/>
  <c r="BO93" i="1"/>
  <c r="D69" i="36"/>
  <c r="BS69" i="1"/>
  <c r="D69" i="32"/>
  <c r="BT69" i="1"/>
  <c r="D61" i="36"/>
  <c r="BS61" i="1"/>
  <c r="D61" i="32"/>
  <c r="BT61" i="1"/>
  <c r="D49" i="36"/>
  <c r="D49" i="32"/>
  <c r="BS49" i="1"/>
  <c r="BT49" i="1"/>
  <c r="D13" i="34"/>
  <c r="D13" i="30"/>
  <c r="BO13" i="1"/>
  <c r="D66" i="34"/>
  <c r="D66" i="30"/>
  <c r="BO66" i="1"/>
  <c r="D58" i="36"/>
  <c r="D58" i="32"/>
  <c r="BS58" i="1"/>
  <c r="BT58" i="1"/>
  <c r="D18" i="34"/>
  <c r="BO18" i="1"/>
  <c r="D18" i="30"/>
  <c r="D45" i="34"/>
  <c r="D45" i="30"/>
  <c r="BO45" i="1"/>
  <c r="D33" i="34"/>
  <c r="D33" i="30"/>
  <c r="BO33" i="1"/>
  <c r="D99" i="36"/>
  <c r="BS99" i="1"/>
  <c r="D99" i="32"/>
  <c r="BT99" i="1"/>
  <c r="D88" i="34"/>
  <c r="D88" i="30"/>
  <c r="BO88" i="1"/>
  <c r="D76" i="34"/>
  <c r="D76" i="30"/>
  <c r="BO76" i="1"/>
  <c r="D60" i="36"/>
  <c r="BS60" i="1"/>
  <c r="D60" i="32"/>
  <c r="BT60" i="1"/>
  <c r="D32" i="34"/>
  <c r="D32" i="30"/>
  <c r="BO32" i="1"/>
  <c r="D16" i="34"/>
  <c r="D16" i="30"/>
  <c r="BO16" i="1"/>
  <c r="D102" i="36"/>
  <c r="BS102" i="1"/>
  <c r="D102" i="32"/>
  <c r="BT102" i="1"/>
  <c r="D95" i="34"/>
  <c r="D95" i="30"/>
  <c r="BO95" i="1"/>
  <c r="D89" i="36"/>
  <c r="BS89" i="1"/>
  <c r="D89" i="32"/>
  <c r="BT89" i="1"/>
  <c r="D85" i="34"/>
  <c r="D85" i="30"/>
  <c r="BO85" i="1"/>
  <c r="D81" i="36"/>
  <c r="BS81" i="1"/>
  <c r="D81" i="32"/>
  <c r="BT81" i="1"/>
  <c r="D73" i="34"/>
  <c r="D73" i="30"/>
  <c r="BO73" i="1"/>
  <c r="D65" i="34"/>
  <c r="D65" i="30"/>
  <c r="BO65" i="1"/>
  <c r="D53" i="34"/>
  <c r="D53" i="30"/>
  <c r="BO53" i="1"/>
  <c r="D49" i="34"/>
  <c r="D49" i="30"/>
  <c r="BO49" i="1"/>
  <c r="D103" i="34"/>
  <c r="D103" i="30"/>
  <c r="BO103" i="1"/>
  <c r="D84" i="34"/>
  <c r="D84" i="30"/>
  <c r="BO84" i="1"/>
  <c r="D107" i="34"/>
  <c r="D107" i="30"/>
  <c r="BO107" i="1"/>
  <c r="D80" i="34"/>
  <c r="D80" i="30"/>
  <c r="BO80" i="1"/>
  <c r="D48" i="36"/>
  <c r="D48" i="32"/>
  <c r="BS48" i="1"/>
  <c r="BT48" i="1"/>
  <c r="D12" i="36"/>
  <c r="D12" i="32"/>
  <c r="BS12" i="1"/>
  <c r="BT12" i="1"/>
  <c r="D100" i="36"/>
  <c r="BS100" i="1"/>
  <c r="D100" i="32"/>
  <c r="BT100" i="1"/>
  <c r="D104" i="36"/>
  <c r="BS104" i="1"/>
  <c r="D104" i="32"/>
  <c r="BT104" i="1"/>
  <c r="D108" i="34"/>
  <c r="D108" i="30"/>
  <c r="BO108" i="1"/>
  <c r="D91" i="34"/>
  <c r="D91" i="30"/>
  <c r="BO91" i="1"/>
  <c r="D83" i="34"/>
  <c r="D83" i="30"/>
  <c r="BO83" i="1"/>
  <c r="D75" i="34"/>
  <c r="D75" i="30"/>
  <c r="BO75" i="1"/>
  <c r="D67" i="36"/>
  <c r="BS67" i="1"/>
  <c r="D67" i="32"/>
  <c r="BT67" i="1"/>
  <c r="D59" i="34"/>
  <c r="D59" i="30"/>
  <c r="BO59" i="1"/>
  <c r="D55" i="34"/>
  <c r="D55" i="30"/>
  <c r="BO55" i="1"/>
  <c r="D51" i="36"/>
  <c r="D51" i="32"/>
  <c r="BS51" i="1"/>
  <c r="BT51" i="1"/>
  <c r="D39" i="34"/>
  <c r="D39" i="30"/>
  <c r="BO39" i="1"/>
  <c r="D35" i="36"/>
  <c r="D35" i="32"/>
  <c r="BS35" i="1"/>
  <c r="BT35" i="1"/>
  <c r="D27" i="34"/>
  <c r="D27" i="30"/>
  <c r="BO27" i="1"/>
  <c r="D23" i="34"/>
  <c r="D23" i="30"/>
  <c r="BO23" i="1"/>
  <c r="D19" i="34"/>
  <c r="D19" i="30"/>
  <c r="BO19" i="1"/>
  <c r="D7" i="34"/>
  <c r="D7" i="30"/>
  <c r="T7" i="30" s="1"/>
  <c r="BO7" i="1"/>
  <c r="D3" i="36"/>
  <c r="BS3" i="1"/>
  <c r="D3" i="32"/>
  <c r="T3" i="32" s="1"/>
  <c r="BT3" i="1"/>
  <c r="D105" i="36"/>
  <c r="BS105" i="1"/>
  <c r="D105" i="32"/>
  <c r="BT105" i="1"/>
  <c r="D82" i="34"/>
  <c r="D82" i="30"/>
  <c r="BO82" i="1"/>
  <c r="D70" i="36"/>
  <c r="BS70" i="1"/>
  <c r="D70" i="32"/>
  <c r="BT70" i="1"/>
  <c r="D54" i="34"/>
  <c r="D54" i="30"/>
  <c r="BO54" i="1"/>
  <c r="D42" i="36"/>
  <c r="D42" i="32"/>
  <c r="BS42" i="1"/>
  <c r="BT42" i="1"/>
  <c r="D30" i="34"/>
  <c r="BO30" i="1"/>
  <c r="D30" i="30"/>
  <c r="D10" i="34"/>
  <c r="BO10" i="1"/>
  <c r="D10" i="30"/>
  <c r="D17" i="34"/>
  <c r="D17" i="30"/>
  <c r="BO17" i="1"/>
  <c r="D72" i="34"/>
  <c r="D72" i="30"/>
  <c r="BO72" i="1"/>
  <c r="D36" i="36"/>
  <c r="D36" i="32"/>
  <c r="BS36" i="1"/>
  <c r="BT36" i="1"/>
  <c r="D4" i="36"/>
  <c r="D4" i="32"/>
  <c r="T4" i="32" s="1"/>
  <c r="BS4" i="1"/>
  <c r="BT4" i="1"/>
  <c r="D101" i="38"/>
  <c r="D90" i="38"/>
  <c r="D78" i="38"/>
  <c r="D66" i="38"/>
  <c r="D58" i="38"/>
  <c r="D46" i="38"/>
  <c r="D18" i="38"/>
  <c r="D6" i="38"/>
  <c r="T6" i="38" s="1"/>
  <c r="U6" i="38" s="1"/>
  <c r="D45" i="38"/>
  <c r="D33" i="38"/>
  <c r="D21" i="38"/>
  <c r="D9" i="38"/>
  <c r="D99" i="38"/>
  <c r="D96" i="38"/>
  <c r="D88" i="38"/>
  <c r="D76" i="38"/>
  <c r="D60" i="38"/>
  <c r="D44" i="38"/>
  <c r="D32" i="38"/>
  <c r="D16" i="38"/>
  <c r="D102" i="38"/>
  <c r="D106" i="38"/>
  <c r="D95" i="38"/>
  <c r="D93" i="38"/>
  <c r="D89" i="38"/>
  <c r="D85" i="38"/>
  <c r="D81" i="38"/>
  <c r="D77" i="38"/>
  <c r="D73" i="38"/>
  <c r="D69" i="38"/>
  <c r="D65" i="38"/>
  <c r="D61" i="38"/>
  <c r="D57" i="38"/>
  <c r="D53" i="38"/>
  <c r="D49" i="38"/>
  <c r="D37" i="38"/>
  <c r="D25" i="38"/>
  <c r="D13" i="38"/>
  <c r="D103" i="38"/>
  <c r="D92" i="38"/>
  <c r="D84" i="38"/>
  <c r="D68" i="38"/>
  <c r="D56" i="38"/>
  <c r="D40" i="38"/>
  <c r="D24" i="38"/>
  <c r="D8" i="38"/>
  <c r="D107" i="38"/>
  <c r="D80" i="38"/>
  <c r="D64" i="38"/>
  <c r="D48" i="38"/>
  <c r="D28" i="38"/>
  <c r="D12" i="38"/>
  <c r="D100" i="38"/>
  <c r="D104" i="38"/>
  <c r="D108" i="38"/>
  <c r="D97" i="38"/>
  <c r="D91" i="38"/>
  <c r="D87" i="38"/>
  <c r="D83" i="38"/>
  <c r="D79" i="38"/>
  <c r="D75" i="38"/>
  <c r="D71" i="38"/>
  <c r="D67" i="38"/>
  <c r="D63" i="38"/>
  <c r="D59" i="38"/>
  <c r="D55" i="38"/>
  <c r="D51" i="38"/>
  <c r="D47" i="38"/>
  <c r="D43" i="38"/>
  <c r="D39" i="38"/>
  <c r="D35" i="38"/>
  <c r="D31" i="38"/>
  <c r="D27" i="38"/>
  <c r="D23" i="38"/>
  <c r="D19" i="38"/>
  <c r="D15" i="38"/>
  <c r="D11" i="38"/>
  <c r="D7" i="38"/>
  <c r="T7" i="38" s="1"/>
  <c r="U7" i="38" s="1"/>
  <c r="D3" i="38"/>
  <c r="T3" i="38" s="1"/>
  <c r="U3" i="38" s="1"/>
  <c r="D105" i="38"/>
  <c r="D109" i="38"/>
  <c r="D94" i="38"/>
  <c r="D82" i="38"/>
  <c r="D70" i="38"/>
  <c r="D54" i="38"/>
  <c r="D42" i="38"/>
  <c r="D34" i="38"/>
  <c r="D30" i="38"/>
  <c r="D22" i="38"/>
  <c r="D10" i="38"/>
  <c r="D41" i="38"/>
  <c r="D29" i="38"/>
  <c r="D17" i="38"/>
  <c r="D5" i="38"/>
  <c r="T5" i="38" s="1"/>
  <c r="U5" i="38" s="1"/>
  <c r="D72" i="38"/>
  <c r="D52" i="38"/>
  <c r="D36" i="38"/>
  <c r="D20" i="38"/>
  <c r="D4" i="38"/>
  <c r="T4" i="38" s="1"/>
  <c r="U4" i="38" s="1"/>
  <c r="U198" i="4"/>
  <c r="BP66" i="1"/>
  <c r="S150" i="4"/>
  <c r="BJ18" i="1"/>
  <c r="BK18" i="1" s="1"/>
  <c r="D18" i="28"/>
  <c r="U138" i="4"/>
  <c r="BP6" i="1"/>
  <c r="S177" i="4"/>
  <c r="BJ45" i="1"/>
  <c r="BK45" i="1" s="1"/>
  <c r="D45" i="28"/>
  <c r="S165" i="4"/>
  <c r="D33" i="28"/>
  <c r="BJ33" i="1"/>
  <c r="BK33" i="1" s="1"/>
  <c r="U153" i="4"/>
  <c r="BP21" i="1"/>
  <c r="T231" i="4"/>
  <c r="BM99" i="1"/>
  <c r="BN99" i="1" s="1"/>
  <c r="S228" i="4"/>
  <c r="D96" i="28"/>
  <c r="BJ96" i="1"/>
  <c r="BK96" i="1" s="1"/>
  <c r="U208" i="4"/>
  <c r="BP76" i="1"/>
  <c r="T192" i="4"/>
  <c r="BM60" i="1"/>
  <c r="BN60" i="1" s="1"/>
  <c r="U176" i="4"/>
  <c r="BP44" i="1"/>
  <c r="S148" i="4"/>
  <c r="D16" i="28"/>
  <c r="BJ16" i="1"/>
  <c r="BK16" i="1" s="1"/>
  <c r="T238" i="4"/>
  <c r="BM106" i="1"/>
  <c r="BN106" i="1" s="1"/>
  <c r="S227" i="4"/>
  <c r="D95" i="28"/>
  <c r="BJ95" i="1"/>
  <c r="BK95" i="1" s="1"/>
  <c r="T225" i="4"/>
  <c r="BM93" i="1"/>
  <c r="BN93" i="1" s="1"/>
  <c r="S217" i="4"/>
  <c r="D85" i="28"/>
  <c r="BJ85" i="1"/>
  <c r="BK85" i="1" s="1"/>
  <c r="S213" i="4"/>
  <c r="D81" i="28"/>
  <c r="BJ81" i="1"/>
  <c r="BK81" i="1" s="1"/>
  <c r="T209" i="4"/>
  <c r="BM77" i="1"/>
  <c r="BN77" i="1" s="1"/>
  <c r="U201" i="4"/>
  <c r="BP69" i="1"/>
  <c r="U197" i="4"/>
  <c r="BP65" i="1"/>
  <c r="U193" i="4"/>
  <c r="BP61" i="1"/>
  <c r="U185" i="4"/>
  <c r="BP53" i="1"/>
  <c r="U181" i="4"/>
  <c r="BP49" i="1"/>
  <c r="S169" i="4"/>
  <c r="D37" i="28"/>
  <c r="BJ37" i="1"/>
  <c r="BK37" i="1" s="1"/>
  <c r="T145" i="4"/>
  <c r="BM13" i="1"/>
  <c r="BN13" i="1" s="1"/>
  <c r="T224" i="4"/>
  <c r="BM92" i="1"/>
  <c r="BN92" i="1" s="1"/>
  <c r="U216" i="4"/>
  <c r="BP84" i="1"/>
  <c r="S200" i="4"/>
  <c r="D68" i="28"/>
  <c r="BJ68" i="1"/>
  <c r="BK68" i="1" s="1"/>
  <c r="T172" i="4"/>
  <c r="BM40" i="1"/>
  <c r="BN40" i="1" s="1"/>
  <c r="U156" i="4"/>
  <c r="BP24" i="1"/>
  <c r="U140" i="4"/>
  <c r="BP8" i="1"/>
  <c r="U239" i="4"/>
  <c r="BP107" i="1"/>
  <c r="U212" i="4"/>
  <c r="BP80" i="1"/>
  <c r="S196" i="4"/>
  <c r="D64" i="28"/>
  <c r="BJ64" i="1"/>
  <c r="BK64" i="1" s="1"/>
  <c r="U160" i="4"/>
  <c r="BP28" i="1"/>
  <c r="T144" i="4"/>
  <c r="BM12" i="1"/>
  <c r="BN12" i="1" s="1"/>
  <c r="T236" i="4"/>
  <c r="BM104" i="1"/>
  <c r="BN104" i="1" s="1"/>
  <c r="S240" i="4"/>
  <c r="D108" i="28"/>
  <c r="BJ108" i="1"/>
  <c r="BK108" i="1" s="1"/>
  <c r="U229" i="4"/>
  <c r="BP97" i="1"/>
  <c r="T219" i="4"/>
  <c r="BM87" i="1"/>
  <c r="BN87" i="1" s="1"/>
  <c r="S215" i="4"/>
  <c r="D83" i="28"/>
  <c r="BJ83" i="1"/>
  <c r="BK83" i="1" s="1"/>
  <c r="U211" i="4"/>
  <c r="BP79" i="1"/>
  <c r="U203" i="4"/>
  <c r="BP71" i="1"/>
  <c r="T199" i="4"/>
  <c r="BM67" i="1"/>
  <c r="BN67" i="1" s="1"/>
  <c r="U195" i="4"/>
  <c r="BP63" i="1"/>
  <c r="U187" i="4"/>
  <c r="BP55" i="1"/>
  <c r="T183" i="4"/>
  <c r="BM51" i="1"/>
  <c r="BN51" i="1" s="1"/>
  <c r="T179" i="4"/>
  <c r="BM47" i="1"/>
  <c r="BN47" i="1" s="1"/>
  <c r="U171" i="4"/>
  <c r="BP39" i="1"/>
  <c r="T167" i="4"/>
  <c r="BM35" i="1"/>
  <c r="BN35" i="1" s="1"/>
  <c r="S163" i="4"/>
  <c r="D31" i="28"/>
  <c r="BJ31" i="1"/>
  <c r="BK31" i="1" s="1"/>
  <c r="U155" i="4"/>
  <c r="BP23" i="1"/>
  <c r="S151" i="4"/>
  <c r="BJ19" i="1"/>
  <c r="BK19" i="1" s="1"/>
  <c r="D19" i="28"/>
  <c r="U147" i="4"/>
  <c r="BP15" i="1"/>
  <c r="S139" i="4"/>
  <c r="BJ7" i="1"/>
  <c r="BK7" i="1" s="1"/>
  <c r="D7" i="28"/>
  <c r="T7" i="28" s="1"/>
  <c r="T135" i="4"/>
  <c r="BM3" i="1"/>
  <c r="BN3" i="1" s="1"/>
  <c r="T237" i="4"/>
  <c r="BM105" i="1"/>
  <c r="BN105" i="1" s="1"/>
  <c r="S214" i="4"/>
  <c r="BJ82" i="1"/>
  <c r="BK82" i="1" s="1"/>
  <c r="D82" i="28"/>
  <c r="S186" i="4"/>
  <c r="BJ54" i="1"/>
  <c r="BK54" i="1" s="1"/>
  <c r="D54" i="28"/>
  <c r="U166" i="4"/>
  <c r="BP34" i="1"/>
  <c r="S162" i="4"/>
  <c r="BJ30" i="1"/>
  <c r="BK30" i="1" s="1"/>
  <c r="D30" i="28"/>
  <c r="U154" i="4"/>
  <c r="BP22" i="1"/>
  <c r="S142" i="4"/>
  <c r="BJ10" i="1"/>
  <c r="BK10" i="1" s="1"/>
  <c r="D10" i="28"/>
  <c r="D13" i="23"/>
  <c r="G33" i="25"/>
  <c r="D22" i="25"/>
  <c r="J23" i="24"/>
  <c r="I13" i="24"/>
  <c r="K13" i="24" s="1"/>
  <c r="T173" i="4"/>
  <c r="BM41" i="1"/>
  <c r="BN41" i="1" s="1"/>
  <c r="T161" i="4"/>
  <c r="BM29" i="1"/>
  <c r="BN29" i="1" s="1"/>
  <c r="T137" i="4"/>
  <c r="BM5" i="1"/>
  <c r="BN5" i="1" s="1"/>
  <c r="U204" i="4"/>
  <c r="BP72" i="1"/>
  <c r="S184" i="4"/>
  <c r="D52" i="28"/>
  <c r="BJ52" i="1"/>
  <c r="BK52" i="1" s="1"/>
  <c r="U152" i="4"/>
  <c r="BP20" i="1"/>
  <c r="T136" i="4"/>
  <c r="BM4" i="1"/>
  <c r="BN4" i="1" s="1"/>
  <c r="T222" i="4"/>
  <c r="BM90" i="1"/>
  <c r="BN90" i="1" s="1"/>
  <c r="S233" i="4"/>
  <c r="D101" i="28"/>
  <c r="BJ101" i="1"/>
  <c r="BK101" i="1" s="1"/>
  <c r="U190" i="4"/>
  <c r="BP58" i="1"/>
  <c r="T150" i="4"/>
  <c r="BM18" i="1"/>
  <c r="BN18" i="1" s="1"/>
  <c r="T165" i="4"/>
  <c r="BM33" i="1"/>
  <c r="BN33" i="1" s="1"/>
  <c r="S141" i="4"/>
  <c r="BJ9" i="1"/>
  <c r="BK9" i="1" s="1"/>
  <c r="D9" i="28"/>
  <c r="U231" i="4"/>
  <c r="BP99" i="1"/>
  <c r="T220" i="4"/>
  <c r="BM88" i="1"/>
  <c r="BN88" i="1" s="1"/>
  <c r="T208" i="4"/>
  <c r="BM76" i="1"/>
  <c r="BN76" i="1" s="1"/>
  <c r="U192" i="4"/>
  <c r="BP60" i="1"/>
  <c r="T164" i="4"/>
  <c r="BM32" i="1"/>
  <c r="BN32" i="1" s="1"/>
  <c r="T148" i="4"/>
  <c r="BM16" i="1"/>
  <c r="BN16" i="1" s="1"/>
  <c r="U234" i="4"/>
  <c r="BP102" i="1"/>
  <c r="S238" i="4"/>
  <c r="BJ106" i="1"/>
  <c r="BK106" i="1" s="1"/>
  <c r="D106" i="28"/>
  <c r="T227" i="4"/>
  <c r="BM95" i="1"/>
  <c r="BN95" i="1" s="1"/>
  <c r="U221" i="4"/>
  <c r="BP89" i="1"/>
  <c r="T217" i="4"/>
  <c r="BM85" i="1"/>
  <c r="BN85" i="1" s="1"/>
  <c r="U213" i="4"/>
  <c r="BP81" i="1"/>
  <c r="T205" i="4"/>
  <c r="BM73" i="1"/>
  <c r="BN73" i="1" s="1"/>
  <c r="S201" i="4"/>
  <c r="D69" i="28"/>
  <c r="BJ69" i="1"/>
  <c r="BK69" i="1" s="1"/>
  <c r="T197" i="4"/>
  <c r="BM65" i="1"/>
  <c r="BN65" i="1" s="1"/>
  <c r="S189" i="4"/>
  <c r="BJ57" i="1"/>
  <c r="BK57" i="1" s="1"/>
  <c r="D57" i="28"/>
  <c r="T185" i="4"/>
  <c r="BM53" i="1"/>
  <c r="BN53" i="1" s="1"/>
  <c r="T181" i="4"/>
  <c r="BM49" i="1"/>
  <c r="BN49" i="1" s="1"/>
  <c r="S157" i="4"/>
  <c r="D25" i="28"/>
  <c r="BJ25" i="1"/>
  <c r="BK25" i="1" s="1"/>
  <c r="S145" i="4"/>
  <c r="BJ13" i="1"/>
  <c r="BK13" i="1" s="1"/>
  <c r="D13" i="28"/>
  <c r="T235" i="4"/>
  <c r="BM103" i="1"/>
  <c r="BN103" i="1" s="1"/>
  <c r="S224" i="4"/>
  <c r="D92" i="28"/>
  <c r="BJ92" i="1"/>
  <c r="BK92" i="1" s="1"/>
  <c r="T216" i="4"/>
  <c r="BM84" i="1"/>
  <c r="BN84" i="1" s="1"/>
  <c r="S188" i="4"/>
  <c r="D56" i="28"/>
  <c r="BJ56" i="1"/>
  <c r="BK56" i="1" s="1"/>
  <c r="S172" i="4"/>
  <c r="D40" i="28"/>
  <c r="BJ40" i="1"/>
  <c r="BK40" i="1" s="1"/>
  <c r="S156" i="4"/>
  <c r="D24" i="28"/>
  <c r="BJ24" i="1"/>
  <c r="BK24" i="1" s="1"/>
  <c r="T239" i="4"/>
  <c r="BM107" i="1"/>
  <c r="BN107" i="1" s="1"/>
  <c r="T212" i="4"/>
  <c r="BM80" i="1"/>
  <c r="BN80" i="1" s="1"/>
  <c r="U180" i="4"/>
  <c r="BP48" i="1"/>
  <c r="S160" i="4"/>
  <c r="D28" i="28"/>
  <c r="BJ28" i="1"/>
  <c r="BK28" i="1" s="1"/>
  <c r="U144" i="4"/>
  <c r="BP12" i="1"/>
  <c r="U232" i="4"/>
  <c r="BP100" i="1"/>
  <c r="U236" i="4"/>
  <c r="BP104" i="1"/>
  <c r="T240" i="4"/>
  <c r="BM108" i="1"/>
  <c r="BN108" i="1" s="1"/>
  <c r="T223" i="4"/>
  <c r="BM91" i="1"/>
  <c r="BN91" i="1" s="1"/>
  <c r="S219" i="4"/>
  <c r="D87" i="28"/>
  <c r="BJ87" i="1"/>
  <c r="BK87" i="1" s="1"/>
  <c r="T215" i="4"/>
  <c r="BM83" i="1"/>
  <c r="BN83" i="1" s="1"/>
  <c r="T207" i="4"/>
  <c r="BM75" i="1"/>
  <c r="BN75" i="1" s="1"/>
  <c r="S203" i="4"/>
  <c r="D71" i="28"/>
  <c r="BJ71" i="1"/>
  <c r="BK71" i="1" s="1"/>
  <c r="U199" i="4"/>
  <c r="BP67" i="1"/>
  <c r="T191" i="4"/>
  <c r="BM59" i="1"/>
  <c r="BN59" i="1" s="1"/>
  <c r="T187" i="4"/>
  <c r="BM55" i="1"/>
  <c r="BN55" i="1" s="1"/>
  <c r="U183" i="4"/>
  <c r="BP51" i="1"/>
  <c r="S175" i="4"/>
  <c r="D43" i="28"/>
  <c r="BJ43" i="1"/>
  <c r="BK43" i="1" s="1"/>
  <c r="T171" i="4"/>
  <c r="BM39" i="1"/>
  <c r="BN39" i="1" s="1"/>
  <c r="U167" i="4"/>
  <c r="BP35" i="1"/>
  <c r="T159" i="4"/>
  <c r="BM27" i="1"/>
  <c r="BN27" i="1" s="1"/>
  <c r="T155" i="4"/>
  <c r="BM23" i="1"/>
  <c r="BN23" i="1" s="1"/>
  <c r="T151" i="4"/>
  <c r="BM19" i="1"/>
  <c r="BN19" i="1" s="1"/>
  <c r="S143" i="4"/>
  <c r="BJ11" i="1"/>
  <c r="BK11" i="1" s="1"/>
  <c r="D11" i="28"/>
  <c r="T139" i="4"/>
  <c r="BM7" i="1"/>
  <c r="BN7" i="1" s="1"/>
  <c r="U135" i="4"/>
  <c r="BP3" i="1"/>
  <c r="U237" i="4"/>
  <c r="BP105" i="1"/>
  <c r="S226" i="4"/>
  <c r="BJ94" i="1"/>
  <c r="BK94" i="1" s="1"/>
  <c r="D94" i="28"/>
  <c r="T214" i="4"/>
  <c r="BM82" i="1"/>
  <c r="BN82" i="1" s="1"/>
  <c r="U202" i="4"/>
  <c r="BP70" i="1"/>
  <c r="T186" i="4"/>
  <c r="BM54" i="1"/>
  <c r="BN54" i="1" s="1"/>
  <c r="U174" i="4"/>
  <c r="BP42" i="1"/>
  <c r="S166" i="4"/>
  <c r="D34" i="28"/>
  <c r="BJ34" i="1"/>
  <c r="BK34" i="1" s="1"/>
  <c r="T162" i="4"/>
  <c r="BM30" i="1"/>
  <c r="BN30" i="1" s="1"/>
  <c r="T142" i="4"/>
  <c r="BM10" i="1"/>
  <c r="BN10" i="1" s="1"/>
  <c r="P13" i="23"/>
  <c r="G36" i="25"/>
  <c r="I10" i="24"/>
  <c r="K10" i="24" s="1"/>
  <c r="S173" i="4"/>
  <c r="D41" i="28"/>
  <c r="BJ41" i="1"/>
  <c r="BK41" i="1" s="1"/>
  <c r="T149" i="4"/>
  <c r="BM17" i="1"/>
  <c r="BN17" i="1" s="1"/>
  <c r="S137" i="4"/>
  <c r="D5" i="28"/>
  <c r="T5" i="28" s="1"/>
  <c r="BJ5" i="1"/>
  <c r="BK5" i="1" s="1"/>
  <c r="T204" i="4"/>
  <c r="BM72" i="1"/>
  <c r="BN72" i="1" s="1"/>
  <c r="U168" i="4"/>
  <c r="BP36" i="1"/>
  <c r="S152" i="4"/>
  <c r="D20" i="28"/>
  <c r="BJ20" i="1"/>
  <c r="BK20" i="1" s="1"/>
  <c r="U136" i="4"/>
  <c r="BP4" i="1"/>
  <c r="T233" i="4"/>
  <c r="BM101" i="1"/>
  <c r="BN101" i="1" s="1"/>
  <c r="T178" i="4"/>
  <c r="BM46" i="1"/>
  <c r="BN46" i="1" s="1"/>
  <c r="T198" i="4"/>
  <c r="BM66" i="1"/>
  <c r="BN66" i="1" s="1"/>
  <c r="U222" i="4"/>
  <c r="BP90" i="1"/>
  <c r="S198" i="4"/>
  <c r="D66" i="28"/>
  <c r="BJ66" i="1"/>
  <c r="BK66" i="1" s="1"/>
  <c r="S138" i="4"/>
  <c r="BJ6" i="1"/>
  <c r="BK6" i="1" s="1"/>
  <c r="D6" i="28"/>
  <c r="T6" i="28" s="1"/>
  <c r="S153" i="4"/>
  <c r="D21" i="28"/>
  <c r="BJ21" i="1"/>
  <c r="BK21" i="1" s="1"/>
  <c r="S220" i="4"/>
  <c r="D88" i="28"/>
  <c r="BJ88" i="1"/>
  <c r="BK88" i="1" s="1"/>
  <c r="S176" i="4"/>
  <c r="D44" i="28"/>
  <c r="BJ44" i="1"/>
  <c r="BK44" i="1" s="1"/>
  <c r="U164" i="4"/>
  <c r="BP32" i="1"/>
  <c r="U148" i="4"/>
  <c r="BP16" i="1"/>
  <c r="T234" i="4"/>
  <c r="BM102" i="1"/>
  <c r="BN102" i="1" s="1"/>
  <c r="U238" i="4"/>
  <c r="BP106" i="1"/>
  <c r="U225" i="4"/>
  <c r="BP93" i="1"/>
  <c r="S221" i="4"/>
  <c r="BJ89" i="1"/>
  <c r="BK89" i="1" s="1"/>
  <c r="D89" i="28"/>
  <c r="U217" i="4"/>
  <c r="BP85" i="1"/>
  <c r="U209" i="4"/>
  <c r="BP77" i="1"/>
  <c r="S205" i="4"/>
  <c r="D73" i="28"/>
  <c r="BJ73" i="1"/>
  <c r="BK73" i="1" s="1"/>
  <c r="T201" i="4"/>
  <c r="BM69" i="1"/>
  <c r="BN69" i="1" s="1"/>
  <c r="T193" i="4"/>
  <c r="BM61" i="1"/>
  <c r="BN61" i="1" s="1"/>
  <c r="U189" i="4"/>
  <c r="BP57" i="1"/>
  <c r="S185" i="4"/>
  <c r="BJ53" i="1"/>
  <c r="BK53" i="1" s="1"/>
  <c r="D53" i="28"/>
  <c r="T169" i="4"/>
  <c r="BM37" i="1"/>
  <c r="BN37" i="1" s="1"/>
  <c r="U157" i="4"/>
  <c r="BP25" i="1"/>
  <c r="U145" i="4"/>
  <c r="BP13" i="1"/>
  <c r="S235" i="4"/>
  <c r="D103" i="28"/>
  <c r="BJ103" i="1"/>
  <c r="BK103" i="1" s="1"/>
  <c r="U224" i="4"/>
  <c r="BP92" i="1"/>
  <c r="T200" i="4"/>
  <c r="BM68" i="1"/>
  <c r="BN68" i="1" s="1"/>
  <c r="T188" i="4"/>
  <c r="BM56" i="1"/>
  <c r="BN56" i="1" s="1"/>
  <c r="U172" i="4"/>
  <c r="BP40" i="1"/>
  <c r="S140" i="4"/>
  <c r="D8" i="28"/>
  <c r="T8" i="28" s="1"/>
  <c r="BJ8" i="1"/>
  <c r="BK8" i="1" s="1"/>
  <c r="S239" i="4"/>
  <c r="D107" i="28"/>
  <c r="BJ107" i="1"/>
  <c r="BK107" i="1" s="1"/>
  <c r="U196" i="4"/>
  <c r="BP64" i="1"/>
  <c r="T180" i="4"/>
  <c r="BM48" i="1"/>
  <c r="BN48" i="1" s="1"/>
  <c r="T160" i="4"/>
  <c r="BM28" i="1"/>
  <c r="BN28" i="1" s="1"/>
  <c r="T232" i="4"/>
  <c r="BM100" i="1"/>
  <c r="BN100" i="1" s="1"/>
  <c r="S236" i="4"/>
  <c r="D104" i="28"/>
  <c r="BJ104" i="1"/>
  <c r="BK104" i="1" s="1"/>
  <c r="T229" i="4"/>
  <c r="BM97" i="1"/>
  <c r="BN97" i="1" s="1"/>
  <c r="U223" i="4"/>
  <c r="BP91" i="1"/>
  <c r="U219" i="4"/>
  <c r="BP87" i="1"/>
  <c r="T211" i="4"/>
  <c r="BM79" i="1"/>
  <c r="BN79" i="1" s="1"/>
  <c r="U207" i="4"/>
  <c r="BP75" i="1"/>
  <c r="T203" i="4"/>
  <c r="BM71" i="1"/>
  <c r="BN71" i="1" s="1"/>
  <c r="S195" i="4"/>
  <c r="D63" i="28"/>
  <c r="BJ63" i="1"/>
  <c r="BK63" i="1" s="1"/>
  <c r="U191" i="4"/>
  <c r="BP59" i="1"/>
  <c r="S187" i="4"/>
  <c r="D55" i="28"/>
  <c r="BJ55" i="1"/>
  <c r="BK55" i="1" s="1"/>
  <c r="S179" i="4"/>
  <c r="D47" i="28"/>
  <c r="BJ47" i="1"/>
  <c r="BK47" i="1" s="1"/>
  <c r="U175" i="4"/>
  <c r="BP43" i="1"/>
  <c r="S171" i="4"/>
  <c r="D39" i="28"/>
  <c r="BJ39" i="1"/>
  <c r="BK39" i="1" s="1"/>
  <c r="T163" i="4"/>
  <c r="BM31" i="1"/>
  <c r="BN31" i="1" s="1"/>
  <c r="U159" i="4"/>
  <c r="BP27" i="1"/>
  <c r="S155" i="4"/>
  <c r="D23" i="28"/>
  <c r="BJ23" i="1"/>
  <c r="BK23" i="1" s="1"/>
  <c r="T147" i="4"/>
  <c r="BM15" i="1"/>
  <c r="BN15" i="1" s="1"/>
  <c r="T143" i="4"/>
  <c r="BM11" i="1"/>
  <c r="BN11" i="1" s="1"/>
  <c r="U139" i="4"/>
  <c r="BP7" i="1"/>
  <c r="S241" i="4"/>
  <c r="BJ109" i="1"/>
  <c r="BK109" i="1" s="1"/>
  <c r="D109" i="28"/>
  <c r="U226" i="4"/>
  <c r="BP94" i="1"/>
  <c r="S202" i="4"/>
  <c r="BJ70" i="1"/>
  <c r="BK70" i="1" s="1"/>
  <c r="D70" i="28"/>
  <c r="S174" i="4"/>
  <c r="BJ42" i="1"/>
  <c r="BK42" i="1" s="1"/>
  <c r="D42" i="28"/>
  <c r="T166" i="4"/>
  <c r="BM34" i="1"/>
  <c r="BN34" i="1" s="1"/>
  <c r="T154" i="4"/>
  <c r="BM22" i="1"/>
  <c r="BN22" i="1" s="1"/>
  <c r="U142" i="4"/>
  <c r="BP10" i="1"/>
  <c r="C13" i="24"/>
  <c r="E13" i="24" s="1"/>
  <c r="C11" i="24"/>
  <c r="E11" i="24" s="1"/>
  <c r="H13" i="23"/>
  <c r="G34" i="25"/>
  <c r="I11" i="24"/>
  <c r="K11" i="24" s="1"/>
  <c r="U161" i="4"/>
  <c r="BP29" i="1"/>
  <c r="S149" i="4"/>
  <c r="BJ17" i="1"/>
  <c r="BK17" i="1" s="1"/>
  <c r="D17" i="28"/>
  <c r="U137" i="4"/>
  <c r="BP5" i="1"/>
  <c r="U184" i="4"/>
  <c r="BP52" i="1"/>
  <c r="S168" i="4"/>
  <c r="D36" i="28"/>
  <c r="BJ36" i="1"/>
  <c r="BK36" i="1" s="1"/>
  <c r="T152" i="4"/>
  <c r="BM20" i="1"/>
  <c r="BN20" i="1" s="1"/>
  <c r="S190" i="4"/>
  <c r="D58" i="28"/>
  <c r="BJ58" i="1"/>
  <c r="BK58" i="1" s="1"/>
  <c r="S210" i="4"/>
  <c r="BJ78" i="1"/>
  <c r="BK78" i="1" s="1"/>
  <c r="D78" i="28"/>
  <c r="T177" i="4"/>
  <c r="BM45" i="1"/>
  <c r="BN45" i="1" s="1"/>
  <c r="U210" i="4"/>
  <c r="BP78" i="1"/>
  <c r="S178" i="4"/>
  <c r="BJ46" i="1"/>
  <c r="BK46" i="1" s="1"/>
  <c r="D46" i="28"/>
  <c r="U177" i="4"/>
  <c r="BP45" i="1"/>
  <c r="U141" i="4"/>
  <c r="BP9" i="1"/>
  <c r="T228" i="4"/>
  <c r="BM96" i="1"/>
  <c r="BN96" i="1" s="1"/>
  <c r="S208" i="4"/>
  <c r="D76" i="28"/>
  <c r="BJ76" i="1"/>
  <c r="BK76" i="1" s="1"/>
  <c r="U233" i="4"/>
  <c r="BP101" i="1"/>
  <c r="S222" i="4"/>
  <c r="D90" i="28"/>
  <c r="BJ90" i="1"/>
  <c r="BK90" i="1" s="1"/>
  <c r="T210" i="4"/>
  <c r="BM78" i="1"/>
  <c r="BN78" i="1" s="1"/>
  <c r="T190" i="4"/>
  <c r="BM58" i="1"/>
  <c r="BN58" i="1" s="1"/>
  <c r="U178" i="4"/>
  <c r="BP46" i="1"/>
  <c r="U150" i="4"/>
  <c r="BP18" i="1"/>
  <c r="T138" i="4"/>
  <c r="BM6" i="1"/>
  <c r="BN6" i="1" s="1"/>
  <c r="U165" i="4"/>
  <c r="BP33" i="1"/>
  <c r="T153" i="4"/>
  <c r="BM21" i="1"/>
  <c r="BN21" i="1" s="1"/>
  <c r="T141" i="4"/>
  <c r="BM9" i="1"/>
  <c r="BN9" i="1" s="1"/>
  <c r="S231" i="4"/>
  <c r="D99" i="28"/>
  <c r="BJ99" i="1"/>
  <c r="BK99" i="1" s="1"/>
  <c r="U228" i="4"/>
  <c r="BP96" i="1"/>
  <c r="U220" i="4"/>
  <c r="BP88" i="1"/>
  <c r="S192" i="4"/>
  <c r="D60" i="28"/>
  <c r="BJ60" i="1"/>
  <c r="BK60" i="1" s="1"/>
  <c r="T176" i="4"/>
  <c r="BM44" i="1"/>
  <c r="BN44" i="1" s="1"/>
  <c r="S164" i="4"/>
  <c r="D32" i="28"/>
  <c r="BJ32" i="1"/>
  <c r="BK32" i="1" s="1"/>
  <c r="S234" i="4"/>
  <c r="BJ102" i="1"/>
  <c r="BK102" i="1" s="1"/>
  <c r="D102" i="28"/>
  <c r="U227" i="4"/>
  <c r="BP95" i="1"/>
  <c r="S225" i="4"/>
  <c r="BJ93" i="1"/>
  <c r="BK93" i="1" s="1"/>
  <c r="D93" i="28"/>
  <c r="T221" i="4"/>
  <c r="BM89" i="1"/>
  <c r="BN89" i="1" s="1"/>
  <c r="T213" i="4"/>
  <c r="BM81" i="1"/>
  <c r="BN81" i="1" s="1"/>
  <c r="S209" i="4"/>
  <c r="BJ77" i="1"/>
  <c r="BK77" i="1" s="1"/>
  <c r="D77" i="28"/>
  <c r="U205" i="4"/>
  <c r="BP73" i="1"/>
  <c r="S197" i="4"/>
  <c r="BJ65" i="1"/>
  <c r="BK65" i="1" s="1"/>
  <c r="D65" i="28"/>
  <c r="S193" i="4"/>
  <c r="BJ61" i="1"/>
  <c r="BK61" i="1" s="1"/>
  <c r="D61" i="28"/>
  <c r="T189" i="4"/>
  <c r="BM57" i="1"/>
  <c r="BN57" i="1" s="1"/>
  <c r="S181" i="4"/>
  <c r="BJ49" i="1"/>
  <c r="BK49" i="1" s="1"/>
  <c r="D49" i="28"/>
  <c r="U169" i="4"/>
  <c r="BP37" i="1"/>
  <c r="T157" i="4"/>
  <c r="BM25" i="1"/>
  <c r="BN25" i="1" s="1"/>
  <c r="U235" i="4"/>
  <c r="BP103" i="1"/>
  <c r="S216" i="4"/>
  <c r="D84" i="28"/>
  <c r="BJ84" i="1"/>
  <c r="BK84" i="1" s="1"/>
  <c r="U200" i="4"/>
  <c r="BP68" i="1"/>
  <c r="U188" i="4"/>
  <c r="BP56" i="1"/>
  <c r="T156" i="4"/>
  <c r="BM24" i="1"/>
  <c r="BN24" i="1" s="1"/>
  <c r="T140" i="4"/>
  <c r="BM8" i="1"/>
  <c r="BN8" i="1" s="1"/>
  <c r="S212" i="4"/>
  <c r="D80" i="28"/>
  <c r="BJ80" i="1"/>
  <c r="BK80" i="1" s="1"/>
  <c r="T196" i="4"/>
  <c r="BM64" i="1"/>
  <c r="BN64" i="1" s="1"/>
  <c r="S180" i="4"/>
  <c r="D48" i="28"/>
  <c r="BJ48" i="1"/>
  <c r="BK48" i="1" s="1"/>
  <c r="S144" i="4"/>
  <c r="D12" i="28"/>
  <c r="BJ12" i="1"/>
  <c r="BK12" i="1" s="1"/>
  <c r="S232" i="4"/>
  <c r="D100" i="28"/>
  <c r="BJ100" i="1"/>
  <c r="BK100" i="1" s="1"/>
  <c r="U240" i="4"/>
  <c r="BP108" i="1"/>
  <c r="S229" i="4"/>
  <c r="D97" i="28"/>
  <c r="BJ97" i="1"/>
  <c r="BK97" i="1" s="1"/>
  <c r="S223" i="4"/>
  <c r="D91" i="28"/>
  <c r="BJ91" i="1"/>
  <c r="BK91" i="1" s="1"/>
  <c r="U215" i="4"/>
  <c r="BP83" i="1"/>
  <c r="S211" i="4"/>
  <c r="D79" i="28"/>
  <c r="BJ79" i="1"/>
  <c r="BK79" i="1" s="1"/>
  <c r="S207" i="4"/>
  <c r="D75" i="28"/>
  <c r="BJ75" i="1"/>
  <c r="BK75" i="1" s="1"/>
  <c r="S199" i="4"/>
  <c r="D67" i="28"/>
  <c r="BJ67" i="1"/>
  <c r="BK67" i="1" s="1"/>
  <c r="T195" i="4"/>
  <c r="BM63" i="1"/>
  <c r="BN63" i="1" s="1"/>
  <c r="S191" i="4"/>
  <c r="D59" i="28"/>
  <c r="BJ59" i="1"/>
  <c r="BK59" i="1" s="1"/>
  <c r="S183" i="4"/>
  <c r="D51" i="28"/>
  <c r="BJ51" i="1"/>
  <c r="BK51" i="1" s="1"/>
  <c r="U179" i="4"/>
  <c r="BP47" i="1"/>
  <c r="T175" i="4"/>
  <c r="BM43" i="1"/>
  <c r="BN43" i="1" s="1"/>
  <c r="S167" i="4"/>
  <c r="D35" i="28"/>
  <c r="BJ35" i="1"/>
  <c r="BK35" i="1" s="1"/>
  <c r="U163" i="4"/>
  <c r="BP31" i="1"/>
  <c r="S159" i="4"/>
  <c r="D27" i="28"/>
  <c r="BJ27" i="1"/>
  <c r="BK27" i="1" s="1"/>
  <c r="U151" i="4"/>
  <c r="BP19" i="1"/>
  <c r="S147" i="4"/>
  <c r="D15" i="28"/>
  <c r="BJ15" i="1"/>
  <c r="BK15" i="1" s="1"/>
  <c r="U143" i="4"/>
  <c r="BP11" i="1"/>
  <c r="S135" i="4"/>
  <c r="D3" i="28"/>
  <c r="T3" i="28" s="1"/>
  <c r="BJ3" i="1"/>
  <c r="BK3" i="1" s="1"/>
  <c r="S237" i="4"/>
  <c r="D105" i="28"/>
  <c r="BJ105" i="1"/>
  <c r="BK105" i="1" s="1"/>
  <c r="T226" i="4"/>
  <c r="BM94" i="1"/>
  <c r="BN94" i="1" s="1"/>
  <c r="U214" i="4"/>
  <c r="BP82" i="1"/>
  <c r="T202" i="4"/>
  <c r="BM70" i="1"/>
  <c r="BN70" i="1" s="1"/>
  <c r="U186" i="4"/>
  <c r="BP54" i="1"/>
  <c r="T174" i="4"/>
  <c r="BM42" i="1"/>
  <c r="BN42" i="1" s="1"/>
  <c r="U162" i="4"/>
  <c r="BP30" i="1"/>
  <c r="S154" i="4"/>
  <c r="BJ22" i="1"/>
  <c r="BK22" i="1" s="1"/>
  <c r="D22" i="28"/>
  <c r="S146" i="4"/>
  <c r="C12" i="24"/>
  <c r="E12" i="24" s="1"/>
  <c r="C10" i="24"/>
  <c r="T13" i="23"/>
  <c r="G37" i="25"/>
  <c r="L13" i="23"/>
  <c r="G35" i="25"/>
  <c r="I12" i="24"/>
  <c r="K12" i="24" s="1"/>
  <c r="U173" i="4"/>
  <c r="BP41" i="1"/>
  <c r="S161" i="4"/>
  <c r="BJ29" i="1"/>
  <c r="BK29" i="1" s="1"/>
  <c r="D29" i="28"/>
  <c r="U149" i="4"/>
  <c r="BP17" i="1"/>
  <c r="S204" i="4"/>
  <c r="D72" i="28"/>
  <c r="BJ72" i="1"/>
  <c r="BK72" i="1" s="1"/>
  <c r="T184" i="4"/>
  <c r="BM52" i="1"/>
  <c r="BN52" i="1" s="1"/>
  <c r="T168" i="4"/>
  <c r="BM36" i="1"/>
  <c r="BN36" i="1" s="1"/>
  <c r="S136" i="4"/>
  <c r="D4" i="28"/>
  <c r="T4" i="28" s="1"/>
  <c r="BJ4" i="1"/>
  <c r="BK4" i="1" s="1"/>
  <c r="T241" i="4"/>
  <c r="U241" i="4"/>
  <c r="E5" i="24"/>
  <c r="E6" i="24"/>
  <c r="K5" i="24"/>
  <c r="M8" i="17"/>
  <c r="Q8" i="17" s="1"/>
  <c r="V13" i="17"/>
  <c r="Z13" i="17" s="1"/>
  <c r="M6" i="17"/>
  <c r="Q6" i="17" s="1"/>
  <c r="D6" i="17"/>
  <c r="H6" i="17" s="1"/>
  <c r="V7" i="17"/>
  <c r="Z7" i="17" s="1"/>
  <c r="V8" i="17"/>
  <c r="Z8" i="17" s="1"/>
  <c r="M5" i="17"/>
  <c r="Q5" i="17" s="1"/>
  <c r="AE8" i="17"/>
  <c r="AJ8" i="17" s="1"/>
  <c r="AE6" i="17"/>
  <c r="D12" i="23"/>
  <c r="H11" i="23"/>
  <c r="AG12" i="17"/>
  <c r="P11" i="23"/>
  <c r="AG11" i="17"/>
  <c r="P10" i="23"/>
  <c r="L9" i="23"/>
  <c r="D8" i="23"/>
  <c r="H7" i="23"/>
  <c r="AG8" i="17"/>
  <c r="P7" i="23"/>
  <c r="AG7" i="17"/>
  <c r="P6" i="23"/>
  <c r="AG6" i="17"/>
  <c r="P5" i="23"/>
  <c r="E8" i="24"/>
  <c r="D11" i="17"/>
  <c r="H11" i="17" s="1"/>
  <c r="D7" i="17"/>
  <c r="H7" i="17" s="1"/>
  <c r="M11" i="17"/>
  <c r="D9" i="17"/>
  <c r="H9" i="17" s="1"/>
  <c r="M7" i="17"/>
  <c r="Q7" i="17" s="1"/>
  <c r="M12" i="17"/>
  <c r="AG13" i="17"/>
  <c r="P12" i="23"/>
  <c r="AO12" i="17"/>
  <c r="AP12" i="17" s="1"/>
  <c r="AQ12" i="17" s="1"/>
  <c r="F7" i="56" s="1"/>
  <c r="T11" i="23"/>
  <c r="L10" i="23"/>
  <c r="D10" i="23"/>
  <c r="AO10" i="17"/>
  <c r="AP10" i="17" s="1"/>
  <c r="AQ10" i="17" s="1"/>
  <c r="D7" i="56" s="1"/>
  <c r="T9" i="23"/>
  <c r="AG9" i="17"/>
  <c r="P8" i="23"/>
  <c r="AO8" i="17"/>
  <c r="AP8" i="17" s="1"/>
  <c r="AQ8" i="17" s="1"/>
  <c r="T7" i="23"/>
  <c r="AO7" i="17"/>
  <c r="AP7" i="17" s="1"/>
  <c r="AQ7" i="17" s="1"/>
  <c r="T6" i="23"/>
  <c r="D6" i="23"/>
  <c r="AO6" i="17"/>
  <c r="AP6" i="17" s="1"/>
  <c r="AQ6" i="17" s="1"/>
  <c r="T5" i="23"/>
  <c r="L5" i="23"/>
  <c r="K7" i="24"/>
  <c r="K6" i="24"/>
  <c r="D12" i="17"/>
  <c r="H12" i="17" s="1"/>
  <c r="V9" i="17"/>
  <c r="Z9" i="17" s="1"/>
  <c r="D13" i="17"/>
  <c r="H13" i="17" s="1"/>
  <c r="M9" i="17"/>
  <c r="M13" i="17"/>
  <c r="M10" i="17"/>
  <c r="AE13" i="17"/>
  <c r="AF13" i="17" s="1"/>
  <c r="AE11" i="17"/>
  <c r="AJ11" i="17" s="1"/>
  <c r="AE9" i="17"/>
  <c r="AJ9" i="17" s="1"/>
  <c r="AE7" i="17"/>
  <c r="AJ7" i="17" s="1"/>
  <c r="AE5" i="17"/>
  <c r="AJ5" i="17" s="1"/>
  <c r="H12" i="23"/>
  <c r="D11" i="23"/>
  <c r="H10" i="23"/>
  <c r="D9" i="23"/>
  <c r="H9" i="23"/>
  <c r="H8" i="23"/>
  <c r="D7" i="23"/>
  <c r="L6" i="23"/>
  <c r="AG5" i="17"/>
  <c r="D5" i="23"/>
  <c r="AO5" i="17"/>
  <c r="AP5" i="17" s="1"/>
  <c r="AQ5" i="17" s="1"/>
  <c r="E9" i="24"/>
  <c r="E7" i="24"/>
  <c r="V11" i="17"/>
  <c r="Z11" i="17" s="1"/>
  <c r="V12" i="17"/>
  <c r="Z12" i="17" s="1"/>
  <c r="D8" i="17"/>
  <c r="H8" i="17" s="1"/>
  <c r="V6" i="17"/>
  <c r="Z6" i="17" s="1"/>
  <c r="V10" i="17"/>
  <c r="Z10" i="17" s="1"/>
  <c r="D10" i="17"/>
  <c r="H10" i="17" s="1"/>
  <c r="D5" i="17"/>
  <c r="H5" i="17" s="1"/>
  <c r="V5" i="17"/>
  <c r="Z5" i="17" s="1"/>
  <c r="AE12" i="17"/>
  <c r="AJ12" i="17" s="1"/>
  <c r="AE10" i="17"/>
  <c r="AJ10" i="17" s="1"/>
  <c r="AO13" i="17"/>
  <c r="AP13" i="17" s="1"/>
  <c r="T12" i="23"/>
  <c r="L12" i="23"/>
  <c r="L11" i="23"/>
  <c r="AO11" i="17"/>
  <c r="AP11" i="17" s="1"/>
  <c r="AQ11" i="17" s="1"/>
  <c r="E7" i="56" s="1"/>
  <c r="T10" i="23"/>
  <c r="AG10" i="17"/>
  <c r="P9" i="23"/>
  <c r="AO9" i="17"/>
  <c r="AP9" i="17" s="1"/>
  <c r="AQ9" i="17" s="1"/>
  <c r="C7" i="56" s="1"/>
  <c r="T8" i="23"/>
  <c r="L8" i="23"/>
  <c r="L7" i="23"/>
  <c r="H6" i="23"/>
  <c r="H5" i="23"/>
  <c r="E10" i="61" l="1"/>
  <c r="E5" i="61"/>
  <c r="BM98" i="1"/>
  <c r="BN98" i="1" s="1"/>
  <c r="U230" i="4"/>
  <c r="W9" i="61"/>
  <c r="BM14" i="1"/>
  <c r="BN14" i="1" s="1"/>
  <c r="BP86" i="1"/>
  <c r="BQ86" i="1" s="1"/>
  <c r="E86" i="60" s="1"/>
  <c r="D98" i="36"/>
  <c r="D14" i="34"/>
  <c r="E9" i="61"/>
  <c r="E12" i="61"/>
  <c r="N11" i="61"/>
  <c r="BP14" i="1"/>
  <c r="BS26" i="1"/>
  <c r="BP50" i="1"/>
  <c r="BQ50" i="1" s="1"/>
  <c r="E50" i="60" s="1"/>
  <c r="U194" i="4"/>
  <c r="D2" i="36"/>
  <c r="BO50" i="1"/>
  <c r="E8" i="61"/>
  <c r="W8" i="61"/>
  <c r="D38" i="36"/>
  <c r="D50" i="34"/>
  <c r="BO62" i="1"/>
  <c r="N10" i="61"/>
  <c r="D62" i="28"/>
  <c r="C9" i="15" s="1"/>
  <c r="D62" i="30"/>
  <c r="I9" i="15" s="1"/>
  <c r="BT86" i="1"/>
  <c r="D86" i="30"/>
  <c r="I11" i="15" s="1"/>
  <c r="N5" i="61"/>
  <c r="E13" i="61"/>
  <c r="N6" i="61"/>
  <c r="W13" i="61"/>
  <c r="W10" i="61"/>
  <c r="T206" i="4"/>
  <c r="BO74" i="1"/>
  <c r="N8" i="61"/>
  <c r="N12" i="61"/>
  <c r="D74" i="32"/>
  <c r="O10" i="15" s="1"/>
  <c r="W12" i="61"/>
  <c r="N9" i="61"/>
  <c r="N13" i="61"/>
  <c r="BP26" i="1"/>
  <c r="BR26" i="1" s="1"/>
  <c r="BS14" i="1"/>
  <c r="BM2" i="1"/>
  <c r="BN2" i="1" s="1"/>
  <c r="BL2" i="1"/>
  <c r="D98" i="34"/>
  <c r="W6" i="61"/>
  <c r="N7" i="61"/>
  <c r="G8" i="63"/>
  <c r="D8" i="63"/>
  <c r="C8" i="63"/>
  <c r="F7" i="62"/>
  <c r="E18" i="62"/>
  <c r="E19" i="62" s="1"/>
  <c r="E20" i="62" s="1"/>
  <c r="D26" i="38"/>
  <c r="D26" i="58"/>
  <c r="D38" i="28"/>
  <c r="D38" i="58"/>
  <c r="I24" i="62"/>
  <c r="I23" i="62"/>
  <c r="L11" i="62"/>
  <c r="K23" i="62"/>
  <c r="AF8" i="61"/>
  <c r="AH8" i="61" s="1"/>
  <c r="AI8" i="61" s="1"/>
  <c r="AK8" i="61" s="1"/>
  <c r="D86" i="28"/>
  <c r="C11" i="15" s="1"/>
  <c r="D86" i="58"/>
  <c r="F8" i="63"/>
  <c r="AF6" i="61"/>
  <c r="AH6" i="61" s="1"/>
  <c r="AI6" i="61" s="1"/>
  <c r="AK6" i="61" s="1"/>
  <c r="T8" i="58"/>
  <c r="U8" i="58" s="1"/>
  <c r="H23" i="63"/>
  <c r="L10" i="62"/>
  <c r="F10" i="62"/>
  <c r="F12" i="62"/>
  <c r="I9" i="60"/>
  <c r="P9" i="60" s="1"/>
  <c r="T9" i="60" s="1"/>
  <c r="G9" i="59"/>
  <c r="N9" i="59" s="1"/>
  <c r="S9" i="59" s="1"/>
  <c r="G9" i="58"/>
  <c r="N9" i="58" s="1"/>
  <c r="S9" i="58" s="1"/>
  <c r="T9" i="58" s="1"/>
  <c r="U9" i="58" s="1"/>
  <c r="D74" i="28"/>
  <c r="C10" i="15" s="1"/>
  <c r="D74" i="58"/>
  <c r="D98" i="28"/>
  <c r="C12" i="15" s="1"/>
  <c r="D98" i="58"/>
  <c r="L11" i="57"/>
  <c r="L7" i="62"/>
  <c r="F14" i="62"/>
  <c r="L8" i="62"/>
  <c r="AF12" i="61"/>
  <c r="AH12" i="61" s="1"/>
  <c r="AI12" i="61" s="1"/>
  <c r="AK12" i="61" s="1"/>
  <c r="K24" i="62"/>
  <c r="F9" i="62"/>
  <c r="E8" i="63"/>
  <c r="F13" i="62"/>
  <c r="D50" i="38"/>
  <c r="D50" i="58"/>
  <c r="D14" i="28"/>
  <c r="D14" i="58"/>
  <c r="L12" i="62"/>
  <c r="L13" i="62"/>
  <c r="H8" i="63"/>
  <c r="AF5" i="61"/>
  <c r="AH5" i="61" s="1"/>
  <c r="AI5" i="61" s="1"/>
  <c r="AK5" i="61" s="1"/>
  <c r="F11" i="62"/>
  <c r="F18" i="62"/>
  <c r="F19" i="62"/>
  <c r="F20" i="62"/>
  <c r="K14" i="62"/>
  <c r="L14" i="62" s="1"/>
  <c r="C24" i="62"/>
  <c r="E24" i="62" s="1"/>
  <c r="C23" i="62"/>
  <c r="E23" i="62" s="1"/>
  <c r="H38" i="63"/>
  <c r="G38" i="63"/>
  <c r="C38" i="56"/>
  <c r="AH15" i="61"/>
  <c r="AI14" i="61"/>
  <c r="AK14" i="61" s="1"/>
  <c r="T14" i="23"/>
  <c r="C38" i="63"/>
  <c r="E38" i="56"/>
  <c r="H38" i="56"/>
  <c r="D38" i="56"/>
  <c r="F38" i="56"/>
  <c r="P14" i="23"/>
  <c r="E38" i="63"/>
  <c r="G38" i="56"/>
  <c r="AP15" i="61"/>
  <c r="AQ14" i="61"/>
  <c r="I7" i="63" s="1"/>
  <c r="D38" i="63"/>
  <c r="F38" i="63"/>
  <c r="L10" i="57"/>
  <c r="H7" i="56"/>
  <c r="I7" i="56"/>
  <c r="C23" i="24"/>
  <c r="E23" i="24" s="1"/>
  <c r="I33" i="57"/>
  <c r="K33" i="57" s="1"/>
  <c r="I32" i="57"/>
  <c r="K32" i="57" s="1"/>
  <c r="K14" i="57"/>
  <c r="K18" i="57" s="1"/>
  <c r="K19" i="57" s="1"/>
  <c r="L13" i="57"/>
  <c r="L12" i="57"/>
  <c r="L9" i="57"/>
  <c r="T7" i="32"/>
  <c r="U7" i="32" s="1"/>
  <c r="BJ2" i="1"/>
  <c r="BK2" i="1" s="1"/>
  <c r="P8" i="36"/>
  <c r="T8" i="36" s="1"/>
  <c r="O8" i="32"/>
  <c r="S8" i="32" s="1"/>
  <c r="T8" i="32" s="1"/>
  <c r="U8" i="32" s="1"/>
  <c r="C38" i="25"/>
  <c r="S230" i="4"/>
  <c r="S158" i="4"/>
  <c r="T146" i="4"/>
  <c r="T230" i="4"/>
  <c r="S170" i="4"/>
  <c r="U158" i="4"/>
  <c r="U146" i="4"/>
  <c r="U218" i="4"/>
  <c r="BM86" i="1"/>
  <c r="BN86" i="1" s="1"/>
  <c r="BM26" i="1"/>
  <c r="BN26" i="1" s="1"/>
  <c r="D74" i="38"/>
  <c r="D38" i="38"/>
  <c r="D14" i="32"/>
  <c r="O5" i="15" s="1"/>
  <c r="D86" i="32"/>
  <c r="O11" i="15" s="1"/>
  <c r="D26" i="32"/>
  <c r="O6" i="15" s="1"/>
  <c r="BO2" i="1"/>
  <c r="D86" i="34"/>
  <c r="BT98" i="1"/>
  <c r="D26" i="30"/>
  <c r="I6" i="15" s="1"/>
  <c r="D38" i="30"/>
  <c r="I7" i="15" s="1"/>
  <c r="BS74" i="1"/>
  <c r="D74" i="30"/>
  <c r="I10" i="15" s="1"/>
  <c r="D2" i="28"/>
  <c r="C4" i="15" s="1"/>
  <c r="BP74" i="1"/>
  <c r="BQ74" i="1" s="1"/>
  <c r="E74" i="60" s="1"/>
  <c r="BM38" i="1"/>
  <c r="BN38" i="1" s="1"/>
  <c r="T134" i="4"/>
  <c r="BJ74" i="1"/>
  <c r="BK74" i="1" s="1"/>
  <c r="T218" i="4"/>
  <c r="T158" i="4"/>
  <c r="D98" i="38"/>
  <c r="D14" i="36"/>
  <c r="BS86" i="1"/>
  <c r="D26" i="36"/>
  <c r="D2" i="30"/>
  <c r="I4" i="15" s="1"/>
  <c r="D98" i="32"/>
  <c r="O12" i="15" s="1"/>
  <c r="BO26" i="1"/>
  <c r="BO38" i="1"/>
  <c r="D74" i="36"/>
  <c r="D14" i="30"/>
  <c r="I5" i="15" s="1"/>
  <c r="D74" i="34"/>
  <c r="BO98" i="1"/>
  <c r="S134" i="4"/>
  <c r="U206" i="4"/>
  <c r="T170" i="4"/>
  <c r="D26" i="28"/>
  <c r="C6" i="15" s="1"/>
  <c r="BM74" i="1"/>
  <c r="BN74" i="1" s="1"/>
  <c r="BP98" i="1"/>
  <c r="BQ98" i="1" s="1"/>
  <c r="E98" i="60" s="1"/>
  <c r="D2" i="38"/>
  <c r="T2" i="38" s="1"/>
  <c r="U2" i="38" s="1"/>
  <c r="BT14" i="1"/>
  <c r="D86" i="36"/>
  <c r="BT26" i="1"/>
  <c r="D2" i="34"/>
  <c r="BO86" i="1"/>
  <c r="BS98" i="1"/>
  <c r="D26" i="34"/>
  <c r="D38" i="34"/>
  <c r="BT74" i="1"/>
  <c r="BO14" i="1"/>
  <c r="D98" i="30"/>
  <c r="I12" i="15" s="1"/>
  <c r="AH13" i="17"/>
  <c r="AI13" i="17" s="1"/>
  <c r="AK13" i="17" s="1"/>
  <c r="E14" i="24"/>
  <c r="E10" i="24"/>
  <c r="F18" i="24" s="1"/>
  <c r="F14" i="24"/>
  <c r="O43" i="23"/>
  <c r="W7" i="17"/>
  <c r="N8" i="17"/>
  <c r="U170" i="4"/>
  <c r="BJ50" i="1"/>
  <c r="BK50" i="1" s="1"/>
  <c r="BS2" i="1"/>
  <c r="D50" i="32"/>
  <c r="O8" i="15" s="1"/>
  <c r="D62" i="32"/>
  <c r="O9" i="15" s="1"/>
  <c r="BM50" i="1"/>
  <c r="BN50" i="1" s="1"/>
  <c r="D2" i="32"/>
  <c r="O4" i="15" s="1"/>
  <c r="BT38" i="1"/>
  <c r="D50" i="36"/>
  <c r="BS62" i="1"/>
  <c r="BL62" i="1"/>
  <c r="BL86" i="1"/>
  <c r="U182" i="4"/>
  <c r="T182" i="4"/>
  <c r="S218" i="4"/>
  <c r="BM62" i="1"/>
  <c r="BN62" i="1" s="1"/>
  <c r="D50" i="28"/>
  <c r="BJ62" i="1"/>
  <c r="BK62" i="1" s="1"/>
  <c r="BQ109" i="1"/>
  <c r="E109" i="60" s="1"/>
  <c r="D62" i="38"/>
  <c r="BT2" i="1"/>
  <c r="D62" i="34"/>
  <c r="BS38" i="1"/>
  <c r="BT50" i="1"/>
  <c r="D62" i="36"/>
  <c r="BL50" i="1"/>
  <c r="BL14" i="1"/>
  <c r="BJ14" i="1"/>
  <c r="BK14" i="1" s="1"/>
  <c r="BP38" i="1"/>
  <c r="BR38" i="1" s="1"/>
  <c r="BP62" i="1"/>
  <c r="BQ62" i="1" s="1"/>
  <c r="E62" i="60" s="1"/>
  <c r="U134" i="4"/>
  <c r="T194" i="4"/>
  <c r="S182" i="4"/>
  <c r="S194" i="4"/>
  <c r="D86" i="38"/>
  <c r="BP2" i="1"/>
  <c r="BR2" i="1" s="1"/>
  <c r="D38" i="32"/>
  <c r="O7" i="15" s="1"/>
  <c r="BS50" i="1"/>
  <c r="D50" i="30"/>
  <c r="I8" i="15" s="1"/>
  <c r="BT62" i="1"/>
  <c r="BL74" i="1"/>
  <c r="BL26" i="1"/>
  <c r="BL98" i="1"/>
  <c r="BL38" i="1"/>
  <c r="I7" i="25"/>
  <c r="T8" i="38"/>
  <c r="U8" i="38" s="1"/>
  <c r="L13" i="24"/>
  <c r="T8" i="30"/>
  <c r="U8" i="30" s="1"/>
  <c r="K14" i="24"/>
  <c r="L14" i="24" s="1"/>
  <c r="BG10" i="1"/>
  <c r="G9" i="38"/>
  <c r="N9" i="38" s="1"/>
  <c r="S9" i="38" s="1"/>
  <c r="T9" i="38" s="1"/>
  <c r="U9" i="38" s="1"/>
  <c r="I9" i="36"/>
  <c r="G9" i="34"/>
  <c r="N9" i="34" s="1"/>
  <c r="S9" i="34" s="1"/>
  <c r="G9" i="30"/>
  <c r="N9" i="30" s="1"/>
  <c r="S9" i="30" s="1"/>
  <c r="T9" i="30" s="1"/>
  <c r="H9" i="32"/>
  <c r="G9" i="28"/>
  <c r="N9" i="28" s="1"/>
  <c r="S9" i="28" s="1"/>
  <c r="T9" i="28" s="1"/>
  <c r="U9" i="28" s="1"/>
  <c r="I23" i="24"/>
  <c r="K23" i="24" s="1"/>
  <c r="W13" i="17"/>
  <c r="L12" i="24"/>
  <c r="AH14" i="17"/>
  <c r="C5" i="15"/>
  <c r="U3" i="30"/>
  <c r="U6" i="32"/>
  <c r="U6" i="30"/>
  <c r="U4" i="30"/>
  <c r="U5" i="32"/>
  <c r="C7" i="15"/>
  <c r="U4" i="32"/>
  <c r="U3" i="32"/>
  <c r="U7" i="30"/>
  <c r="U5" i="30"/>
  <c r="F8" i="24"/>
  <c r="P15" i="23"/>
  <c r="BR17" i="1"/>
  <c r="BQ17" i="1"/>
  <c r="E17" i="60" s="1"/>
  <c r="BQ54" i="1"/>
  <c r="E54" i="60" s="1"/>
  <c r="BR54" i="1"/>
  <c r="U3" i="28"/>
  <c r="BR19" i="1"/>
  <c r="BQ19" i="1"/>
  <c r="E19" i="60" s="1"/>
  <c r="BQ108" i="1"/>
  <c r="E108" i="60" s="1"/>
  <c r="BR108" i="1"/>
  <c r="BQ56" i="1"/>
  <c r="E56" i="60" s="1"/>
  <c r="BR56" i="1"/>
  <c r="BQ103" i="1"/>
  <c r="E103" i="60" s="1"/>
  <c r="BR103" i="1"/>
  <c r="BR37" i="1"/>
  <c r="BQ37" i="1"/>
  <c r="E37" i="60" s="1"/>
  <c r="BR73" i="1"/>
  <c r="BQ73" i="1"/>
  <c r="E73" i="60" s="1"/>
  <c r="BQ96" i="1"/>
  <c r="E96" i="60" s="1"/>
  <c r="BR96" i="1"/>
  <c r="BR101" i="1"/>
  <c r="BQ101" i="1"/>
  <c r="E101" i="60" s="1"/>
  <c r="BR9" i="1"/>
  <c r="BQ9" i="1"/>
  <c r="E9" i="60" s="1"/>
  <c r="BQ78" i="1"/>
  <c r="E78" i="60" s="1"/>
  <c r="BR78" i="1"/>
  <c r="BR5" i="1"/>
  <c r="BQ5" i="1"/>
  <c r="E5" i="60" s="1"/>
  <c r="BQ10" i="1"/>
  <c r="E10" i="60" s="1"/>
  <c r="BR10" i="1"/>
  <c r="BQ7" i="1"/>
  <c r="E7" i="60" s="1"/>
  <c r="BR7" i="1"/>
  <c r="BR59" i="1"/>
  <c r="BQ59" i="1"/>
  <c r="E59" i="60" s="1"/>
  <c r="BQ75" i="1"/>
  <c r="E75" i="60" s="1"/>
  <c r="BR75" i="1"/>
  <c r="BR87" i="1"/>
  <c r="BQ87" i="1"/>
  <c r="E87" i="60" s="1"/>
  <c r="BR64" i="1"/>
  <c r="BQ64" i="1"/>
  <c r="E64" i="60" s="1"/>
  <c r="U8" i="28"/>
  <c r="BQ92" i="1"/>
  <c r="E92" i="60" s="1"/>
  <c r="BR92" i="1"/>
  <c r="BR25" i="1"/>
  <c r="BQ25" i="1"/>
  <c r="E25" i="60" s="1"/>
  <c r="BQ57" i="1"/>
  <c r="E57" i="60" s="1"/>
  <c r="BR57" i="1"/>
  <c r="BR85" i="1"/>
  <c r="BQ85" i="1"/>
  <c r="E85" i="60" s="1"/>
  <c r="BQ106" i="1"/>
  <c r="E106" i="60" s="1"/>
  <c r="BR106" i="1"/>
  <c r="BQ32" i="1"/>
  <c r="E32" i="60" s="1"/>
  <c r="BR32" i="1"/>
  <c r="BQ4" i="1"/>
  <c r="E4" i="60" s="1"/>
  <c r="BR4" i="1"/>
  <c r="U5" i="28"/>
  <c r="BQ34" i="1"/>
  <c r="E34" i="60" s="1"/>
  <c r="BR34" i="1"/>
  <c r="BQ23" i="1"/>
  <c r="E23" i="60" s="1"/>
  <c r="BR23" i="1"/>
  <c r="BQ39" i="1"/>
  <c r="E39" i="60" s="1"/>
  <c r="BR39" i="1"/>
  <c r="BR63" i="1"/>
  <c r="BQ63" i="1"/>
  <c r="E63" i="60" s="1"/>
  <c r="BR71" i="1"/>
  <c r="BQ71" i="1"/>
  <c r="E71" i="60" s="1"/>
  <c r="BQ28" i="1"/>
  <c r="E28" i="60" s="1"/>
  <c r="BR28" i="1"/>
  <c r="BR107" i="1"/>
  <c r="BQ107" i="1"/>
  <c r="E107" i="60" s="1"/>
  <c r="BQ24" i="1"/>
  <c r="E24" i="60" s="1"/>
  <c r="BR24" i="1"/>
  <c r="BQ84" i="1"/>
  <c r="E84" i="60" s="1"/>
  <c r="BR84" i="1"/>
  <c r="BR53" i="1"/>
  <c r="BQ53" i="1"/>
  <c r="E53" i="60" s="1"/>
  <c r="BR65" i="1"/>
  <c r="BQ65" i="1"/>
  <c r="E65" i="60" s="1"/>
  <c r="BQ44" i="1"/>
  <c r="E44" i="60" s="1"/>
  <c r="BR44" i="1"/>
  <c r="BQ76" i="1"/>
  <c r="E76" i="60" s="1"/>
  <c r="BR76" i="1"/>
  <c r="BR21" i="1"/>
  <c r="BQ21" i="1"/>
  <c r="E21" i="60" s="1"/>
  <c r="L14" i="23"/>
  <c r="BQ70" i="1"/>
  <c r="E70" i="60" s="1"/>
  <c r="BR70" i="1"/>
  <c r="BQ3" i="1"/>
  <c r="E3" i="60" s="1"/>
  <c r="BR3" i="1"/>
  <c r="BR67" i="1"/>
  <c r="BQ67" i="1"/>
  <c r="E67" i="60" s="1"/>
  <c r="BQ100" i="1"/>
  <c r="E100" i="60" s="1"/>
  <c r="BR100" i="1"/>
  <c r="BQ48" i="1"/>
  <c r="E48" i="60" s="1"/>
  <c r="BR48" i="1"/>
  <c r="BQ60" i="1"/>
  <c r="E60" i="60" s="1"/>
  <c r="BR60" i="1"/>
  <c r="BQ58" i="1"/>
  <c r="E58" i="60" s="1"/>
  <c r="BR58" i="1"/>
  <c r="BQ72" i="1"/>
  <c r="E72" i="60" s="1"/>
  <c r="BR72" i="1"/>
  <c r="H14" i="23"/>
  <c r="D14" i="23"/>
  <c r="S43" i="23"/>
  <c r="T43" i="23" s="1"/>
  <c r="U4" i="28"/>
  <c r="BR41" i="1"/>
  <c r="BQ41" i="1"/>
  <c r="E41" i="60" s="1"/>
  <c r="BQ30" i="1"/>
  <c r="E30" i="60" s="1"/>
  <c r="BR30" i="1"/>
  <c r="BQ82" i="1"/>
  <c r="E82" i="60" s="1"/>
  <c r="BR82" i="1"/>
  <c r="BQ11" i="1"/>
  <c r="E11" i="60" s="1"/>
  <c r="BR11" i="1"/>
  <c r="BQ31" i="1"/>
  <c r="E31" i="60" s="1"/>
  <c r="BR31" i="1"/>
  <c r="BR47" i="1"/>
  <c r="BQ47" i="1"/>
  <c r="E47" i="60" s="1"/>
  <c r="BQ83" i="1"/>
  <c r="E83" i="60" s="1"/>
  <c r="BR83" i="1"/>
  <c r="BQ68" i="1"/>
  <c r="E68" i="60" s="1"/>
  <c r="BR68" i="1"/>
  <c r="BQ95" i="1"/>
  <c r="E95" i="60" s="1"/>
  <c r="BR95" i="1"/>
  <c r="BQ88" i="1"/>
  <c r="E88" i="60" s="1"/>
  <c r="BR88" i="1"/>
  <c r="BR33" i="1"/>
  <c r="BQ33" i="1"/>
  <c r="E33" i="60" s="1"/>
  <c r="BQ18" i="1"/>
  <c r="E18" i="60" s="1"/>
  <c r="BR18" i="1"/>
  <c r="BQ46" i="1"/>
  <c r="E46" i="60" s="1"/>
  <c r="BR46" i="1"/>
  <c r="BR45" i="1"/>
  <c r="BQ45" i="1"/>
  <c r="E45" i="60" s="1"/>
  <c r="BQ52" i="1"/>
  <c r="E52" i="60" s="1"/>
  <c r="BR52" i="1"/>
  <c r="BR29" i="1"/>
  <c r="BQ29" i="1"/>
  <c r="E29" i="60" s="1"/>
  <c r="BQ94" i="1"/>
  <c r="E94" i="60" s="1"/>
  <c r="BR94" i="1"/>
  <c r="BQ27" i="1"/>
  <c r="E27" i="60" s="1"/>
  <c r="BR27" i="1"/>
  <c r="BR43" i="1"/>
  <c r="BQ43" i="1"/>
  <c r="E43" i="60" s="1"/>
  <c r="BR91" i="1"/>
  <c r="BQ91" i="1"/>
  <c r="E91" i="60" s="1"/>
  <c r="BR40" i="1"/>
  <c r="BQ40" i="1"/>
  <c r="E40" i="60" s="1"/>
  <c r="BR13" i="1"/>
  <c r="BQ13" i="1"/>
  <c r="E13" i="60" s="1"/>
  <c r="BR77" i="1"/>
  <c r="BQ77" i="1"/>
  <c r="E77" i="60" s="1"/>
  <c r="BQ93" i="1"/>
  <c r="E93" i="60" s="1"/>
  <c r="BR93" i="1"/>
  <c r="BR16" i="1"/>
  <c r="BQ16" i="1"/>
  <c r="E16" i="60" s="1"/>
  <c r="BQ90" i="1"/>
  <c r="E90" i="60" s="1"/>
  <c r="BR90" i="1"/>
  <c r="BQ36" i="1"/>
  <c r="E36" i="60" s="1"/>
  <c r="BR36" i="1"/>
  <c r="BQ22" i="1"/>
  <c r="E22" i="60" s="1"/>
  <c r="BR22" i="1"/>
  <c r="BR15" i="1"/>
  <c r="BQ15" i="1"/>
  <c r="E15" i="60" s="1"/>
  <c r="BR55" i="1"/>
  <c r="BQ55" i="1"/>
  <c r="E55" i="60" s="1"/>
  <c r="BQ79" i="1"/>
  <c r="E79" i="60" s="1"/>
  <c r="BR79" i="1"/>
  <c r="BR97" i="1"/>
  <c r="BQ97" i="1"/>
  <c r="E97" i="60" s="1"/>
  <c r="BQ80" i="1"/>
  <c r="E80" i="60" s="1"/>
  <c r="BR80" i="1"/>
  <c r="BQ8" i="1"/>
  <c r="E8" i="60" s="1"/>
  <c r="BR8" i="1"/>
  <c r="BR49" i="1"/>
  <c r="BQ49" i="1"/>
  <c r="E49" i="60" s="1"/>
  <c r="BR61" i="1"/>
  <c r="BQ61" i="1"/>
  <c r="E61" i="60" s="1"/>
  <c r="BQ69" i="1"/>
  <c r="E69" i="60" s="1"/>
  <c r="BR69" i="1"/>
  <c r="BQ6" i="1"/>
  <c r="E6" i="60" s="1"/>
  <c r="BR6" i="1"/>
  <c r="BQ66" i="1"/>
  <c r="E66" i="60" s="1"/>
  <c r="BR66" i="1"/>
  <c r="U6" i="28"/>
  <c r="BQ14" i="1"/>
  <c r="E14" i="60" s="1"/>
  <c r="BR14" i="1"/>
  <c r="BQ42" i="1"/>
  <c r="E42" i="60" s="1"/>
  <c r="BR42" i="1"/>
  <c r="BR105" i="1"/>
  <c r="BQ105" i="1"/>
  <c r="E105" i="60" s="1"/>
  <c r="BR35" i="1"/>
  <c r="BQ35" i="1"/>
  <c r="E35" i="60" s="1"/>
  <c r="BR51" i="1"/>
  <c r="BQ51" i="1"/>
  <c r="E51" i="60" s="1"/>
  <c r="BQ104" i="1"/>
  <c r="E104" i="60" s="1"/>
  <c r="BR104" i="1"/>
  <c r="BQ12" i="1"/>
  <c r="E12" i="60" s="1"/>
  <c r="BR12" i="1"/>
  <c r="BR81" i="1"/>
  <c r="BQ81" i="1"/>
  <c r="E81" i="60" s="1"/>
  <c r="BQ89" i="1"/>
  <c r="E89" i="60" s="1"/>
  <c r="BR89" i="1"/>
  <c r="BQ102" i="1"/>
  <c r="E102" i="60" s="1"/>
  <c r="BR102" i="1"/>
  <c r="BQ99" i="1"/>
  <c r="E99" i="60" s="1"/>
  <c r="BR99" i="1"/>
  <c r="BQ20" i="1"/>
  <c r="E20" i="60" s="1"/>
  <c r="BR20" i="1"/>
  <c r="U7" i="28"/>
  <c r="AF7" i="17"/>
  <c r="AH7" i="17" s="1"/>
  <c r="AI7" i="17" s="1"/>
  <c r="AK7" i="17" s="1"/>
  <c r="I20" i="57" s="1"/>
  <c r="N6" i="17"/>
  <c r="W12" i="17"/>
  <c r="E6" i="17"/>
  <c r="E13" i="17"/>
  <c r="W9" i="17"/>
  <c r="L7" i="24"/>
  <c r="N7" i="17"/>
  <c r="E9" i="17"/>
  <c r="W10" i="17"/>
  <c r="F9" i="24"/>
  <c r="L10" i="24"/>
  <c r="N5" i="17"/>
  <c r="W11" i="17"/>
  <c r="E11" i="17"/>
  <c r="H38" i="25"/>
  <c r="Q11" i="17"/>
  <c r="N11" i="17"/>
  <c r="AF8" i="17"/>
  <c r="W6" i="17"/>
  <c r="E7" i="17"/>
  <c r="G38" i="25"/>
  <c r="W5" i="17"/>
  <c r="Q9" i="17"/>
  <c r="N9" i="17"/>
  <c r="AF10" i="17"/>
  <c r="AF12" i="17"/>
  <c r="L8" i="24"/>
  <c r="E8" i="17"/>
  <c r="Q12" i="17"/>
  <c r="N12" i="17"/>
  <c r="F13" i="24"/>
  <c r="AF6" i="17"/>
  <c r="AJ6" i="17"/>
  <c r="E12" i="17"/>
  <c r="E5" i="17"/>
  <c r="E38" i="25"/>
  <c r="E10" i="17"/>
  <c r="Q10" i="17"/>
  <c r="N10" i="17"/>
  <c r="D38" i="25"/>
  <c r="F7" i="24"/>
  <c r="F10" i="24"/>
  <c r="F38" i="25"/>
  <c r="W8" i="17"/>
  <c r="AQ13" i="17"/>
  <c r="G7" i="56" s="1"/>
  <c r="Q13" i="17"/>
  <c r="N13" i="17"/>
  <c r="AF11" i="17"/>
  <c r="AF9" i="17"/>
  <c r="AF5" i="17"/>
  <c r="AH5" i="17" s="1"/>
  <c r="AI5" i="17" s="1"/>
  <c r="AK5" i="17" s="1"/>
  <c r="I18" i="57" s="1"/>
  <c r="L9" i="24"/>
  <c r="L11" i="24"/>
  <c r="BQ26" i="1" l="1"/>
  <c r="E26" i="60" s="1"/>
  <c r="BR86" i="1"/>
  <c r="BR50" i="1"/>
  <c r="BR74" i="1"/>
  <c r="T2" i="28"/>
  <c r="U2" i="28" s="1"/>
  <c r="G14" i="23" a="1"/>
  <c r="G14" i="23" s="1"/>
  <c r="G44" i="23"/>
  <c r="BQ38" i="1"/>
  <c r="E38" i="60" s="1"/>
  <c r="T2" i="30"/>
  <c r="U2" i="30" s="1"/>
  <c r="G10" i="59"/>
  <c r="N10" i="59" s="1"/>
  <c r="S10" i="59" s="1"/>
  <c r="I10" i="60"/>
  <c r="P10" i="60" s="1"/>
  <c r="T10" i="60" s="1"/>
  <c r="G10" i="58"/>
  <c r="N10" i="58" s="1"/>
  <c r="S10" i="58" s="1"/>
  <c r="T10" i="58" s="1"/>
  <c r="U10" i="58" s="1"/>
  <c r="K18" i="62"/>
  <c r="K19" i="62" s="1"/>
  <c r="K20" i="62" s="1"/>
  <c r="L20" i="62"/>
  <c r="L19" i="62"/>
  <c r="L18" i="62"/>
  <c r="I6" i="63"/>
  <c r="I18" i="62"/>
  <c r="J18" i="62" s="1"/>
  <c r="I22" i="63" s="1"/>
  <c r="C44" i="23"/>
  <c r="C14" i="23"/>
  <c r="K44" i="23"/>
  <c r="R129" i="60" s="1"/>
  <c r="K14" i="23" a="1"/>
  <c r="K14" i="23" s="1"/>
  <c r="AH16" i="61"/>
  <c r="AP16" i="61"/>
  <c r="L14" i="57"/>
  <c r="L29" i="57" s="1"/>
  <c r="K20" i="57"/>
  <c r="K21" i="57" s="1"/>
  <c r="K22" i="57" s="1"/>
  <c r="K23" i="57" s="1"/>
  <c r="K24" i="57" s="1"/>
  <c r="K25" i="57" s="1"/>
  <c r="K26" i="57" s="1"/>
  <c r="K27" i="57" s="1"/>
  <c r="K28" i="57" s="1"/>
  <c r="K29" i="57" s="1"/>
  <c r="J18" i="57"/>
  <c r="I26" i="57"/>
  <c r="G6" i="56"/>
  <c r="L26" i="57"/>
  <c r="L21" i="57"/>
  <c r="BR98" i="1"/>
  <c r="G50" i="23"/>
  <c r="O9" i="32"/>
  <c r="S9" i="32" s="1"/>
  <c r="T9" i="32" s="1"/>
  <c r="U9" i="32" s="1"/>
  <c r="P9" i="36"/>
  <c r="T9" i="36" s="1"/>
  <c r="L44" i="23"/>
  <c r="K45" i="23"/>
  <c r="R130" i="60" s="1"/>
  <c r="D44" i="23"/>
  <c r="P43" i="23"/>
  <c r="O44" i="23"/>
  <c r="F20" i="24"/>
  <c r="BQ2" i="1"/>
  <c r="E2" i="60" s="1"/>
  <c r="E109" i="36"/>
  <c r="F11" i="24"/>
  <c r="F19" i="24"/>
  <c r="F12" i="24"/>
  <c r="E18" i="24"/>
  <c r="E19" i="24" s="1"/>
  <c r="E20" i="24" s="1"/>
  <c r="K18" i="24"/>
  <c r="K19" i="24" s="1"/>
  <c r="K20" i="24" s="1"/>
  <c r="BR62" i="1"/>
  <c r="T2" i="32"/>
  <c r="U2" i="32" s="1"/>
  <c r="C8" i="15"/>
  <c r="U9" i="30"/>
  <c r="BG11" i="1"/>
  <c r="G10" i="38"/>
  <c r="N10" i="38" s="1"/>
  <c r="S10" i="38" s="1"/>
  <c r="T10" i="38" s="1"/>
  <c r="U10" i="38" s="1"/>
  <c r="I10" i="36"/>
  <c r="G10" i="28"/>
  <c r="N10" i="28" s="1"/>
  <c r="S10" i="28" s="1"/>
  <c r="T10" i="28" s="1"/>
  <c r="G10" i="34"/>
  <c r="N10" i="34" s="1"/>
  <c r="S10" i="34" s="1"/>
  <c r="H10" i="32"/>
  <c r="G10" i="30"/>
  <c r="N10" i="30" s="1"/>
  <c r="S10" i="30" s="1"/>
  <c r="T10" i="30" s="1"/>
  <c r="H15" i="23"/>
  <c r="L20" i="24"/>
  <c r="L19" i="24"/>
  <c r="L18" i="24"/>
  <c r="T15" i="23"/>
  <c r="AI14" i="17"/>
  <c r="AK14" i="17" s="1"/>
  <c r="AH15" i="17"/>
  <c r="AH16" i="17" s="1"/>
  <c r="D15" i="23"/>
  <c r="C50" i="23" s="1"/>
  <c r="Q135" i="58" s="1"/>
  <c r="E51" i="36"/>
  <c r="E105" i="36"/>
  <c r="E66" i="36"/>
  <c r="E98" i="36"/>
  <c r="E8" i="36"/>
  <c r="E36" i="36"/>
  <c r="E94" i="36"/>
  <c r="E18" i="36"/>
  <c r="E88" i="36"/>
  <c r="E68" i="36"/>
  <c r="E11" i="36"/>
  <c r="E50" i="36"/>
  <c r="E44" i="36"/>
  <c r="E24" i="36"/>
  <c r="E28" i="36"/>
  <c r="E23" i="36"/>
  <c r="E85" i="36"/>
  <c r="E25" i="36"/>
  <c r="E87" i="36"/>
  <c r="E59" i="36"/>
  <c r="E9" i="36"/>
  <c r="E37" i="36"/>
  <c r="E17" i="36"/>
  <c r="E99" i="36"/>
  <c r="E89" i="36"/>
  <c r="E12" i="36"/>
  <c r="E14" i="36"/>
  <c r="E49" i="36"/>
  <c r="E15" i="36"/>
  <c r="E13" i="36"/>
  <c r="E91" i="36"/>
  <c r="E33" i="36"/>
  <c r="E72" i="36"/>
  <c r="E60" i="36"/>
  <c r="E100" i="36"/>
  <c r="E3" i="36"/>
  <c r="E70" i="36"/>
  <c r="E65" i="36"/>
  <c r="E107" i="36"/>
  <c r="E71" i="36"/>
  <c r="E4" i="36"/>
  <c r="E32" i="36"/>
  <c r="E10" i="36"/>
  <c r="E96" i="36"/>
  <c r="E56" i="36"/>
  <c r="E108" i="36"/>
  <c r="E54" i="36"/>
  <c r="E81" i="36"/>
  <c r="E35" i="36"/>
  <c r="E6" i="36"/>
  <c r="E69" i="36"/>
  <c r="E80" i="36"/>
  <c r="E79" i="36"/>
  <c r="E22" i="36"/>
  <c r="E90" i="36"/>
  <c r="E93" i="36"/>
  <c r="E27" i="36"/>
  <c r="E62" i="36"/>
  <c r="E52" i="36"/>
  <c r="E46" i="36"/>
  <c r="E95" i="36"/>
  <c r="E83" i="36"/>
  <c r="E31" i="36"/>
  <c r="E82" i="36"/>
  <c r="E30" i="36"/>
  <c r="E67" i="36"/>
  <c r="E76" i="36"/>
  <c r="E84" i="36"/>
  <c r="E39" i="36"/>
  <c r="E34" i="36"/>
  <c r="E64" i="36"/>
  <c r="E5" i="36"/>
  <c r="E101" i="36"/>
  <c r="E73" i="36"/>
  <c r="E19" i="36"/>
  <c r="E20" i="36"/>
  <c r="E102" i="36"/>
  <c r="E104" i="36"/>
  <c r="E42" i="36"/>
  <c r="E61" i="36"/>
  <c r="E97" i="36"/>
  <c r="E55" i="36"/>
  <c r="E16" i="36"/>
  <c r="E77" i="36"/>
  <c r="E40" i="36"/>
  <c r="E43" i="36"/>
  <c r="E29" i="36"/>
  <c r="E45" i="36"/>
  <c r="E47" i="36"/>
  <c r="E41" i="36"/>
  <c r="E58" i="36"/>
  <c r="E48" i="36"/>
  <c r="E86" i="36"/>
  <c r="E21" i="36"/>
  <c r="E53" i="36"/>
  <c r="E63" i="36"/>
  <c r="E26" i="36"/>
  <c r="E106" i="36"/>
  <c r="E57" i="36"/>
  <c r="E92" i="36"/>
  <c r="E75" i="36"/>
  <c r="E7" i="36"/>
  <c r="E78" i="36"/>
  <c r="E103" i="36"/>
  <c r="E74" i="36"/>
  <c r="L15" i="23"/>
  <c r="AH9" i="17"/>
  <c r="AI9" i="17" s="1"/>
  <c r="AK9" i="17" s="1"/>
  <c r="AP15" i="17"/>
  <c r="AP16" i="17" s="1"/>
  <c r="AH6" i="17"/>
  <c r="AI6" i="17" s="1"/>
  <c r="AK6" i="17" s="1"/>
  <c r="I19" i="57" s="1"/>
  <c r="J19" i="57" s="1"/>
  <c r="AH11" i="17"/>
  <c r="AI11" i="17" s="1"/>
  <c r="AK11" i="17" s="1"/>
  <c r="AH12" i="17"/>
  <c r="AI12" i="17" s="1"/>
  <c r="AK12" i="17" s="1"/>
  <c r="AH10" i="17"/>
  <c r="AI10" i="17" s="1"/>
  <c r="AK10" i="17" s="1"/>
  <c r="AH8" i="17"/>
  <c r="AI8" i="17" s="1"/>
  <c r="AK8" i="17" s="1"/>
  <c r="I21" i="57" s="1"/>
  <c r="J21" i="57" s="1"/>
  <c r="E2" i="36" l="1"/>
  <c r="E38" i="36"/>
  <c r="L25" i="57"/>
  <c r="I11" i="60"/>
  <c r="P11" i="60" s="1"/>
  <c r="T11" i="60" s="1"/>
  <c r="G11" i="59"/>
  <c r="N11" i="59" s="1"/>
  <c r="S11" i="59" s="1"/>
  <c r="G11" i="58"/>
  <c r="N11" i="58" s="1"/>
  <c r="S11" i="58" s="1"/>
  <c r="T11" i="58" s="1"/>
  <c r="U11" i="58" s="1"/>
  <c r="G45" i="23"/>
  <c r="Q129" i="59"/>
  <c r="Q129" i="58"/>
  <c r="C45" i="23"/>
  <c r="Q130" i="58" s="1"/>
  <c r="H44" i="23"/>
  <c r="G51" i="23"/>
  <c r="Q135" i="59"/>
  <c r="L19" i="57"/>
  <c r="L20" i="57"/>
  <c r="L24" i="57"/>
  <c r="L28" i="57"/>
  <c r="L18" i="57"/>
  <c r="L22" i="57"/>
  <c r="J20" i="57"/>
  <c r="L23" i="57"/>
  <c r="L27" i="57"/>
  <c r="I23" i="57"/>
  <c r="J23" i="57" s="1"/>
  <c r="D6" i="56"/>
  <c r="F6" i="56"/>
  <c r="I25" i="57"/>
  <c r="J25" i="57" s="1"/>
  <c r="C6" i="56"/>
  <c r="I22" i="57"/>
  <c r="J22" i="57" s="1"/>
  <c r="E6" i="56"/>
  <c r="I24" i="57"/>
  <c r="J24" i="57" s="1"/>
  <c r="H6" i="56"/>
  <c r="I27" i="57"/>
  <c r="J27" i="57" s="1"/>
  <c r="I6" i="56"/>
  <c r="J26" i="57"/>
  <c r="P10" i="36"/>
  <c r="T10" i="36" s="1"/>
  <c r="O10" i="32"/>
  <c r="S10" i="32" s="1"/>
  <c r="T10" i="32" s="1"/>
  <c r="U10" i="32" s="1"/>
  <c r="S44" i="23"/>
  <c r="O45" i="23"/>
  <c r="P44" i="23"/>
  <c r="C46" i="23"/>
  <c r="Q131" i="58" s="1"/>
  <c r="D45" i="23"/>
  <c r="K46" i="23"/>
  <c r="R131" i="60" s="1"/>
  <c r="L45" i="23"/>
  <c r="H45" i="23"/>
  <c r="G15" i="23"/>
  <c r="K15" i="23"/>
  <c r="I6" i="25"/>
  <c r="R129" i="36"/>
  <c r="R128" i="36"/>
  <c r="R130" i="36"/>
  <c r="Q128" i="38"/>
  <c r="Q124" i="34"/>
  <c r="Q128" i="34"/>
  <c r="U10" i="30"/>
  <c r="U10" i="28"/>
  <c r="BG12" i="1"/>
  <c r="G11" i="38"/>
  <c r="N11" i="38" s="1"/>
  <c r="S11" i="38" s="1"/>
  <c r="T11" i="38" s="1"/>
  <c r="U11" i="38" s="1"/>
  <c r="I11" i="36"/>
  <c r="G11" i="34"/>
  <c r="N11" i="34" s="1"/>
  <c r="S11" i="34" s="1"/>
  <c r="H11" i="32"/>
  <c r="G11" i="30"/>
  <c r="N11" i="30" s="1"/>
  <c r="S11" i="30" s="1"/>
  <c r="T11" i="30" s="1"/>
  <c r="G11" i="28"/>
  <c r="N11" i="28" s="1"/>
  <c r="S11" i="28" s="1"/>
  <c r="T11" i="28" s="1"/>
  <c r="R125" i="36"/>
  <c r="R124" i="36"/>
  <c r="R127" i="36"/>
  <c r="R126" i="36"/>
  <c r="Q131" i="38"/>
  <c r="Q126" i="34"/>
  <c r="Q125" i="34"/>
  <c r="R122" i="36"/>
  <c r="R123" i="36"/>
  <c r="Q130" i="38"/>
  <c r="Q129" i="38"/>
  <c r="Q123" i="34"/>
  <c r="Q122" i="34"/>
  <c r="Q130" i="34"/>
  <c r="Q129" i="34"/>
  <c r="Q127" i="34"/>
  <c r="C15" i="23"/>
  <c r="S14" i="23"/>
  <c r="O14" i="23"/>
  <c r="I12" i="60" l="1"/>
  <c r="P12" i="60" s="1"/>
  <c r="T12" i="60" s="1"/>
  <c r="G12" i="59"/>
  <c r="N12" i="59" s="1"/>
  <c r="S12" i="59" s="1"/>
  <c r="G12" i="58"/>
  <c r="N12" i="58" s="1"/>
  <c r="S12" i="58" s="1"/>
  <c r="T12" i="58" s="1"/>
  <c r="U12" i="58" s="1"/>
  <c r="G52" i="23"/>
  <c r="Q136" i="59"/>
  <c r="R131" i="36"/>
  <c r="G46" i="23"/>
  <c r="Q130" i="59"/>
  <c r="P11" i="36"/>
  <c r="T11" i="36" s="1"/>
  <c r="O11" i="32"/>
  <c r="S11" i="32" s="1"/>
  <c r="T11" i="32" s="1"/>
  <c r="U11" i="32" s="1"/>
  <c r="L46" i="23"/>
  <c r="K47" i="23"/>
  <c r="R132" i="60" s="1"/>
  <c r="P45" i="23"/>
  <c r="O46" i="23"/>
  <c r="H46" i="23"/>
  <c r="D46" i="23"/>
  <c r="C47" i="23"/>
  <c r="T44" i="23"/>
  <c r="S45" i="23"/>
  <c r="U11" i="28"/>
  <c r="U11" i="30"/>
  <c r="BG13" i="1"/>
  <c r="G12" i="38"/>
  <c r="N12" i="38" s="1"/>
  <c r="S12" i="38" s="1"/>
  <c r="T12" i="38" s="1"/>
  <c r="U12" i="38" s="1"/>
  <c r="I12" i="36"/>
  <c r="G12" i="34"/>
  <c r="N12" i="34" s="1"/>
  <c r="S12" i="34" s="1"/>
  <c r="H12" i="32"/>
  <c r="G12" i="30"/>
  <c r="N12" i="30" s="1"/>
  <c r="S12" i="30" s="1"/>
  <c r="T12" i="30" s="1"/>
  <c r="G12" i="28"/>
  <c r="N12" i="28" s="1"/>
  <c r="S12" i="28" s="1"/>
  <c r="T12" i="28" s="1"/>
  <c r="S15" i="23"/>
  <c r="O15" i="23"/>
  <c r="I18" i="24"/>
  <c r="J18" i="24" s="1"/>
  <c r="I22" i="56" s="1"/>
  <c r="I13" i="60" l="1"/>
  <c r="P13" i="60" s="1"/>
  <c r="T13" i="60" s="1"/>
  <c r="G13" i="59"/>
  <c r="N13" i="59" s="1"/>
  <c r="S13" i="59" s="1"/>
  <c r="G13" i="58"/>
  <c r="N13" i="58" s="1"/>
  <c r="S13" i="58" s="1"/>
  <c r="T13" i="58" s="1"/>
  <c r="U13" i="58" s="1"/>
  <c r="G47" i="23"/>
  <c r="Q131" i="59"/>
  <c r="Q131" i="34"/>
  <c r="Q132" i="58"/>
  <c r="D47" i="23"/>
  <c r="G53" i="23"/>
  <c r="Q137" i="59"/>
  <c r="P12" i="36"/>
  <c r="T12" i="36" s="1"/>
  <c r="O12" i="32"/>
  <c r="S12" i="32" s="1"/>
  <c r="T12" i="32" s="1"/>
  <c r="U12" i="32" s="1"/>
  <c r="S46" i="23"/>
  <c r="T45" i="23"/>
  <c r="H47" i="23"/>
  <c r="Q132" i="34"/>
  <c r="L47" i="23"/>
  <c r="K48" i="23"/>
  <c r="R133" i="60" s="1"/>
  <c r="R132" i="36"/>
  <c r="C48" i="23"/>
  <c r="Q133" i="58" s="1"/>
  <c r="Q132" i="38"/>
  <c r="C18" i="23"/>
  <c r="P46" i="23"/>
  <c r="O47" i="23"/>
  <c r="BG14" i="1"/>
  <c r="G13" i="38"/>
  <c r="N13" i="38" s="1"/>
  <c r="S13" i="38" s="1"/>
  <c r="T13" i="38" s="1"/>
  <c r="U13" i="38" s="1"/>
  <c r="I13" i="36"/>
  <c r="G13" i="34"/>
  <c r="N13" i="34" s="1"/>
  <c r="S13" i="34" s="1"/>
  <c r="G13" i="30"/>
  <c r="N13" i="30" s="1"/>
  <c r="S13" i="30" s="1"/>
  <c r="T13" i="30" s="1"/>
  <c r="H13" i="32"/>
  <c r="G13" i="28"/>
  <c r="N13" i="28" s="1"/>
  <c r="S13" i="28" s="1"/>
  <c r="T13" i="28" s="1"/>
  <c r="U12" i="28"/>
  <c r="U12" i="30"/>
  <c r="I22" i="25"/>
  <c r="K18" i="23" l="1"/>
  <c r="I14" i="60"/>
  <c r="P14" i="60" s="1"/>
  <c r="T14" i="60" s="1"/>
  <c r="G14" i="59"/>
  <c r="N14" i="59" s="1"/>
  <c r="S14" i="59" s="1"/>
  <c r="G14" i="58"/>
  <c r="N14" i="58" s="1"/>
  <c r="S14" i="58" s="1"/>
  <c r="I33" i="63"/>
  <c r="D18" i="23"/>
  <c r="I33" i="56"/>
  <c r="G54" i="23"/>
  <c r="Q138" i="59"/>
  <c r="I35" i="25"/>
  <c r="V18" i="23"/>
  <c r="I35" i="63"/>
  <c r="I35" i="56"/>
  <c r="G48" i="23"/>
  <c r="Q133" i="34" s="1"/>
  <c r="Q132" i="59"/>
  <c r="O13" i="32"/>
  <c r="S13" i="32" s="1"/>
  <c r="T13" i="32" s="1"/>
  <c r="I33" i="25"/>
  <c r="P13" i="36"/>
  <c r="T13" i="36" s="1"/>
  <c r="D48" i="23"/>
  <c r="Q133" i="38"/>
  <c r="L18" i="23"/>
  <c r="L48" i="23"/>
  <c r="R133" i="36"/>
  <c r="P47" i="23"/>
  <c r="O48" i="23"/>
  <c r="O18" i="23" s="1"/>
  <c r="H48" i="23"/>
  <c r="T46" i="23"/>
  <c r="S47" i="23"/>
  <c r="U13" i="30"/>
  <c r="U13" i="28"/>
  <c r="BG15" i="1"/>
  <c r="G14" i="38"/>
  <c r="N14" i="38" s="1"/>
  <c r="S14" i="38" s="1"/>
  <c r="G14" i="34"/>
  <c r="N14" i="34" s="1"/>
  <c r="S14" i="34" s="1"/>
  <c r="G14" i="28"/>
  <c r="N14" i="28" s="1"/>
  <c r="S14" i="28" s="1"/>
  <c r="I14" i="36"/>
  <c r="G14" i="30"/>
  <c r="N14" i="30" s="1"/>
  <c r="S14" i="30" s="1"/>
  <c r="H14" i="32"/>
  <c r="G15" i="59" l="1"/>
  <c r="N15" i="59" s="1"/>
  <c r="S15" i="59" s="1"/>
  <c r="I15" i="60"/>
  <c r="P15" i="60" s="1"/>
  <c r="T15" i="60" s="1"/>
  <c r="G15" i="58"/>
  <c r="N15" i="58" s="1"/>
  <c r="S15" i="58" s="1"/>
  <c r="T15" i="58" s="1"/>
  <c r="U15" i="58" s="1"/>
  <c r="T14" i="58"/>
  <c r="U14" i="58" s="1"/>
  <c r="Q133" i="59"/>
  <c r="G18" i="23"/>
  <c r="G55" i="23"/>
  <c r="Q139" i="59"/>
  <c r="I36" i="63"/>
  <c r="AG15" i="61"/>
  <c r="AI15" i="61" s="1"/>
  <c r="AK15" i="61" s="1"/>
  <c r="AG15" i="17"/>
  <c r="AI15" i="17" s="1"/>
  <c r="AK15" i="17" s="1"/>
  <c r="I36" i="56"/>
  <c r="U13" i="32"/>
  <c r="P14" i="36"/>
  <c r="T14" i="36" s="1"/>
  <c r="O14" i="32"/>
  <c r="S14" i="32" s="1"/>
  <c r="T14" i="32" s="1"/>
  <c r="P18" i="23"/>
  <c r="I36" i="25"/>
  <c r="H49" i="23"/>
  <c r="Q134" i="34"/>
  <c r="K50" i="23"/>
  <c r="R135" i="60" s="1"/>
  <c r="L49" i="23"/>
  <c r="R134" i="36"/>
  <c r="T47" i="23"/>
  <c r="S48" i="23"/>
  <c r="S18" i="23" s="1"/>
  <c r="P48" i="23"/>
  <c r="D49" i="23"/>
  <c r="Q134" i="38"/>
  <c r="T14" i="30"/>
  <c r="T14" i="38"/>
  <c r="U14" i="38" s="1"/>
  <c r="T14" i="28"/>
  <c r="BG16" i="1"/>
  <c r="G15" i="38"/>
  <c r="N15" i="38" s="1"/>
  <c r="S15" i="38" s="1"/>
  <c r="T15" i="38" s="1"/>
  <c r="U15" i="38" s="1"/>
  <c r="I15" i="36"/>
  <c r="G15" i="34"/>
  <c r="N15" i="34" s="1"/>
  <c r="S15" i="34" s="1"/>
  <c r="H15" i="32"/>
  <c r="G15" i="30"/>
  <c r="N15" i="30" s="1"/>
  <c r="S15" i="30" s="1"/>
  <c r="T15" i="30" s="1"/>
  <c r="G15" i="28"/>
  <c r="N15" i="28" s="1"/>
  <c r="S15" i="28" s="1"/>
  <c r="T15" i="28" s="1"/>
  <c r="G16" i="59" l="1"/>
  <c r="N16" i="59" s="1"/>
  <c r="S16" i="59" s="1"/>
  <c r="I16" i="60"/>
  <c r="P16" i="60" s="1"/>
  <c r="T16" i="60" s="1"/>
  <c r="G16" i="58"/>
  <c r="N16" i="58" s="1"/>
  <c r="S16" i="58" s="1"/>
  <c r="I19" i="62"/>
  <c r="J19" i="62" s="1"/>
  <c r="J22" i="63" s="1"/>
  <c r="J6" i="63"/>
  <c r="I34" i="25"/>
  <c r="I34" i="63"/>
  <c r="I34" i="56"/>
  <c r="H18" i="23"/>
  <c r="I37" i="63"/>
  <c r="AO15" i="61"/>
  <c r="AQ15" i="61" s="1"/>
  <c r="J7" i="63" s="1"/>
  <c r="G56" i="23"/>
  <c r="Q140" i="59"/>
  <c r="J6" i="56"/>
  <c r="I28" i="57"/>
  <c r="J28" i="57" s="1"/>
  <c r="I19" i="24"/>
  <c r="J19" i="24" s="1"/>
  <c r="J6" i="25"/>
  <c r="AO15" i="17"/>
  <c r="AQ15" i="17" s="1"/>
  <c r="I37" i="56"/>
  <c r="P15" i="36"/>
  <c r="T15" i="36" s="1"/>
  <c r="T18" i="23"/>
  <c r="I37" i="25"/>
  <c r="O15" i="32"/>
  <c r="S15" i="32" s="1"/>
  <c r="T15" i="32" s="1"/>
  <c r="U15" i="32" s="1"/>
  <c r="T48" i="23"/>
  <c r="C51" i="23"/>
  <c r="Q136" i="58" s="1"/>
  <c r="D50" i="23"/>
  <c r="Q135" i="38"/>
  <c r="K51" i="23"/>
  <c r="R136" i="60" s="1"/>
  <c r="L50" i="23"/>
  <c r="R135" i="36"/>
  <c r="O50" i="23"/>
  <c r="O51" i="23" s="1"/>
  <c r="P49" i="23"/>
  <c r="H50" i="23"/>
  <c r="Q135" i="34"/>
  <c r="U15" i="30"/>
  <c r="U14" i="30"/>
  <c r="BG17" i="1"/>
  <c r="G16" i="38"/>
  <c r="N16" i="38" s="1"/>
  <c r="S16" i="38" s="1"/>
  <c r="I16" i="36"/>
  <c r="G16" i="34"/>
  <c r="N16" i="34" s="1"/>
  <c r="S16" i="34" s="1"/>
  <c r="H16" i="32"/>
  <c r="G16" i="30"/>
  <c r="N16" i="30" s="1"/>
  <c r="S16" i="30" s="1"/>
  <c r="T16" i="30" s="1"/>
  <c r="G16" i="28"/>
  <c r="N16" i="28" s="1"/>
  <c r="S16" i="28" s="1"/>
  <c r="U14" i="32"/>
  <c r="U15" i="28"/>
  <c r="U14" i="28"/>
  <c r="I17" i="60" l="1"/>
  <c r="P17" i="60" s="1"/>
  <c r="T17" i="60" s="1"/>
  <c r="G17" i="59"/>
  <c r="N17" i="59" s="1"/>
  <c r="S17" i="59" s="1"/>
  <c r="G17" i="58"/>
  <c r="N17" i="58" s="1"/>
  <c r="S17" i="58" s="1"/>
  <c r="T17" i="58" s="1"/>
  <c r="U17" i="58" s="1"/>
  <c r="T16" i="58"/>
  <c r="U16" i="58" s="1"/>
  <c r="I38" i="56"/>
  <c r="G57" i="23"/>
  <c r="Q141" i="59"/>
  <c r="I38" i="63"/>
  <c r="T16" i="38"/>
  <c r="U16" i="38" s="1"/>
  <c r="J22" i="56"/>
  <c r="J22" i="25"/>
  <c r="J7" i="56"/>
  <c r="J7" i="25"/>
  <c r="I38" i="25"/>
  <c r="P16" i="36"/>
  <c r="T16" i="36" s="1"/>
  <c r="O16" i="32"/>
  <c r="S16" i="32" s="1"/>
  <c r="T16" i="32" s="1"/>
  <c r="S50" i="23"/>
  <c r="T49" i="23"/>
  <c r="H51" i="23"/>
  <c r="Q136" i="34"/>
  <c r="K52" i="23"/>
  <c r="R137" i="60" s="1"/>
  <c r="L51" i="23"/>
  <c r="R136" i="36"/>
  <c r="C52" i="23"/>
  <c r="Q137" i="58" s="1"/>
  <c r="D51" i="23"/>
  <c r="Q136" i="38"/>
  <c r="P50" i="23"/>
  <c r="T16" i="28"/>
  <c r="BG18" i="1"/>
  <c r="G17" i="38"/>
  <c r="N17" i="38" s="1"/>
  <c r="S17" i="38" s="1"/>
  <c r="I17" i="36"/>
  <c r="G17" i="34"/>
  <c r="N17" i="34" s="1"/>
  <c r="S17" i="34" s="1"/>
  <c r="G17" i="30"/>
  <c r="N17" i="30" s="1"/>
  <c r="S17" i="30" s="1"/>
  <c r="H17" i="32"/>
  <c r="G17" i="28"/>
  <c r="N17" i="28" s="1"/>
  <c r="S17" i="28" s="1"/>
  <c r="T17" i="28" s="1"/>
  <c r="U16" i="30"/>
  <c r="I18" i="60" l="1"/>
  <c r="P18" i="60" s="1"/>
  <c r="T18" i="60" s="1"/>
  <c r="G18" i="59"/>
  <c r="N18" i="59" s="1"/>
  <c r="S18" i="59" s="1"/>
  <c r="G18" i="58"/>
  <c r="N18" i="58" s="1"/>
  <c r="S18" i="58" s="1"/>
  <c r="G58" i="23"/>
  <c r="Q142" i="59"/>
  <c r="O17" i="32"/>
  <c r="S17" i="32" s="1"/>
  <c r="T17" i="32" s="1"/>
  <c r="P17" i="36"/>
  <c r="T17" i="36" s="1"/>
  <c r="H52" i="23"/>
  <c r="Q137" i="34"/>
  <c r="S51" i="23"/>
  <c r="T50" i="23"/>
  <c r="O52" i="23"/>
  <c r="P51" i="23"/>
  <c r="C53" i="23"/>
  <c r="Q138" i="58" s="1"/>
  <c r="D52" i="23"/>
  <c r="Q137" i="38"/>
  <c r="K53" i="23"/>
  <c r="R138" i="60" s="1"/>
  <c r="L52" i="23"/>
  <c r="R137" i="36"/>
  <c r="T17" i="38"/>
  <c r="U17" i="38" s="1"/>
  <c r="T17" i="30"/>
  <c r="U16" i="28"/>
  <c r="U17" i="28"/>
  <c r="BG19" i="1"/>
  <c r="G18" i="38"/>
  <c r="N18" i="38" s="1"/>
  <c r="S18" i="38" s="1"/>
  <c r="I18" i="36"/>
  <c r="G18" i="34"/>
  <c r="N18" i="34" s="1"/>
  <c r="S18" i="34" s="1"/>
  <c r="G18" i="28"/>
  <c r="N18" i="28" s="1"/>
  <c r="S18" i="28" s="1"/>
  <c r="T18" i="28" s="1"/>
  <c r="G18" i="30"/>
  <c r="N18" i="30" s="1"/>
  <c r="S18" i="30" s="1"/>
  <c r="T18" i="30" s="1"/>
  <c r="H18" i="32"/>
  <c r="U16" i="32"/>
  <c r="I19" i="60" l="1"/>
  <c r="P19" i="60" s="1"/>
  <c r="T19" i="60" s="1"/>
  <c r="G19" i="59"/>
  <c r="N19" i="59" s="1"/>
  <c r="S19" i="59" s="1"/>
  <c r="G19" i="58"/>
  <c r="N19" i="58" s="1"/>
  <c r="S19" i="58" s="1"/>
  <c r="T19" i="58" s="1"/>
  <c r="U19" i="58" s="1"/>
  <c r="T18" i="58"/>
  <c r="U18" i="58" s="1"/>
  <c r="G59" i="23"/>
  <c r="Q143" i="59"/>
  <c r="P18" i="36"/>
  <c r="T18" i="36" s="1"/>
  <c r="O18" i="32"/>
  <c r="S18" i="32" s="1"/>
  <c r="K54" i="23"/>
  <c r="R139" i="60" s="1"/>
  <c r="L53" i="23"/>
  <c r="R138" i="36"/>
  <c r="C54" i="23"/>
  <c r="Q139" i="58" s="1"/>
  <c r="D53" i="23"/>
  <c r="Q138" i="38"/>
  <c r="O53" i="23"/>
  <c r="P52" i="23"/>
  <c r="S52" i="23"/>
  <c r="T51" i="23"/>
  <c r="H53" i="23"/>
  <c r="Q138" i="34"/>
  <c r="U18" i="28"/>
  <c r="T18" i="38"/>
  <c r="U18" i="38" s="1"/>
  <c r="U17" i="32"/>
  <c r="BG20" i="1"/>
  <c r="G19" i="38"/>
  <c r="N19" i="38" s="1"/>
  <c r="S19" i="38" s="1"/>
  <c r="I19" i="36"/>
  <c r="G19" i="34"/>
  <c r="N19" i="34" s="1"/>
  <c r="S19" i="34" s="1"/>
  <c r="H19" i="32"/>
  <c r="G19" i="30"/>
  <c r="N19" i="30" s="1"/>
  <c r="S19" i="30" s="1"/>
  <c r="G19" i="28"/>
  <c r="N19" i="28" s="1"/>
  <c r="S19" i="28" s="1"/>
  <c r="T19" i="28" s="1"/>
  <c r="U18" i="30"/>
  <c r="U17" i="30"/>
  <c r="I20" i="60" l="1"/>
  <c r="P20" i="60" s="1"/>
  <c r="T20" i="60" s="1"/>
  <c r="G20" i="59"/>
  <c r="N20" i="59" s="1"/>
  <c r="S20" i="59" s="1"/>
  <c r="G20" i="58"/>
  <c r="N20" i="58" s="1"/>
  <c r="S20" i="58" s="1"/>
  <c r="G60" i="23"/>
  <c r="Q145" i="59" s="1"/>
  <c r="Q144" i="59"/>
  <c r="T18" i="32"/>
  <c r="U18" i="32" s="1"/>
  <c r="O19" i="32"/>
  <c r="S19" i="32" s="1"/>
  <c r="T19" i="32" s="1"/>
  <c r="P19" i="36"/>
  <c r="T19" i="36" s="1"/>
  <c r="O54" i="23"/>
  <c r="P53" i="23"/>
  <c r="C55" i="23"/>
  <c r="Q140" i="58" s="1"/>
  <c r="D54" i="23"/>
  <c r="Q139" i="38"/>
  <c r="H54" i="23"/>
  <c r="Q139" i="34"/>
  <c r="S53" i="23"/>
  <c r="T52" i="23"/>
  <c r="K55" i="23"/>
  <c r="R140" i="60" s="1"/>
  <c r="L54" i="23"/>
  <c r="R139" i="36"/>
  <c r="T19" i="38"/>
  <c r="U19" i="38" s="1"/>
  <c r="U19" i="28"/>
  <c r="T19" i="30"/>
  <c r="BG21" i="1"/>
  <c r="G20" i="38"/>
  <c r="N20" i="38" s="1"/>
  <c r="S20" i="38" s="1"/>
  <c r="I20" i="36"/>
  <c r="G20" i="34"/>
  <c r="N20" i="34" s="1"/>
  <c r="S20" i="34" s="1"/>
  <c r="H20" i="32"/>
  <c r="G20" i="30"/>
  <c r="N20" i="30" s="1"/>
  <c r="S20" i="30" s="1"/>
  <c r="T20" i="30" s="1"/>
  <c r="G20" i="28"/>
  <c r="N20" i="28" s="1"/>
  <c r="S20" i="28" s="1"/>
  <c r="T20" i="28" s="1"/>
  <c r="I21" i="60" l="1"/>
  <c r="P21" i="60" s="1"/>
  <c r="T21" i="60" s="1"/>
  <c r="G21" i="59"/>
  <c r="N21" i="59" s="1"/>
  <c r="S21" i="59" s="1"/>
  <c r="G21" i="58"/>
  <c r="N21" i="58" s="1"/>
  <c r="S21" i="58" s="1"/>
  <c r="T21" i="58" s="1"/>
  <c r="U21" i="58" s="1"/>
  <c r="T20" i="58"/>
  <c r="U20" i="58" s="1"/>
  <c r="O20" i="32"/>
  <c r="S20" i="32" s="1"/>
  <c r="T20" i="32" s="1"/>
  <c r="P20" i="36"/>
  <c r="T20" i="36" s="1"/>
  <c r="S54" i="23"/>
  <c r="T53" i="23"/>
  <c r="K56" i="23"/>
  <c r="R141" i="60" s="1"/>
  <c r="L55" i="23"/>
  <c r="R140" i="36"/>
  <c r="H55" i="23"/>
  <c r="Q140" i="34"/>
  <c r="C56" i="23"/>
  <c r="Q141" i="58" s="1"/>
  <c r="D55" i="23"/>
  <c r="Q140" i="38"/>
  <c r="O55" i="23"/>
  <c r="P54" i="23"/>
  <c r="U20" i="28"/>
  <c r="BG22" i="1"/>
  <c r="G21" i="38"/>
  <c r="N21" i="38" s="1"/>
  <c r="S21" i="38" s="1"/>
  <c r="T21" i="38" s="1"/>
  <c r="U21" i="38" s="1"/>
  <c r="I21" i="36"/>
  <c r="G21" i="34"/>
  <c r="N21" i="34" s="1"/>
  <c r="S21" i="34" s="1"/>
  <c r="G21" i="30"/>
  <c r="N21" i="30" s="1"/>
  <c r="S21" i="30" s="1"/>
  <c r="T21" i="30" s="1"/>
  <c r="H21" i="32"/>
  <c r="G21" i="28"/>
  <c r="N21" i="28" s="1"/>
  <c r="S21" i="28" s="1"/>
  <c r="T21" i="28" s="1"/>
  <c r="U19" i="32"/>
  <c r="U20" i="30"/>
  <c r="T20" i="38"/>
  <c r="U20" i="38" s="1"/>
  <c r="U19" i="30"/>
  <c r="I22" i="60" l="1"/>
  <c r="P22" i="60" s="1"/>
  <c r="T22" i="60" s="1"/>
  <c r="G22" i="59"/>
  <c r="N22" i="59" s="1"/>
  <c r="S22" i="59" s="1"/>
  <c r="G22" i="58"/>
  <c r="N22" i="58" s="1"/>
  <c r="S22" i="58" s="1"/>
  <c r="O21" i="32"/>
  <c r="S21" i="32" s="1"/>
  <c r="T21" i="32" s="1"/>
  <c r="U21" i="32" s="1"/>
  <c r="P21" i="36"/>
  <c r="T21" i="36" s="1"/>
  <c r="O56" i="23"/>
  <c r="P55" i="23"/>
  <c r="C57" i="23"/>
  <c r="Q142" i="58" s="1"/>
  <c r="D56" i="23"/>
  <c r="Q141" i="38"/>
  <c r="H56" i="23"/>
  <c r="Q141" i="34"/>
  <c r="S55" i="23"/>
  <c r="T54" i="23"/>
  <c r="K57" i="23"/>
  <c r="R142" i="60" s="1"/>
  <c r="L56" i="23"/>
  <c r="R141" i="36"/>
  <c r="U20" i="32"/>
  <c r="U21" i="28"/>
  <c r="U21" i="30"/>
  <c r="BG23" i="1"/>
  <c r="G22" i="38"/>
  <c r="N22" i="38" s="1"/>
  <c r="S22" i="38" s="1"/>
  <c r="T22" i="38" s="1"/>
  <c r="U22" i="38" s="1"/>
  <c r="I22" i="36"/>
  <c r="G22" i="28"/>
  <c r="N22" i="28" s="1"/>
  <c r="S22" i="28" s="1"/>
  <c r="T22" i="28" s="1"/>
  <c r="G22" i="34"/>
  <c r="N22" i="34" s="1"/>
  <c r="S22" i="34" s="1"/>
  <c r="H22" i="32"/>
  <c r="G22" i="30"/>
  <c r="N22" i="30" s="1"/>
  <c r="S22" i="30" s="1"/>
  <c r="T22" i="30" s="1"/>
  <c r="T22" i="58" l="1"/>
  <c r="U22" i="58" s="1"/>
  <c r="I23" i="60"/>
  <c r="P23" i="60" s="1"/>
  <c r="T23" i="60" s="1"/>
  <c r="G23" i="59"/>
  <c r="N23" i="59" s="1"/>
  <c r="S23" i="59" s="1"/>
  <c r="G23" i="58"/>
  <c r="N23" i="58" s="1"/>
  <c r="S23" i="58" s="1"/>
  <c r="T23" i="58" s="1"/>
  <c r="U23" i="58" s="1"/>
  <c r="O22" i="32"/>
  <c r="S22" i="32" s="1"/>
  <c r="T22" i="32" s="1"/>
  <c r="P22" i="36"/>
  <c r="T22" i="36" s="1"/>
  <c r="C58" i="23"/>
  <c r="Q143" i="58" s="1"/>
  <c r="D57" i="23"/>
  <c r="Q142" i="38"/>
  <c r="S56" i="23"/>
  <c r="T55" i="23"/>
  <c r="K58" i="23"/>
  <c r="R143" i="60" s="1"/>
  <c r="L57" i="23"/>
  <c r="R142" i="36"/>
  <c r="H57" i="23"/>
  <c r="Q142" i="34"/>
  <c r="O57" i="23"/>
  <c r="P56" i="23"/>
  <c r="U22" i="28"/>
  <c r="BG24" i="1"/>
  <c r="G23" i="38"/>
  <c r="N23" i="38" s="1"/>
  <c r="S23" i="38" s="1"/>
  <c r="T23" i="38" s="1"/>
  <c r="U23" i="38" s="1"/>
  <c r="I23" i="36"/>
  <c r="G23" i="34"/>
  <c r="N23" i="34" s="1"/>
  <c r="S23" i="34" s="1"/>
  <c r="H23" i="32"/>
  <c r="G23" i="30"/>
  <c r="N23" i="30" s="1"/>
  <c r="S23" i="30" s="1"/>
  <c r="T23" i="30" s="1"/>
  <c r="G23" i="28"/>
  <c r="N23" i="28" s="1"/>
  <c r="S23" i="28" s="1"/>
  <c r="T23" i="28" s="1"/>
  <c r="U22" i="30"/>
  <c r="I24" i="60" l="1"/>
  <c r="P24" i="60" s="1"/>
  <c r="T24" i="60" s="1"/>
  <c r="G24" i="59"/>
  <c r="N24" i="59" s="1"/>
  <c r="S24" i="59" s="1"/>
  <c r="G24" i="58"/>
  <c r="N24" i="58" s="1"/>
  <c r="S24" i="58" s="1"/>
  <c r="T24" i="58" s="1"/>
  <c r="U24" i="58" s="1"/>
  <c r="P23" i="36"/>
  <c r="T23" i="36" s="1"/>
  <c r="O23" i="32"/>
  <c r="S23" i="32" s="1"/>
  <c r="T23" i="32" s="1"/>
  <c r="U23" i="32" s="1"/>
  <c r="L58" i="23"/>
  <c r="K59" i="23"/>
  <c r="R144" i="60" s="1"/>
  <c r="R143" i="36"/>
  <c r="O58" i="23"/>
  <c r="P57" i="23"/>
  <c r="H58" i="23"/>
  <c r="Q143" i="34"/>
  <c r="S57" i="23"/>
  <c r="T56" i="23"/>
  <c r="C59" i="23"/>
  <c r="Q144" i="58" s="1"/>
  <c r="D58" i="23"/>
  <c r="Q143" i="38"/>
  <c r="U23" i="28"/>
  <c r="U22" i="32"/>
  <c r="U23" i="30"/>
  <c r="BG25" i="1"/>
  <c r="G24" i="38"/>
  <c r="N24" i="38" s="1"/>
  <c r="S24" i="38" s="1"/>
  <c r="T24" i="38" s="1"/>
  <c r="U24" i="38" s="1"/>
  <c r="I24" i="36"/>
  <c r="G24" i="34"/>
  <c r="N24" i="34" s="1"/>
  <c r="S24" i="34" s="1"/>
  <c r="H24" i="32"/>
  <c r="G24" i="30"/>
  <c r="N24" i="30" s="1"/>
  <c r="S24" i="30" s="1"/>
  <c r="T24" i="30" s="1"/>
  <c r="G24" i="28"/>
  <c r="N24" i="28" s="1"/>
  <c r="S24" i="28" s="1"/>
  <c r="T24" i="28" s="1"/>
  <c r="I25" i="60" l="1"/>
  <c r="P25" i="60" s="1"/>
  <c r="T25" i="60" s="1"/>
  <c r="G25" i="58"/>
  <c r="N25" i="58" s="1"/>
  <c r="S25" i="58" s="1"/>
  <c r="T25" i="58" s="1"/>
  <c r="U25" i="58" s="1"/>
  <c r="G25" i="59"/>
  <c r="N25" i="59" s="1"/>
  <c r="S25" i="59" s="1"/>
  <c r="O24" i="32"/>
  <c r="S24" i="32" s="1"/>
  <c r="T24" i="32" s="1"/>
  <c r="U24" i="32" s="1"/>
  <c r="P24" i="36"/>
  <c r="T24" i="36" s="1"/>
  <c r="S58" i="23"/>
  <c r="T57" i="23"/>
  <c r="O59" i="23"/>
  <c r="P58" i="23"/>
  <c r="L59" i="23"/>
  <c r="K60" i="23"/>
  <c r="R144" i="36"/>
  <c r="C60" i="23"/>
  <c r="Q145" i="58" s="1"/>
  <c r="D59" i="23"/>
  <c r="Q144" i="38"/>
  <c r="H59" i="23"/>
  <c r="Q144" i="34"/>
  <c r="U24" i="28"/>
  <c r="BG26" i="1"/>
  <c r="G25" i="38"/>
  <c r="N25" i="38" s="1"/>
  <c r="S25" i="38" s="1"/>
  <c r="T25" i="38" s="1"/>
  <c r="U25" i="38" s="1"/>
  <c r="I25" i="36"/>
  <c r="G25" i="34"/>
  <c r="N25" i="34" s="1"/>
  <c r="S25" i="34" s="1"/>
  <c r="G25" i="30"/>
  <c r="N25" i="30" s="1"/>
  <c r="S25" i="30" s="1"/>
  <c r="T25" i="30" s="1"/>
  <c r="H25" i="32"/>
  <c r="G25" i="28"/>
  <c r="N25" i="28" s="1"/>
  <c r="S25" i="28" s="1"/>
  <c r="T25" i="28" s="1"/>
  <c r="U24" i="30"/>
  <c r="I26" i="60" l="1"/>
  <c r="P26" i="60" s="1"/>
  <c r="T26" i="60" s="1"/>
  <c r="G26" i="59"/>
  <c r="N26" i="59" s="1"/>
  <c r="S26" i="59" s="1"/>
  <c r="G26" i="58"/>
  <c r="N26" i="58" s="1"/>
  <c r="S26" i="58" s="1"/>
  <c r="K19" i="23"/>
  <c r="J35" i="63" s="1"/>
  <c r="R145" i="60"/>
  <c r="O25" i="32"/>
  <c r="S25" i="32" s="1"/>
  <c r="T25" i="32" s="1"/>
  <c r="U25" i="32" s="1"/>
  <c r="P25" i="36"/>
  <c r="T25" i="36" s="1"/>
  <c r="C19" i="23"/>
  <c r="H60" i="23"/>
  <c r="Q145" i="34"/>
  <c r="G19" i="23"/>
  <c r="D60" i="23"/>
  <c r="Q145" i="38"/>
  <c r="L60" i="23"/>
  <c r="R145" i="36"/>
  <c r="O60" i="23"/>
  <c r="P59" i="23"/>
  <c r="S59" i="23"/>
  <c r="T58" i="23"/>
  <c r="U25" i="28"/>
  <c r="U25" i="30"/>
  <c r="BG27" i="1"/>
  <c r="G26" i="38"/>
  <c r="N26" i="38" s="1"/>
  <c r="S26" i="38" s="1"/>
  <c r="I26" i="36"/>
  <c r="G26" i="28"/>
  <c r="N26" i="28" s="1"/>
  <c r="S26" i="28" s="1"/>
  <c r="G26" i="30"/>
  <c r="N26" i="30" s="1"/>
  <c r="S26" i="30" s="1"/>
  <c r="G26" i="34"/>
  <c r="N26" i="34" s="1"/>
  <c r="S26" i="34" s="1"/>
  <c r="H26" i="32"/>
  <c r="I27" i="60" l="1"/>
  <c r="P27" i="60" s="1"/>
  <c r="T27" i="60" s="1"/>
  <c r="G27" i="59"/>
  <c r="N27" i="59" s="1"/>
  <c r="S27" i="59" s="1"/>
  <c r="G27" i="58"/>
  <c r="N27" i="58" s="1"/>
  <c r="S27" i="58" s="1"/>
  <c r="T27" i="58" s="1"/>
  <c r="U27" i="58" s="1"/>
  <c r="T26" i="58"/>
  <c r="U26" i="58" s="1"/>
  <c r="J35" i="56"/>
  <c r="J34" i="63"/>
  <c r="J34" i="56"/>
  <c r="J33" i="25"/>
  <c r="J33" i="63"/>
  <c r="D19" i="23"/>
  <c r="J33" i="56"/>
  <c r="L19" i="23"/>
  <c r="O26" i="32"/>
  <c r="S26" i="32" s="1"/>
  <c r="T26" i="32" s="1"/>
  <c r="P26" i="36"/>
  <c r="T26" i="36" s="1"/>
  <c r="J35" i="25"/>
  <c r="H19" i="23"/>
  <c r="J34" i="25"/>
  <c r="P60" i="23"/>
  <c r="O19" i="23"/>
  <c r="S60" i="23"/>
  <c r="S19" i="23" s="1"/>
  <c r="T59" i="23"/>
  <c r="T26" i="30"/>
  <c r="T26" i="38"/>
  <c r="U26" i="38" s="1"/>
  <c r="T26" i="28"/>
  <c r="BG28" i="1"/>
  <c r="G27" i="38"/>
  <c r="N27" i="38" s="1"/>
  <c r="S27" i="38" s="1"/>
  <c r="T27" i="38" s="1"/>
  <c r="U27" i="38" s="1"/>
  <c r="I27" i="36"/>
  <c r="G27" i="34"/>
  <c r="N27" i="34" s="1"/>
  <c r="S27" i="34" s="1"/>
  <c r="H27" i="32"/>
  <c r="G27" i="30"/>
  <c r="N27" i="30" s="1"/>
  <c r="S27" i="30" s="1"/>
  <c r="T27" i="30" s="1"/>
  <c r="G27" i="28"/>
  <c r="N27" i="28" s="1"/>
  <c r="S27" i="28" s="1"/>
  <c r="T27" i="28" s="1"/>
  <c r="I28" i="60" l="1"/>
  <c r="P28" i="60" s="1"/>
  <c r="T28" i="60" s="1"/>
  <c r="G28" i="59"/>
  <c r="N28" i="59" s="1"/>
  <c r="S28" i="59" s="1"/>
  <c r="G28" i="58"/>
  <c r="N28" i="58" s="1"/>
  <c r="S28" i="58" s="1"/>
  <c r="J36" i="63"/>
  <c r="AG16" i="61"/>
  <c r="AI16" i="61" s="1"/>
  <c r="AK16" i="61" s="1"/>
  <c r="J37" i="63"/>
  <c r="AO16" i="61"/>
  <c r="AQ16" i="61" s="1"/>
  <c r="K7" i="63" s="1"/>
  <c r="C16" i="63" s="1"/>
  <c r="E16" i="63" s="1"/>
  <c r="AO16" i="17"/>
  <c r="AQ16" i="17" s="1"/>
  <c r="J37" i="56"/>
  <c r="AG16" i="17"/>
  <c r="AI16" i="17" s="1"/>
  <c r="AK16" i="17" s="1"/>
  <c r="J36" i="56"/>
  <c r="T19" i="23"/>
  <c r="J37" i="25"/>
  <c r="O27" i="32"/>
  <c r="S27" i="32" s="1"/>
  <c r="T27" i="32" s="1"/>
  <c r="U27" i="32" s="1"/>
  <c r="P19" i="23"/>
  <c r="J36" i="25"/>
  <c r="P27" i="36"/>
  <c r="T27" i="36" s="1"/>
  <c r="T60" i="23"/>
  <c r="U27" i="30"/>
  <c r="U26" i="30"/>
  <c r="U26" i="32"/>
  <c r="U27" i="28"/>
  <c r="U26" i="28"/>
  <c r="BG29" i="1"/>
  <c r="G28" i="38"/>
  <c r="N28" i="38" s="1"/>
  <c r="S28" i="38" s="1"/>
  <c r="I28" i="36"/>
  <c r="G28" i="34"/>
  <c r="N28" i="34" s="1"/>
  <c r="S28" i="34" s="1"/>
  <c r="H28" i="32"/>
  <c r="G28" i="30"/>
  <c r="N28" i="30" s="1"/>
  <c r="S28" i="30" s="1"/>
  <c r="T28" i="30" s="1"/>
  <c r="G28" i="28"/>
  <c r="N28" i="28" s="1"/>
  <c r="S28" i="28" s="1"/>
  <c r="T28" i="28" s="1"/>
  <c r="T28" i="58" l="1"/>
  <c r="U28" i="58" s="1"/>
  <c r="I29" i="60"/>
  <c r="P29" i="60" s="1"/>
  <c r="T29" i="60" s="1"/>
  <c r="G29" i="59"/>
  <c r="N29" i="59" s="1"/>
  <c r="S29" i="59" s="1"/>
  <c r="G29" i="58"/>
  <c r="N29" i="58" s="1"/>
  <c r="S29" i="58" s="1"/>
  <c r="T29" i="58" s="1"/>
  <c r="U29" i="58" s="1"/>
  <c r="J38" i="63"/>
  <c r="K6" i="63"/>
  <c r="I20" i="62"/>
  <c r="J20" i="62" s="1"/>
  <c r="K22" i="63" s="1"/>
  <c r="J38" i="56"/>
  <c r="K7" i="56"/>
  <c r="C16" i="56" s="1"/>
  <c r="E16" i="56" s="1"/>
  <c r="K7" i="25"/>
  <c r="I29" i="57"/>
  <c r="J29" i="57" s="1"/>
  <c r="K6" i="25"/>
  <c r="K6" i="56"/>
  <c r="C15" i="56" s="1"/>
  <c r="E15" i="56" s="1"/>
  <c r="I20" i="24"/>
  <c r="J20" i="24" s="1"/>
  <c r="P28" i="36"/>
  <c r="T28" i="36" s="1"/>
  <c r="J38" i="25"/>
  <c r="O28" i="32"/>
  <c r="S28" i="32" s="1"/>
  <c r="U28" i="30"/>
  <c r="T28" i="38"/>
  <c r="U28" i="38" s="1"/>
  <c r="U28" i="28"/>
  <c r="BG30" i="1"/>
  <c r="G29" i="38"/>
  <c r="N29" i="38" s="1"/>
  <c r="S29" i="38" s="1"/>
  <c r="I29" i="36"/>
  <c r="G29" i="34"/>
  <c r="N29" i="34" s="1"/>
  <c r="S29" i="34" s="1"/>
  <c r="G29" i="30"/>
  <c r="N29" i="30" s="1"/>
  <c r="S29" i="30" s="1"/>
  <c r="T29" i="30" s="1"/>
  <c r="H29" i="32"/>
  <c r="G29" i="28"/>
  <c r="N29" i="28" s="1"/>
  <c r="S29" i="28" s="1"/>
  <c r="I30" i="60" l="1"/>
  <c r="P30" i="60" s="1"/>
  <c r="T30" i="60" s="1"/>
  <c r="G30" i="59"/>
  <c r="N30" i="59" s="1"/>
  <c r="S30" i="59" s="1"/>
  <c r="G30" i="58"/>
  <c r="N30" i="58" s="1"/>
  <c r="S30" i="58" s="1"/>
  <c r="T30" i="58" s="1"/>
  <c r="U30" i="58" s="1"/>
  <c r="C28" i="63"/>
  <c r="C15" i="63"/>
  <c r="T28" i="32"/>
  <c r="U28" i="32" s="1"/>
  <c r="C16" i="25"/>
  <c r="K22" i="56"/>
  <c r="C28" i="56" s="1"/>
  <c r="E28" i="56" s="1"/>
  <c r="K22" i="25"/>
  <c r="C15" i="25"/>
  <c r="P29" i="36"/>
  <c r="T29" i="36" s="1"/>
  <c r="O29" i="32"/>
  <c r="S29" i="32" s="1"/>
  <c r="T29" i="32" s="1"/>
  <c r="U29" i="32" s="1"/>
  <c r="T29" i="38"/>
  <c r="U29" i="38" s="1"/>
  <c r="T29" i="28"/>
  <c r="U29" i="30"/>
  <c r="BG31" i="1"/>
  <c r="G30" i="38"/>
  <c r="N30" i="38" s="1"/>
  <c r="S30" i="38" s="1"/>
  <c r="G30" i="34"/>
  <c r="N30" i="34" s="1"/>
  <c r="S30" i="34" s="1"/>
  <c r="G30" i="28"/>
  <c r="N30" i="28" s="1"/>
  <c r="S30" i="28" s="1"/>
  <c r="T30" i="28" s="1"/>
  <c r="I30" i="36"/>
  <c r="G30" i="30"/>
  <c r="N30" i="30" s="1"/>
  <c r="S30" i="30" s="1"/>
  <c r="H30" i="32"/>
  <c r="I31" i="60" l="1"/>
  <c r="P31" i="60" s="1"/>
  <c r="T31" i="60" s="1"/>
  <c r="G31" i="59"/>
  <c r="N31" i="59" s="1"/>
  <c r="S31" i="59" s="1"/>
  <c r="G31" i="58"/>
  <c r="N31" i="58" s="1"/>
  <c r="S31" i="58" s="1"/>
  <c r="E15" i="63"/>
  <c r="E28" i="63"/>
  <c r="E15" i="25"/>
  <c r="E16" i="25"/>
  <c r="T30" i="30"/>
  <c r="U30" i="30" s="1"/>
  <c r="C28" i="25"/>
  <c r="O30" i="32"/>
  <c r="S30" i="32" s="1"/>
  <c r="T30" i="32" s="1"/>
  <c r="U30" i="32" s="1"/>
  <c r="P30" i="36"/>
  <c r="T30" i="36" s="1"/>
  <c r="T30" i="38"/>
  <c r="U30" i="38" s="1"/>
  <c r="U29" i="28"/>
  <c r="U30" i="28"/>
  <c r="BG32" i="1"/>
  <c r="G31" i="38"/>
  <c r="N31" i="38" s="1"/>
  <c r="S31" i="38" s="1"/>
  <c r="I31" i="36"/>
  <c r="G31" i="34"/>
  <c r="N31" i="34" s="1"/>
  <c r="S31" i="34" s="1"/>
  <c r="H31" i="32"/>
  <c r="G31" i="30"/>
  <c r="N31" i="30" s="1"/>
  <c r="S31" i="30" s="1"/>
  <c r="G31" i="28"/>
  <c r="N31" i="28" s="1"/>
  <c r="S31" i="28" s="1"/>
  <c r="T31" i="28" s="1"/>
  <c r="T31" i="58" l="1"/>
  <c r="U31" i="58" s="1"/>
  <c r="I32" i="60"/>
  <c r="P32" i="60" s="1"/>
  <c r="T32" i="60" s="1"/>
  <c r="G32" i="59"/>
  <c r="N32" i="59" s="1"/>
  <c r="S32" i="59" s="1"/>
  <c r="G32" i="58"/>
  <c r="N32" i="58" s="1"/>
  <c r="S32" i="58" s="1"/>
  <c r="T32" i="58" s="1"/>
  <c r="U32" i="58" s="1"/>
  <c r="E28" i="25"/>
  <c r="P31" i="36"/>
  <c r="T31" i="36" s="1"/>
  <c r="O31" i="32"/>
  <c r="S31" i="32" s="1"/>
  <c r="T31" i="32" s="1"/>
  <c r="U31" i="32" s="1"/>
  <c r="T31" i="38"/>
  <c r="U31" i="38" s="1"/>
  <c r="BG33" i="1"/>
  <c r="G32" i="38"/>
  <c r="N32" i="38" s="1"/>
  <c r="S32" i="38" s="1"/>
  <c r="T32" i="38" s="1"/>
  <c r="U32" i="38" s="1"/>
  <c r="I32" i="36"/>
  <c r="G32" i="34"/>
  <c r="N32" i="34" s="1"/>
  <c r="S32" i="34" s="1"/>
  <c r="H32" i="32"/>
  <c r="G32" i="30"/>
  <c r="N32" i="30" s="1"/>
  <c r="S32" i="30" s="1"/>
  <c r="T32" i="30" s="1"/>
  <c r="G32" i="28"/>
  <c r="N32" i="28" s="1"/>
  <c r="S32" i="28" s="1"/>
  <c r="U31" i="28"/>
  <c r="T31" i="30"/>
  <c r="I33" i="60" l="1"/>
  <c r="P33" i="60" s="1"/>
  <c r="T33" i="60" s="1"/>
  <c r="G33" i="59"/>
  <c r="N33" i="59" s="1"/>
  <c r="S33" i="59" s="1"/>
  <c r="G33" i="58"/>
  <c r="N33" i="58" s="1"/>
  <c r="S33" i="58" s="1"/>
  <c r="P32" i="36"/>
  <c r="T32" i="36" s="1"/>
  <c r="O32" i="32"/>
  <c r="S32" i="32" s="1"/>
  <c r="T32" i="32" s="1"/>
  <c r="U32" i="32" s="1"/>
  <c r="U32" i="30"/>
  <c r="BG34" i="1"/>
  <c r="G33" i="38"/>
  <c r="N33" i="38" s="1"/>
  <c r="S33" i="38" s="1"/>
  <c r="T33" i="38" s="1"/>
  <c r="U33" i="38" s="1"/>
  <c r="I33" i="36"/>
  <c r="G33" i="34"/>
  <c r="N33" i="34" s="1"/>
  <c r="S33" i="34" s="1"/>
  <c r="G33" i="30"/>
  <c r="N33" i="30" s="1"/>
  <c r="S33" i="30" s="1"/>
  <c r="T33" i="30" s="1"/>
  <c r="H33" i="32"/>
  <c r="G33" i="28"/>
  <c r="N33" i="28" s="1"/>
  <c r="S33" i="28" s="1"/>
  <c r="T33" i="28" s="1"/>
  <c r="U31" i="30"/>
  <c r="T32" i="28"/>
  <c r="I34" i="60" l="1"/>
  <c r="P34" i="60" s="1"/>
  <c r="T34" i="60" s="1"/>
  <c r="G34" i="59"/>
  <c r="N34" i="59" s="1"/>
  <c r="S34" i="59" s="1"/>
  <c r="G34" i="58"/>
  <c r="N34" i="58" s="1"/>
  <c r="S34" i="58" s="1"/>
  <c r="T34" i="58" s="1"/>
  <c r="U34" i="58" s="1"/>
  <c r="T33" i="58"/>
  <c r="U33" i="58" s="1"/>
  <c r="O33" i="32"/>
  <c r="S33" i="32" s="1"/>
  <c r="T33" i="32" s="1"/>
  <c r="U33" i="32" s="1"/>
  <c r="P33" i="36"/>
  <c r="T33" i="36" s="1"/>
  <c r="U32" i="28"/>
  <c r="BG35" i="1"/>
  <c r="G34" i="38"/>
  <c r="N34" i="38" s="1"/>
  <c r="S34" i="38" s="1"/>
  <c r="T34" i="38" s="1"/>
  <c r="U34" i="38" s="1"/>
  <c r="I34" i="36"/>
  <c r="G34" i="34"/>
  <c r="N34" i="34" s="1"/>
  <c r="S34" i="34" s="1"/>
  <c r="G34" i="28"/>
  <c r="N34" i="28" s="1"/>
  <c r="S34" i="28" s="1"/>
  <c r="T34" i="28" s="1"/>
  <c r="G34" i="30"/>
  <c r="N34" i="30" s="1"/>
  <c r="S34" i="30" s="1"/>
  <c r="T34" i="30" s="1"/>
  <c r="H34" i="32"/>
  <c r="U33" i="28"/>
  <c r="U33" i="30"/>
  <c r="I35" i="60" l="1"/>
  <c r="P35" i="60" s="1"/>
  <c r="T35" i="60" s="1"/>
  <c r="G35" i="59"/>
  <c r="N35" i="59" s="1"/>
  <c r="S35" i="59" s="1"/>
  <c r="G35" i="58"/>
  <c r="N35" i="58" s="1"/>
  <c r="S35" i="58" s="1"/>
  <c r="T35" i="58" s="1"/>
  <c r="U35" i="58" s="1"/>
  <c r="O34" i="32"/>
  <c r="S34" i="32" s="1"/>
  <c r="T34" i="32" s="1"/>
  <c r="U34" i="32" s="1"/>
  <c r="P34" i="36"/>
  <c r="T34" i="36" s="1"/>
  <c r="U34" i="30"/>
  <c r="U34" i="28"/>
  <c r="BG36" i="1"/>
  <c r="G35" i="38"/>
  <c r="N35" i="38" s="1"/>
  <c r="S35" i="38" s="1"/>
  <c r="T35" i="38" s="1"/>
  <c r="U35" i="38" s="1"/>
  <c r="I35" i="36"/>
  <c r="G35" i="34"/>
  <c r="N35" i="34" s="1"/>
  <c r="S35" i="34" s="1"/>
  <c r="H35" i="32"/>
  <c r="G35" i="30"/>
  <c r="N35" i="30" s="1"/>
  <c r="S35" i="30" s="1"/>
  <c r="T35" i="30" s="1"/>
  <c r="G35" i="28"/>
  <c r="N35" i="28" s="1"/>
  <c r="S35" i="28" s="1"/>
  <c r="T35" i="28" s="1"/>
  <c r="I36" i="60" l="1"/>
  <c r="P36" i="60" s="1"/>
  <c r="T36" i="60" s="1"/>
  <c r="G36" i="58"/>
  <c r="N36" i="58" s="1"/>
  <c r="S36" i="58" s="1"/>
  <c r="T36" i="58" s="1"/>
  <c r="U36" i="58" s="1"/>
  <c r="G36" i="59"/>
  <c r="N36" i="59" s="1"/>
  <c r="S36" i="59" s="1"/>
  <c r="P35" i="36"/>
  <c r="T35" i="36" s="1"/>
  <c r="O35" i="32"/>
  <c r="S35" i="32" s="1"/>
  <c r="T35" i="32" s="1"/>
  <c r="U35" i="32" s="1"/>
  <c r="BG37" i="1"/>
  <c r="G36" i="38"/>
  <c r="N36" i="38" s="1"/>
  <c r="S36" i="38" s="1"/>
  <c r="T36" i="38" s="1"/>
  <c r="U36" i="38" s="1"/>
  <c r="I36" i="36"/>
  <c r="G36" i="34"/>
  <c r="N36" i="34" s="1"/>
  <c r="S36" i="34" s="1"/>
  <c r="H36" i="32"/>
  <c r="G36" i="30"/>
  <c r="N36" i="30" s="1"/>
  <c r="S36" i="30" s="1"/>
  <c r="T36" i="30" s="1"/>
  <c r="G36" i="28"/>
  <c r="N36" i="28" s="1"/>
  <c r="S36" i="28" s="1"/>
  <c r="T36" i="28" s="1"/>
  <c r="U35" i="28"/>
  <c r="U35" i="30"/>
  <c r="I37" i="60" l="1"/>
  <c r="P37" i="60" s="1"/>
  <c r="T37" i="60" s="1"/>
  <c r="G37" i="59"/>
  <c r="N37" i="59" s="1"/>
  <c r="S37" i="59" s="1"/>
  <c r="G37" i="58"/>
  <c r="N37" i="58" s="1"/>
  <c r="S37" i="58" s="1"/>
  <c r="T37" i="58" s="1"/>
  <c r="U37" i="58" s="1"/>
  <c r="O36" i="32"/>
  <c r="S36" i="32" s="1"/>
  <c r="T36" i="32" s="1"/>
  <c r="U36" i="32" s="1"/>
  <c r="P36" i="36"/>
  <c r="T36" i="36" s="1"/>
  <c r="U36" i="28"/>
  <c r="U36" i="30"/>
  <c r="BG38" i="1"/>
  <c r="G37" i="38"/>
  <c r="N37" i="38" s="1"/>
  <c r="S37" i="38" s="1"/>
  <c r="T37" i="38" s="1"/>
  <c r="U37" i="38" s="1"/>
  <c r="I37" i="36"/>
  <c r="G37" i="34"/>
  <c r="N37" i="34" s="1"/>
  <c r="S37" i="34" s="1"/>
  <c r="G37" i="30"/>
  <c r="N37" i="30" s="1"/>
  <c r="S37" i="30" s="1"/>
  <c r="T37" i="30" s="1"/>
  <c r="H37" i="32"/>
  <c r="G37" i="28"/>
  <c r="N37" i="28" s="1"/>
  <c r="S37" i="28" s="1"/>
  <c r="T37" i="28" s="1"/>
  <c r="I38" i="60" l="1"/>
  <c r="P38" i="60" s="1"/>
  <c r="T38" i="60" s="1"/>
  <c r="G38" i="59"/>
  <c r="N38" i="59" s="1"/>
  <c r="S38" i="59" s="1"/>
  <c r="G38" i="58"/>
  <c r="N38" i="58" s="1"/>
  <c r="S38" i="58" s="1"/>
  <c r="O37" i="32"/>
  <c r="S37" i="32" s="1"/>
  <c r="T37" i="32" s="1"/>
  <c r="U37" i="32" s="1"/>
  <c r="P37" i="36"/>
  <c r="T37" i="36" s="1"/>
  <c r="U37" i="28"/>
  <c r="U37" i="30"/>
  <c r="BG39" i="1"/>
  <c r="G38" i="38"/>
  <c r="N38" i="38" s="1"/>
  <c r="S38" i="38" s="1"/>
  <c r="I38" i="36"/>
  <c r="G38" i="28"/>
  <c r="N38" i="28" s="1"/>
  <c r="S38" i="28" s="1"/>
  <c r="G38" i="34"/>
  <c r="N38" i="34" s="1"/>
  <c r="S38" i="34" s="1"/>
  <c r="H38" i="32"/>
  <c r="G38" i="30"/>
  <c r="N38" i="30" s="1"/>
  <c r="S38" i="30" s="1"/>
  <c r="I39" i="60" l="1"/>
  <c r="P39" i="60" s="1"/>
  <c r="T39" i="60" s="1"/>
  <c r="G39" i="59"/>
  <c r="N39" i="59" s="1"/>
  <c r="S39" i="59" s="1"/>
  <c r="G39" i="58"/>
  <c r="N39" i="58" s="1"/>
  <c r="S39" i="58" s="1"/>
  <c r="T39" i="58" s="1"/>
  <c r="U39" i="58" s="1"/>
  <c r="T38" i="58"/>
  <c r="U38" i="58" s="1"/>
  <c r="P38" i="36"/>
  <c r="T38" i="36" s="1"/>
  <c r="O38" i="32"/>
  <c r="S38" i="32" s="1"/>
  <c r="T38" i="38"/>
  <c r="U38" i="38" s="1"/>
  <c r="T38" i="28"/>
  <c r="BG40" i="1"/>
  <c r="G39" i="38"/>
  <c r="N39" i="38" s="1"/>
  <c r="S39" i="38" s="1"/>
  <c r="T39" i="38" s="1"/>
  <c r="U39" i="38" s="1"/>
  <c r="I39" i="36"/>
  <c r="G39" i="34"/>
  <c r="N39" i="34" s="1"/>
  <c r="S39" i="34" s="1"/>
  <c r="H39" i="32"/>
  <c r="G39" i="30"/>
  <c r="N39" i="30" s="1"/>
  <c r="S39" i="30" s="1"/>
  <c r="T39" i="30" s="1"/>
  <c r="G39" i="28"/>
  <c r="N39" i="28" s="1"/>
  <c r="S39" i="28" s="1"/>
  <c r="T39" i="28" s="1"/>
  <c r="T38" i="30"/>
  <c r="I40" i="60" l="1"/>
  <c r="P40" i="60" s="1"/>
  <c r="T40" i="60" s="1"/>
  <c r="G40" i="59"/>
  <c r="N40" i="59" s="1"/>
  <c r="S40" i="59" s="1"/>
  <c r="G40" i="58"/>
  <c r="N40" i="58" s="1"/>
  <c r="S40" i="58" s="1"/>
  <c r="T38" i="32"/>
  <c r="U38" i="32" s="1"/>
  <c r="P39" i="36"/>
  <c r="T39" i="36" s="1"/>
  <c r="O39" i="32"/>
  <c r="S39" i="32" s="1"/>
  <c r="T39" i="32" s="1"/>
  <c r="U39" i="32" s="1"/>
  <c r="U38" i="30"/>
  <c r="BG41" i="1"/>
  <c r="G40" i="38"/>
  <c r="N40" i="38" s="1"/>
  <c r="S40" i="38" s="1"/>
  <c r="I40" i="36"/>
  <c r="G40" i="34"/>
  <c r="N40" i="34" s="1"/>
  <c r="S40" i="34" s="1"/>
  <c r="H40" i="32"/>
  <c r="G40" i="30"/>
  <c r="N40" i="30" s="1"/>
  <c r="S40" i="30" s="1"/>
  <c r="G40" i="28"/>
  <c r="N40" i="28" s="1"/>
  <c r="S40" i="28" s="1"/>
  <c r="U39" i="28"/>
  <c r="U38" i="28"/>
  <c r="U39" i="30"/>
  <c r="I41" i="60" l="1"/>
  <c r="P41" i="60" s="1"/>
  <c r="T41" i="60" s="1"/>
  <c r="G41" i="59"/>
  <c r="N41" i="59" s="1"/>
  <c r="S41" i="59" s="1"/>
  <c r="G41" i="58"/>
  <c r="N41" i="58" s="1"/>
  <c r="S41" i="58" s="1"/>
  <c r="T41" i="58" s="1"/>
  <c r="U41" i="58" s="1"/>
  <c r="T40" i="58"/>
  <c r="U40" i="58" s="1"/>
  <c r="P40" i="36"/>
  <c r="T40" i="36" s="1"/>
  <c r="O40" i="32"/>
  <c r="S40" i="32" s="1"/>
  <c r="T40" i="38"/>
  <c r="U40" i="38" s="1"/>
  <c r="T40" i="28"/>
  <c r="T40" i="30"/>
  <c r="BG42" i="1"/>
  <c r="G41" i="38"/>
  <c r="N41" i="38" s="1"/>
  <c r="S41" i="38" s="1"/>
  <c r="I41" i="36"/>
  <c r="G41" i="34"/>
  <c r="N41" i="34" s="1"/>
  <c r="S41" i="34" s="1"/>
  <c r="G41" i="30"/>
  <c r="N41" i="30" s="1"/>
  <c r="S41" i="30" s="1"/>
  <c r="H41" i="32"/>
  <c r="G41" i="28"/>
  <c r="N41" i="28" s="1"/>
  <c r="S41" i="28" s="1"/>
  <c r="T41" i="28" s="1"/>
  <c r="I42" i="60" l="1"/>
  <c r="P42" i="60" s="1"/>
  <c r="T42" i="60" s="1"/>
  <c r="G42" i="59"/>
  <c r="N42" i="59" s="1"/>
  <c r="S42" i="59" s="1"/>
  <c r="G42" i="58"/>
  <c r="N42" i="58" s="1"/>
  <c r="S42" i="58" s="1"/>
  <c r="T40" i="32"/>
  <c r="U40" i="32" s="1"/>
  <c r="O41" i="32"/>
  <c r="S41" i="32" s="1"/>
  <c r="T41" i="32" s="1"/>
  <c r="P41" i="36"/>
  <c r="T41" i="36" s="1"/>
  <c r="T41" i="38"/>
  <c r="U41" i="38" s="1"/>
  <c r="U41" i="28"/>
  <c r="T41" i="30"/>
  <c r="BG43" i="1"/>
  <c r="G42" i="38"/>
  <c r="N42" i="38" s="1"/>
  <c r="S42" i="38" s="1"/>
  <c r="I42" i="36"/>
  <c r="G42" i="28"/>
  <c r="N42" i="28" s="1"/>
  <c r="S42" i="28" s="1"/>
  <c r="T42" i="28" s="1"/>
  <c r="G42" i="30"/>
  <c r="N42" i="30" s="1"/>
  <c r="S42" i="30" s="1"/>
  <c r="H42" i="32"/>
  <c r="G42" i="34"/>
  <c r="N42" i="34" s="1"/>
  <c r="S42" i="34" s="1"/>
  <c r="U40" i="30"/>
  <c r="U40" i="28"/>
  <c r="I43" i="60" l="1"/>
  <c r="P43" i="60" s="1"/>
  <c r="T43" i="60" s="1"/>
  <c r="G43" i="59"/>
  <c r="N43" i="59" s="1"/>
  <c r="S43" i="59" s="1"/>
  <c r="G43" i="58"/>
  <c r="N43" i="58" s="1"/>
  <c r="S43" i="58" s="1"/>
  <c r="T43" i="58" s="1"/>
  <c r="U43" i="58" s="1"/>
  <c r="T42" i="58"/>
  <c r="U42" i="58" s="1"/>
  <c r="P42" i="36"/>
  <c r="T42" i="36" s="1"/>
  <c r="O42" i="32"/>
  <c r="S42" i="32" s="1"/>
  <c r="T42" i="38"/>
  <c r="U42" i="38" s="1"/>
  <c r="U41" i="30"/>
  <c r="T42" i="30"/>
  <c r="U41" i="32"/>
  <c r="U42" i="28"/>
  <c r="BG44" i="1"/>
  <c r="G43" i="38"/>
  <c r="N43" i="38" s="1"/>
  <c r="S43" i="38" s="1"/>
  <c r="I43" i="36"/>
  <c r="G43" i="34"/>
  <c r="N43" i="34" s="1"/>
  <c r="S43" i="34" s="1"/>
  <c r="H43" i="32"/>
  <c r="G43" i="30"/>
  <c r="N43" i="30" s="1"/>
  <c r="S43" i="30" s="1"/>
  <c r="G43" i="28"/>
  <c r="N43" i="28" s="1"/>
  <c r="S43" i="28" s="1"/>
  <c r="I44" i="60" l="1"/>
  <c r="P44" i="60" s="1"/>
  <c r="T44" i="60" s="1"/>
  <c r="G44" i="59"/>
  <c r="N44" i="59" s="1"/>
  <c r="S44" i="59" s="1"/>
  <c r="G44" i="58"/>
  <c r="N44" i="58" s="1"/>
  <c r="S44" i="58" s="1"/>
  <c r="T42" i="32"/>
  <c r="U42" i="32" s="1"/>
  <c r="P43" i="36"/>
  <c r="T43" i="36" s="1"/>
  <c r="O43" i="32"/>
  <c r="S43" i="32" s="1"/>
  <c r="T43" i="32" s="1"/>
  <c r="T43" i="28"/>
  <c r="T43" i="30"/>
  <c r="U42" i="30"/>
  <c r="BG45" i="1"/>
  <c r="G44" i="38"/>
  <c r="N44" i="38" s="1"/>
  <c r="S44" i="38" s="1"/>
  <c r="I44" i="36"/>
  <c r="G44" i="34"/>
  <c r="N44" i="34" s="1"/>
  <c r="S44" i="34" s="1"/>
  <c r="H44" i="32"/>
  <c r="G44" i="30"/>
  <c r="N44" i="30" s="1"/>
  <c r="S44" i="30" s="1"/>
  <c r="G44" i="28"/>
  <c r="N44" i="28" s="1"/>
  <c r="S44" i="28" s="1"/>
  <c r="T43" i="38"/>
  <c r="U43" i="38" s="1"/>
  <c r="T44" i="58" l="1"/>
  <c r="U44" i="58" s="1"/>
  <c r="I45" i="60"/>
  <c r="P45" i="60" s="1"/>
  <c r="T45" i="60" s="1"/>
  <c r="G45" i="59"/>
  <c r="N45" i="59" s="1"/>
  <c r="S45" i="59" s="1"/>
  <c r="G45" i="58"/>
  <c r="N45" i="58" s="1"/>
  <c r="S45" i="58" s="1"/>
  <c r="T45" i="58" s="1"/>
  <c r="U45" i="58" s="1"/>
  <c r="P44" i="36"/>
  <c r="T44" i="36" s="1"/>
  <c r="O44" i="32"/>
  <c r="S44" i="32" s="1"/>
  <c r="T44" i="38"/>
  <c r="U44" i="38" s="1"/>
  <c r="U43" i="32"/>
  <c r="T44" i="30"/>
  <c r="BG46" i="1"/>
  <c r="G45" i="38"/>
  <c r="N45" i="38" s="1"/>
  <c r="S45" i="38" s="1"/>
  <c r="T45" i="38" s="1"/>
  <c r="U45" i="38" s="1"/>
  <c r="I45" i="36"/>
  <c r="G45" i="34"/>
  <c r="N45" i="34" s="1"/>
  <c r="S45" i="34" s="1"/>
  <c r="G45" i="30"/>
  <c r="N45" i="30" s="1"/>
  <c r="S45" i="30" s="1"/>
  <c r="T45" i="30" s="1"/>
  <c r="H45" i="32"/>
  <c r="G45" i="28"/>
  <c r="N45" i="28" s="1"/>
  <c r="S45" i="28" s="1"/>
  <c r="T44" i="28"/>
  <c r="U43" i="28"/>
  <c r="U43" i="30"/>
  <c r="I46" i="60" l="1"/>
  <c r="P46" i="60" s="1"/>
  <c r="T46" i="60" s="1"/>
  <c r="G46" i="59"/>
  <c r="N46" i="59" s="1"/>
  <c r="S46" i="59" s="1"/>
  <c r="G46" i="58"/>
  <c r="N46" i="58" s="1"/>
  <c r="S46" i="58" s="1"/>
  <c r="T44" i="32"/>
  <c r="U44" i="32" s="1"/>
  <c r="O45" i="32"/>
  <c r="S45" i="32" s="1"/>
  <c r="T45" i="32" s="1"/>
  <c r="P45" i="36"/>
  <c r="T45" i="36" s="1"/>
  <c r="U44" i="28"/>
  <c r="T45" i="28"/>
  <c r="U45" i="30"/>
  <c r="BG47" i="1"/>
  <c r="G46" i="38"/>
  <c r="N46" i="38" s="1"/>
  <c r="S46" i="38" s="1"/>
  <c r="T46" i="38" s="1"/>
  <c r="U46" i="38" s="1"/>
  <c r="I46" i="36"/>
  <c r="G46" i="34"/>
  <c r="N46" i="34" s="1"/>
  <c r="S46" i="34" s="1"/>
  <c r="G46" i="28"/>
  <c r="N46" i="28" s="1"/>
  <c r="S46" i="28" s="1"/>
  <c r="T46" i="28" s="1"/>
  <c r="G46" i="30"/>
  <c r="N46" i="30" s="1"/>
  <c r="S46" i="30" s="1"/>
  <c r="T46" i="30" s="1"/>
  <c r="H46" i="32"/>
  <c r="U44" i="30"/>
  <c r="T46" i="58" l="1"/>
  <c r="U46" i="58" s="1"/>
  <c r="I47" i="60"/>
  <c r="P47" i="60" s="1"/>
  <c r="T47" i="60" s="1"/>
  <c r="G47" i="59"/>
  <c r="N47" i="59" s="1"/>
  <c r="S47" i="59" s="1"/>
  <c r="G47" i="58"/>
  <c r="N47" i="58" s="1"/>
  <c r="S47" i="58" s="1"/>
  <c r="T47" i="58" s="1"/>
  <c r="U47" i="58" s="1"/>
  <c r="O46" i="32"/>
  <c r="S46" i="32" s="1"/>
  <c r="T46" i="32" s="1"/>
  <c r="U46" i="32" s="1"/>
  <c r="P46" i="36"/>
  <c r="T46" i="36" s="1"/>
  <c r="BG48" i="1"/>
  <c r="G47" i="38"/>
  <c r="N47" i="38" s="1"/>
  <c r="S47" i="38" s="1"/>
  <c r="T47" i="38" s="1"/>
  <c r="U47" i="38" s="1"/>
  <c r="I47" i="36"/>
  <c r="G47" i="34"/>
  <c r="N47" i="34" s="1"/>
  <c r="S47" i="34" s="1"/>
  <c r="H47" i="32"/>
  <c r="G47" i="30"/>
  <c r="N47" i="30" s="1"/>
  <c r="S47" i="30" s="1"/>
  <c r="T47" i="30" s="1"/>
  <c r="G47" i="28"/>
  <c r="N47" i="28" s="1"/>
  <c r="S47" i="28" s="1"/>
  <c r="T47" i="28" s="1"/>
  <c r="U45" i="28"/>
  <c r="U46" i="28"/>
  <c r="U45" i="32"/>
  <c r="U46" i="30"/>
  <c r="I48" i="60" l="1"/>
  <c r="P48" i="60" s="1"/>
  <c r="T48" i="60" s="1"/>
  <c r="G48" i="59"/>
  <c r="N48" i="59" s="1"/>
  <c r="S48" i="59" s="1"/>
  <c r="G48" i="58"/>
  <c r="N48" i="58" s="1"/>
  <c r="S48" i="58" s="1"/>
  <c r="T48" i="58" s="1"/>
  <c r="U48" i="58" s="1"/>
  <c r="P47" i="36"/>
  <c r="T47" i="36" s="1"/>
  <c r="O47" i="32"/>
  <c r="S47" i="32" s="1"/>
  <c r="T47" i="32" s="1"/>
  <c r="U47" i="32" s="1"/>
  <c r="BG49" i="1"/>
  <c r="G48" i="38"/>
  <c r="N48" i="38" s="1"/>
  <c r="S48" i="38" s="1"/>
  <c r="T48" i="38" s="1"/>
  <c r="U48" i="38" s="1"/>
  <c r="I48" i="36"/>
  <c r="G48" i="34"/>
  <c r="N48" i="34" s="1"/>
  <c r="S48" i="34" s="1"/>
  <c r="H48" i="32"/>
  <c r="G48" i="30"/>
  <c r="N48" i="30" s="1"/>
  <c r="S48" i="30" s="1"/>
  <c r="T48" i="30" s="1"/>
  <c r="G48" i="28"/>
  <c r="N48" i="28" s="1"/>
  <c r="S48" i="28" s="1"/>
  <c r="T48" i="28" s="1"/>
  <c r="U47" i="28"/>
  <c r="U47" i="30"/>
  <c r="I49" i="60" l="1"/>
  <c r="P49" i="60" s="1"/>
  <c r="T49" i="60" s="1"/>
  <c r="G49" i="59"/>
  <c r="N49" i="59" s="1"/>
  <c r="S49" i="59" s="1"/>
  <c r="G49" i="58"/>
  <c r="N49" i="58" s="1"/>
  <c r="S49" i="58" s="1"/>
  <c r="T49" i="58" s="1"/>
  <c r="U49" i="58" s="1"/>
  <c r="P48" i="36"/>
  <c r="T48" i="36" s="1"/>
  <c r="O48" i="32"/>
  <c r="S48" i="32" s="1"/>
  <c r="T48" i="32" s="1"/>
  <c r="U48" i="32" s="1"/>
  <c r="U48" i="28"/>
  <c r="BG50" i="1"/>
  <c r="G49" i="38"/>
  <c r="N49" i="38" s="1"/>
  <c r="S49" i="38" s="1"/>
  <c r="T49" i="38" s="1"/>
  <c r="U49" i="38" s="1"/>
  <c r="I49" i="36"/>
  <c r="G49" i="34"/>
  <c r="N49" i="34" s="1"/>
  <c r="S49" i="34" s="1"/>
  <c r="G49" i="30"/>
  <c r="N49" i="30" s="1"/>
  <c r="S49" i="30" s="1"/>
  <c r="T49" i="30" s="1"/>
  <c r="H49" i="32"/>
  <c r="G49" i="28"/>
  <c r="N49" i="28" s="1"/>
  <c r="S49" i="28" s="1"/>
  <c r="T49" i="28" s="1"/>
  <c r="U48" i="30"/>
  <c r="I50" i="60" l="1"/>
  <c r="P50" i="60" s="1"/>
  <c r="T50" i="60" s="1"/>
  <c r="G50" i="59"/>
  <c r="N50" i="59" s="1"/>
  <c r="S50" i="59" s="1"/>
  <c r="G50" i="58"/>
  <c r="N50" i="58" s="1"/>
  <c r="S50" i="58" s="1"/>
  <c r="O49" i="32"/>
  <c r="S49" i="32" s="1"/>
  <c r="T49" i="32" s="1"/>
  <c r="P49" i="36"/>
  <c r="T49" i="36" s="1"/>
  <c r="BG51" i="1"/>
  <c r="G50" i="38"/>
  <c r="N50" i="38" s="1"/>
  <c r="S50" i="38" s="1"/>
  <c r="I50" i="36"/>
  <c r="G50" i="34"/>
  <c r="N50" i="34" s="1"/>
  <c r="S50" i="34" s="1"/>
  <c r="G50" i="28"/>
  <c r="N50" i="28" s="1"/>
  <c r="S50" i="28" s="1"/>
  <c r="H50" i="32"/>
  <c r="G50" i="30"/>
  <c r="N50" i="30" s="1"/>
  <c r="S50" i="30" s="1"/>
  <c r="U49" i="28"/>
  <c r="U49" i="30"/>
  <c r="I51" i="60" l="1"/>
  <c r="P51" i="60" s="1"/>
  <c r="T51" i="60" s="1"/>
  <c r="G51" i="59"/>
  <c r="N51" i="59" s="1"/>
  <c r="S51" i="59" s="1"/>
  <c r="G51" i="58"/>
  <c r="N51" i="58" s="1"/>
  <c r="S51" i="58" s="1"/>
  <c r="T51" i="58" s="1"/>
  <c r="U51" i="58" s="1"/>
  <c r="T50" i="58"/>
  <c r="U50" i="58" s="1"/>
  <c r="U49" i="32"/>
  <c r="O50" i="32"/>
  <c r="S50" i="32" s="1"/>
  <c r="P50" i="36"/>
  <c r="T50" i="36" s="1"/>
  <c r="T50" i="28"/>
  <c r="T50" i="38"/>
  <c r="U50" i="38" s="1"/>
  <c r="T50" i="30"/>
  <c r="BG52" i="1"/>
  <c r="G51" i="38"/>
  <c r="N51" i="38" s="1"/>
  <c r="S51" i="38" s="1"/>
  <c r="T51" i="38" s="1"/>
  <c r="U51" i="38" s="1"/>
  <c r="I51" i="36"/>
  <c r="G51" i="34"/>
  <c r="N51" i="34" s="1"/>
  <c r="S51" i="34" s="1"/>
  <c r="H51" i="32"/>
  <c r="G51" i="30"/>
  <c r="N51" i="30" s="1"/>
  <c r="S51" i="30" s="1"/>
  <c r="T51" i="30" s="1"/>
  <c r="G51" i="28"/>
  <c r="N51" i="28" s="1"/>
  <c r="S51" i="28" s="1"/>
  <c r="T51" i="28" s="1"/>
  <c r="I52" i="60" l="1"/>
  <c r="P52" i="60" s="1"/>
  <c r="T52" i="60" s="1"/>
  <c r="G52" i="59"/>
  <c r="N52" i="59" s="1"/>
  <c r="S52" i="59" s="1"/>
  <c r="G52" i="58"/>
  <c r="N52" i="58" s="1"/>
  <c r="S52" i="58" s="1"/>
  <c r="T50" i="32"/>
  <c r="U50" i="32" s="1"/>
  <c r="P51" i="36"/>
  <c r="T51" i="36" s="1"/>
  <c r="O51" i="32"/>
  <c r="S51" i="32" s="1"/>
  <c r="T51" i="32" s="1"/>
  <c r="U51" i="32" s="1"/>
  <c r="BG53" i="1"/>
  <c r="G52" i="38"/>
  <c r="N52" i="38" s="1"/>
  <c r="S52" i="38" s="1"/>
  <c r="I52" i="36"/>
  <c r="G52" i="34"/>
  <c r="N52" i="34" s="1"/>
  <c r="S52" i="34" s="1"/>
  <c r="H52" i="32"/>
  <c r="G52" i="30"/>
  <c r="N52" i="30" s="1"/>
  <c r="S52" i="30" s="1"/>
  <c r="G52" i="28"/>
  <c r="N52" i="28" s="1"/>
  <c r="S52" i="28" s="1"/>
  <c r="U51" i="28"/>
  <c r="U51" i="30"/>
  <c r="U50" i="30"/>
  <c r="U50" i="28"/>
  <c r="I53" i="60" l="1"/>
  <c r="P53" i="60" s="1"/>
  <c r="T53" i="60" s="1"/>
  <c r="G53" i="59"/>
  <c r="N53" i="59" s="1"/>
  <c r="S53" i="59" s="1"/>
  <c r="G53" i="58"/>
  <c r="N53" i="58" s="1"/>
  <c r="S53" i="58" s="1"/>
  <c r="T53" i="58" s="1"/>
  <c r="U53" i="58" s="1"/>
  <c r="T52" i="58"/>
  <c r="U52" i="58" s="1"/>
  <c r="O52" i="32"/>
  <c r="S52" i="32" s="1"/>
  <c r="T52" i="32" s="1"/>
  <c r="P52" i="36"/>
  <c r="T52" i="36" s="1"/>
  <c r="T52" i="38"/>
  <c r="U52" i="38" s="1"/>
  <c r="BG54" i="1"/>
  <c r="G53" i="38"/>
  <c r="N53" i="38" s="1"/>
  <c r="S53" i="38" s="1"/>
  <c r="I53" i="36"/>
  <c r="G53" i="34"/>
  <c r="N53" i="34" s="1"/>
  <c r="S53" i="34" s="1"/>
  <c r="G53" i="30"/>
  <c r="N53" i="30" s="1"/>
  <c r="S53" i="30" s="1"/>
  <c r="H53" i="32"/>
  <c r="G53" i="28"/>
  <c r="N53" i="28" s="1"/>
  <c r="S53" i="28" s="1"/>
  <c r="T53" i="28" s="1"/>
  <c r="T52" i="28"/>
  <c r="T52" i="30"/>
  <c r="I54" i="60" l="1"/>
  <c r="P54" i="60" s="1"/>
  <c r="T54" i="60" s="1"/>
  <c r="G54" i="59"/>
  <c r="N54" i="59" s="1"/>
  <c r="S54" i="59" s="1"/>
  <c r="G54" i="58"/>
  <c r="N54" i="58" s="1"/>
  <c r="S54" i="58" s="1"/>
  <c r="T53" i="30"/>
  <c r="U53" i="30" s="1"/>
  <c r="O53" i="32"/>
  <c r="S53" i="32" s="1"/>
  <c r="T53" i="32" s="1"/>
  <c r="P53" i="36"/>
  <c r="T53" i="36" s="1"/>
  <c r="BG55" i="1"/>
  <c r="G54" i="38"/>
  <c r="N54" i="38" s="1"/>
  <c r="S54" i="38" s="1"/>
  <c r="I54" i="36"/>
  <c r="G54" i="28"/>
  <c r="N54" i="28" s="1"/>
  <c r="S54" i="28" s="1"/>
  <c r="T54" i="28" s="1"/>
  <c r="G54" i="34"/>
  <c r="N54" i="34" s="1"/>
  <c r="S54" i="34" s="1"/>
  <c r="H54" i="32"/>
  <c r="G54" i="30"/>
  <c r="N54" i="30" s="1"/>
  <c r="S54" i="30" s="1"/>
  <c r="U52" i="32"/>
  <c r="U52" i="30"/>
  <c r="U53" i="28"/>
  <c r="U52" i="28"/>
  <c r="T53" i="38"/>
  <c r="U53" i="38" s="1"/>
  <c r="I55" i="60" l="1"/>
  <c r="P55" i="60" s="1"/>
  <c r="T55" i="60" s="1"/>
  <c r="G55" i="59"/>
  <c r="N55" i="59" s="1"/>
  <c r="S55" i="59" s="1"/>
  <c r="G55" i="58"/>
  <c r="N55" i="58" s="1"/>
  <c r="S55" i="58" s="1"/>
  <c r="T55" i="58" s="1"/>
  <c r="U55" i="58" s="1"/>
  <c r="T54" i="58"/>
  <c r="U54" i="58" s="1"/>
  <c r="P54" i="36"/>
  <c r="T54" i="36" s="1"/>
  <c r="O54" i="32"/>
  <c r="S54" i="32" s="1"/>
  <c r="T54" i="38"/>
  <c r="U54" i="38" s="1"/>
  <c r="U53" i="32"/>
  <c r="T54" i="30"/>
  <c r="U54" i="28"/>
  <c r="BG56" i="1"/>
  <c r="G55" i="38"/>
  <c r="N55" i="38" s="1"/>
  <c r="S55" i="38" s="1"/>
  <c r="T55" i="38" s="1"/>
  <c r="U55" i="38" s="1"/>
  <c r="I55" i="36"/>
  <c r="G55" i="34"/>
  <c r="N55" i="34" s="1"/>
  <c r="S55" i="34" s="1"/>
  <c r="H55" i="32"/>
  <c r="G55" i="30"/>
  <c r="N55" i="30" s="1"/>
  <c r="S55" i="30" s="1"/>
  <c r="G55" i="28"/>
  <c r="N55" i="28" s="1"/>
  <c r="S55" i="28" s="1"/>
  <c r="T55" i="28" s="1"/>
  <c r="I56" i="60" l="1"/>
  <c r="P56" i="60" s="1"/>
  <c r="T56" i="60" s="1"/>
  <c r="G56" i="59"/>
  <c r="N56" i="59" s="1"/>
  <c r="S56" i="59" s="1"/>
  <c r="G56" i="58"/>
  <c r="N56" i="58" s="1"/>
  <c r="S56" i="58" s="1"/>
  <c r="T54" i="32"/>
  <c r="U54" i="32" s="1"/>
  <c r="P55" i="36"/>
  <c r="T55" i="36" s="1"/>
  <c r="O55" i="32"/>
  <c r="S55" i="32" s="1"/>
  <c r="T55" i="32" s="1"/>
  <c r="U54" i="30"/>
  <c r="BG57" i="1"/>
  <c r="G56" i="38"/>
  <c r="N56" i="38" s="1"/>
  <c r="S56" i="38" s="1"/>
  <c r="I56" i="36"/>
  <c r="G56" i="34"/>
  <c r="N56" i="34" s="1"/>
  <c r="S56" i="34" s="1"/>
  <c r="H56" i="32"/>
  <c r="G56" i="30"/>
  <c r="N56" i="30" s="1"/>
  <c r="S56" i="30" s="1"/>
  <c r="T56" i="30" s="1"/>
  <c r="G56" i="28"/>
  <c r="N56" i="28" s="1"/>
  <c r="S56" i="28" s="1"/>
  <c r="T56" i="28" s="1"/>
  <c r="U55" i="28"/>
  <c r="T55" i="30"/>
  <c r="G57" i="59" l="1"/>
  <c r="N57" i="59" s="1"/>
  <c r="S57" i="59" s="1"/>
  <c r="I57" i="60"/>
  <c r="P57" i="60" s="1"/>
  <c r="T57" i="60" s="1"/>
  <c r="G57" i="58"/>
  <c r="N57" i="58" s="1"/>
  <c r="S57" i="58" s="1"/>
  <c r="T57" i="58" s="1"/>
  <c r="U57" i="58" s="1"/>
  <c r="T56" i="58"/>
  <c r="U56" i="58" s="1"/>
  <c r="P56" i="36"/>
  <c r="T56" i="36" s="1"/>
  <c r="O56" i="32"/>
  <c r="S56" i="32" s="1"/>
  <c r="T56" i="32" s="1"/>
  <c r="T56" i="38"/>
  <c r="U56" i="38" s="1"/>
  <c r="U56" i="28"/>
  <c r="BG58" i="1"/>
  <c r="G57" i="38"/>
  <c r="N57" i="38" s="1"/>
  <c r="S57" i="38" s="1"/>
  <c r="T57" i="38" s="1"/>
  <c r="U57" i="38" s="1"/>
  <c r="I57" i="36"/>
  <c r="G57" i="34"/>
  <c r="N57" i="34" s="1"/>
  <c r="S57" i="34" s="1"/>
  <c r="G57" i="30"/>
  <c r="N57" i="30" s="1"/>
  <c r="S57" i="30" s="1"/>
  <c r="H57" i="32"/>
  <c r="G57" i="28"/>
  <c r="N57" i="28" s="1"/>
  <c r="S57" i="28" s="1"/>
  <c r="T57" i="28" s="1"/>
  <c r="U55" i="30"/>
  <c r="U55" i="32"/>
  <c r="U56" i="30"/>
  <c r="I58" i="60" l="1"/>
  <c r="P58" i="60" s="1"/>
  <c r="T58" i="60" s="1"/>
  <c r="G58" i="59"/>
  <c r="N58" i="59" s="1"/>
  <c r="S58" i="59" s="1"/>
  <c r="G58" i="58"/>
  <c r="N58" i="58" s="1"/>
  <c r="S58" i="58" s="1"/>
  <c r="O57" i="32"/>
  <c r="S57" i="32" s="1"/>
  <c r="T57" i="32" s="1"/>
  <c r="U57" i="32" s="1"/>
  <c r="P57" i="36"/>
  <c r="T57" i="36" s="1"/>
  <c r="T57" i="30"/>
  <c r="U56" i="32"/>
  <c r="BG59" i="1"/>
  <c r="G58" i="38"/>
  <c r="N58" i="38" s="1"/>
  <c r="S58" i="38" s="1"/>
  <c r="T58" i="38" s="1"/>
  <c r="U58" i="38" s="1"/>
  <c r="I58" i="36"/>
  <c r="G58" i="28"/>
  <c r="N58" i="28" s="1"/>
  <c r="S58" i="28" s="1"/>
  <c r="T58" i="28" s="1"/>
  <c r="G58" i="30"/>
  <c r="N58" i="30" s="1"/>
  <c r="S58" i="30" s="1"/>
  <c r="T58" i="30" s="1"/>
  <c r="H58" i="32"/>
  <c r="G58" i="34"/>
  <c r="N58" i="34" s="1"/>
  <c r="S58" i="34" s="1"/>
  <c r="U57" i="28"/>
  <c r="I59" i="60" l="1"/>
  <c r="P59" i="60" s="1"/>
  <c r="T59" i="60" s="1"/>
  <c r="G59" i="59"/>
  <c r="N59" i="59" s="1"/>
  <c r="S59" i="59" s="1"/>
  <c r="G59" i="58"/>
  <c r="N59" i="58" s="1"/>
  <c r="S59" i="58" s="1"/>
  <c r="T59" i="58" s="1"/>
  <c r="U59" i="58" s="1"/>
  <c r="T58" i="58"/>
  <c r="U58" i="58" s="1"/>
  <c r="P58" i="36"/>
  <c r="T58" i="36" s="1"/>
  <c r="O58" i="32"/>
  <c r="S58" i="32" s="1"/>
  <c r="T58" i="32" s="1"/>
  <c r="U57" i="30"/>
  <c r="U58" i="30"/>
  <c r="U58" i="28"/>
  <c r="BG60" i="1"/>
  <c r="G59" i="38"/>
  <c r="N59" i="38" s="1"/>
  <c r="S59" i="38" s="1"/>
  <c r="T59" i="38" s="1"/>
  <c r="U59" i="38" s="1"/>
  <c r="I59" i="36"/>
  <c r="G59" i="34"/>
  <c r="N59" i="34" s="1"/>
  <c r="S59" i="34" s="1"/>
  <c r="H59" i="32"/>
  <c r="G59" i="30"/>
  <c r="N59" i="30" s="1"/>
  <c r="S59" i="30" s="1"/>
  <c r="T59" i="30" s="1"/>
  <c r="G59" i="28"/>
  <c r="N59" i="28" s="1"/>
  <c r="S59" i="28" s="1"/>
  <c r="T59" i="28" s="1"/>
  <c r="I60" i="60" l="1"/>
  <c r="P60" i="60" s="1"/>
  <c r="T60" i="60" s="1"/>
  <c r="G60" i="58"/>
  <c r="N60" i="58" s="1"/>
  <c r="S60" i="58" s="1"/>
  <c r="T60" i="58" s="1"/>
  <c r="U60" i="58" s="1"/>
  <c r="G60" i="59"/>
  <c r="N60" i="59" s="1"/>
  <c r="S60" i="59" s="1"/>
  <c r="O59" i="32"/>
  <c r="S59" i="32" s="1"/>
  <c r="T59" i="32" s="1"/>
  <c r="U59" i="32" s="1"/>
  <c r="P59" i="36"/>
  <c r="T59" i="36" s="1"/>
  <c r="U59" i="30"/>
  <c r="U59" i="28"/>
  <c r="BG61" i="1"/>
  <c r="G60" i="38"/>
  <c r="N60" i="38" s="1"/>
  <c r="S60" i="38" s="1"/>
  <c r="T60" i="38" s="1"/>
  <c r="U60" i="38" s="1"/>
  <c r="I60" i="36"/>
  <c r="G60" i="34"/>
  <c r="N60" i="34" s="1"/>
  <c r="S60" i="34" s="1"/>
  <c r="H60" i="32"/>
  <c r="G60" i="30"/>
  <c r="N60" i="30" s="1"/>
  <c r="S60" i="30" s="1"/>
  <c r="T60" i="30" s="1"/>
  <c r="G60" i="28"/>
  <c r="N60" i="28" s="1"/>
  <c r="S60" i="28" s="1"/>
  <c r="T60" i="28" s="1"/>
  <c r="U58" i="32"/>
  <c r="I61" i="60" l="1"/>
  <c r="P61" i="60" s="1"/>
  <c r="T61" i="60" s="1"/>
  <c r="G61" i="59"/>
  <c r="N61" i="59" s="1"/>
  <c r="S61" i="59" s="1"/>
  <c r="G61" i="58"/>
  <c r="N61" i="58" s="1"/>
  <c r="S61" i="58" s="1"/>
  <c r="T61" i="58" s="1"/>
  <c r="U61" i="58" s="1"/>
  <c r="P60" i="36"/>
  <c r="T60" i="36" s="1"/>
  <c r="O60" i="32"/>
  <c r="S60" i="32" s="1"/>
  <c r="T60" i="32" s="1"/>
  <c r="U60" i="32" s="1"/>
  <c r="U60" i="30"/>
  <c r="U60" i="28"/>
  <c r="BG62" i="1"/>
  <c r="G61" i="38"/>
  <c r="N61" i="38" s="1"/>
  <c r="S61" i="38" s="1"/>
  <c r="T61" i="38" s="1"/>
  <c r="U61" i="38" s="1"/>
  <c r="I61" i="36"/>
  <c r="G61" i="34"/>
  <c r="N61" i="34" s="1"/>
  <c r="S61" i="34" s="1"/>
  <c r="G61" i="30"/>
  <c r="N61" i="30" s="1"/>
  <c r="S61" i="30" s="1"/>
  <c r="T61" i="30" s="1"/>
  <c r="H61" i="32"/>
  <c r="G61" i="28"/>
  <c r="N61" i="28" s="1"/>
  <c r="S61" i="28" s="1"/>
  <c r="T61" i="28" s="1"/>
  <c r="I62" i="60" l="1"/>
  <c r="P62" i="60" s="1"/>
  <c r="T62" i="60" s="1"/>
  <c r="G62" i="59"/>
  <c r="N62" i="59" s="1"/>
  <c r="S62" i="59" s="1"/>
  <c r="G62" i="58"/>
  <c r="N62" i="58" s="1"/>
  <c r="S62" i="58" s="1"/>
  <c r="P61" i="36"/>
  <c r="T61" i="36" s="1"/>
  <c r="O61" i="32"/>
  <c r="S61" i="32" s="1"/>
  <c r="T61" i="32" s="1"/>
  <c r="U61" i="32" s="1"/>
  <c r="U61" i="30"/>
  <c r="BG63" i="1"/>
  <c r="G62" i="38"/>
  <c r="N62" i="38" s="1"/>
  <c r="S62" i="38" s="1"/>
  <c r="G62" i="34"/>
  <c r="N62" i="34" s="1"/>
  <c r="S62" i="34" s="1"/>
  <c r="I62" i="36"/>
  <c r="G62" i="28"/>
  <c r="N62" i="28" s="1"/>
  <c r="S62" i="28" s="1"/>
  <c r="H62" i="32"/>
  <c r="G62" i="30"/>
  <c r="N62" i="30" s="1"/>
  <c r="S62" i="30" s="1"/>
  <c r="U61" i="28"/>
  <c r="I63" i="60" l="1"/>
  <c r="P63" i="60" s="1"/>
  <c r="T63" i="60" s="1"/>
  <c r="G63" i="59"/>
  <c r="N63" i="59" s="1"/>
  <c r="S63" i="59" s="1"/>
  <c r="G63" i="58"/>
  <c r="N63" i="58" s="1"/>
  <c r="S63" i="58" s="1"/>
  <c r="T63" i="58" s="1"/>
  <c r="U63" i="58" s="1"/>
  <c r="T62" i="58"/>
  <c r="U62" i="58" s="1"/>
  <c r="P62" i="36"/>
  <c r="T62" i="36" s="1"/>
  <c r="O62" i="32"/>
  <c r="S62" i="32" s="1"/>
  <c r="T62" i="28"/>
  <c r="T62" i="38"/>
  <c r="U62" i="38" s="1"/>
  <c r="T62" i="30"/>
  <c r="BG64" i="1"/>
  <c r="G63" i="38"/>
  <c r="N63" i="38" s="1"/>
  <c r="S63" i="38" s="1"/>
  <c r="T63" i="38" s="1"/>
  <c r="U63" i="38" s="1"/>
  <c r="I63" i="36"/>
  <c r="G63" i="34"/>
  <c r="N63" i="34" s="1"/>
  <c r="S63" i="34" s="1"/>
  <c r="H63" i="32"/>
  <c r="G63" i="30"/>
  <c r="N63" i="30" s="1"/>
  <c r="S63" i="30" s="1"/>
  <c r="T63" i="30" s="1"/>
  <c r="G63" i="28"/>
  <c r="N63" i="28" s="1"/>
  <c r="S63" i="28" s="1"/>
  <c r="T63" i="28" s="1"/>
  <c r="I64" i="60" l="1"/>
  <c r="P64" i="60" s="1"/>
  <c r="T64" i="60" s="1"/>
  <c r="G64" i="59"/>
  <c r="N64" i="59" s="1"/>
  <c r="S64" i="59" s="1"/>
  <c r="G64" i="58"/>
  <c r="N64" i="58" s="1"/>
  <c r="S64" i="58" s="1"/>
  <c r="T62" i="32"/>
  <c r="U62" i="32" s="1"/>
  <c r="O63" i="32"/>
  <c r="S63" i="32" s="1"/>
  <c r="T63" i="32" s="1"/>
  <c r="U63" i="32" s="1"/>
  <c r="P63" i="36"/>
  <c r="T63" i="36" s="1"/>
  <c r="BG65" i="1"/>
  <c r="G64" i="38"/>
  <c r="N64" i="38" s="1"/>
  <c r="S64" i="38" s="1"/>
  <c r="I64" i="36"/>
  <c r="G64" i="34"/>
  <c r="N64" i="34" s="1"/>
  <c r="S64" i="34" s="1"/>
  <c r="H64" i="32"/>
  <c r="G64" i="30"/>
  <c r="N64" i="30" s="1"/>
  <c r="S64" i="30" s="1"/>
  <c r="G64" i="28"/>
  <c r="N64" i="28" s="1"/>
  <c r="S64" i="28" s="1"/>
  <c r="U63" i="28"/>
  <c r="U63" i="30"/>
  <c r="U62" i="30"/>
  <c r="U62" i="28"/>
  <c r="I65" i="60" l="1"/>
  <c r="P65" i="60" s="1"/>
  <c r="T65" i="60" s="1"/>
  <c r="G65" i="59"/>
  <c r="N65" i="59" s="1"/>
  <c r="S65" i="59" s="1"/>
  <c r="G65" i="58"/>
  <c r="N65" i="58" s="1"/>
  <c r="S65" i="58" s="1"/>
  <c r="T65" i="58" s="1"/>
  <c r="U65" i="58" s="1"/>
  <c r="T64" i="58"/>
  <c r="U64" i="58" s="1"/>
  <c r="O64" i="32"/>
  <c r="S64" i="32" s="1"/>
  <c r="P64" i="36"/>
  <c r="T64" i="36" s="1"/>
  <c r="T64" i="38"/>
  <c r="U64" i="38" s="1"/>
  <c r="BG66" i="1"/>
  <c r="G65" i="38"/>
  <c r="N65" i="38" s="1"/>
  <c r="S65" i="38" s="1"/>
  <c r="I65" i="36"/>
  <c r="G65" i="34"/>
  <c r="N65" i="34" s="1"/>
  <c r="S65" i="34" s="1"/>
  <c r="G65" i="30"/>
  <c r="N65" i="30" s="1"/>
  <c r="S65" i="30" s="1"/>
  <c r="H65" i="32"/>
  <c r="G65" i="28"/>
  <c r="N65" i="28" s="1"/>
  <c r="S65" i="28" s="1"/>
  <c r="T64" i="28"/>
  <c r="T64" i="30"/>
  <c r="I66" i="60" l="1"/>
  <c r="P66" i="60" s="1"/>
  <c r="T66" i="60" s="1"/>
  <c r="G66" i="59"/>
  <c r="N66" i="59" s="1"/>
  <c r="S66" i="59" s="1"/>
  <c r="G66" i="58"/>
  <c r="N66" i="58" s="1"/>
  <c r="S66" i="58" s="1"/>
  <c r="T64" i="32"/>
  <c r="U64" i="32" s="1"/>
  <c r="O65" i="32"/>
  <c r="S65" i="32" s="1"/>
  <c r="T65" i="32" s="1"/>
  <c r="U65" i="32" s="1"/>
  <c r="P65" i="36"/>
  <c r="T65" i="36" s="1"/>
  <c r="T65" i="38"/>
  <c r="U65" i="38" s="1"/>
  <c r="U64" i="28"/>
  <c r="T65" i="28"/>
  <c r="U64" i="30"/>
  <c r="BG67" i="1"/>
  <c r="G66" i="38"/>
  <c r="N66" i="38" s="1"/>
  <c r="S66" i="38" s="1"/>
  <c r="I66" i="36"/>
  <c r="G66" i="34"/>
  <c r="N66" i="34" s="1"/>
  <c r="S66" i="34" s="1"/>
  <c r="G66" i="28"/>
  <c r="N66" i="28" s="1"/>
  <c r="S66" i="28" s="1"/>
  <c r="G66" i="30"/>
  <c r="N66" i="30" s="1"/>
  <c r="S66" i="30" s="1"/>
  <c r="H66" i="32"/>
  <c r="T65" i="30"/>
  <c r="I67" i="60" l="1"/>
  <c r="P67" i="60" s="1"/>
  <c r="T67" i="60" s="1"/>
  <c r="G67" i="59"/>
  <c r="N67" i="59" s="1"/>
  <c r="S67" i="59" s="1"/>
  <c r="G67" i="58"/>
  <c r="N67" i="58" s="1"/>
  <c r="S67" i="58" s="1"/>
  <c r="T67" i="58" s="1"/>
  <c r="U67" i="58" s="1"/>
  <c r="T66" i="58"/>
  <c r="U66" i="58" s="1"/>
  <c r="O66" i="32"/>
  <c r="S66" i="32" s="1"/>
  <c r="P66" i="36"/>
  <c r="T66" i="36" s="1"/>
  <c r="T66" i="38"/>
  <c r="U66" i="38" s="1"/>
  <c r="T66" i="30"/>
  <c r="U65" i="30"/>
  <c r="T66" i="28"/>
  <c r="BG68" i="1"/>
  <c r="G67" i="38"/>
  <c r="N67" i="38" s="1"/>
  <c r="S67" i="38" s="1"/>
  <c r="I67" i="36"/>
  <c r="G67" i="34"/>
  <c r="N67" i="34" s="1"/>
  <c r="S67" i="34" s="1"/>
  <c r="H67" i="32"/>
  <c r="G67" i="30"/>
  <c r="N67" i="30" s="1"/>
  <c r="S67" i="30" s="1"/>
  <c r="G67" i="28"/>
  <c r="N67" i="28" s="1"/>
  <c r="S67" i="28" s="1"/>
  <c r="T67" i="28" s="1"/>
  <c r="U65" i="28"/>
  <c r="I68" i="60" l="1"/>
  <c r="P68" i="60" s="1"/>
  <c r="T68" i="60" s="1"/>
  <c r="G68" i="59"/>
  <c r="N68" i="59" s="1"/>
  <c r="S68" i="59" s="1"/>
  <c r="G68" i="58"/>
  <c r="N68" i="58" s="1"/>
  <c r="S68" i="58" s="1"/>
  <c r="T66" i="32"/>
  <c r="U66" i="32" s="1"/>
  <c r="P67" i="36"/>
  <c r="T67" i="36" s="1"/>
  <c r="O67" i="32"/>
  <c r="S67" i="32" s="1"/>
  <c r="T67" i="32" s="1"/>
  <c r="U67" i="32" s="1"/>
  <c r="U67" i="28"/>
  <c r="U66" i="28"/>
  <c r="BG69" i="1"/>
  <c r="G68" i="38"/>
  <c r="N68" i="38" s="1"/>
  <c r="S68" i="38" s="1"/>
  <c r="T68" i="38" s="1"/>
  <c r="U68" i="38" s="1"/>
  <c r="I68" i="36"/>
  <c r="G68" i="34"/>
  <c r="N68" i="34" s="1"/>
  <c r="S68" i="34" s="1"/>
  <c r="G68" i="30"/>
  <c r="N68" i="30" s="1"/>
  <c r="S68" i="30" s="1"/>
  <c r="T68" i="30" s="1"/>
  <c r="H68" i="32"/>
  <c r="G68" i="28"/>
  <c r="N68" i="28" s="1"/>
  <c r="S68" i="28" s="1"/>
  <c r="T67" i="30"/>
  <c r="U66" i="30"/>
  <c r="T67" i="38"/>
  <c r="U67" i="38" s="1"/>
  <c r="T68" i="58" l="1"/>
  <c r="U68" i="58" s="1"/>
  <c r="I69" i="60"/>
  <c r="P69" i="60" s="1"/>
  <c r="T69" i="60" s="1"/>
  <c r="G69" i="59"/>
  <c r="N69" i="59" s="1"/>
  <c r="S69" i="59" s="1"/>
  <c r="G69" i="58"/>
  <c r="N69" i="58" s="1"/>
  <c r="S69" i="58" s="1"/>
  <c r="T69" i="58" s="1"/>
  <c r="U69" i="58" s="1"/>
  <c r="O68" i="32"/>
  <c r="S68" i="32" s="1"/>
  <c r="P68" i="36"/>
  <c r="T68" i="36" s="1"/>
  <c r="U67" i="30"/>
  <c r="U68" i="30"/>
  <c r="T68" i="28"/>
  <c r="BG70" i="1"/>
  <c r="G69" i="38"/>
  <c r="N69" i="38" s="1"/>
  <c r="S69" i="38" s="1"/>
  <c r="I69" i="36"/>
  <c r="G69" i="34"/>
  <c r="N69" i="34" s="1"/>
  <c r="S69" i="34" s="1"/>
  <c r="H69" i="32"/>
  <c r="G69" i="30"/>
  <c r="N69" i="30" s="1"/>
  <c r="S69" i="30" s="1"/>
  <c r="G69" i="28"/>
  <c r="N69" i="28" s="1"/>
  <c r="S69" i="28" s="1"/>
  <c r="T69" i="28" s="1"/>
  <c r="I70" i="60" l="1"/>
  <c r="P70" i="60" s="1"/>
  <c r="T70" i="60" s="1"/>
  <c r="G70" i="59"/>
  <c r="N70" i="59" s="1"/>
  <c r="S70" i="59" s="1"/>
  <c r="G70" i="58"/>
  <c r="N70" i="58" s="1"/>
  <c r="S70" i="58" s="1"/>
  <c r="T68" i="32"/>
  <c r="U68" i="32" s="1"/>
  <c r="P69" i="36"/>
  <c r="T69" i="36" s="1"/>
  <c r="O69" i="32"/>
  <c r="S69" i="32" s="1"/>
  <c r="T69" i="32" s="1"/>
  <c r="U69" i="32" s="1"/>
  <c r="U69" i="28"/>
  <c r="BG71" i="1"/>
  <c r="G70" i="38"/>
  <c r="N70" i="38" s="1"/>
  <c r="S70" i="38" s="1"/>
  <c r="T70" i="38" s="1"/>
  <c r="U70" i="38" s="1"/>
  <c r="I70" i="36"/>
  <c r="G70" i="28"/>
  <c r="N70" i="28" s="1"/>
  <c r="S70" i="28" s="1"/>
  <c r="T70" i="28" s="1"/>
  <c r="U70" i="28" s="1"/>
  <c r="G70" i="34"/>
  <c r="N70" i="34" s="1"/>
  <c r="S70" i="34" s="1"/>
  <c r="G70" i="30"/>
  <c r="N70" i="30" s="1"/>
  <c r="S70" i="30" s="1"/>
  <c r="T70" i="30" s="1"/>
  <c r="U70" i="30" s="1"/>
  <c r="H70" i="32"/>
  <c r="T69" i="30"/>
  <c r="T69" i="38"/>
  <c r="U69" i="38" s="1"/>
  <c r="U68" i="28"/>
  <c r="I71" i="60" l="1"/>
  <c r="P71" i="60" s="1"/>
  <c r="T71" i="60" s="1"/>
  <c r="G71" i="59"/>
  <c r="N71" i="59" s="1"/>
  <c r="S71" i="59" s="1"/>
  <c r="G71" i="58"/>
  <c r="N71" i="58" s="1"/>
  <c r="S71" i="58" s="1"/>
  <c r="T71" i="58" s="1"/>
  <c r="U71" i="58" s="1"/>
  <c r="T70" i="58"/>
  <c r="U70" i="58" s="1"/>
  <c r="O70" i="32"/>
  <c r="S70" i="32" s="1"/>
  <c r="P70" i="36"/>
  <c r="T70" i="36" s="1"/>
  <c r="BG72" i="1"/>
  <c r="G71" i="38"/>
  <c r="N71" i="38" s="1"/>
  <c r="S71" i="38" s="1"/>
  <c r="T71" i="38" s="1"/>
  <c r="U71" i="38" s="1"/>
  <c r="I71" i="36"/>
  <c r="G71" i="34"/>
  <c r="N71" i="34" s="1"/>
  <c r="S71" i="34" s="1"/>
  <c r="H71" i="32"/>
  <c r="G71" i="30"/>
  <c r="N71" i="30" s="1"/>
  <c r="S71" i="30" s="1"/>
  <c r="T71" i="30" s="1"/>
  <c r="U71" i="30" s="1"/>
  <c r="G71" i="28"/>
  <c r="N71" i="28" s="1"/>
  <c r="S71" i="28" s="1"/>
  <c r="T71" i="28" s="1"/>
  <c r="U71" i="28" s="1"/>
  <c r="U69" i="30"/>
  <c r="I72" i="60" l="1"/>
  <c r="P72" i="60" s="1"/>
  <c r="T72" i="60" s="1"/>
  <c r="G72" i="59"/>
  <c r="N72" i="59" s="1"/>
  <c r="S72" i="59" s="1"/>
  <c r="G72" i="58"/>
  <c r="N72" i="58" s="1"/>
  <c r="S72" i="58" s="1"/>
  <c r="T72" i="58" s="1"/>
  <c r="U72" i="58" s="1"/>
  <c r="T70" i="32"/>
  <c r="U70" i="32" s="1"/>
  <c r="O71" i="32"/>
  <c r="S71" i="32" s="1"/>
  <c r="T71" i="32" s="1"/>
  <c r="U71" i="32" s="1"/>
  <c r="P71" i="36"/>
  <c r="T71" i="36" s="1"/>
  <c r="BG73" i="1"/>
  <c r="G72" i="38"/>
  <c r="N72" i="38" s="1"/>
  <c r="S72" i="38" s="1"/>
  <c r="T72" i="38" s="1"/>
  <c r="U72" i="38" s="1"/>
  <c r="I72" i="36"/>
  <c r="G72" i="34"/>
  <c r="N72" i="34" s="1"/>
  <c r="S72" i="34" s="1"/>
  <c r="G72" i="30"/>
  <c r="N72" i="30" s="1"/>
  <c r="S72" i="30" s="1"/>
  <c r="T72" i="30" s="1"/>
  <c r="U72" i="30" s="1"/>
  <c r="H72" i="32"/>
  <c r="G72" i="28"/>
  <c r="N72" i="28" s="1"/>
  <c r="S72" i="28" s="1"/>
  <c r="T72" i="28" s="1"/>
  <c r="U72" i="28" s="1"/>
  <c r="I73" i="60" l="1"/>
  <c r="P73" i="60" s="1"/>
  <c r="T73" i="60" s="1"/>
  <c r="G73" i="59"/>
  <c r="N73" i="59" s="1"/>
  <c r="S73" i="59" s="1"/>
  <c r="G73" i="58"/>
  <c r="N73" i="58" s="1"/>
  <c r="S73" i="58" s="1"/>
  <c r="T73" i="58" s="1"/>
  <c r="U73" i="58" s="1"/>
  <c r="O72" i="32"/>
  <c r="S72" i="32" s="1"/>
  <c r="T72" i="32" s="1"/>
  <c r="U72" i="32" s="1"/>
  <c r="P72" i="36"/>
  <c r="T72" i="36" s="1"/>
  <c r="BG74" i="1"/>
  <c r="G73" i="38"/>
  <c r="N73" i="38" s="1"/>
  <c r="S73" i="38" s="1"/>
  <c r="T73" i="38" s="1"/>
  <c r="U73" i="38" s="1"/>
  <c r="I73" i="36"/>
  <c r="G73" i="34"/>
  <c r="N73" i="34" s="1"/>
  <c r="S73" i="34" s="1"/>
  <c r="H73" i="32"/>
  <c r="G73" i="28"/>
  <c r="N73" i="28" s="1"/>
  <c r="S73" i="28" s="1"/>
  <c r="T73" i="28" s="1"/>
  <c r="U73" i="28" s="1"/>
  <c r="G73" i="30"/>
  <c r="N73" i="30" s="1"/>
  <c r="S73" i="30" s="1"/>
  <c r="T73" i="30" s="1"/>
  <c r="U73" i="30" s="1"/>
  <c r="I74" i="60" l="1"/>
  <c r="P74" i="60" s="1"/>
  <c r="T74" i="60" s="1"/>
  <c r="G74" i="59"/>
  <c r="N74" i="59" s="1"/>
  <c r="S74" i="59" s="1"/>
  <c r="G74" i="58"/>
  <c r="N74" i="58" s="1"/>
  <c r="S74" i="58" s="1"/>
  <c r="O73" i="32"/>
  <c r="S73" i="32" s="1"/>
  <c r="T73" i="32" s="1"/>
  <c r="U73" i="32" s="1"/>
  <c r="P73" i="36"/>
  <c r="T73" i="36" s="1"/>
  <c r="BG75" i="1"/>
  <c r="G74" i="38"/>
  <c r="N74" i="38" s="1"/>
  <c r="S74" i="38" s="1"/>
  <c r="I74" i="36"/>
  <c r="G74" i="28"/>
  <c r="N74" i="28" s="1"/>
  <c r="S74" i="28" s="1"/>
  <c r="G74" i="30"/>
  <c r="N74" i="30" s="1"/>
  <c r="S74" i="30" s="1"/>
  <c r="G74" i="34"/>
  <c r="N74" i="34" s="1"/>
  <c r="S74" i="34" s="1"/>
  <c r="H74" i="32"/>
  <c r="I75" i="60" l="1"/>
  <c r="P75" i="60" s="1"/>
  <c r="T75" i="60" s="1"/>
  <c r="G75" i="59"/>
  <c r="N75" i="59" s="1"/>
  <c r="S75" i="59" s="1"/>
  <c r="G75" i="58"/>
  <c r="N75" i="58" s="1"/>
  <c r="S75" i="58" s="1"/>
  <c r="T75" i="58" s="1"/>
  <c r="U75" i="58" s="1"/>
  <c r="T74" i="58"/>
  <c r="U74" i="58" s="1"/>
  <c r="O74" i="32"/>
  <c r="S74" i="32" s="1"/>
  <c r="P74" i="36"/>
  <c r="T74" i="36" s="1"/>
  <c r="T74" i="30"/>
  <c r="T74" i="38"/>
  <c r="U74" i="38" s="1"/>
  <c r="T74" i="28"/>
  <c r="BG76" i="1"/>
  <c r="G75" i="38"/>
  <c r="N75" i="38" s="1"/>
  <c r="S75" i="38" s="1"/>
  <c r="T75" i="38" s="1"/>
  <c r="U75" i="38" s="1"/>
  <c r="I75" i="36"/>
  <c r="G75" i="34"/>
  <c r="N75" i="34" s="1"/>
  <c r="S75" i="34" s="1"/>
  <c r="H75" i="32"/>
  <c r="G75" i="30"/>
  <c r="N75" i="30" s="1"/>
  <c r="S75" i="30" s="1"/>
  <c r="T75" i="30" s="1"/>
  <c r="U75" i="30" s="1"/>
  <c r="G75" i="28"/>
  <c r="N75" i="28" s="1"/>
  <c r="S75" i="28" s="1"/>
  <c r="T75" i="28" s="1"/>
  <c r="U75" i="28" s="1"/>
  <c r="I76" i="60" l="1"/>
  <c r="P76" i="60" s="1"/>
  <c r="T76" i="60" s="1"/>
  <c r="G76" i="59"/>
  <c r="N76" i="59" s="1"/>
  <c r="S76" i="59" s="1"/>
  <c r="G76" i="58"/>
  <c r="N76" i="58" s="1"/>
  <c r="S76" i="58" s="1"/>
  <c r="T74" i="32"/>
  <c r="U74" i="32" s="1"/>
  <c r="P75" i="36"/>
  <c r="T75" i="36" s="1"/>
  <c r="O75" i="32"/>
  <c r="S75" i="32" s="1"/>
  <c r="T75" i="32" s="1"/>
  <c r="U75" i="32" s="1"/>
  <c r="BG77" i="1"/>
  <c r="G76" i="38"/>
  <c r="N76" i="38" s="1"/>
  <c r="S76" i="38" s="1"/>
  <c r="I76" i="36"/>
  <c r="G76" i="34"/>
  <c r="N76" i="34" s="1"/>
  <c r="S76" i="34" s="1"/>
  <c r="G76" i="30"/>
  <c r="N76" i="30" s="1"/>
  <c r="S76" i="30" s="1"/>
  <c r="H76" i="32"/>
  <c r="G76" i="28"/>
  <c r="N76" i="28" s="1"/>
  <c r="S76" i="28" s="1"/>
  <c r="U74" i="28"/>
  <c r="U74" i="30"/>
  <c r="I77" i="60" l="1"/>
  <c r="P77" i="60" s="1"/>
  <c r="T77" i="60" s="1"/>
  <c r="G77" i="59"/>
  <c r="N77" i="59" s="1"/>
  <c r="S77" i="59" s="1"/>
  <c r="G77" i="58"/>
  <c r="N77" i="58" s="1"/>
  <c r="S77" i="58" s="1"/>
  <c r="T77" i="58" s="1"/>
  <c r="U77" i="58" s="1"/>
  <c r="T76" i="58"/>
  <c r="U76" i="58" s="1"/>
  <c r="T76" i="30"/>
  <c r="U76" i="30" s="1"/>
  <c r="O76" i="32"/>
  <c r="S76" i="32" s="1"/>
  <c r="P76" i="36"/>
  <c r="T76" i="36" s="1"/>
  <c r="BG78" i="1"/>
  <c r="G77" i="38"/>
  <c r="N77" i="38" s="1"/>
  <c r="S77" i="38" s="1"/>
  <c r="I77" i="36"/>
  <c r="G77" i="34"/>
  <c r="N77" i="34" s="1"/>
  <c r="S77" i="34" s="1"/>
  <c r="H77" i="32"/>
  <c r="G77" i="30"/>
  <c r="N77" i="30" s="1"/>
  <c r="S77" i="30" s="1"/>
  <c r="G77" i="28"/>
  <c r="N77" i="28" s="1"/>
  <c r="S77" i="28" s="1"/>
  <c r="T77" i="28" s="1"/>
  <c r="U77" i="28" s="1"/>
  <c r="T76" i="38"/>
  <c r="U76" i="38" s="1"/>
  <c r="T76" i="28"/>
  <c r="I78" i="60" l="1"/>
  <c r="P78" i="60" s="1"/>
  <c r="T78" i="60" s="1"/>
  <c r="G78" i="59"/>
  <c r="N78" i="59" s="1"/>
  <c r="S78" i="59" s="1"/>
  <c r="G78" i="58"/>
  <c r="N78" i="58" s="1"/>
  <c r="S78" i="58" s="1"/>
  <c r="T76" i="32"/>
  <c r="U76" i="32" s="1"/>
  <c r="O77" i="32"/>
  <c r="S77" i="32" s="1"/>
  <c r="T77" i="32" s="1"/>
  <c r="P77" i="36"/>
  <c r="T77" i="36" s="1"/>
  <c r="T77" i="38"/>
  <c r="U77" i="38" s="1"/>
  <c r="T77" i="30"/>
  <c r="U76" i="28"/>
  <c r="BG79" i="1"/>
  <c r="G78" i="38"/>
  <c r="N78" i="38" s="1"/>
  <c r="S78" i="38" s="1"/>
  <c r="G78" i="34"/>
  <c r="N78" i="34" s="1"/>
  <c r="S78" i="34" s="1"/>
  <c r="G78" i="28"/>
  <c r="N78" i="28" s="1"/>
  <c r="S78" i="28" s="1"/>
  <c r="I78" i="36"/>
  <c r="G78" i="30"/>
  <c r="N78" i="30" s="1"/>
  <c r="S78" i="30" s="1"/>
  <c r="H78" i="32"/>
  <c r="I79" i="60" l="1"/>
  <c r="P79" i="60" s="1"/>
  <c r="T79" i="60" s="1"/>
  <c r="G79" i="59"/>
  <c r="N79" i="59" s="1"/>
  <c r="S79" i="59" s="1"/>
  <c r="G79" i="58"/>
  <c r="N79" i="58" s="1"/>
  <c r="S79" i="58" s="1"/>
  <c r="T79" i="58" s="1"/>
  <c r="U79" i="58" s="1"/>
  <c r="T78" i="58"/>
  <c r="U78" i="58" s="1"/>
  <c r="P78" i="36"/>
  <c r="T78" i="36" s="1"/>
  <c r="O78" i="32"/>
  <c r="S78" i="32" s="1"/>
  <c r="T78" i="38"/>
  <c r="U78" i="38" s="1"/>
  <c r="U77" i="32"/>
  <c r="U77" i="30"/>
  <c r="T78" i="30"/>
  <c r="U78" i="30" s="1"/>
  <c r="T78" i="28"/>
  <c r="BG80" i="1"/>
  <c r="G79" i="38"/>
  <c r="N79" i="38" s="1"/>
  <c r="S79" i="38" s="1"/>
  <c r="T79" i="38" s="1"/>
  <c r="U79" i="38" s="1"/>
  <c r="I79" i="36"/>
  <c r="G79" i="34"/>
  <c r="N79" i="34" s="1"/>
  <c r="S79" i="34" s="1"/>
  <c r="H79" i="32"/>
  <c r="G79" i="30"/>
  <c r="N79" i="30" s="1"/>
  <c r="S79" i="30" s="1"/>
  <c r="T79" i="30" s="1"/>
  <c r="U79" i="30" s="1"/>
  <c r="G79" i="28"/>
  <c r="N79" i="28" s="1"/>
  <c r="S79" i="28" s="1"/>
  <c r="T79" i="28" s="1"/>
  <c r="U79" i="28" s="1"/>
  <c r="I80" i="60" l="1"/>
  <c r="P80" i="60" s="1"/>
  <c r="T80" i="60" s="1"/>
  <c r="G80" i="58"/>
  <c r="N80" i="58" s="1"/>
  <c r="S80" i="58" s="1"/>
  <c r="G80" i="59"/>
  <c r="N80" i="59" s="1"/>
  <c r="S80" i="59" s="1"/>
  <c r="T78" i="32"/>
  <c r="U78" i="32" s="1"/>
  <c r="P79" i="36"/>
  <c r="T79" i="36" s="1"/>
  <c r="O79" i="32"/>
  <c r="S79" i="32" s="1"/>
  <c r="T79" i="32" s="1"/>
  <c r="U78" i="28"/>
  <c r="BG81" i="1"/>
  <c r="G80" i="38"/>
  <c r="N80" i="38" s="1"/>
  <c r="S80" i="38" s="1"/>
  <c r="I80" i="36"/>
  <c r="G80" i="34"/>
  <c r="N80" i="34" s="1"/>
  <c r="S80" i="34" s="1"/>
  <c r="G80" i="30"/>
  <c r="N80" i="30" s="1"/>
  <c r="S80" i="30" s="1"/>
  <c r="H80" i="32"/>
  <c r="G80" i="28"/>
  <c r="N80" i="28" s="1"/>
  <c r="S80" i="28" s="1"/>
  <c r="I81" i="60" l="1"/>
  <c r="P81" i="60" s="1"/>
  <c r="T81" i="60" s="1"/>
  <c r="G81" i="59"/>
  <c r="N81" i="59" s="1"/>
  <c r="S81" i="59" s="1"/>
  <c r="G81" i="58"/>
  <c r="N81" i="58" s="1"/>
  <c r="S81" i="58" s="1"/>
  <c r="T81" i="58" s="1"/>
  <c r="U81" i="58" s="1"/>
  <c r="T80" i="58"/>
  <c r="U80" i="58" s="1"/>
  <c r="O80" i="32"/>
  <c r="S80" i="32" s="1"/>
  <c r="T80" i="32" s="1"/>
  <c r="U80" i="32" s="1"/>
  <c r="P80" i="36"/>
  <c r="T80" i="36" s="1"/>
  <c r="T80" i="28"/>
  <c r="BG82" i="1"/>
  <c r="G81" i="38"/>
  <c r="N81" i="38" s="1"/>
  <c r="S81" i="38" s="1"/>
  <c r="T81" i="38" s="1"/>
  <c r="U81" i="38" s="1"/>
  <c r="I81" i="36"/>
  <c r="G81" i="34"/>
  <c r="N81" i="34" s="1"/>
  <c r="S81" i="34" s="1"/>
  <c r="H81" i="32"/>
  <c r="G81" i="28"/>
  <c r="N81" i="28" s="1"/>
  <c r="S81" i="28" s="1"/>
  <c r="T81" i="28" s="1"/>
  <c r="U81" i="28" s="1"/>
  <c r="G81" i="30"/>
  <c r="N81" i="30" s="1"/>
  <c r="S81" i="30" s="1"/>
  <c r="T81" i="30" s="1"/>
  <c r="U81" i="30" s="1"/>
  <c r="T80" i="30"/>
  <c r="T80" i="38"/>
  <c r="U80" i="38" s="1"/>
  <c r="U79" i="32"/>
  <c r="I82" i="60" l="1"/>
  <c r="P82" i="60" s="1"/>
  <c r="T82" i="60" s="1"/>
  <c r="G82" i="59"/>
  <c r="N82" i="59" s="1"/>
  <c r="S82" i="59" s="1"/>
  <c r="G82" i="58"/>
  <c r="N82" i="58" s="1"/>
  <c r="S82" i="58" s="1"/>
  <c r="P81" i="36"/>
  <c r="T81" i="36" s="1"/>
  <c r="O81" i="32"/>
  <c r="S81" i="32" s="1"/>
  <c r="T81" i="32" s="1"/>
  <c r="U80" i="30"/>
  <c r="BG83" i="1"/>
  <c r="G82" i="38"/>
  <c r="N82" i="38" s="1"/>
  <c r="S82" i="38" s="1"/>
  <c r="T82" i="38" s="1"/>
  <c r="U82" i="38" s="1"/>
  <c r="I82" i="36"/>
  <c r="G82" i="34"/>
  <c r="N82" i="34" s="1"/>
  <c r="S82" i="34" s="1"/>
  <c r="G82" i="28"/>
  <c r="N82" i="28" s="1"/>
  <c r="S82" i="28" s="1"/>
  <c r="G82" i="30"/>
  <c r="N82" i="30" s="1"/>
  <c r="S82" i="30" s="1"/>
  <c r="T82" i="30" s="1"/>
  <c r="U82" i="30" s="1"/>
  <c r="H82" i="32"/>
  <c r="U80" i="28"/>
  <c r="I83" i="60" l="1"/>
  <c r="P83" i="60" s="1"/>
  <c r="T83" i="60" s="1"/>
  <c r="G83" i="59"/>
  <c r="N83" i="59" s="1"/>
  <c r="S83" i="59" s="1"/>
  <c r="G83" i="58"/>
  <c r="N83" i="58" s="1"/>
  <c r="S83" i="58" s="1"/>
  <c r="T83" i="58" s="1"/>
  <c r="U83" i="58" s="1"/>
  <c r="T82" i="58"/>
  <c r="U82" i="58" s="1"/>
  <c r="O82" i="32"/>
  <c r="S82" i="32" s="1"/>
  <c r="T82" i="32" s="1"/>
  <c r="U82" i="32" s="1"/>
  <c r="P82" i="36"/>
  <c r="T82" i="36" s="1"/>
  <c r="T82" i="28"/>
  <c r="U81" i="32"/>
  <c r="BG84" i="1"/>
  <c r="G83" i="38"/>
  <c r="N83" i="38" s="1"/>
  <c r="S83" i="38" s="1"/>
  <c r="T83" i="38" s="1"/>
  <c r="U83" i="38" s="1"/>
  <c r="I83" i="36"/>
  <c r="G83" i="34"/>
  <c r="N83" i="34" s="1"/>
  <c r="S83" i="34" s="1"/>
  <c r="H83" i="32"/>
  <c r="G83" i="30"/>
  <c r="N83" i="30" s="1"/>
  <c r="S83" i="30" s="1"/>
  <c r="T83" i="30" s="1"/>
  <c r="U83" i="30" s="1"/>
  <c r="G83" i="28"/>
  <c r="N83" i="28" s="1"/>
  <c r="S83" i="28" s="1"/>
  <c r="T83" i="28" s="1"/>
  <c r="U83" i="28" s="1"/>
  <c r="I84" i="60" l="1"/>
  <c r="P84" i="60" s="1"/>
  <c r="T84" i="60" s="1"/>
  <c r="G84" i="59"/>
  <c r="N84" i="59" s="1"/>
  <c r="S84" i="59" s="1"/>
  <c r="G84" i="58"/>
  <c r="N84" i="58" s="1"/>
  <c r="S84" i="58" s="1"/>
  <c r="T84" i="58" s="1"/>
  <c r="U84" i="58" s="1"/>
  <c r="P83" i="36"/>
  <c r="T83" i="36" s="1"/>
  <c r="O83" i="32"/>
  <c r="S83" i="32" s="1"/>
  <c r="T83" i="32" s="1"/>
  <c r="U83" i="32" s="1"/>
  <c r="BG85" i="1"/>
  <c r="G84" i="38"/>
  <c r="N84" i="38" s="1"/>
  <c r="S84" i="38" s="1"/>
  <c r="T84" i="38" s="1"/>
  <c r="U84" i="38" s="1"/>
  <c r="I84" i="36"/>
  <c r="G84" i="34"/>
  <c r="N84" i="34" s="1"/>
  <c r="S84" i="34" s="1"/>
  <c r="G84" i="30"/>
  <c r="N84" i="30" s="1"/>
  <c r="S84" i="30" s="1"/>
  <c r="T84" i="30" s="1"/>
  <c r="H84" i="32"/>
  <c r="G84" i="28"/>
  <c r="N84" i="28" s="1"/>
  <c r="S84" i="28" s="1"/>
  <c r="T84" i="28" s="1"/>
  <c r="U84" i="28" s="1"/>
  <c r="U82" i="28"/>
  <c r="I85" i="60" l="1"/>
  <c r="P85" i="60" s="1"/>
  <c r="T85" i="60" s="1"/>
  <c r="G85" i="59"/>
  <c r="N85" i="59" s="1"/>
  <c r="S85" i="59" s="1"/>
  <c r="G85" i="58"/>
  <c r="N85" i="58" s="1"/>
  <c r="S85" i="58" s="1"/>
  <c r="T85" i="58" s="1"/>
  <c r="U85" i="58" s="1"/>
  <c r="O84" i="32"/>
  <c r="S84" i="32" s="1"/>
  <c r="T84" i="32" s="1"/>
  <c r="U84" i="32" s="1"/>
  <c r="P84" i="36"/>
  <c r="T84" i="36" s="1"/>
  <c r="U84" i="30"/>
  <c r="BG86" i="1"/>
  <c r="G85" i="38"/>
  <c r="N85" i="38" s="1"/>
  <c r="S85" i="38" s="1"/>
  <c r="T85" i="38" s="1"/>
  <c r="U85" i="38" s="1"/>
  <c r="I85" i="36"/>
  <c r="G85" i="34"/>
  <c r="N85" i="34" s="1"/>
  <c r="S85" i="34" s="1"/>
  <c r="H85" i="32"/>
  <c r="G85" i="30"/>
  <c r="N85" i="30" s="1"/>
  <c r="S85" i="30" s="1"/>
  <c r="T85" i="30" s="1"/>
  <c r="U85" i="30" s="1"/>
  <c r="G85" i="28"/>
  <c r="N85" i="28" s="1"/>
  <c r="S85" i="28" s="1"/>
  <c r="T85" i="28" s="1"/>
  <c r="U85" i="28" s="1"/>
  <c r="I86" i="60" l="1"/>
  <c r="P86" i="60" s="1"/>
  <c r="T86" i="60" s="1"/>
  <c r="G86" i="59"/>
  <c r="N86" i="59" s="1"/>
  <c r="S86" i="59" s="1"/>
  <c r="G86" i="58"/>
  <c r="N86" i="58" s="1"/>
  <c r="S86" i="58" s="1"/>
  <c r="P85" i="36"/>
  <c r="T85" i="36" s="1"/>
  <c r="O85" i="32"/>
  <c r="S85" i="32" s="1"/>
  <c r="T85" i="32" s="1"/>
  <c r="U85" i="32" s="1"/>
  <c r="BG87" i="1"/>
  <c r="G86" i="38"/>
  <c r="N86" i="38" s="1"/>
  <c r="S86" i="38" s="1"/>
  <c r="I86" i="36"/>
  <c r="G86" i="28"/>
  <c r="N86" i="28" s="1"/>
  <c r="S86" i="28" s="1"/>
  <c r="G86" i="34"/>
  <c r="N86" i="34" s="1"/>
  <c r="S86" i="34" s="1"/>
  <c r="G86" i="30"/>
  <c r="N86" i="30" s="1"/>
  <c r="S86" i="30" s="1"/>
  <c r="H86" i="32"/>
  <c r="I87" i="60" l="1"/>
  <c r="P87" i="60" s="1"/>
  <c r="T87" i="60" s="1"/>
  <c r="G87" i="59"/>
  <c r="N87" i="59" s="1"/>
  <c r="S87" i="59" s="1"/>
  <c r="G87" i="58"/>
  <c r="N87" i="58" s="1"/>
  <c r="S87" i="58" s="1"/>
  <c r="T87" i="58" s="1"/>
  <c r="U87" i="58" s="1"/>
  <c r="T86" i="58"/>
  <c r="U86" i="58" s="1"/>
  <c r="O86" i="32"/>
  <c r="S86" i="32" s="1"/>
  <c r="P86" i="36"/>
  <c r="T86" i="36" s="1"/>
  <c r="T86" i="30"/>
  <c r="T86" i="38"/>
  <c r="U86" i="38" s="1"/>
  <c r="T86" i="28"/>
  <c r="BG88" i="1"/>
  <c r="G87" i="38"/>
  <c r="N87" i="38" s="1"/>
  <c r="S87" i="38" s="1"/>
  <c r="T87" i="38" s="1"/>
  <c r="U87" i="38" s="1"/>
  <c r="I87" i="36"/>
  <c r="G87" i="34"/>
  <c r="N87" i="34" s="1"/>
  <c r="S87" i="34" s="1"/>
  <c r="H87" i="32"/>
  <c r="G87" i="30"/>
  <c r="N87" i="30" s="1"/>
  <c r="S87" i="30" s="1"/>
  <c r="T87" i="30" s="1"/>
  <c r="U87" i="30" s="1"/>
  <c r="G87" i="28"/>
  <c r="N87" i="28" s="1"/>
  <c r="S87" i="28" s="1"/>
  <c r="T87" i="28" s="1"/>
  <c r="U87" i="28" s="1"/>
  <c r="I88" i="60" l="1"/>
  <c r="P88" i="60" s="1"/>
  <c r="T88" i="60" s="1"/>
  <c r="G88" i="59"/>
  <c r="N88" i="59" s="1"/>
  <c r="S88" i="59" s="1"/>
  <c r="G88" i="58"/>
  <c r="N88" i="58" s="1"/>
  <c r="S88" i="58" s="1"/>
  <c r="T86" i="32"/>
  <c r="U86" i="32" s="1"/>
  <c r="P87" i="36"/>
  <c r="T87" i="36" s="1"/>
  <c r="O87" i="32"/>
  <c r="S87" i="32" s="1"/>
  <c r="T87" i="32" s="1"/>
  <c r="U87" i="32" s="1"/>
  <c r="U86" i="30"/>
  <c r="U86" i="28"/>
  <c r="BG89" i="1"/>
  <c r="G88" i="38"/>
  <c r="N88" i="38" s="1"/>
  <c r="S88" i="38" s="1"/>
  <c r="I88" i="36"/>
  <c r="G88" i="34"/>
  <c r="N88" i="34" s="1"/>
  <c r="S88" i="34" s="1"/>
  <c r="G88" i="30"/>
  <c r="N88" i="30" s="1"/>
  <c r="S88" i="30" s="1"/>
  <c r="H88" i="32"/>
  <c r="G88" i="28"/>
  <c r="N88" i="28" s="1"/>
  <c r="S88" i="28" s="1"/>
  <c r="I89" i="60" l="1"/>
  <c r="P89" i="60" s="1"/>
  <c r="T89" i="60" s="1"/>
  <c r="G89" i="59"/>
  <c r="N89" i="59" s="1"/>
  <c r="S89" i="59" s="1"/>
  <c r="G89" i="58"/>
  <c r="N89" i="58" s="1"/>
  <c r="S89" i="58" s="1"/>
  <c r="T89" i="58" s="1"/>
  <c r="U89" i="58" s="1"/>
  <c r="T88" i="58"/>
  <c r="U88" i="58" s="1"/>
  <c r="T88" i="30"/>
  <c r="U88" i="30" s="1"/>
  <c r="O88" i="32"/>
  <c r="S88" i="32" s="1"/>
  <c r="P88" i="36"/>
  <c r="T88" i="36" s="1"/>
  <c r="T88" i="38"/>
  <c r="U88" i="38" s="1"/>
  <c r="BG90" i="1"/>
  <c r="G89" i="38"/>
  <c r="N89" i="38" s="1"/>
  <c r="S89" i="38" s="1"/>
  <c r="I89" i="36"/>
  <c r="G89" i="34"/>
  <c r="N89" i="34" s="1"/>
  <c r="S89" i="34" s="1"/>
  <c r="H89" i="32"/>
  <c r="G89" i="28"/>
  <c r="N89" i="28" s="1"/>
  <c r="S89" i="28" s="1"/>
  <c r="T89" i="28" s="1"/>
  <c r="U89" i="28" s="1"/>
  <c r="G89" i="30"/>
  <c r="N89" i="30" s="1"/>
  <c r="S89" i="30" s="1"/>
  <c r="T88" i="28"/>
  <c r="I90" i="60" l="1"/>
  <c r="P90" i="60" s="1"/>
  <c r="T90" i="60" s="1"/>
  <c r="G90" i="59"/>
  <c r="N90" i="59" s="1"/>
  <c r="S90" i="59" s="1"/>
  <c r="G90" i="58"/>
  <c r="N90" i="58" s="1"/>
  <c r="S90" i="58" s="1"/>
  <c r="T88" i="32"/>
  <c r="U88" i="32" s="1"/>
  <c r="P89" i="36"/>
  <c r="T89" i="36" s="1"/>
  <c r="O89" i="32"/>
  <c r="S89" i="32" s="1"/>
  <c r="T89" i="32" s="1"/>
  <c r="T89" i="38"/>
  <c r="U89" i="38" s="1"/>
  <c r="T89" i="30"/>
  <c r="BG91" i="1"/>
  <c r="G90" i="38"/>
  <c r="N90" i="38" s="1"/>
  <c r="S90" i="38" s="1"/>
  <c r="I90" i="36"/>
  <c r="G90" i="28"/>
  <c r="N90" i="28" s="1"/>
  <c r="S90" i="28" s="1"/>
  <c r="G90" i="30"/>
  <c r="N90" i="30" s="1"/>
  <c r="S90" i="30" s="1"/>
  <c r="G90" i="34"/>
  <c r="N90" i="34" s="1"/>
  <c r="S90" i="34" s="1"/>
  <c r="H90" i="32"/>
  <c r="U88" i="28"/>
  <c r="I91" i="60" l="1"/>
  <c r="P91" i="60" s="1"/>
  <c r="T91" i="60" s="1"/>
  <c r="G91" i="59"/>
  <c r="N91" i="59" s="1"/>
  <c r="S91" i="59" s="1"/>
  <c r="G91" i="58"/>
  <c r="N91" i="58" s="1"/>
  <c r="S91" i="58" s="1"/>
  <c r="T91" i="58" s="1"/>
  <c r="U91" i="58" s="1"/>
  <c r="T90" i="58"/>
  <c r="U90" i="58" s="1"/>
  <c r="T90" i="30"/>
  <c r="U90" i="30" s="1"/>
  <c r="O90" i="32"/>
  <c r="S90" i="32" s="1"/>
  <c r="P90" i="36"/>
  <c r="T90" i="36" s="1"/>
  <c r="T90" i="38"/>
  <c r="U90" i="38" s="1"/>
  <c r="U89" i="30"/>
  <c r="T90" i="28"/>
  <c r="BG92" i="1"/>
  <c r="G91" i="38"/>
  <c r="N91" i="38" s="1"/>
  <c r="S91" i="38" s="1"/>
  <c r="T91" i="38" s="1"/>
  <c r="U91" i="38" s="1"/>
  <c r="I91" i="36"/>
  <c r="G91" i="34"/>
  <c r="N91" i="34" s="1"/>
  <c r="S91" i="34" s="1"/>
  <c r="H91" i="32"/>
  <c r="G91" i="30"/>
  <c r="N91" i="30" s="1"/>
  <c r="S91" i="30" s="1"/>
  <c r="G91" i="28"/>
  <c r="N91" i="28" s="1"/>
  <c r="S91" i="28" s="1"/>
  <c r="T91" i="28" s="1"/>
  <c r="U91" i="28" s="1"/>
  <c r="U89" i="32"/>
  <c r="I92" i="60" l="1"/>
  <c r="P92" i="60" s="1"/>
  <c r="T92" i="60" s="1"/>
  <c r="G92" i="59"/>
  <c r="N92" i="59" s="1"/>
  <c r="S92" i="59" s="1"/>
  <c r="G92" i="58"/>
  <c r="N92" i="58" s="1"/>
  <c r="S92" i="58" s="1"/>
  <c r="T90" i="32"/>
  <c r="U90" i="32" s="1"/>
  <c r="P91" i="36"/>
  <c r="T91" i="36" s="1"/>
  <c r="O91" i="32"/>
  <c r="S91" i="32" s="1"/>
  <c r="T91" i="32" s="1"/>
  <c r="U91" i="32" s="1"/>
  <c r="T91" i="30"/>
  <c r="U90" i="28"/>
  <c r="BG93" i="1"/>
  <c r="G92" i="38"/>
  <c r="N92" i="38" s="1"/>
  <c r="S92" i="38" s="1"/>
  <c r="I92" i="36"/>
  <c r="G92" i="34"/>
  <c r="N92" i="34" s="1"/>
  <c r="S92" i="34" s="1"/>
  <c r="G92" i="30"/>
  <c r="N92" i="30" s="1"/>
  <c r="S92" i="30" s="1"/>
  <c r="H92" i="32"/>
  <c r="G92" i="28"/>
  <c r="N92" i="28" s="1"/>
  <c r="S92" i="28" s="1"/>
  <c r="T92" i="58" l="1"/>
  <c r="U92" i="58" s="1"/>
  <c r="I93" i="60"/>
  <c r="P93" i="60" s="1"/>
  <c r="T93" i="60" s="1"/>
  <c r="G93" i="59"/>
  <c r="N93" i="59" s="1"/>
  <c r="S93" i="59" s="1"/>
  <c r="G93" i="58"/>
  <c r="N93" i="58" s="1"/>
  <c r="S93" i="58" s="1"/>
  <c r="T93" i="58" s="1"/>
  <c r="U93" i="58" s="1"/>
  <c r="T92" i="30"/>
  <c r="U92" i="30" s="1"/>
  <c r="O92" i="32"/>
  <c r="S92" i="32" s="1"/>
  <c r="P92" i="36"/>
  <c r="T92" i="36" s="1"/>
  <c r="T92" i="28"/>
  <c r="BG94" i="1"/>
  <c r="G93" i="38"/>
  <c r="N93" i="38" s="1"/>
  <c r="S93" i="38" s="1"/>
  <c r="T93" i="38" s="1"/>
  <c r="U93" i="38" s="1"/>
  <c r="I93" i="36"/>
  <c r="G93" i="34"/>
  <c r="N93" i="34" s="1"/>
  <c r="S93" i="34" s="1"/>
  <c r="H93" i="32"/>
  <c r="G93" i="30"/>
  <c r="N93" i="30" s="1"/>
  <c r="S93" i="30" s="1"/>
  <c r="T93" i="30" s="1"/>
  <c r="U93" i="30" s="1"/>
  <c r="G93" i="28"/>
  <c r="N93" i="28" s="1"/>
  <c r="S93" i="28" s="1"/>
  <c r="T92" i="38"/>
  <c r="U92" i="38" s="1"/>
  <c r="U91" i="30"/>
  <c r="I94" i="60" l="1"/>
  <c r="P94" i="60" s="1"/>
  <c r="T94" i="60" s="1"/>
  <c r="G94" i="59"/>
  <c r="N94" i="59" s="1"/>
  <c r="S94" i="59" s="1"/>
  <c r="G94" i="58"/>
  <c r="N94" i="58" s="1"/>
  <c r="S94" i="58" s="1"/>
  <c r="T92" i="32"/>
  <c r="U92" i="32" s="1"/>
  <c r="O93" i="32"/>
  <c r="S93" i="32" s="1"/>
  <c r="T93" i="32" s="1"/>
  <c r="U93" i="32" s="1"/>
  <c r="P93" i="36"/>
  <c r="T93" i="36" s="1"/>
  <c r="T93" i="28"/>
  <c r="U93" i="28" s="1"/>
  <c r="BG95" i="1"/>
  <c r="G94" i="38"/>
  <c r="N94" i="38" s="1"/>
  <c r="S94" i="38" s="1"/>
  <c r="T94" i="38" s="1"/>
  <c r="U94" i="38" s="1"/>
  <c r="G94" i="34"/>
  <c r="N94" i="34" s="1"/>
  <c r="S94" i="34" s="1"/>
  <c r="G94" i="28"/>
  <c r="N94" i="28" s="1"/>
  <c r="S94" i="28" s="1"/>
  <c r="G94" i="30"/>
  <c r="N94" i="30" s="1"/>
  <c r="S94" i="30" s="1"/>
  <c r="T94" i="30" s="1"/>
  <c r="U94" i="30" s="1"/>
  <c r="I94" i="36"/>
  <c r="H94" i="32"/>
  <c r="U92" i="28"/>
  <c r="I95" i="60" l="1"/>
  <c r="P95" i="60" s="1"/>
  <c r="T95" i="60" s="1"/>
  <c r="G95" i="59"/>
  <c r="N95" i="59" s="1"/>
  <c r="S95" i="59" s="1"/>
  <c r="G95" i="58"/>
  <c r="N95" i="58" s="1"/>
  <c r="S95" i="58" s="1"/>
  <c r="T95" i="58" s="1"/>
  <c r="U95" i="58" s="1"/>
  <c r="T94" i="58"/>
  <c r="U94" i="58" s="1"/>
  <c r="O94" i="32"/>
  <c r="S94" i="32" s="1"/>
  <c r="P94" i="36"/>
  <c r="T94" i="36" s="1"/>
  <c r="T94" i="28"/>
  <c r="BG96" i="1"/>
  <c r="G95" i="38"/>
  <c r="N95" i="38" s="1"/>
  <c r="S95" i="38" s="1"/>
  <c r="T95" i="38" s="1"/>
  <c r="U95" i="38" s="1"/>
  <c r="I95" i="36"/>
  <c r="G95" i="34"/>
  <c r="N95" i="34" s="1"/>
  <c r="S95" i="34" s="1"/>
  <c r="H95" i="32"/>
  <c r="G95" i="30"/>
  <c r="N95" i="30" s="1"/>
  <c r="S95" i="30" s="1"/>
  <c r="T95" i="30" s="1"/>
  <c r="U95" i="30" s="1"/>
  <c r="G95" i="28"/>
  <c r="N95" i="28" s="1"/>
  <c r="S95" i="28" s="1"/>
  <c r="T95" i="28" s="1"/>
  <c r="U95" i="28" s="1"/>
  <c r="I96" i="60" l="1"/>
  <c r="P96" i="60" s="1"/>
  <c r="T96" i="60" s="1"/>
  <c r="G96" i="59"/>
  <c r="N96" i="59" s="1"/>
  <c r="S96" i="59" s="1"/>
  <c r="G96" i="58"/>
  <c r="N96" i="58" s="1"/>
  <c r="S96" i="58" s="1"/>
  <c r="T96" i="58" s="1"/>
  <c r="U96" i="58" s="1"/>
  <c r="T94" i="32"/>
  <c r="U94" i="32" s="1"/>
  <c r="O95" i="32"/>
  <c r="S95" i="32" s="1"/>
  <c r="T95" i="32" s="1"/>
  <c r="U95" i="32" s="1"/>
  <c r="P95" i="36"/>
  <c r="T95" i="36" s="1"/>
  <c r="BG97" i="1"/>
  <c r="G96" i="38"/>
  <c r="N96" i="38" s="1"/>
  <c r="S96" i="38" s="1"/>
  <c r="T96" i="38" s="1"/>
  <c r="U96" i="38" s="1"/>
  <c r="I96" i="36"/>
  <c r="G96" i="34"/>
  <c r="N96" i="34" s="1"/>
  <c r="S96" i="34" s="1"/>
  <c r="G96" i="30"/>
  <c r="N96" i="30" s="1"/>
  <c r="S96" i="30" s="1"/>
  <c r="T96" i="30" s="1"/>
  <c r="U96" i="30" s="1"/>
  <c r="H96" i="32"/>
  <c r="G96" i="28"/>
  <c r="N96" i="28" s="1"/>
  <c r="S96" i="28" s="1"/>
  <c r="T96" i="28" s="1"/>
  <c r="U96" i="28" s="1"/>
  <c r="U94" i="28"/>
  <c r="I97" i="60" l="1"/>
  <c r="P97" i="60" s="1"/>
  <c r="T97" i="60" s="1"/>
  <c r="G97" i="59"/>
  <c r="N97" i="59" s="1"/>
  <c r="S97" i="59" s="1"/>
  <c r="G97" i="58"/>
  <c r="N97" i="58" s="1"/>
  <c r="S97" i="58" s="1"/>
  <c r="T97" i="58" s="1"/>
  <c r="U97" i="58" s="1"/>
  <c r="O96" i="32"/>
  <c r="S96" i="32" s="1"/>
  <c r="T96" i="32" s="1"/>
  <c r="U96" i="32" s="1"/>
  <c r="P96" i="36"/>
  <c r="T96" i="36" s="1"/>
  <c r="BG98" i="1"/>
  <c r="G97" i="38"/>
  <c r="N97" i="38" s="1"/>
  <c r="S97" i="38" s="1"/>
  <c r="T97" i="38" s="1"/>
  <c r="U97" i="38" s="1"/>
  <c r="I97" i="36"/>
  <c r="G97" i="34"/>
  <c r="N97" i="34" s="1"/>
  <c r="S97" i="34" s="1"/>
  <c r="H97" i="32"/>
  <c r="G97" i="28"/>
  <c r="N97" i="28" s="1"/>
  <c r="S97" i="28" s="1"/>
  <c r="T97" i="28" s="1"/>
  <c r="U97" i="28" s="1"/>
  <c r="G97" i="30"/>
  <c r="N97" i="30" s="1"/>
  <c r="S97" i="30" s="1"/>
  <c r="T97" i="30" s="1"/>
  <c r="U97" i="30" s="1"/>
  <c r="I98" i="60" l="1"/>
  <c r="P98" i="60" s="1"/>
  <c r="T98" i="60" s="1"/>
  <c r="G98" i="59"/>
  <c r="N98" i="59" s="1"/>
  <c r="S98" i="59" s="1"/>
  <c r="G98" i="58"/>
  <c r="N98" i="58" s="1"/>
  <c r="S98" i="58" s="1"/>
  <c r="P97" i="36"/>
  <c r="T97" i="36" s="1"/>
  <c r="O97" i="32"/>
  <c r="S97" i="32" s="1"/>
  <c r="T97" i="32" s="1"/>
  <c r="U97" i="32" s="1"/>
  <c r="BG99" i="1"/>
  <c r="G98" i="38"/>
  <c r="N98" i="38" s="1"/>
  <c r="S98" i="38" s="1"/>
  <c r="I98" i="36"/>
  <c r="G98" i="34"/>
  <c r="N98" i="34" s="1"/>
  <c r="S98" i="34" s="1"/>
  <c r="G98" i="28"/>
  <c r="N98" i="28" s="1"/>
  <c r="S98" i="28" s="1"/>
  <c r="G98" i="30"/>
  <c r="N98" i="30" s="1"/>
  <c r="S98" i="30" s="1"/>
  <c r="H98" i="32"/>
  <c r="I99" i="60" l="1"/>
  <c r="P99" i="60" s="1"/>
  <c r="T99" i="60" s="1"/>
  <c r="G99" i="59"/>
  <c r="N99" i="59" s="1"/>
  <c r="S99" i="59" s="1"/>
  <c r="G99" i="58"/>
  <c r="N99" i="58" s="1"/>
  <c r="S99" i="58" s="1"/>
  <c r="T99" i="58" s="1"/>
  <c r="U99" i="58" s="1"/>
  <c r="T98" i="58"/>
  <c r="U98" i="58" s="1"/>
  <c r="O98" i="32"/>
  <c r="S98" i="32" s="1"/>
  <c r="T98" i="32" s="1"/>
  <c r="P98" i="36"/>
  <c r="T98" i="36" s="1"/>
  <c r="T98" i="30"/>
  <c r="T98" i="28"/>
  <c r="T98" i="38"/>
  <c r="U98" i="38" s="1"/>
  <c r="BG100" i="1"/>
  <c r="G99" i="38"/>
  <c r="N99" i="38" s="1"/>
  <c r="S99" i="38" s="1"/>
  <c r="T99" i="38" s="1"/>
  <c r="U99" i="38" s="1"/>
  <c r="I99" i="36"/>
  <c r="G99" i="34"/>
  <c r="N99" i="34" s="1"/>
  <c r="S99" i="34" s="1"/>
  <c r="H99" i="32"/>
  <c r="G99" i="30"/>
  <c r="N99" i="30" s="1"/>
  <c r="S99" i="30" s="1"/>
  <c r="T99" i="30" s="1"/>
  <c r="U99" i="30" s="1"/>
  <c r="G99" i="28"/>
  <c r="N99" i="28" s="1"/>
  <c r="S99" i="28" s="1"/>
  <c r="T99" i="28" s="1"/>
  <c r="U99" i="28" s="1"/>
  <c r="G100" i="59" l="1"/>
  <c r="N100" i="59" s="1"/>
  <c r="S100" i="59" s="1"/>
  <c r="I100" i="60"/>
  <c r="P100" i="60" s="1"/>
  <c r="T100" i="60" s="1"/>
  <c r="G100" i="58"/>
  <c r="N100" i="58" s="1"/>
  <c r="S100" i="58" s="1"/>
  <c r="P99" i="36"/>
  <c r="T99" i="36" s="1"/>
  <c r="O99" i="32"/>
  <c r="S99" i="32" s="1"/>
  <c r="T99" i="32" s="1"/>
  <c r="U99" i="32" s="1"/>
  <c r="BG101" i="1"/>
  <c r="G100" i="38"/>
  <c r="N100" i="38" s="1"/>
  <c r="S100" i="38" s="1"/>
  <c r="I100" i="36"/>
  <c r="G100" i="34"/>
  <c r="N100" i="34" s="1"/>
  <c r="S100" i="34" s="1"/>
  <c r="G100" i="30"/>
  <c r="N100" i="30" s="1"/>
  <c r="S100" i="30" s="1"/>
  <c r="H100" i="32"/>
  <c r="G100" i="28"/>
  <c r="N100" i="28" s="1"/>
  <c r="S100" i="28" s="1"/>
  <c r="T100" i="28" s="1"/>
  <c r="U100" i="28" s="1"/>
  <c r="U98" i="28"/>
  <c r="U98" i="32"/>
  <c r="U98" i="30"/>
  <c r="I101" i="60" l="1"/>
  <c r="P101" i="60" s="1"/>
  <c r="T101" i="60" s="1"/>
  <c r="G101" i="59"/>
  <c r="N101" i="59" s="1"/>
  <c r="S101" i="59" s="1"/>
  <c r="G101" i="58"/>
  <c r="N101" i="58" s="1"/>
  <c r="S101" i="58" s="1"/>
  <c r="T101" i="58" s="1"/>
  <c r="U101" i="58" s="1"/>
  <c r="T100" i="58"/>
  <c r="U100" i="58" s="1"/>
  <c r="O100" i="32"/>
  <c r="S100" i="32" s="1"/>
  <c r="P100" i="36"/>
  <c r="T100" i="36" s="1"/>
  <c r="T100" i="38"/>
  <c r="U100" i="38" s="1"/>
  <c r="T100" i="30"/>
  <c r="BG102" i="1"/>
  <c r="G101" i="38"/>
  <c r="N101" i="38" s="1"/>
  <c r="S101" i="38" s="1"/>
  <c r="I101" i="36"/>
  <c r="G101" i="34"/>
  <c r="N101" i="34" s="1"/>
  <c r="S101" i="34" s="1"/>
  <c r="H101" i="32"/>
  <c r="G101" i="30"/>
  <c r="N101" i="30" s="1"/>
  <c r="S101" i="30" s="1"/>
  <c r="G101" i="28"/>
  <c r="N101" i="28" s="1"/>
  <c r="S101" i="28" s="1"/>
  <c r="I102" i="60" l="1"/>
  <c r="P102" i="60" s="1"/>
  <c r="T102" i="60" s="1"/>
  <c r="G102" i="59"/>
  <c r="N102" i="59" s="1"/>
  <c r="S102" i="59" s="1"/>
  <c r="G102" i="58"/>
  <c r="N102" i="58" s="1"/>
  <c r="S102" i="58" s="1"/>
  <c r="T100" i="32"/>
  <c r="U100" i="32" s="1"/>
  <c r="O101" i="32"/>
  <c r="S101" i="32" s="1"/>
  <c r="T101" i="32" s="1"/>
  <c r="U101" i="32" s="1"/>
  <c r="P101" i="36"/>
  <c r="T101" i="36" s="1"/>
  <c r="T101" i="30"/>
  <c r="U101" i="30" s="1"/>
  <c r="T101" i="38"/>
  <c r="U101" i="38" s="1"/>
  <c r="U100" i="30"/>
  <c r="T101" i="28"/>
  <c r="BG103" i="1"/>
  <c r="G102" i="38"/>
  <c r="N102" i="38" s="1"/>
  <c r="S102" i="38" s="1"/>
  <c r="I102" i="36"/>
  <c r="G102" i="28"/>
  <c r="N102" i="28" s="1"/>
  <c r="S102" i="28" s="1"/>
  <c r="T102" i="28" s="1"/>
  <c r="U102" i="28" s="1"/>
  <c r="G102" i="34"/>
  <c r="N102" i="34" s="1"/>
  <c r="S102" i="34" s="1"/>
  <c r="G102" i="30"/>
  <c r="N102" i="30" s="1"/>
  <c r="S102" i="30" s="1"/>
  <c r="H102" i="32"/>
  <c r="I103" i="60" l="1"/>
  <c r="P103" i="60" s="1"/>
  <c r="T103" i="60" s="1"/>
  <c r="G103" i="59"/>
  <c r="N103" i="59" s="1"/>
  <c r="S103" i="59" s="1"/>
  <c r="G103" i="58"/>
  <c r="N103" i="58" s="1"/>
  <c r="S103" i="58" s="1"/>
  <c r="T103" i="58" s="1"/>
  <c r="U103" i="58" s="1"/>
  <c r="T102" i="58"/>
  <c r="U102" i="58" s="1"/>
  <c r="T102" i="30"/>
  <c r="U102" i="30" s="1"/>
  <c r="O102" i="32"/>
  <c r="S102" i="32" s="1"/>
  <c r="P102" i="36"/>
  <c r="T102" i="36" s="1"/>
  <c r="T102" i="38"/>
  <c r="U102" i="38" s="1"/>
  <c r="BG104" i="1"/>
  <c r="G103" i="38"/>
  <c r="N103" i="38" s="1"/>
  <c r="S103" i="38" s="1"/>
  <c r="I103" i="36"/>
  <c r="G103" i="34"/>
  <c r="N103" i="34" s="1"/>
  <c r="S103" i="34" s="1"/>
  <c r="H103" i="32"/>
  <c r="G103" i="30"/>
  <c r="N103" i="30" s="1"/>
  <c r="S103" i="30" s="1"/>
  <c r="G103" i="28"/>
  <c r="N103" i="28" s="1"/>
  <c r="S103" i="28" s="1"/>
  <c r="T103" i="28" s="1"/>
  <c r="U103" i="28" s="1"/>
  <c r="U101" i="28"/>
  <c r="I104" i="60" l="1"/>
  <c r="P104" i="60" s="1"/>
  <c r="T104" i="60" s="1"/>
  <c r="G104" i="59"/>
  <c r="N104" i="59" s="1"/>
  <c r="S104" i="59" s="1"/>
  <c r="G104" i="58"/>
  <c r="N104" i="58" s="1"/>
  <c r="S104" i="58" s="1"/>
  <c r="T102" i="32"/>
  <c r="U102" i="32" s="1"/>
  <c r="P103" i="36"/>
  <c r="T103" i="36" s="1"/>
  <c r="O103" i="32"/>
  <c r="S103" i="32" s="1"/>
  <c r="T103" i="32" s="1"/>
  <c r="U103" i="32" s="1"/>
  <c r="T103" i="30"/>
  <c r="BG105" i="1"/>
  <c r="G104" i="38"/>
  <c r="N104" i="38" s="1"/>
  <c r="S104" i="38" s="1"/>
  <c r="T104" i="38" s="1"/>
  <c r="U104" i="38" s="1"/>
  <c r="I104" i="36"/>
  <c r="G104" i="34"/>
  <c r="N104" i="34" s="1"/>
  <c r="S104" i="34" s="1"/>
  <c r="G104" i="30"/>
  <c r="N104" i="30" s="1"/>
  <c r="S104" i="30" s="1"/>
  <c r="H104" i="32"/>
  <c r="G104" i="28"/>
  <c r="N104" i="28" s="1"/>
  <c r="S104" i="28" s="1"/>
  <c r="T104" i="28" s="1"/>
  <c r="T103" i="38"/>
  <c r="U103" i="38" s="1"/>
  <c r="I105" i="60" l="1"/>
  <c r="P105" i="60" s="1"/>
  <c r="T105" i="60" s="1"/>
  <c r="G105" i="59"/>
  <c r="N105" i="59" s="1"/>
  <c r="S105" i="59" s="1"/>
  <c r="G105" i="58"/>
  <c r="N105" i="58" s="1"/>
  <c r="S105" i="58" s="1"/>
  <c r="T105" i="58" s="1"/>
  <c r="U105" i="58" s="1"/>
  <c r="T104" i="58"/>
  <c r="U104" i="58" s="1"/>
  <c r="O104" i="32"/>
  <c r="S104" i="32" s="1"/>
  <c r="P104" i="36"/>
  <c r="T104" i="36" s="1"/>
  <c r="U104" i="28"/>
  <c r="BG106" i="1"/>
  <c r="G105" i="38"/>
  <c r="N105" i="38" s="1"/>
  <c r="S105" i="38" s="1"/>
  <c r="I105" i="36"/>
  <c r="G105" i="34"/>
  <c r="N105" i="34" s="1"/>
  <c r="S105" i="34" s="1"/>
  <c r="H105" i="32"/>
  <c r="G105" i="28"/>
  <c r="N105" i="28" s="1"/>
  <c r="S105" i="28" s="1"/>
  <c r="T105" i="28" s="1"/>
  <c r="U105" i="28" s="1"/>
  <c r="G105" i="30"/>
  <c r="N105" i="30" s="1"/>
  <c r="S105" i="30" s="1"/>
  <c r="U103" i="30"/>
  <c r="T104" i="30"/>
  <c r="U104" i="30" s="1"/>
  <c r="I106" i="60" l="1"/>
  <c r="P106" i="60" s="1"/>
  <c r="T106" i="60" s="1"/>
  <c r="G106" i="59"/>
  <c r="N106" i="59" s="1"/>
  <c r="S106" i="59" s="1"/>
  <c r="G106" i="58"/>
  <c r="N106" i="58" s="1"/>
  <c r="S106" i="58" s="1"/>
  <c r="T104" i="32"/>
  <c r="U104" i="32" s="1"/>
  <c r="P105" i="36"/>
  <c r="T105" i="36" s="1"/>
  <c r="O105" i="32"/>
  <c r="S105" i="32" s="1"/>
  <c r="T105" i="32" s="1"/>
  <c r="U105" i="32" s="1"/>
  <c r="T105" i="30"/>
  <c r="BG107" i="1"/>
  <c r="G106" i="38"/>
  <c r="N106" i="38" s="1"/>
  <c r="S106" i="38" s="1"/>
  <c r="T106" i="38" s="1"/>
  <c r="U106" i="38" s="1"/>
  <c r="I106" i="36"/>
  <c r="G106" i="28"/>
  <c r="N106" i="28" s="1"/>
  <c r="S106" i="28" s="1"/>
  <c r="T106" i="28" s="1"/>
  <c r="U106" i="28" s="1"/>
  <c r="G106" i="30"/>
  <c r="N106" i="30" s="1"/>
  <c r="S106" i="30" s="1"/>
  <c r="T106" i="30" s="1"/>
  <c r="U106" i="30" s="1"/>
  <c r="H106" i="32"/>
  <c r="G106" i="34"/>
  <c r="N106" i="34" s="1"/>
  <c r="S106" i="34" s="1"/>
  <c r="T105" i="38"/>
  <c r="U105" i="38" s="1"/>
  <c r="I107" i="60" l="1"/>
  <c r="P107" i="60" s="1"/>
  <c r="T107" i="60" s="1"/>
  <c r="G107" i="59"/>
  <c r="N107" i="59" s="1"/>
  <c r="S107" i="59" s="1"/>
  <c r="G107" i="58"/>
  <c r="N107" i="58" s="1"/>
  <c r="S107" i="58" s="1"/>
  <c r="T107" i="58" s="1"/>
  <c r="U107" i="58" s="1"/>
  <c r="T106" i="58"/>
  <c r="U106" i="58" s="1"/>
  <c r="P106" i="36"/>
  <c r="T106" i="36" s="1"/>
  <c r="O106" i="32"/>
  <c r="S106" i="32" s="1"/>
  <c r="T106" i="32" s="1"/>
  <c r="U106" i="32" s="1"/>
  <c r="BG108" i="1"/>
  <c r="G107" i="38"/>
  <c r="N107" i="38" s="1"/>
  <c r="S107" i="38" s="1"/>
  <c r="T107" i="38" s="1"/>
  <c r="U107" i="38" s="1"/>
  <c r="I107" i="36"/>
  <c r="G107" i="34"/>
  <c r="N107" i="34" s="1"/>
  <c r="S107" i="34" s="1"/>
  <c r="H107" i="32"/>
  <c r="G107" i="30"/>
  <c r="N107" i="30" s="1"/>
  <c r="S107" i="30" s="1"/>
  <c r="T107" i="30" s="1"/>
  <c r="U107" i="30" s="1"/>
  <c r="G107" i="28"/>
  <c r="N107" i="28" s="1"/>
  <c r="S107" i="28" s="1"/>
  <c r="T107" i="28" s="1"/>
  <c r="U105" i="30"/>
  <c r="G108" i="59" l="1"/>
  <c r="N108" i="59" s="1"/>
  <c r="S108" i="59" s="1"/>
  <c r="I108" i="60"/>
  <c r="P108" i="60" s="1"/>
  <c r="T108" i="60" s="1"/>
  <c r="G108" i="58"/>
  <c r="N108" i="58" s="1"/>
  <c r="S108" i="58" s="1"/>
  <c r="T108" i="58" s="1"/>
  <c r="U108" i="58" s="1"/>
  <c r="O107" i="32"/>
  <c r="S107" i="32" s="1"/>
  <c r="T107" i="32" s="1"/>
  <c r="U107" i="32" s="1"/>
  <c r="P107" i="36"/>
  <c r="T107" i="36" s="1"/>
  <c r="U107" i="28"/>
  <c r="BG109" i="1"/>
  <c r="G108" i="38"/>
  <c r="N108" i="38" s="1"/>
  <c r="S108" i="38" s="1"/>
  <c r="T108" i="38" s="1"/>
  <c r="U108" i="38" s="1"/>
  <c r="I108" i="36"/>
  <c r="G108" i="34"/>
  <c r="N108" i="34" s="1"/>
  <c r="S108" i="34" s="1"/>
  <c r="G108" i="30"/>
  <c r="N108" i="30" s="1"/>
  <c r="S108" i="30" s="1"/>
  <c r="T108" i="30" s="1"/>
  <c r="U108" i="30" s="1"/>
  <c r="H108" i="32"/>
  <c r="G108" i="28"/>
  <c r="N108" i="28" s="1"/>
  <c r="S108" i="28" s="1"/>
  <c r="T108" i="28" s="1"/>
  <c r="U108" i="28" s="1"/>
  <c r="I109" i="60" l="1"/>
  <c r="P109" i="60" s="1"/>
  <c r="T109" i="60" s="1"/>
  <c r="G109" i="59"/>
  <c r="N109" i="59" s="1"/>
  <c r="S109" i="59" s="1"/>
  <c r="G109" i="58"/>
  <c r="N109" i="58" s="1"/>
  <c r="S109" i="58" s="1"/>
  <c r="T109" i="58" s="1"/>
  <c r="U109" i="58" s="1"/>
  <c r="O108" i="32"/>
  <c r="S108" i="32" s="1"/>
  <c r="T108" i="32" s="1"/>
  <c r="U108" i="32" s="1"/>
  <c r="P108" i="36"/>
  <c r="T108" i="36" s="1"/>
  <c r="BG110" i="1"/>
  <c r="G109" i="38"/>
  <c r="N109" i="38" s="1"/>
  <c r="S109" i="38" s="1"/>
  <c r="T109" i="38" s="1"/>
  <c r="U109" i="38" s="1"/>
  <c r="I109" i="36"/>
  <c r="G109" i="34"/>
  <c r="N109" i="34" s="1"/>
  <c r="S109" i="34" s="1"/>
  <c r="H109" i="32"/>
  <c r="G109" i="30"/>
  <c r="N109" i="30" s="1"/>
  <c r="S109" i="30" s="1"/>
  <c r="T109" i="30" s="1"/>
  <c r="U109" i="30" s="1"/>
  <c r="G109" i="28"/>
  <c r="N109" i="28" s="1"/>
  <c r="S109" i="28" s="1"/>
  <c r="T109" i="28" s="1"/>
  <c r="U109" i="28" s="1"/>
  <c r="I110" i="60" l="1"/>
  <c r="P110" i="60" s="1"/>
  <c r="T110" i="60" s="1"/>
  <c r="G110" i="59"/>
  <c r="N110" i="59" s="1"/>
  <c r="S110" i="59" s="1"/>
  <c r="G110" i="58"/>
  <c r="N110" i="58" s="1"/>
  <c r="S110" i="58" s="1"/>
  <c r="P109" i="36"/>
  <c r="T109" i="36" s="1"/>
  <c r="O109" i="32"/>
  <c r="S109" i="32" s="1"/>
  <c r="T109" i="32" s="1"/>
  <c r="U109" i="32" s="1"/>
  <c r="BG111" i="1"/>
  <c r="G110" i="38"/>
  <c r="N110" i="38" s="1"/>
  <c r="S110" i="38" s="1"/>
  <c r="I110" i="36"/>
  <c r="G110" i="34"/>
  <c r="N110" i="34" s="1"/>
  <c r="S110" i="34" s="1"/>
  <c r="G110" i="28"/>
  <c r="N110" i="28" s="1"/>
  <c r="S110" i="28" s="1"/>
  <c r="G110" i="30"/>
  <c r="N110" i="30" s="1"/>
  <c r="S110" i="30" s="1"/>
  <c r="H110" i="32"/>
  <c r="I111" i="60" l="1"/>
  <c r="P111" i="60" s="1"/>
  <c r="T111" i="60" s="1"/>
  <c r="G111" i="59"/>
  <c r="N111" i="59" s="1"/>
  <c r="S111" i="59" s="1"/>
  <c r="G111" i="58"/>
  <c r="N111" i="58" s="1"/>
  <c r="S111" i="58" s="1"/>
  <c r="T111" i="58" s="1"/>
  <c r="U111" i="58" s="1"/>
  <c r="T110" i="58"/>
  <c r="U110" i="58" s="1"/>
  <c r="O110" i="32"/>
  <c r="S110" i="32" s="1"/>
  <c r="P110" i="36"/>
  <c r="T110" i="36" s="1"/>
  <c r="T110" i="28"/>
  <c r="T110" i="38"/>
  <c r="U110" i="38" s="1"/>
  <c r="BG112" i="1"/>
  <c r="G111" i="38"/>
  <c r="N111" i="38" s="1"/>
  <c r="S111" i="38" s="1"/>
  <c r="T111" i="38" s="1"/>
  <c r="U111" i="38" s="1"/>
  <c r="I111" i="36"/>
  <c r="G111" i="34"/>
  <c r="N111" i="34" s="1"/>
  <c r="S111" i="34" s="1"/>
  <c r="H111" i="32"/>
  <c r="G111" i="30"/>
  <c r="N111" i="30" s="1"/>
  <c r="S111" i="30" s="1"/>
  <c r="T111" i="30" s="1"/>
  <c r="U111" i="30" s="1"/>
  <c r="G111" i="28"/>
  <c r="N111" i="28" s="1"/>
  <c r="S111" i="28" s="1"/>
  <c r="T111" i="28" s="1"/>
  <c r="U111" i="28" s="1"/>
  <c r="T110" i="30"/>
  <c r="I112" i="60" l="1"/>
  <c r="P112" i="60" s="1"/>
  <c r="T112" i="60" s="1"/>
  <c r="G112" i="59"/>
  <c r="N112" i="59" s="1"/>
  <c r="S112" i="59" s="1"/>
  <c r="G112" i="58"/>
  <c r="N112" i="58" s="1"/>
  <c r="S112" i="58" s="1"/>
  <c r="T110" i="32"/>
  <c r="U110" i="32" s="1"/>
  <c r="O111" i="32"/>
  <c r="S111" i="32" s="1"/>
  <c r="T111" i="32" s="1"/>
  <c r="U111" i="32" s="1"/>
  <c r="P111" i="36"/>
  <c r="T111" i="36" s="1"/>
  <c r="U110" i="30"/>
  <c r="BG113" i="1"/>
  <c r="G112" i="38"/>
  <c r="N112" i="38" s="1"/>
  <c r="S112" i="38" s="1"/>
  <c r="I112" i="36"/>
  <c r="G112" i="34"/>
  <c r="N112" i="34" s="1"/>
  <c r="S112" i="34" s="1"/>
  <c r="G112" i="30"/>
  <c r="N112" i="30" s="1"/>
  <c r="S112" i="30" s="1"/>
  <c r="H112" i="32"/>
  <c r="G112" i="28"/>
  <c r="N112" i="28" s="1"/>
  <c r="S112" i="28" s="1"/>
  <c r="T112" i="28" s="1"/>
  <c r="U112" i="28" s="1"/>
  <c r="U110" i="28"/>
  <c r="I113" i="60" l="1"/>
  <c r="P113" i="60" s="1"/>
  <c r="T113" i="60" s="1"/>
  <c r="G113" i="59"/>
  <c r="N113" i="59" s="1"/>
  <c r="S113" i="59" s="1"/>
  <c r="G113" i="58"/>
  <c r="N113" i="58" s="1"/>
  <c r="S113" i="58" s="1"/>
  <c r="T113" i="58" s="1"/>
  <c r="U113" i="58" s="1"/>
  <c r="T112" i="58"/>
  <c r="U112" i="58" s="1"/>
  <c r="O112" i="32"/>
  <c r="S112" i="32" s="1"/>
  <c r="P112" i="36"/>
  <c r="T112" i="36" s="1"/>
  <c r="BG114" i="1"/>
  <c r="G113" i="38"/>
  <c r="N113" i="38" s="1"/>
  <c r="S113" i="38" s="1"/>
  <c r="I113" i="36"/>
  <c r="G113" i="34"/>
  <c r="N113" i="34" s="1"/>
  <c r="S113" i="34" s="1"/>
  <c r="H113" i="32"/>
  <c r="G113" i="28"/>
  <c r="N113" i="28" s="1"/>
  <c r="S113" i="28" s="1"/>
  <c r="G113" i="30"/>
  <c r="N113" i="30" s="1"/>
  <c r="S113" i="30" s="1"/>
  <c r="T113" i="30" s="1"/>
  <c r="U113" i="30" s="1"/>
  <c r="T112" i="30"/>
  <c r="T112" i="38"/>
  <c r="U112" i="38" s="1"/>
  <c r="I114" i="60" l="1"/>
  <c r="P114" i="60" s="1"/>
  <c r="T114" i="60" s="1"/>
  <c r="G114" i="59"/>
  <c r="N114" i="59" s="1"/>
  <c r="S114" i="59" s="1"/>
  <c r="G114" i="58"/>
  <c r="N114" i="58" s="1"/>
  <c r="S114" i="58" s="1"/>
  <c r="T112" i="32"/>
  <c r="U112" i="32" s="1"/>
  <c r="O113" i="32"/>
  <c r="S113" i="32" s="1"/>
  <c r="T113" i="32" s="1"/>
  <c r="P113" i="36"/>
  <c r="T113" i="36" s="1"/>
  <c r="T113" i="38"/>
  <c r="U113" i="38" s="1"/>
  <c r="U112" i="30"/>
  <c r="BG115" i="1"/>
  <c r="G114" i="38"/>
  <c r="N114" i="38" s="1"/>
  <c r="S114" i="38" s="1"/>
  <c r="I114" i="36"/>
  <c r="G114" i="34"/>
  <c r="N114" i="34" s="1"/>
  <c r="S114" i="34" s="1"/>
  <c r="G114" i="28"/>
  <c r="N114" i="28" s="1"/>
  <c r="S114" i="28" s="1"/>
  <c r="T114" i="28" s="1"/>
  <c r="U114" i="28" s="1"/>
  <c r="G114" i="30"/>
  <c r="N114" i="30" s="1"/>
  <c r="S114" i="30" s="1"/>
  <c r="H114" i="32"/>
  <c r="T113" i="28"/>
  <c r="I115" i="60" l="1"/>
  <c r="P115" i="60" s="1"/>
  <c r="T115" i="60" s="1"/>
  <c r="G115" i="59"/>
  <c r="N115" i="59" s="1"/>
  <c r="S115" i="59" s="1"/>
  <c r="G115" i="58"/>
  <c r="N115" i="58" s="1"/>
  <c r="S115" i="58" s="1"/>
  <c r="T115" i="58" s="1"/>
  <c r="U115" i="58" s="1"/>
  <c r="T114" i="58"/>
  <c r="U114" i="58" s="1"/>
  <c r="O114" i="32"/>
  <c r="S114" i="32" s="1"/>
  <c r="P114" i="36"/>
  <c r="T114" i="36" s="1"/>
  <c r="T114" i="38"/>
  <c r="U114" i="38" s="1"/>
  <c r="BG116" i="1"/>
  <c r="G115" i="38"/>
  <c r="N115" i="38" s="1"/>
  <c r="S115" i="38" s="1"/>
  <c r="I115" i="36"/>
  <c r="G115" i="34"/>
  <c r="N115" i="34" s="1"/>
  <c r="S115" i="34" s="1"/>
  <c r="H115" i="32"/>
  <c r="G115" i="30"/>
  <c r="N115" i="30" s="1"/>
  <c r="S115" i="30" s="1"/>
  <c r="T115" i="30" s="1"/>
  <c r="U115" i="30" s="1"/>
  <c r="G115" i="28"/>
  <c r="N115" i="28" s="1"/>
  <c r="S115" i="28" s="1"/>
  <c r="U113" i="32"/>
  <c r="U113" i="28"/>
  <c r="T114" i="30"/>
  <c r="I116" i="60" l="1"/>
  <c r="P116" i="60" s="1"/>
  <c r="T116" i="60" s="1"/>
  <c r="G116" i="58"/>
  <c r="N116" i="58" s="1"/>
  <c r="S116" i="58" s="1"/>
  <c r="G116" i="59"/>
  <c r="N116" i="59" s="1"/>
  <c r="S116" i="59" s="1"/>
  <c r="T114" i="32"/>
  <c r="U114" i="32" s="1"/>
  <c r="P115" i="36"/>
  <c r="T115" i="36" s="1"/>
  <c r="O115" i="32"/>
  <c r="S115" i="32" s="1"/>
  <c r="T115" i="32" s="1"/>
  <c r="T115" i="38"/>
  <c r="U115" i="38" s="1"/>
  <c r="BG117" i="1"/>
  <c r="G116" i="38"/>
  <c r="N116" i="38" s="1"/>
  <c r="S116" i="38" s="1"/>
  <c r="I116" i="36"/>
  <c r="G116" i="34"/>
  <c r="N116" i="34" s="1"/>
  <c r="S116" i="34" s="1"/>
  <c r="H116" i="32"/>
  <c r="G116" i="30"/>
  <c r="N116" i="30" s="1"/>
  <c r="S116" i="30" s="1"/>
  <c r="G116" i="28"/>
  <c r="N116" i="28" s="1"/>
  <c r="S116" i="28" s="1"/>
  <c r="T116" i="28" s="1"/>
  <c r="U116" i="28" s="1"/>
  <c r="U114" i="30"/>
  <c r="T115" i="28"/>
  <c r="I117" i="60" l="1"/>
  <c r="P117" i="60" s="1"/>
  <c r="T117" i="60" s="1"/>
  <c r="G117" i="59"/>
  <c r="N117" i="59" s="1"/>
  <c r="S117" i="59" s="1"/>
  <c r="G117" i="58"/>
  <c r="N117" i="58" s="1"/>
  <c r="S117" i="58" s="1"/>
  <c r="T117" i="58" s="1"/>
  <c r="U117" i="58" s="1"/>
  <c r="T116" i="58"/>
  <c r="U116" i="58" s="1"/>
  <c r="O116" i="32"/>
  <c r="S116" i="32" s="1"/>
  <c r="P116" i="36"/>
  <c r="T116" i="36" s="1"/>
  <c r="U115" i="28"/>
  <c r="T116" i="30"/>
  <c r="U115" i="32"/>
  <c r="T116" i="38"/>
  <c r="U116" i="38" s="1"/>
  <c r="BG118" i="1"/>
  <c r="G117" i="38"/>
  <c r="N117" i="38" s="1"/>
  <c r="S117" i="38" s="1"/>
  <c r="T117" i="38" s="1"/>
  <c r="U117" i="38" s="1"/>
  <c r="I117" i="36"/>
  <c r="G117" i="34"/>
  <c r="N117" i="34" s="1"/>
  <c r="S117" i="34" s="1"/>
  <c r="H117" i="32"/>
  <c r="G117" i="30"/>
  <c r="N117" i="30" s="1"/>
  <c r="S117" i="30" s="1"/>
  <c r="T117" i="30" s="1"/>
  <c r="U117" i="30" s="1"/>
  <c r="G117" i="28"/>
  <c r="N117" i="28" s="1"/>
  <c r="S117" i="28" s="1"/>
  <c r="T117" i="28" s="1"/>
  <c r="U117" i="28" s="1"/>
  <c r="I118" i="60" l="1"/>
  <c r="P118" i="60" s="1"/>
  <c r="T118" i="60" s="1"/>
  <c r="G118" i="59"/>
  <c r="N118" i="59" s="1"/>
  <c r="S118" i="59" s="1"/>
  <c r="G118" i="58"/>
  <c r="N118" i="58" s="1"/>
  <c r="S118" i="58" s="1"/>
  <c r="T116" i="32"/>
  <c r="U116" i="32" s="1"/>
  <c r="O117" i="32"/>
  <c r="S117" i="32" s="1"/>
  <c r="T117" i="32" s="1"/>
  <c r="P117" i="36"/>
  <c r="T117" i="36" s="1"/>
  <c r="BG119" i="1"/>
  <c r="G118" i="38"/>
  <c r="N118" i="38" s="1"/>
  <c r="S118" i="38" s="1"/>
  <c r="T118" i="38" s="1"/>
  <c r="U118" i="38" s="1"/>
  <c r="I118" i="36"/>
  <c r="G118" i="30"/>
  <c r="N118" i="30" s="1"/>
  <c r="S118" i="30" s="1"/>
  <c r="G118" i="28"/>
  <c r="N118" i="28" s="1"/>
  <c r="S118" i="28" s="1"/>
  <c r="T118" i="28" s="1"/>
  <c r="U118" i="28" s="1"/>
  <c r="G118" i="34"/>
  <c r="N118" i="34" s="1"/>
  <c r="S118" i="34" s="1"/>
  <c r="H118" i="32"/>
  <c r="U116" i="30"/>
  <c r="I119" i="60" l="1"/>
  <c r="P119" i="60" s="1"/>
  <c r="T119" i="60" s="1"/>
  <c r="G119" i="59"/>
  <c r="N119" i="59" s="1"/>
  <c r="S119" i="59" s="1"/>
  <c r="G119" i="58"/>
  <c r="N119" i="58" s="1"/>
  <c r="S119" i="58" s="1"/>
  <c r="T119" i="58" s="1"/>
  <c r="U119" i="58" s="1"/>
  <c r="T118" i="58"/>
  <c r="U118" i="58" s="1"/>
  <c r="O118" i="32"/>
  <c r="S118" i="32" s="1"/>
  <c r="P118" i="36"/>
  <c r="T118" i="36" s="1"/>
  <c r="U117" i="32"/>
  <c r="T118" i="30"/>
  <c r="BG120" i="1"/>
  <c r="G119" i="38"/>
  <c r="N119" i="38" s="1"/>
  <c r="S119" i="38" s="1"/>
  <c r="T119" i="38" s="1"/>
  <c r="U119" i="38" s="1"/>
  <c r="I119" i="36"/>
  <c r="G119" i="34"/>
  <c r="N119" i="34" s="1"/>
  <c r="S119" i="34" s="1"/>
  <c r="H119" i="32"/>
  <c r="G119" i="30"/>
  <c r="N119" i="30" s="1"/>
  <c r="S119" i="30" s="1"/>
  <c r="T119" i="30" s="1"/>
  <c r="U119" i="30" s="1"/>
  <c r="G119" i="28"/>
  <c r="N119" i="28" s="1"/>
  <c r="S119" i="28" s="1"/>
  <c r="T119" i="28" s="1"/>
  <c r="I120" i="60" l="1"/>
  <c r="P120" i="60" s="1"/>
  <c r="T120" i="60" s="1"/>
  <c r="G120" i="59"/>
  <c r="N120" i="59" s="1"/>
  <c r="S120" i="59" s="1"/>
  <c r="G120" i="58"/>
  <c r="N120" i="58" s="1"/>
  <c r="S120" i="58" s="1"/>
  <c r="T120" i="58" s="1"/>
  <c r="U120" i="58" s="1"/>
  <c r="T118" i="32"/>
  <c r="U118" i="32" s="1"/>
  <c r="P119" i="36"/>
  <c r="T119" i="36" s="1"/>
  <c r="O119" i="32"/>
  <c r="S119" i="32" s="1"/>
  <c r="T119" i="32" s="1"/>
  <c r="U119" i="32" s="1"/>
  <c r="U118" i="30"/>
  <c r="BG121" i="1"/>
  <c r="G120" i="38"/>
  <c r="N120" i="38" s="1"/>
  <c r="S120" i="38" s="1"/>
  <c r="T120" i="38" s="1"/>
  <c r="U120" i="38" s="1"/>
  <c r="I120" i="36"/>
  <c r="G120" i="34"/>
  <c r="N120" i="34" s="1"/>
  <c r="S120" i="34" s="1"/>
  <c r="H120" i="32"/>
  <c r="G120" i="28"/>
  <c r="N120" i="28" s="1"/>
  <c r="S120" i="28" s="1"/>
  <c r="T120" i="28" s="1"/>
  <c r="U120" i="28" s="1"/>
  <c r="G120" i="30"/>
  <c r="N120" i="30" s="1"/>
  <c r="S120" i="30" s="1"/>
  <c r="T120" i="30" s="1"/>
  <c r="U120" i="30" s="1"/>
  <c r="U119" i="28"/>
  <c r="I121" i="60" l="1"/>
  <c r="G121" i="59"/>
  <c r="G121" i="58"/>
  <c r="P120" i="36"/>
  <c r="T120" i="36" s="1"/>
  <c r="O120" i="32"/>
  <c r="S120" i="32" s="1"/>
  <c r="T120" i="32" s="1"/>
  <c r="U120" i="32" s="1"/>
  <c r="G121" i="38"/>
  <c r="I121" i="36"/>
  <c r="P121" i="36" s="1"/>
  <c r="G121" i="34"/>
  <c r="H121" i="32"/>
  <c r="G121" i="30"/>
  <c r="N121" i="30" s="1"/>
  <c r="S121" i="30" s="1"/>
  <c r="G121" i="28"/>
  <c r="N121" i="28" s="1"/>
  <c r="S121" i="28" s="1"/>
  <c r="G122" i="58" l="1"/>
  <c r="N121" i="58"/>
  <c r="S121" i="58" s="1"/>
  <c r="T121" i="58" s="1"/>
  <c r="U121" i="58" s="1"/>
  <c r="N121" i="59"/>
  <c r="S121" i="59" s="1"/>
  <c r="G122" i="59"/>
  <c r="P121" i="60"/>
  <c r="T121" i="60" s="1"/>
  <c r="I122" i="60"/>
  <c r="J4" i="15"/>
  <c r="J5" i="15"/>
  <c r="J6" i="15"/>
  <c r="J7" i="15"/>
  <c r="J8" i="15"/>
  <c r="J9" i="15"/>
  <c r="J10" i="15"/>
  <c r="J11" i="15"/>
  <c r="J12" i="15"/>
  <c r="J13" i="15"/>
  <c r="O121" i="32"/>
  <c r="S121" i="32" s="1"/>
  <c r="G122" i="34"/>
  <c r="N121" i="34"/>
  <c r="S121" i="34" s="1"/>
  <c r="T121" i="30"/>
  <c r="I122" i="36"/>
  <c r="P122" i="36" s="1"/>
  <c r="T121" i="36"/>
  <c r="T121" i="28"/>
  <c r="D4" i="15"/>
  <c r="E4" i="15" s="1"/>
  <c r="D5" i="15"/>
  <c r="E5" i="15" s="1"/>
  <c r="D6" i="15"/>
  <c r="E6" i="15" s="1"/>
  <c r="D7" i="15"/>
  <c r="E7" i="15" s="1"/>
  <c r="D8" i="15"/>
  <c r="E8" i="15" s="1"/>
  <c r="D9" i="15"/>
  <c r="E9" i="15" s="1"/>
  <c r="D10" i="15"/>
  <c r="E10" i="15" s="1"/>
  <c r="D11" i="15"/>
  <c r="E11" i="15" s="1"/>
  <c r="D12" i="15"/>
  <c r="E12" i="15" s="1"/>
  <c r="D13" i="15"/>
  <c r="E13" i="15" s="1"/>
  <c r="G122" i="38"/>
  <c r="N121" i="38"/>
  <c r="S121" i="38" s="1"/>
  <c r="T121" i="38" s="1"/>
  <c r="U121" i="38" s="1"/>
  <c r="N122" i="59" l="1"/>
  <c r="S122" i="59" s="1"/>
  <c r="U122" i="59" s="1"/>
  <c r="G123" i="59"/>
  <c r="P122" i="60"/>
  <c r="T122" i="60" s="1"/>
  <c r="V122" i="60" s="1"/>
  <c r="I123" i="60"/>
  <c r="G123" i="58"/>
  <c r="N122" i="58"/>
  <c r="S122" i="58" s="1"/>
  <c r="P4" i="15"/>
  <c r="Q4" i="15" s="1"/>
  <c r="P5" i="15"/>
  <c r="Q5" i="15" s="1"/>
  <c r="P6" i="15"/>
  <c r="Q6" i="15" s="1"/>
  <c r="P7" i="15"/>
  <c r="Q7" i="15" s="1"/>
  <c r="P8" i="15"/>
  <c r="Q8" i="15" s="1"/>
  <c r="P9" i="15"/>
  <c r="Q9" i="15" s="1"/>
  <c r="P10" i="15"/>
  <c r="Q10" i="15" s="1"/>
  <c r="P11" i="15"/>
  <c r="Q11" i="15" s="1"/>
  <c r="P12" i="15"/>
  <c r="Q12" i="15" s="1"/>
  <c r="P13" i="15"/>
  <c r="Q13" i="15" s="1"/>
  <c r="T121" i="32"/>
  <c r="U121" i="32" s="1"/>
  <c r="U122" i="32" s="1"/>
  <c r="Q16" i="15" s="1"/>
  <c r="U121" i="28"/>
  <c r="U122" i="28" s="1"/>
  <c r="U121" i="30"/>
  <c r="U122" i="30" s="1"/>
  <c r="K16" i="15" s="1"/>
  <c r="G123" i="34"/>
  <c r="N122" i="34"/>
  <c r="S122" i="34" s="1"/>
  <c r="U122" i="34" s="1"/>
  <c r="G123" i="38"/>
  <c r="N122" i="38"/>
  <c r="S122" i="38" s="1"/>
  <c r="E15" i="15"/>
  <c r="T122" i="36"/>
  <c r="V122" i="36" s="1"/>
  <c r="I123" i="36"/>
  <c r="P123" i="36" s="1"/>
  <c r="P123" i="60" l="1"/>
  <c r="T123" i="60" s="1"/>
  <c r="V123" i="60" s="1"/>
  <c r="I124" i="60"/>
  <c r="Y122" i="58"/>
  <c r="N123" i="59"/>
  <c r="S123" i="59" s="1"/>
  <c r="U123" i="59" s="1"/>
  <c r="G124" i="59"/>
  <c r="G124" i="58"/>
  <c r="N123" i="58"/>
  <c r="S123" i="58" s="1"/>
  <c r="Y123" i="58" s="1"/>
  <c r="Y122" i="38"/>
  <c r="Q15" i="15"/>
  <c r="G124" i="34"/>
  <c r="N123" i="34"/>
  <c r="S123" i="34" s="1"/>
  <c r="U123" i="34" s="1"/>
  <c r="G124" i="38"/>
  <c r="N123" i="38"/>
  <c r="S123" i="38" s="1"/>
  <c r="Y123" i="38" s="1"/>
  <c r="I124" i="36"/>
  <c r="P124" i="36" s="1"/>
  <c r="T123" i="36"/>
  <c r="E16" i="15"/>
  <c r="N124" i="58" l="1"/>
  <c r="S124" i="58" s="1"/>
  <c r="G125" i="58"/>
  <c r="N124" i="59"/>
  <c r="S124" i="59" s="1"/>
  <c r="U124" i="59" s="1"/>
  <c r="G125" i="59"/>
  <c r="P124" i="60"/>
  <c r="T124" i="60" s="1"/>
  <c r="V124" i="60" s="1"/>
  <c r="I125" i="60"/>
  <c r="V123" i="36"/>
  <c r="I125" i="36"/>
  <c r="P125" i="36" s="1"/>
  <c r="T124" i="36"/>
  <c r="G125" i="34"/>
  <c r="N124" i="34"/>
  <c r="S124" i="34" s="1"/>
  <c r="U124" i="34" s="1"/>
  <c r="N124" i="38"/>
  <c r="S124" i="38" s="1"/>
  <c r="G125" i="38"/>
  <c r="G126" i="59" l="1"/>
  <c r="N125" i="59"/>
  <c r="S125" i="59" s="1"/>
  <c r="U125" i="59" s="1"/>
  <c r="I126" i="60"/>
  <c r="P125" i="60"/>
  <c r="T125" i="60" s="1"/>
  <c r="V125" i="60" s="1"/>
  <c r="G126" i="58"/>
  <c r="N125" i="58"/>
  <c r="S125" i="58" s="1"/>
  <c r="Y125" i="58" s="1"/>
  <c r="Y124" i="58"/>
  <c r="Y124" i="38"/>
  <c r="V124" i="36"/>
  <c r="N125" i="38"/>
  <c r="S125" i="38" s="1"/>
  <c r="Y125" i="38" s="1"/>
  <c r="Y133" i="38" s="1"/>
  <c r="G126" i="38"/>
  <c r="N125" i="34"/>
  <c r="S125" i="34" s="1"/>
  <c r="U125" i="34" s="1"/>
  <c r="G126" i="34"/>
  <c r="I126" i="36"/>
  <c r="P126" i="36" s="1"/>
  <c r="T125" i="36"/>
  <c r="I127" i="60" l="1"/>
  <c r="P126" i="60"/>
  <c r="T126" i="60" s="1"/>
  <c r="V126" i="60" s="1"/>
  <c r="Y132" i="58"/>
  <c r="Y133" i="58"/>
  <c r="G127" i="58"/>
  <c r="N126" i="58"/>
  <c r="S126" i="58" s="1"/>
  <c r="G127" i="59"/>
  <c r="N126" i="59"/>
  <c r="S126" i="59" s="1"/>
  <c r="U126" i="59" s="1"/>
  <c r="Y132" i="38"/>
  <c r="V125" i="36"/>
  <c r="G127" i="38"/>
  <c r="N126" i="38"/>
  <c r="S126" i="38" s="1"/>
  <c r="I127" i="36"/>
  <c r="P127" i="36" s="1"/>
  <c r="T126" i="36"/>
  <c r="G127" i="34"/>
  <c r="N126" i="34"/>
  <c r="S126" i="34" s="1"/>
  <c r="U126" i="34" s="1"/>
  <c r="G128" i="59" l="1"/>
  <c r="N127" i="59"/>
  <c r="S127" i="59" s="1"/>
  <c r="U127" i="59" s="1"/>
  <c r="Y126" i="58"/>
  <c r="N127" i="58"/>
  <c r="S127" i="58" s="1"/>
  <c r="Y127" i="58" s="1"/>
  <c r="Y128" i="58" s="1"/>
  <c r="G128" i="58"/>
  <c r="I128" i="60"/>
  <c r="P127" i="60"/>
  <c r="T127" i="60" s="1"/>
  <c r="V127" i="60" s="1"/>
  <c r="Y126" i="38"/>
  <c r="Y131" i="38" s="1"/>
  <c r="V126" i="36"/>
  <c r="N127" i="34"/>
  <c r="S127" i="34" s="1"/>
  <c r="U127" i="34" s="1"/>
  <c r="G128" i="34"/>
  <c r="G128" i="38"/>
  <c r="N127" i="38"/>
  <c r="S127" i="38" s="1"/>
  <c r="Y127" i="38" s="1"/>
  <c r="Y128" i="38" s="1"/>
  <c r="T127" i="36"/>
  <c r="I128" i="36"/>
  <c r="P128" i="36" s="1"/>
  <c r="G129" i="58" l="1"/>
  <c r="N128" i="58"/>
  <c r="Y129" i="58"/>
  <c r="S128" i="58"/>
  <c r="P128" i="60"/>
  <c r="T128" i="60" s="1"/>
  <c r="I129" i="60"/>
  <c r="Y131" i="58"/>
  <c r="Y130" i="58"/>
  <c r="N128" i="59"/>
  <c r="S128" i="59" s="1"/>
  <c r="G129" i="59"/>
  <c r="Y129" i="38"/>
  <c r="Y130" i="38"/>
  <c r="V127" i="36"/>
  <c r="G129" i="38"/>
  <c r="N128" i="38"/>
  <c r="S128" i="38" s="1"/>
  <c r="N128" i="34"/>
  <c r="S128" i="34" s="1"/>
  <c r="G129" i="34"/>
  <c r="T128" i="36"/>
  <c r="I129" i="36"/>
  <c r="P129" i="36" s="1"/>
  <c r="N129" i="59" l="1"/>
  <c r="S129" i="59" s="1"/>
  <c r="G130" i="59"/>
  <c r="I130" i="60"/>
  <c r="P129" i="60"/>
  <c r="T129" i="60" s="1"/>
  <c r="N129" i="58"/>
  <c r="S129" i="58" s="1"/>
  <c r="G130" i="58"/>
  <c r="N129" i="34"/>
  <c r="S129" i="34" s="1"/>
  <c r="G130" i="34"/>
  <c r="T129" i="36"/>
  <c r="I130" i="36"/>
  <c r="P130" i="36" s="1"/>
  <c r="G130" i="38"/>
  <c r="N129" i="38"/>
  <c r="S129" i="38" s="1"/>
  <c r="G131" i="58" l="1"/>
  <c r="N130" i="58"/>
  <c r="S130" i="58" s="1"/>
  <c r="I131" i="60"/>
  <c r="P130" i="60"/>
  <c r="T130" i="60" s="1"/>
  <c r="N130" i="59"/>
  <c r="S130" i="59" s="1"/>
  <c r="G131" i="59"/>
  <c r="G131" i="38"/>
  <c r="N130" i="38"/>
  <c r="G131" i="34"/>
  <c r="N130" i="34"/>
  <c r="S130" i="34" s="1"/>
  <c r="T130" i="36"/>
  <c r="I131" i="36"/>
  <c r="P131" i="36" s="1"/>
  <c r="P131" i="60" l="1"/>
  <c r="T131" i="60" s="1"/>
  <c r="I132" i="60"/>
  <c r="G132" i="59"/>
  <c r="N131" i="59"/>
  <c r="S131" i="59" s="1"/>
  <c r="N131" i="58"/>
  <c r="S131" i="58" s="1"/>
  <c r="G132" i="58"/>
  <c r="S130" i="38"/>
  <c r="I132" i="36"/>
  <c r="P132" i="36" s="1"/>
  <c r="T131" i="36"/>
  <c r="G132" i="34"/>
  <c r="N131" i="34"/>
  <c r="S131" i="34" s="1"/>
  <c r="G132" i="38"/>
  <c r="N131" i="38"/>
  <c r="N132" i="59" l="1"/>
  <c r="S132" i="59" s="1"/>
  <c r="G133" i="59"/>
  <c r="G133" i="58"/>
  <c r="N132" i="58"/>
  <c r="S132" i="58" s="1"/>
  <c r="P132" i="60"/>
  <c r="T132" i="60" s="1"/>
  <c r="I133" i="60"/>
  <c r="S131" i="38"/>
  <c r="G133" i="38"/>
  <c r="N132" i="38"/>
  <c r="I133" i="36"/>
  <c r="P133" i="36" s="1"/>
  <c r="T132" i="36"/>
  <c r="N132" i="34"/>
  <c r="S132" i="34" s="1"/>
  <c r="G133" i="34"/>
  <c r="N133" i="58" l="1"/>
  <c r="S133" i="58" s="1"/>
  <c r="G134" i="58"/>
  <c r="I134" i="60"/>
  <c r="P133" i="60"/>
  <c r="T133" i="60" s="1"/>
  <c r="Y15" i="61" s="1"/>
  <c r="AA15" i="61" s="1"/>
  <c r="N133" i="59"/>
  <c r="S133" i="59" s="1"/>
  <c r="P15" i="61" s="1"/>
  <c r="R15" i="61" s="1"/>
  <c r="J4" i="63" s="1"/>
  <c r="G134" i="59"/>
  <c r="S132" i="38"/>
  <c r="G134" i="34"/>
  <c r="N133" i="34"/>
  <c r="S133" i="34" s="1"/>
  <c r="I134" i="36"/>
  <c r="P134" i="36" s="1"/>
  <c r="T133" i="36"/>
  <c r="N133" i="38"/>
  <c r="S133" i="38" s="1"/>
  <c r="G134" i="38"/>
  <c r="C19" i="62" l="1"/>
  <c r="D19" i="62" s="1"/>
  <c r="J21" i="63" s="1"/>
  <c r="J23" i="63" s="1"/>
  <c r="J5" i="63"/>
  <c r="AB15" i="61"/>
  <c r="P134" i="60"/>
  <c r="T134" i="60" s="1"/>
  <c r="I135" i="60"/>
  <c r="N134" i="59"/>
  <c r="S134" i="59" s="1"/>
  <c r="G135" i="59"/>
  <c r="G135" i="58"/>
  <c r="N134" i="58"/>
  <c r="S134" i="58" s="1"/>
  <c r="G135" i="38"/>
  <c r="N134" i="38"/>
  <c r="S134" i="38" s="1"/>
  <c r="I135" i="36"/>
  <c r="P135" i="36" s="1"/>
  <c r="T134" i="36"/>
  <c r="N134" i="34"/>
  <c r="S134" i="34" s="1"/>
  <c r="G135" i="34"/>
  <c r="N135" i="58" l="1"/>
  <c r="S135" i="58" s="1"/>
  <c r="G136" i="58"/>
  <c r="N135" i="59"/>
  <c r="S135" i="59" s="1"/>
  <c r="G136" i="59"/>
  <c r="I136" i="60"/>
  <c r="P135" i="60"/>
  <c r="T135" i="60" s="1"/>
  <c r="N135" i="34"/>
  <c r="S135" i="34" s="1"/>
  <c r="G136" i="34"/>
  <c r="I136" i="36"/>
  <c r="P136" i="36" s="1"/>
  <c r="T135" i="36"/>
  <c r="G136" i="38"/>
  <c r="N135" i="38"/>
  <c r="S135" i="38" s="1"/>
  <c r="N136" i="59" l="1"/>
  <c r="S136" i="59" s="1"/>
  <c r="G137" i="59"/>
  <c r="I137" i="60"/>
  <c r="P136" i="60"/>
  <c r="T136" i="60" s="1"/>
  <c r="G137" i="58"/>
  <c r="N136" i="58"/>
  <c r="S136" i="58" s="1"/>
  <c r="N136" i="38"/>
  <c r="S136" i="38" s="1"/>
  <c r="G137" i="38"/>
  <c r="N136" i="34"/>
  <c r="S136" i="34" s="1"/>
  <c r="G137" i="34"/>
  <c r="T136" i="36"/>
  <c r="I137" i="36"/>
  <c r="P137" i="36" s="1"/>
  <c r="N137" i="58" l="1"/>
  <c r="S137" i="58" s="1"/>
  <c r="G138" i="58"/>
  <c r="P137" i="60"/>
  <c r="T137" i="60" s="1"/>
  <c r="I138" i="60"/>
  <c r="N137" i="59"/>
  <c r="S137" i="59" s="1"/>
  <c r="G138" i="59"/>
  <c r="I138" i="36"/>
  <c r="P138" i="36" s="1"/>
  <c r="T137" i="36"/>
  <c r="G138" i="38"/>
  <c r="N137" i="38"/>
  <c r="S137" i="38" s="1"/>
  <c r="G138" i="34"/>
  <c r="N137" i="34"/>
  <c r="S137" i="34" s="1"/>
  <c r="N138" i="59" l="1"/>
  <c r="S138" i="59" s="1"/>
  <c r="G139" i="59"/>
  <c r="G139" i="58"/>
  <c r="N138" i="58"/>
  <c r="S138" i="58" s="1"/>
  <c r="I139" i="60"/>
  <c r="P138" i="60"/>
  <c r="T138" i="60" s="1"/>
  <c r="N138" i="34"/>
  <c r="S138" i="34" s="1"/>
  <c r="G139" i="34"/>
  <c r="G139" i="38"/>
  <c r="N138" i="38"/>
  <c r="S138" i="38" s="1"/>
  <c r="I139" i="36"/>
  <c r="P139" i="36" s="1"/>
  <c r="T138" i="36"/>
  <c r="G140" i="58" l="1"/>
  <c r="N139" i="58"/>
  <c r="S139" i="58" s="1"/>
  <c r="I140" i="60"/>
  <c r="P139" i="60"/>
  <c r="T139" i="60" s="1"/>
  <c r="N139" i="59"/>
  <c r="S139" i="59" s="1"/>
  <c r="G140" i="59"/>
  <c r="G140" i="34"/>
  <c r="N139" i="34"/>
  <c r="S139" i="34" s="1"/>
  <c r="I140" i="36"/>
  <c r="P140" i="36" s="1"/>
  <c r="T139" i="36"/>
  <c r="G140" i="38"/>
  <c r="N139" i="38"/>
  <c r="S139" i="38" s="1"/>
  <c r="I141" i="60" l="1"/>
  <c r="P140" i="60"/>
  <c r="T140" i="60" s="1"/>
  <c r="N140" i="59"/>
  <c r="S140" i="59" s="1"/>
  <c r="G141" i="59"/>
  <c r="N140" i="58"/>
  <c r="S140" i="58" s="1"/>
  <c r="G141" i="58"/>
  <c r="T140" i="36"/>
  <c r="I141" i="36"/>
  <c r="P141" i="36" s="1"/>
  <c r="N140" i="38"/>
  <c r="S140" i="38" s="1"/>
  <c r="G141" i="38"/>
  <c r="G141" i="34"/>
  <c r="N140" i="34"/>
  <c r="S140" i="34" s="1"/>
  <c r="N141" i="59" l="1"/>
  <c r="S141" i="59" s="1"/>
  <c r="G142" i="59"/>
  <c r="N141" i="58"/>
  <c r="S141" i="58" s="1"/>
  <c r="G142" i="58"/>
  <c r="P141" i="60"/>
  <c r="T141" i="60" s="1"/>
  <c r="I142" i="60"/>
  <c r="G142" i="34"/>
  <c r="N141" i="34"/>
  <c r="S141" i="34" s="1"/>
  <c r="G142" i="38"/>
  <c r="N141" i="38"/>
  <c r="S141" i="38" s="1"/>
  <c r="T141" i="36"/>
  <c r="I142" i="36"/>
  <c r="P142" i="36" s="1"/>
  <c r="P142" i="60" l="1"/>
  <c r="T142" i="60" s="1"/>
  <c r="I143" i="60"/>
  <c r="N142" i="59"/>
  <c r="S142" i="59" s="1"/>
  <c r="G143" i="59"/>
  <c r="N142" i="58"/>
  <c r="S142" i="58" s="1"/>
  <c r="G143" i="58"/>
  <c r="G143" i="34"/>
  <c r="N142" i="34"/>
  <c r="S142" i="34" s="1"/>
  <c r="I143" i="36"/>
  <c r="P143" i="36" s="1"/>
  <c r="T142" i="36"/>
  <c r="G143" i="38"/>
  <c r="N142" i="38"/>
  <c r="S142" i="38" s="1"/>
  <c r="N143" i="59" l="1"/>
  <c r="S143" i="59" s="1"/>
  <c r="G144" i="59"/>
  <c r="G144" i="58"/>
  <c r="N143" i="58"/>
  <c r="S143" i="58" s="1"/>
  <c r="I144" i="60"/>
  <c r="P143" i="60"/>
  <c r="T143" i="60" s="1"/>
  <c r="G144" i="38"/>
  <c r="N143" i="38"/>
  <c r="S143" i="38" s="1"/>
  <c r="I144" i="36"/>
  <c r="P144" i="36" s="1"/>
  <c r="T143" i="36"/>
  <c r="G144" i="34"/>
  <c r="N143" i="34"/>
  <c r="S143" i="34" s="1"/>
  <c r="G145" i="58" l="1"/>
  <c r="N145" i="58" s="1"/>
  <c r="S145" i="58" s="1"/>
  <c r="N144" i="58"/>
  <c r="S144" i="58" s="1"/>
  <c r="N144" i="59"/>
  <c r="S144" i="59" s="1"/>
  <c r="G145" i="59"/>
  <c r="N145" i="59" s="1"/>
  <c r="S145" i="59" s="1"/>
  <c r="I145" i="60"/>
  <c r="P145" i="60" s="1"/>
  <c r="T145" i="60" s="1"/>
  <c r="P144" i="60"/>
  <c r="T144" i="60" s="1"/>
  <c r="N144" i="34"/>
  <c r="S144" i="34" s="1"/>
  <c r="G145" i="34"/>
  <c r="N145" i="34" s="1"/>
  <c r="S145" i="34" s="1"/>
  <c r="N144" i="38"/>
  <c r="S144" i="38" s="1"/>
  <c r="G145" i="38"/>
  <c r="N145" i="38" s="1"/>
  <c r="S145" i="38" s="1"/>
  <c r="T144" i="36"/>
  <c r="I145" i="36"/>
  <c r="P5" i="61" l="1"/>
  <c r="R5" i="61" s="1"/>
  <c r="P6" i="61"/>
  <c r="R6" i="61" s="1"/>
  <c r="P7" i="61"/>
  <c r="R7" i="61" s="1"/>
  <c r="P8" i="61"/>
  <c r="R8" i="61" s="1"/>
  <c r="P9" i="61"/>
  <c r="R9" i="61" s="1"/>
  <c r="P10" i="61"/>
  <c r="R10" i="61" s="1"/>
  <c r="P11" i="61"/>
  <c r="R11" i="61" s="1"/>
  <c r="P12" i="61"/>
  <c r="R12" i="61" s="1"/>
  <c r="P13" i="61"/>
  <c r="R13" i="61" s="1"/>
  <c r="P14" i="61"/>
  <c r="R14" i="61" s="1"/>
  <c r="I4" i="63" s="1"/>
  <c r="P16" i="61"/>
  <c r="R16" i="61" s="1"/>
  <c r="K4" i="63" s="1"/>
  <c r="C13" i="63" s="1"/>
  <c r="E13" i="63" s="1"/>
  <c r="Y16" i="61"/>
  <c r="AA16" i="61" s="1"/>
  <c r="Y5" i="61"/>
  <c r="AA5" i="61" s="1"/>
  <c r="Y6" i="61"/>
  <c r="AA6" i="61" s="1"/>
  <c r="Y7" i="61"/>
  <c r="AA7" i="61" s="1"/>
  <c r="Y8" i="61"/>
  <c r="AA8" i="61" s="1"/>
  <c r="Y9" i="61"/>
  <c r="AA9" i="61" s="1"/>
  <c r="Y10" i="61"/>
  <c r="AA10" i="61" s="1"/>
  <c r="Y11" i="61"/>
  <c r="AA11" i="61" s="1"/>
  <c r="Y12" i="61"/>
  <c r="AA12" i="61" s="1"/>
  <c r="Y13" i="61"/>
  <c r="AA13" i="61" s="1"/>
  <c r="Y14" i="61"/>
  <c r="AA14" i="61" s="1"/>
  <c r="G16" i="61"/>
  <c r="I16" i="61" s="1"/>
  <c r="K3" i="63" s="1"/>
  <c r="G5" i="61"/>
  <c r="I5" i="61" s="1"/>
  <c r="G6" i="61"/>
  <c r="I6" i="61" s="1"/>
  <c r="G7" i="61"/>
  <c r="I7" i="61" s="1"/>
  <c r="G8" i="61"/>
  <c r="I8" i="61" s="1"/>
  <c r="G9" i="61"/>
  <c r="I9" i="61" s="1"/>
  <c r="G10" i="61"/>
  <c r="I10" i="61" s="1"/>
  <c r="G11" i="61"/>
  <c r="I11" i="61" s="1"/>
  <c r="G12" i="61"/>
  <c r="I12" i="61" s="1"/>
  <c r="G13" i="61"/>
  <c r="I13" i="61" s="1"/>
  <c r="G14" i="61"/>
  <c r="I14" i="61" s="1"/>
  <c r="I3" i="63" s="1"/>
  <c r="G15" i="61"/>
  <c r="I15" i="61" s="1"/>
  <c r="J3" i="63" s="1"/>
  <c r="J8" i="63" s="1"/>
  <c r="P145" i="36"/>
  <c r="T145" i="36" s="1"/>
  <c r="Y5" i="17"/>
  <c r="Y6" i="17"/>
  <c r="Y7" i="17"/>
  <c r="Y8" i="17"/>
  <c r="Y9" i="17"/>
  <c r="Y10" i="17"/>
  <c r="Y11" i="17"/>
  <c r="Y12" i="17"/>
  <c r="Y13" i="17"/>
  <c r="Y14" i="17"/>
  <c r="Y15" i="17"/>
  <c r="G5" i="17"/>
  <c r="G6" i="17"/>
  <c r="G7" i="17"/>
  <c r="G8" i="17"/>
  <c r="G9" i="17"/>
  <c r="G10" i="17"/>
  <c r="G11" i="17"/>
  <c r="G12" i="17"/>
  <c r="G13" i="17"/>
  <c r="G14" i="17"/>
  <c r="G15" i="17"/>
  <c r="G16" i="17"/>
  <c r="P5" i="17"/>
  <c r="P6" i="17"/>
  <c r="P7" i="17"/>
  <c r="P8" i="17"/>
  <c r="P9" i="17"/>
  <c r="P10" i="17"/>
  <c r="P11" i="17"/>
  <c r="P12" i="17"/>
  <c r="P13" i="17"/>
  <c r="P14" i="17"/>
  <c r="P15" i="17"/>
  <c r="P16" i="17"/>
  <c r="K5" i="63" l="1"/>
  <c r="C14" i="63" s="1"/>
  <c r="E14" i="63" s="1"/>
  <c r="C20" i="62"/>
  <c r="D20" i="62" s="1"/>
  <c r="K21" i="63" s="1"/>
  <c r="C12" i="63"/>
  <c r="C18" i="62"/>
  <c r="D18" i="62" s="1"/>
  <c r="I21" i="63" s="1"/>
  <c r="I23" i="63" s="1"/>
  <c r="I5" i="63"/>
  <c r="I8" i="63" s="1"/>
  <c r="AA15" i="17"/>
  <c r="AA11" i="17"/>
  <c r="AA7" i="17"/>
  <c r="AA8" i="17"/>
  <c r="AA14" i="17"/>
  <c r="AA10" i="17"/>
  <c r="AA6" i="17"/>
  <c r="AA12" i="17"/>
  <c r="AA13" i="17"/>
  <c r="AA9" i="17"/>
  <c r="AA5" i="17"/>
  <c r="R16" i="17"/>
  <c r="R15" i="17"/>
  <c r="R9" i="17"/>
  <c r="R5" i="17"/>
  <c r="R12" i="17"/>
  <c r="R8" i="17"/>
  <c r="R11" i="17"/>
  <c r="R7" i="17"/>
  <c r="R13" i="17"/>
  <c r="R14" i="17"/>
  <c r="R10" i="17"/>
  <c r="R6" i="17"/>
  <c r="I9" i="17"/>
  <c r="I16" i="17"/>
  <c r="I12" i="17"/>
  <c r="I8" i="17"/>
  <c r="I15" i="17"/>
  <c r="I11" i="17"/>
  <c r="I7" i="17"/>
  <c r="I13" i="17"/>
  <c r="I14" i="17"/>
  <c r="I10" i="17"/>
  <c r="I6" i="17"/>
  <c r="I5" i="17"/>
  <c r="F10" i="57"/>
  <c r="F12" i="57"/>
  <c r="F8" i="57"/>
  <c r="Y16" i="17"/>
  <c r="K4" i="25" l="1"/>
  <c r="K8" i="63"/>
  <c r="E12" i="63"/>
  <c r="E17" i="63" s="1"/>
  <c r="C17" i="63"/>
  <c r="C27" i="63"/>
  <c r="C29" i="63" s="1"/>
  <c r="K23" i="63"/>
  <c r="C12" i="57"/>
  <c r="D12" i="57" s="1"/>
  <c r="C23" i="57"/>
  <c r="D23" i="57" s="1"/>
  <c r="C11" i="57"/>
  <c r="D11" i="57" s="1"/>
  <c r="C26" i="57"/>
  <c r="D26" i="57" s="1"/>
  <c r="C18" i="24"/>
  <c r="C18" i="26"/>
  <c r="C22" i="57"/>
  <c r="D22" i="57" s="1"/>
  <c r="I4" i="56"/>
  <c r="J4" i="56"/>
  <c r="I3" i="56"/>
  <c r="J3" i="56"/>
  <c r="K3" i="25"/>
  <c r="J5" i="56"/>
  <c r="C7" i="57"/>
  <c r="D7" i="57" s="1"/>
  <c r="I5" i="25"/>
  <c r="C19" i="24"/>
  <c r="C5" i="57"/>
  <c r="D5" i="57" s="1"/>
  <c r="J5" i="25"/>
  <c r="C28" i="57"/>
  <c r="C27" i="57"/>
  <c r="I5" i="56"/>
  <c r="C13" i="57"/>
  <c r="D13" i="57" s="1"/>
  <c r="H5" i="56"/>
  <c r="C6" i="57"/>
  <c r="D6" i="57" s="1"/>
  <c r="C24" i="57"/>
  <c r="D24" i="57" s="1"/>
  <c r="C20" i="57"/>
  <c r="D20" i="57" s="1"/>
  <c r="C10" i="57"/>
  <c r="D10" i="57" s="1"/>
  <c r="C14" i="57"/>
  <c r="D14" i="57" s="1"/>
  <c r="C19" i="57"/>
  <c r="D19" i="57" s="1"/>
  <c r="I4" i="25"/>
  <c r="C18" i="57"/>
  <c r="D18" i="57" s="1"/>
  <c r="C9" i="57"/>
  <c r="D9" i="57" s="1"/>
  <c r="C8" i="57"/>
  <c r="D8" i="57" s="1"/>
  <c r="C25" i="57"/>
  <c r="D25" i="57" s="1"/>
  <c r="J4" i="25"/>
  <c r="AA16" i="17"/>
  <c r="C21" i="57"/>
  <c r="D21" i="57" s="1"/>
  <c r="G5" i="56"/>
  <c r="C5" i="56"/>
  <c r="F5" i="56"/>
  <c r="D5" i="56"/>
  <c r="E5" i="56"/>
  <c r="J3" i="25"/>
  <c r="K4" i="56"/>
  <c r="C13" i="56" s="1"/>
  <c r="E13" i="56" s="1"/>
  <c r="H4" i="56"/>
  <c r="D4" i="56"/>
  <c r="G4" i="56"/>
  <c r="E4" i="56"/>
  <c r="F4" i="56"/>
  <c r="C4" i="56"/>
  <c r="I3" i="25"/>
  <c r="D3" i="56"/>
  <c r="G3" i="56"/>
  <c r="E3" i="56"/>
  <c r="K3" i="56"/>
  <c r="C12" i="56" s="1"/>
  <c r="E12" i="56" s="1"/>
  <c r="H3" i="56"/>
  <c r="F3" i="56"/>
  <c r="C3" i="56"/>
  <c r="H23" i="25"/>
  <c r="G23" i="25"/>
  <c r="D23" i="25"/>
  <c r="C23" i="25"/>
  <c r="E23" i="25"/>
  <c r="E8" i="25"/>
  <c r="G8" i="25"/>
  <c r="F11" i="57"/>
  <c r="F9" i="57"/>
  <c r="F13" i="57"/>
  <c r="C8" i="25"/>
  <c r="D8" i="25"/>
  <c r="F8" i="25"/>
  <c r="F29" i="57"/>
  <c r="F7" i="57"/>
  <c r="H8" i="25"/>
  <c r="C13" i="25" l="1"/>
  <c r="E13" i="25" s="1"/>
  <c r="E21" i="56"/>
  <c r="E23" i="56" s="1"/>
  <c r="G21" i="56"/>
  <c r="D21" i="56"/>
  <c r="F21" i="56"/>
  <c r="C21" i="56"/>
  <c r="J18" i="26"/>
  <c r="C19" i="26"/>
  <c r="E19" i="26" s="1"/>
  <c r="D18" i="24"/>
  <c r="I21" i="25" s="1"/>
  <c r="E18" i="26"/>
  <c r="C12" i="25"/>
  <c r="I8" i="56"/>
  <c r="J8" i="56"/>
  <c r="D19" i="24"/>
  <c r="C20" i="24"/>
  <c r="J8" i="25"/>
  <c r="D32" i="57"/>
  <c r="C32" i="57"/>
  <c r="D33" i="57"/>
  <c r="C33" i="57"/>
  <c r="K5" i="25"/>
  <c r="K5" i="56"/>
  <c r="C14" i="56" s="1"/>
  <c r="C29" i="57"/>
  <c r="D29" i="57" s="1"/>
  <c r="I8" i="25"/>
  <c r="H8" i="56"/>
  <c r="C8" i="56"/>
  <c r="G8" i="56"/>
  <c r="F8" i="56"/>
  <c r="E8" i="56"/>
  <c r="D8" i="56"/>
  <c r="F23" i="25"/>
  <c r="E27" i="57"/>
  <c r="E28" i="57" s="1"/>
  <c r="E29" i="57" s="1"/>
  <c r="F14" i="57"/>
  <c r="D28" i="57"/>
  <c r="F27" i="57"/>
  <c r="D27" i="57" s="1"/>
  <c r="J21" i="25" l="1"/>
  <c r="F23" i="56"/>
  <c r="D23" i="56"/>
  <c r="G23" i="56"/>
  <c r="K21" i="56"/>
  <c r="K23" i="56" s="1"/>
  <c r="J21" i="56"/>
  <c r="J23" i="56" s="1"/>
  <c r="C23" i="56"/>
  <c r="E12" i="25"/>
  <c r="I23" i="25"/>
  <c r="C14" i="25"/>
  <c r="F18" i="26"/>
  <c r="D20" i="24"/>
  <c r="E32" i="57"/>
  <c r="K8" i="25"/>
  <c r="E33" i="57"/>
  <c r="K8" i="56"/>
  <c r="H21" i="56"/>
  <c r="I21" i="56"/>
  <c r="I23" i="56" s="1"/>
  <c r="E14" i="56"/>
  <c r="E17" i="56" s="1"/>
  <c r="C17" i="56"/>
  <c r="J23" i="25" l="1"/>
  <c r="C27" i="56"/>
  <c r="C29" i="56" s="1"/>
  <c r="H23" i="56"/>
  <c r="E14" i="25"/>
  <c r="C17" i="25"/>
  <c r="K21" i="25"/>
  <c r="G18" i="26"/>
  <c r="K18" i="26"/>
  <c r="K19" i="26" s="1"/>
  <c r="F19" i="26"/>
  <c r="D27" i="63" l="1"/>
  <c r="D29" i="63" s="1"/>
  <c r="E17" i="25"/>
  <c r="D27" i="56"/>
  <c r="D27" i="25"/>
  <c r="G19" i="26"/>
  <c r="C27" i="25"/>
  <c r="K23" i="25"/>
  <c r="E27" i="63" l="1"/>
  <c r="E29" i="63" s="1"/>
  <c r="E49" i="24"/>
  <c r="D29" i="25"/>
  <c r="C29" i="25"/>
  <c r="E27" i="25"/>
  <c r="D29" i="56"/>
  <c r="E27" i="56"/>
  <c r="E29" i="56" s="1"/>
  <c r="E29" i="25" l="1"/>
  <c r="K4" i="15" l="1"/>
  <c r="K5" i="15"/>
  <c r="K6" i="15"/>
  <c r="K7" i="15"/>
  <c r="K8" i="15"/>
  <c r="K9" i="15"/>
  <c r="K10" i="15"/>
  <c r="K11" i="15"/>
  <c r="K12" i="15"/>
  <c r="K13" i="15"/>
  <c r="K15" i="1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<sst xmlns="http://schemas.openxmlformats.org/spreadsheetml/2006/main" count="1429" uniqueCount="266">
  <si>
    <t>Year</t>
  </si>
  <si>
    <t>Residential_kWh</t>
  </si>
  <si>
    <t>GS_lt_50_kWh</t>
  </si>
  <si>
    <t>GS_lt_50_CDM</t>
  </si>
  <si>
    <t>GS_gt_50_kWh</t>
  </si>
  <si>
    <t>GS_gt_50_kW</t>
  </si>
  <si>
    <t>Streetlights_kWh</t>
  </si>
  <si>
    <t>Streetlights_kW</t>
  </si>
  <si>
    <t>USL_kWh</t>
  </si>
  <si>
    <t>Residential_Customers</t>
  </si>
  <si>
    <t>GS_lt_50_Customersomers</t>
  </si>
  <si>
    <t>GS_gt_50_Customers</t>
  </si>
  <si>
    <t>USL_Customers</t>
  </si>
  <si>
    <t>Streetlights_Connections</t>
  </si>
  <si>
    <t>USL Connections</t>
  </si>
  <si>
    <t>CDM</t>
  </si>
  <si>
    <t>Date</t>
  </si>
  <si>
    <t>GDP</t>
  </si>
  <si>
    <t>Ont_FTEAdj</t>
  </si>
  <si>
    <t>Tor_FTEAdj</t>
  </si>
  <si>
    <t>Ham_FTEAdj</t>
  </si>
  <si>
    <t>Ont_FTE</t>
  </si>
  <si>
    <t>Tor_FTE</t>
  </si>
  <si>
    <t>Ham_FTE</t>
  </si>
  <si>
    <t>FTE</t>
  </si>
  <si>
    <t>BMO</t>
  </si>
  <si>
    <t>TD</t>
  </si>
  <si>
    <t>Scotia</t>
  </si>
  <si>
    <t>RBC</t>
  </si>
  <si>
    <t>Average</t>
  </si>
  <si>
    <t>Report Date</t>
  </si>
  <si>
    <t>CIBC</t>
  </si>
  <si>
    <t>Month</t>
  </si>
  <si>
    <t>Residential</t>
  </si>
  <si>
    <t>MeanTemp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</si>
  <si>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</si>
  <si>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</si>
  <si>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</si>
  <si>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</si>
  <si>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</si>
  <si>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</si>
  <si>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</si>
  <si>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</si>
  <si>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GS&lt;50</t>
  </si>
  <si>
    <t>GS&gt;50</t>
  </si>
  <si>
    <t>USL</t>
  </si>
  <si>
    <t>Streetlight</t>
  </si>
  <si>
    <t>Res_CDM</t>
  </si>
  <si>
    <t>GS_lt_50_NoCDM</t>
  </si>
  <si>
    <t>Res_NoCDM</t>
  </si>
  <si>
    <t>GS_gt_50_CDM</t>
  </si>
  <si>
    <t>GS_gt_50_NoCDM</t>
  </si>
  <si>
    <t>Implementation Year</t>
  </si>
  <si>
    <t>Savings Year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</si>
  <si>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</si>
  <si>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</si>
  <si>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</si>
  <si>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</si>
  <si>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</si>
  <si>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</si>
  <si>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</si>
  <si>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</si>
  <si>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</si>
  <si>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</si>
  <si>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</si>
  <si>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</si>
  <si>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Spring</t>
  </si>
  <si>
    <t>Fall</t>
  </si>
  <si>
    <t>Shoulder</t>
  </si>
  <si>
    <t>Trend</t>
  </si>
  <si>
    <t>Month Days</t>
  </si>
  <si>
    <t>Peak Days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</si>
  <si>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</si>
  <si>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</si>
  <si>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</si>
  <si>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</si>
  <si>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</si>
  <si>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</si>
  <si>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</si>
  <si>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</si>
  <si>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</si>
  <si>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</si>
  <si>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</si>
  <si>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</si>
  <si>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</si>
  <si>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</si>
  <si>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Predicted</t>
  </si>
  <si>
    <t>Difference</t>
  </si>
  <si>
    <t>F(5, 114)</t>
  </si>
  <si>
    <t>Res kWh</t>
  </si>
  <si>
    <t>Absolute</t>
  </si>
  <si>
    <t>GS &lt; 50 kWh</t>
  </si>
  <si>
    <t>GS &gt; 50 kWh</t>
  </si>
  <si>
    <t>CDM Added Back</t>
  </si>
  <si>
    <t>Error (%)</t>
  </si>
  <si>
    <t>Mean Absolute Percentage Error (Annual)</t>
  </si>
  <si>
    <t>Mean Absolute Percentage Error (Monthly)</t>
  </si>
  <si>
    <t>June</t>
  </si>
  <si>
    <t>July</t>
  </si>
  <si>
    <t>August</t>
  </si>
  <si>
    <t>10-year</t>
  </si>
  <si>
    <t>10 Year Average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</si>
  <si>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</si>
  <si>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</si>
  <si>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</si>
  <si>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</si>
  <si>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</si>
  <si>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</si>
  <si>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</si>
  <si>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</si>
  <si>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Burlington Pier</t>
  </si>
  <si>
    <t>Residential kWh</t>
  </si>
  <si>
    <t>Actual</t>
  </si>
  <si>
    <t>Cumulative Persisting CDM</t>
  </si>
  <si>
    <t>Actual No CDM</t>
  </si>
  <si>
    <t>Normalized No CDM</t>
  </si>
  <si>
    <t>Normalized</t>
  </si>
  <si>
    <t>A</t>
  </si>
  <si>
    <t>B</t>
  </si>
  <si>
    <t>C = A + B</t>
  </si>
  <si>
    <t>D</t>
  </si>
  <si>
    <t>E = B</t>
  </si>
  <si>
    <t>F = D - E</t>
  </si>
  <si>
    <t>Predicted/Normalized</t>
  </si>
  <si>
    <t>GS&lt;50 kWh</t>
  </si>
  <si>
    <t>GS&gt;50 kWh</t>
  </si>
  <si>
    <t>Percent of Prior Year</t>
  </si>
  <si>
    <t>GS &lt; 50</t>
  </si>
  <si>
    <t>GS &gt; 50</t>
  </si>
  <si>
    <t>St. Lights</t>
  </si>
  <si>
    <t>Customers</t>
  </si>
  <si>
    <t>Street Lights</t>
  </si>
  <si>
    <t>kWh</t>
  </si>
  <si>
    <t>kW</t>
  </si>
  <si>
    <t>kWh Normalized</t>
  </si>
  <si>
    <t>kW Normalized</t>
  </si>
  <si>
    <t>E</t>
  </si>
  <si>
    <t>Normal Predicted 
No CDM</t>
  </si>
  <si>
    <t>Street Light</t>
  </si>
  <si>
    <t>Lamps / Devices</t>
  </si>
  <si>
    <t>Average per Device</t>
  </si>
  <si>
    <t>E = C / D</t>
  </si>
  <si>
    <t>F = C * E</t>
  </si>
  <si>
    <t>G = B</t>
  </si>
  <si>
    <t>H = F - G</t>
  </si>
  <si>
    <t>Connections</t>
  </si>
  <si>
    <t>Normal Forecast</t>
  </si>
  <si>
    <t>2015 Actual</t>
  </si>
  <si>
    <t>2016 Actual</t>
  </si>
  <si>
    <t>2017 Actual</t>
  </si>
  <si>
    <t>2018 Actual</t>
  </si>
  <si>
    <t>2020 Forecast</t>
  </si>
  <si>
    <t>Total</t>
  </si>
  <si>
    <t>CDM Adjusted</t>
  </si>
  <si>
    <t>CDM Adjustment</t>
  </si>
  <si>
    <t>Rate Class</t>
  </si>
  <si>
    <t>LRAMVA Target</t>
  </si>
  <si>
    <t>CDM Adj Weight</t>
  </si>
  <si>
    <t>Amount</t>
  </si>
  <si>
    <t>C = A * B</t>
  </si>
  <si>
    <t>F</t>
  </si>
  <si>
    <t>G = E * F</t>
  </si>
  <si>
    <t>H = C + D + G</t>
  </si>
  <si>
    <t>I = A + D + E</t>
  </si>
  <si>
    <t>TOTAL</t>
  </si>
  <si>
    <t>LRAMVA</t>
  </si>
  <si>
    <t>Weather-Normal Forecast</t>
  </si>
  <si>
    <t>% Savings</t>
  </si>
  <si>
    <t>LRAMVA kWh</t>
  </si>
  <si>
    <t>LRAMVA kW</t>
  </si>
  <si>
    <t>C = B / A</t>
  </si>
  <si>
    <t>E = C * D</t>
  </si>
  <si>
    <t>G = F / B</t>
  </si>
  <si>
    <t>H = D * G</t>
  </si>
  <si>
    <t>Ratio</t>
  </si>
  <si>
    <t>3-Yr MA</t>
  </si>
  <si>
    <t>HDD20</t>
  </si>
  <si>
    <t>CDD20</t>
  </si>
  <si>
    <t>HDD10</t>
  </si>
  <si>
    <t>CDD10</t>
  </si>
  <si>
    <t>HDD8</t>
  </si>
  <si>
    <t>CDD8</t>
  </si>
  <si>
    <t>20 Year Trend (2021)</t>
  </si>
  <si>
    <t>Average Used</t>
  </si>
  <si>
    <t>G</t>
  </si>
  <si>
    <t>E = D * F</t>
  </si>
  <si>
    <t>Divergence</t>
  </si>
  <si>
    <t>5-year change</t>
  </si>
  <si>
    <t>10-year change</t>
  </si>
  <si>
    <t>Trend Used</t>
  </si>
  <si>
    <t>2021 Forecast kWh</t>
  </si>
  <si>
    <t>2021 Forecast kW</t>
  </si>
  <si>
    <t>2021 Weather Normal Forecast</t>
  </si>
  <si>
    <t>2021 CDM Adjusted Forecast</t>
  </si>
  <si>
    <t>2019 Actual</t>
  </si>
  <si>
    <t>2019 Normalized</t>
  </si>
  <si>
    <t>2021 Forecast</t>
  </si>
  <si>
    <t>2017 Ratio Excluded in Avg. Calculation</t>
  </si>
  <si>
    <t>5-year trend</t>
  </si>
  <si>
    <t>Statistics based on the rho-differenced data</t>
  </si>
  <si>
    <t>AvgRes</t>
  </si>
  <si>
    <t>AvgResD</t>
  </si>
  <si>
    <t>AvgGSlt50</t>
  </si>
  <si>
    <t>AvgGSlt50D</t>
  </si>
  <si>
    <t>AvgGSgt50</t>
  </si>
  <si>
    <t>AvgGSgt50MD</t>
  </si>
  <si>
    <t>AvgGSgt50PD</t>
  </si>
  <si>
    <t>Dependent variable: AvgResD</t>
  </si>
  <si>
    <t>ResD</t>
  </si>
  <si>
    <t>GSlt50D</t>
  </si>
  <si>
    <t>GSgt50MD</t>
  </si>
  <si>
    <t>GSgt50PD</t>
  </si>
  <si>
    <t>Dependent variable: AvgGSlt50D</t>
  </si>
  <si>
    <t>Dependent variable: AvgGSgt50MD</t>
  </si>
  <si>
    <t>Sep</t>
  </si>
  <si>
    <t>('14-'19)</t>
  </si>
  <si>
    <t>*Both forecast lines and 3-Yr MA ignore 2017</t>
  </si>
  <si>
    <t>Nov 2019 Reclassification</t>
  </si>
  <si>
    <t>E = D * G</t>
  </si>
  <si>
    <t>Avg. Ratio</t>
  </si>
  <si>
    <t>Trend Ratio (5-yr)</t>
  </si>
  <si>
    <t>Trend Ratio (3-Yr. MA)</t>
  </si>
  <si>
    <t>Canada</t>
  </si>
  <si>
    <t>Ontario</t>
  </si>
  <si>
    <t>No Covid</t>
  </si>
  <si>
    <t>Model 2: Prais-Winsten, using observations 2010:01-2019:12 (T = 120)</t>
  </si>
  <si>
    <t>Model 3: Prais-Winsten, using observations 2010:01-2019:12 (T = 120)</t>
  </si>
  <si>
    <t>SL recount in 2017, growth excluded</t>
  </si>
  <si>
    <t>Quaterly Data</t>
  </si>
  <si>
    <t>Q1</t>
  </si>
  <si>
    <t>Q2</t>
  </si>
  <si>
    <t>Q3</t>
  </si>
  <si>
    <t>Q4</t>
  </si>
  <si>
    <t>Model 1: Prais-Winsten, using observations 2010:01-2019:12 (T = 120)</t>
  </si>
  <si>
    <t>(BMO Feb 12, 2020)</t>
  </si>
  <si>
    <t xml:space="preserve">Average </t>
  </si>
  <si>
    <t>GDP Adj</t>
  </si>
  <si>
    <t>FTE ADJ</t>
  </si>
  <si>
    <t>Tor_FTEAdj_GDPtrend</t>
  </si>
  <si>
    <t>Weather-Normal</t>
  </si>
  <si>
    <t>2014 Actual</t>
  </si>
  <si>
    <t>2014 Normal</t>
  </si>
  <si>
    <t>2015 Normal</t>
  </si>
  <si>
    <t>2016 Normal</t>
  </si>
  <si>
    <t>2017 Normal</t>
  </si>
  <si>
    <t>2018 Normal</t>
  </si>
  <si>
    <t>2019 Normal</t>
  </si>
  <si>
    <t>Normal 
No CDM</t>
  </si>
  <si>
    <t>Ratio Trend</t>
  </si>
  <si>
    <t>2019-2021 Forecasted kWh Savings by Rate Class</t>
  </si>
  <si>
    <t>2019-2021 kW Forecasted Savings by Rate Class</t>
  </si>
  <si>
    <t>Quarterly forecasts w/ adjustments</t>
  </si>
  <si>
    <t>Latest Figures as of August 20, 2020</t>
  </si>
  <si>
    <t>Canada (used to adjust 2020 quarterly Canadian GDP Forecasts)</t>
  </si>
  <si>
    <t>Adj. Factors</t>
  </si>
  <si>
    <t>Adjusted with actual Jan 2020 - Jul 2020 Counts</t>
  </si>
  <si>
    <t>*</t>
  </si>
  <si>
    <t>Customers / Devices</t>
  </si>
  <si>
    <t>Data in this sheet is used to forecast July 2020 to Dec 2020 Consumption Only. It does not impact the test year forecast.</t>
  </si>
  <si>
    <t>(Adjustments made to fit March 2020 to June 2020 actual data)</t>
  </si>
  <si>
    <t>Devices</t>
  </si>
  <si>
    <t>Normal Forecast (Trend)</t>
  </si>
  <si>
    <t>CDM Adjusted (Trend)</t>
  </si>
  <si>
    <t>rho = 0.28819</t>
  </si>
  <si>
    <t>rho = 0.209832</t>
  </si>
  <si>
    <t>rho = 0.171593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</si>
</sst>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d\-mmm\-yyyy"/>
    <numFmt numFmtId="168" formatCode="0.0%"/>
    <numFmt numFmtId="169" formatCode="0.0"/>
    <numFmt numFmtId="170" formatCode="_(* #,##0_);_(* \(#,##0\);_(* &quot;-&quot;??_);_(@_)"/>
    <numFmt numFmtId="171" formatCode="0.000000"/>
    <numFmt numFmtId="172" formatCode="_(* #,##0.0_);_(* \(#,##0.0\);_(* &quot;-&quot;??_);_(@_)"/>
    <numFmt numFmtId="173" formatCode="_-* #,##0_-;\-* #,##0_-;_-* &quot;-&quot;??_-;_-@_-"/>
    <numFmt numFmtId="174" formatCode="_-* #,##0.000000_-;\-* #,##0.000000_-;_-* &quot;-&quot;??_-;_-@_-"/>
    <numFmt numFmtId="175" formatCode="0_);\(0\)"/>
    <numFmt numFmtId="176" formatCode="#,##0.0"/>
    <numFmt numFmtId="177" formatCode="0\-0"/>
    <numFmt numFmtId="178" formatCode="##\-#"/>
    <numFmt numFmtId="179" formatCode="&quot;£ &quot;#,##0.00;[Red]\-&quot;£ &quot;#,##0.00"/>
    <numFmt numFmtId="180" formatCode="0.000000%"/>
    <numFmt numFmtId="181" formatCode="_(* #,##0.0000_);_(* \(#,##0.0000\);_(* &quot;-&quot;??_);_(@_)"/>
    <numFmt numFmtId="182" formatCode="0.0000000%"/>
    <numFmt numFmtId="183" formatCode="0.000%"/>
    <numFmt numFmtId="184" formatCode="#,##0.000"/>
    <numFmt numFmtId="185" formatCode="0.0000"/>
    <numFmt numFmtId="186" formatCode="0.00000"/>
  </numFmts>
  <fonts count="43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C00000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u/>
      <sz val="8"/>
      <color rgb="FF0000FF"/>
      <name val="Calibri"/>
      <family val="2"/>
      <scheme val="minor"/>
    </font>
    <font>
      <sz val="8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4"/>
      <name val="Times New Roman"/>
      <family val="1"/>
    </font>
    <font>
      <sz val="10"/>
      <color rgb="FFC00000"/>
      <name val="Times New Roman"/>
      <family val="1"/>
    </font>
    <font>
      <sz val="15"/>
      <color rgb="FF00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87">
    <xf numFmtId="0" fontId="0" fillId="0" borderId="0"/>
    <xf numFmtId="166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0" fontId="3" fillId="0" borderId="0"/>
    <xf numFmtId="0" fontId="5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172" fontId="6" fillId="0" borderId="0"/>
    <xf numFmtId="176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4" fontId="6" fillId="0" borderId="0"/>
    <xf numFmtId="177" fontId="6" fillId="0" borderId="0"/>
    <xf numFmtId="14" fontId="6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1" fillId="8" borderId="0" applyNumberFormat="0" applyBorder="0" applyAlignment="0" applyProtection="0"/>
    <xf numFmtId="0" fontId="24" fillId="11" borderId="29" applyNumberFormat="0" applyAlignment="0" applyProtection="0"/>
    <xf numFmtId="0" fontId="26" fillId="12" borderId="32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0" fillId="7" borderId="0" applyNumberFormat="0" applyBorder="0" applyAlignment="0" applyProtection="0"/>
    <xf numFmtId="38" fontId="35" fillId="38" borderId="0" applyNumberFormat="0" applyBorder="0" applyAlignment="0" applyProtection="0"/>
    <xf numFmtId="0" fontId="17" fillId="0" borderId="26" applyNumberFormat="0" applyFill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0" fontId="35" fillId="39" borderId="2" applyNumberFormat="0" applyBorder="0" applyAlignment="0" applyProtection="0"/>
    <xf numFmtId="0" fontId="22" fillId="10" borderId="29" applyNumberFormat="0" applyAlignment="0" applyProtection="0"/>
    <xf numFmtId="0" fontId="25" fillId="0" borderId="31" applyNumberFormat="0" applyFill="0" applyAlignment="0" applyProtection="0"/>
    <xf numFmtId="178" fontId="6" fillId="0" borderId="0"/>
    <xf numFmtId="17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0" fontId="31" fillId="9" borderId="0" applyNumberFormat="0" applyBorder="0" applyAlignment="0" applyProtection="0"/>
    <xf numFmtId="179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13" borderId="33" applyNumberFormat="0" applyFont="0" applyAlignment="0" applyProtection="0"/>
    <xf numFmtId="0" fontId="2" fillId="13" borderId="33" applyNumberFormat="0" applyFont="0" applyAlignment="0" applyProtection="0"/>
    <xf numFmtId="0" fontId="2" fillId="13" borderId="33" applyNumberFormat="0" applyFont="0" applyAlignment="0" applyProtection="0"/>
    <xf numFmtId="0" fontId="23" fillId="11" borderId="30" applyNumberFormat="0" applyAlignment="0" applyProtection="0"/>
    <xf numFmtId="1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34" applyNumberFormat="0" applyFill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280">
    <xf numFmtId="0" fontId="0" fillId="0" borderId="0" xfId="0"/>
    <xf numFmtId="0" fontId="6" fillId="0" borderId="0" xfId="0" applyFont="1"/>
    <xf numFmtId="166" fontId="6" fillId="0" borderId="0" xfId="1" applyFont="1"/>
    <xf numFmtId="14" fontId="6" fillId="0" borderId="0" xfId="0" applyNumberFormat="1" applyFont="1"/>
    <xf numFmtId="0" fontId="6" fillId="0" borderId="0" xfId="1" applyNumberFormat="1" applyFont="1"/>
    <xf numFmtId="3" fontId="6" fillId="0" borderId="0" xfId="0" applyNumberFormat="1" applyFont="1"/>
    <xf numFmtId="0" fontId="6" fillId="0" borderId="0" xfId="0" applyFont="1" applyFill="1"/>
    <xf numFmtId="3" fontId="6" fillId="0" borderId="0" xfId="0" quotePrefix="1" applyNumberFormat="1" applyFont="1"/>
    <xf numFmtId="3" fontId="6" fillId="0" borderId="0" xfId="1" applyNumberFormat="1" applyFont="1"/>
    <xf numFmtId="3" fontId="0" fillId="0" borderId="0" xfId="0" applyNumberFormat="1"/>
    <xf numFmtId="3" fontId="0" fillId="0" borderId="0" xfId="0" applyNumberFormat="1" applyFill="1"/>
    <xf numFmtId="3" fontId="6" fillId="2" borderId="0" xfId="0" quotePrefix="1" applyNumberFormat="1" applyFont="1" applyFill="1"/>
    <xf numFmtId="4" fontId="0" fillId="0" borderId="0" xfId="0" applyNumberFormat="1"/>
    <xf numFmtId="14" fontId="0" fillId="0" borderId="0" xfId="0" applyNumberFormat="1"/>
    <xf numFmtId="0" fontId="0" fillId="0" borderId="0" xfId="0" applyNumberFormat="1"/>
    <xf numFmtId="0" fontId="6" fillId="0" borderId="0" xfId="4"/>
    <xf numFmtId="167" fontId="6" fillId="0" borderId="0" xfId="4" applyNumberFormat="1"/>
    <xf numFmtId="17" fontId="6" fillId="0" borderId="0" xfId="4" applyNumberFormat="1"/>
    <xf numFmtId="10" fontId="6" fillId="0" borderId="0" xfId="4" applyNumberFormat="1"/>
    <xf numFmtId="168" fontId="6" fillId="0" borderId="0" xfId="4" applyNumberFormat="1"/>
    <xf numFmtId="2" fontId="0" fillId="0" borderId="0" xfId="0" applyNumberFormat="1"/>
    <xf numFmtId="169" fontId="0" fillId="0" borderId="0" xfId="0" applyNumberFormat="1"/>
    <xf numFmtId="14" fontId="9" fillId="0" borderId="0" xfId="0" applyNumberFormat="1" applyFont="1"/>
    <xf numFmtId="0" fontId="9" fillId="0" borderId="0" xfId="0" applyNumberFormat="1" applyFont="1"/>
    <xf numFmtId="0" fontId="9" fillId="0" borderId="0" xfId="0" applyFont="1"/>
    <xf numFmtId="2" fontId="9" fillId="0" borderId="0" xfId="0" applyNumberFormat="1" applyFont="1"/>
    <xf numFmtId="170" fontId="0" fillId="0" borderId="0" xfId="1" applyNumberFormat="1" applyFont="1"/>
    <xf numFmtId="171" fontId="0" fillId="0" borderId="0" xfId="0" applyNumberFormat="1"/>
    <xf numFmtId="172" fontId="0" fillId="0" borderId="0" xfId="1" applyNumberFormat="1" applyFont="1"/>
    <xf numFmtId="0" fontId="0" fillId="0" borderId="0" xfId="0" applyFont="1"/>
    <xf numFmtId="0" fontId="11" fillId="0" borderId="0" xfId="0" applyFont="1"/>
    <xf numFmtId="0" fontId="11" fillId="0" borderId="0" xfId="0" applyFont="1" applyFill="1" applyBorder="1" applyAlignment="1">
      <alignment horizontal="left"/>
    </xf>
    <xf numFmtId="170" fontId="11" fillId="0" borderId="0" xfId="1" applyNumberFormat="1" applyFont="1"/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/>
    <xf numFmtId="3" fontId="11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/>
    <xf numFmtId="0" fontId="6" fillId="5" borderId="0" xfId="0" applyFont="1" applyFill="1"/>
    <xf numFmtId="1" fontId="6" fillId="5" borderId="0" xfId="0" applyNumberFormat="1" applyFont="1" applyFill="1"/>
    <xf numFmtId="170" fontId="0" fillId="0" borderId="0" xfId="1" applyNumberFormat="1" applyFont="1" applyAlignment="1">
      <alignment horizontal="right"/>
    </xf>
    <xf numFmtId="166" fontId="0" fillId="0" borderId="0" xfId="0" applyNumberFormat="1"/>
    <xf numFmtId="170" fontId="0" fillId="0" borderId="0" xfId="0" applyNumberFormat="1"/>
    <xf numFmtId="11" fontId="0" fillId="0" borderId="0" xfId="0" applyNumberFormat="1"/>
    <xf numFmtId="166" fontId="0" fillId="0" borderId="0" xfId="0" applyNumberFormat="1" applyFont="1"/>
    <xf numFmtId="14" fontId="0" fillId="0" borderId="0" xfId="0" applyNumberFormat="1" applyFont="1"/>
    <xf numFmtId="1" fontId="0" fillId="0" borderId="0" xfId="0" applyNumberFormat="1" applyFont="1"/>
    <xf numFmtId="9" fontId="0" fillId="0" borderId="0" xfId="3" applyFont="1"/>
    <xf numFmtId="168" fontId="0" fillId="0" borderId="0" xfId="3" applyNumberFormat="1" applyFont="1"/>
    <xf numFmtId="168" fontId="0" fillId="0" borderId="0" xfId="0" applyNumberFormat="1" applyFont="1"/>
    <xf numFmtId="0" fontId="3" fillId="0" borderId="0" xfId="5" applyAlignment="1">
      <alignment horizontal="right"/>
    </xf>
    <xf numFmtId="0" fontId="6" fillId="0" borderId="0" xfId="5" applyFont="1" applyAlignment="1">
      <alignment horizontal="right"/>
    </xf>
    <xf numFmtId="3" fontId="3" fillId="0" borderId="0" xfId="5" applyNumberFormat="1"/>
    <xf numFmtId="168" fontId="0" fillId="0" borderId="0" xfId="6" applyNumberFormat="1" applyFont="1"/>
    <xf numFmtId="0" fontId="3" fillId="0" borderId="0" xfId="5"/>
    <xf numFmtId="168" fontId="3" fillId="0" borderId="0" xfId="5" applyNumberForma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169" fontId="7" fillId="0" borderId="0" xfId="0" applyNumberFormat="1" applyFont="1"/>
    <xf numFmtId="2" fontId="0" fillId="0" borderId="0" xfId="0" applyNumberFormat="1" applyFont="1"/>
    <xf numFmtId="0" fontId="6" fillId="3" borderId="0" xfId="4" applyFill="1" applyAlignment="1">
      <alignment horizontal="right" wrapText="1"/>
    </xf>
    <xf numFmtId="0" fontId="6" fillId="3" borderId="0" xfId="4" applyFill="1" applyAlignment="1">
      <alignment horizontal="right"/>
    </xf>
    <xf numFmtId="0" fontId="6" fillId="3" borderId="0" xfId="4" applyFill="1"/>
    <xf numFmtId="3" fontId="6" fillId="3" borderId="0" xfId="4" applyNumberFormat="1" applyFill="1"/>
    <xf numFmtId="3" fontId="14" fillId="3" borderId="0" xfId="4" applyNumberFormat="1" applyFont="1" applyFill="1"/>
    <xf numFmtId="0" fontId="14" fillId="3" borderId="0" xfId="4" applyFont="1" applyFill="1"/>
    <xf numFmtId="0" fontId="6" fillId="0" borderId="0" xfId="4" applyAlignment="1">
      <alignment horizontal="right"/>
    </xf>
    <xf numFmtId="3" fontId="6" fillId="0" borderId="0" xfId="4" applyNumberFormat="1"/>
    <xf numFmtId="10" fontId="6" fillId="0" borderId="0" xfId="7" applyNumberFormat="1"/>
    <xf numFmtId="0" fontId="14" fillId="0" borderId="0" xfId="4" applyFont="1"/>
    <xf numFmtId="3" fontId="14" fillId="0" borderId="0" xfId="4" applyNumberFormat="1" applyFont="1"/>
    <xf numFmtId="10" fontId="14" fillId="0" borderId="0" xfId="7" applyNumberFormat="1" applyFont="1"/>
    <xf numFmtId="3" fontId="14" fillId="2" borderId="0" xfId="4" applyNumberFormat="1" applyFont="1" applyFill="1"/>
    <xf numFmtId="0" fontId="6" fillId="0" borderId="0" xfId="4" applyAlignment="1">
      <alignment horizontal="center"/>
    </xf>
    <xf numFmtId="10" fontId="6" fillId="2" borderId="0" xfId="7" applyNumberFormat="1" applyFill="1"/>
    <xf numFmtId="0" fontId="0" fillId="0" borderId="0" xfId="0" applyAlignment="1">
      <alignment horizontal="center"/>
    </xf>
    <xf numFmtId="0" fontId="13" fillId="0" borderId="0" xfId="4" applyFont="1" applyAlignment="1">
      <alignment horizontal="center"/>
    </xf>
    <xf numFmtId="171" fontId="6" fillId="0" borderId="0" xfId="4" applyNumberFormat="1"/>
    <xf numFmtId="173" fontId="0" fillId="0" borderId="0" xfId="8" applyNumberFormat="1" applyFont="1"/>
    <xf numFmtId="171" fontId="13" fillId="0" borderId="0" xfId="4" applyNumberFormat="1" applyFont="1" applyAlignment="1">
      <alignment horizontal="center"/>
    </xf>
    <xf numFmtId="173" fontId="13" fillId="0" borderId="0" xfId="8" applyNumberFormat="1" applyFont="1" applyAlignment="1">
      <alignment horizontal="center"/>
    </xf>
    <xf numFmtId="170" fontId="14" fillId="0" borderId="0" xfId="1" applyNumberFormat="1" applyFont="1"/>
    <xf numFmtId="174" fontId="14" fillId="0" borderId="0" xfId="8" applyNumberFormat="1" applyFont="1"/>
    <xf numFmtId="170" fontId="6" fillId="0" borderId="0" xfId="1" applyNumberFormat="1" applyFont="1"/>
    <xf numFmtId="0" fontId="15" fillId="3" borderId="0" xfId="4" applyFont="1" applyFill="1"/>
    <xf numFmtId="0" fontId="13" fillId="6" borderId="3" xfId="4" applyFont="1" applyFill="1" applyBorder="1"/>
    <xf numFmtId="0" fontId="13" fillId="6" borderId="4" xfId="4" applyFont="1" applyFill="1" applyBorder="1" applyAlignment="1">
      <alignment vertical="center"/>
    </xf>
    <xf numFmtId="0" fontId="13" fillId="6" borderId="5" xfId="4" applyFont="1" applyFill="1" applyBorder="1" applyAlignment="1">
      <alignment vertical="center"/>
    </xf>
    <xf numFmtId="0" fontId="13" fillId="3" borderId="6" xfId="4" applyFont="1" applyFill="1" applyBorder="1" applyAlignment="1">
      <alignment horizontal="center"/>
    </xf>
    <xf numFmtId="3" fontId="6" fillId="3" borderId="7" xfId="4" applyNumberFormat="1" applyFill="1" applyBorder="1"/>
    <xf numFmtId="0" fontId="13" fillId="3" borderId="8" xfId="4" applyFont="1" applyFill="1" applyBorder="1" applyAlignment="1">
      <alignment horizontal="center"/>
    </xf>
    <xf numFmtId="0" fontId="13" fillId="6" borderId="9" xfId="4" applyFont="1" applyFill="1" applyBorder="1" applyAlignment="1">
      <alignment horizontal="center"/>
    </xf>
    <xf numFmtId="3" fontId="6" fillId="6" borderId="10" xfId="4" applyNumberFormat="1" applyFill="1" applyBorder="1"/>
    <xf numFmtId="3" fontId="6" fillId="6" borderId="11" xfId="4" applyNumberFormat="1" applyFill="1" applyBorder="1"/>
    <xf numFmtId="0" fontId="13" fillId="6" borderId="3" xfId="4" applyFont="1" applyFill="1" applyBorder="1" applyAlignment="1">
      <alignment horizontal="center"/>
    </xf>
    <xf numFmtId="0" fontId="13" fillId="6" borderId="4" xfId="4" applyFont="1" applyFill="1" applyBorder="1" applyAlignment="1">
      <alignment horizontal="center" vertical="center" wrapText="1"/>
    </xf>
    <xf numFmtId="0" fontId="13" fillId="6" borderId="5" xfId="4" applyFont="1" applyFill="1" applyBorder="1" applyAlignment="1">
      <alignment horizontal="center" vertical="center" wrapText="1"/>
    </xf>
    <xf numFmtId="3" fontId="6" fillId="3" borderId="0" xfId="4" applyNumberFormat="1" applyFill="1" applyBorder="1"/>
    <xf numFmtId="175" fontId="8" fillId="0" borderId="2" xfId="0" applyNumberFormat="1" applyFont="1" applyBorder="1" applyAlignment="1">
      <alignment horizontal="center" wrapText="1"/>
    </xf>
    <xf numFmtId="0" fontId="13" fillId="0" borderId="2" xfId="4" applyFont="1" applyBorder="1"/>
    <xf numFmtId="0" fontId="13" fillId="0" borderId="21" xfId="4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13" fillId="0" borderId="2" xfId="4" applyFont="1" applyBorder="1" applyAlignment="1">
      <alignment horizontal="center"/>
    </xf>
    <xf numFmtId="0" fontId="13" fillId="0" borderId="21" xfId="4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172" fontId="6" fillId="0" borderId="2" xfId="1" applyNumberFormat="1" applyFont="1" applyBorder="1" applyAlignment="1">
      <alignment vertical="center"/>
    </xf>
    <xf numFmtId="170" fontId="0" fillId="0" borderId="2" xfId="1" applyNumberFormat="1" applyFont="1" applyBorder="1" applyAlignment="1">
      <alignment vertical="center"/>
    </xf>
    <xf numFmtId="170" fontId="6" fillId="0" borderId="2" xfId="1" applyNumberFormat="1" applyFont="1" applyBorder="1" applyAlignment="1">
      <alignment vertical="center"/>
    </xf>
    <xf numFmtId="170" fontId="6" fillId="0" borderId="21" xfId="1" applyNumberFormat="1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16" fillId="0" borderId="22" xfId="0" applyFont="1" applyBorder="1" applyAlignment="1">
      <alignment wrapText="1"/>
    </xf>
    <xf numFmtId="170" fontId="16" fillId="0" borderId="23" xfId="0" applyNumberFormat="1" applyFont="1" applyBorder="1"/>
    <xf numFmtId="0" fontId="13" fillId="0" borderId="23" xfId="4" applyFont="1" applyBorder="1"/>
    <xf numFmtId="170" fontId="16" fillId="0" borderId="23" xfId="1" applyNumberFormat="1" applyFont="1" applyBorder="1"/>
    <xf numFmtId="172" fontId="13" fillId="0" borderId="23" xfId="1" applyNumberFormat="1" applyFont="1" applyBorder="1"/>
    <xf numFmtId="170" fontId="16" fillId="0" borderId="23" xfId="1" applyNumberFormat="1" applyFont="1" applyBorder="1" applyAlignment="1">
      <alignment vertical="top"/>
    </xf>
    <xf numFmtId="170" fontId="13" fillId="0" borderId="23" xfId="1" applyNumberFormat="1" applyFont="1" applyBorder="1"/>
    <xf numFmtId="170" fontId="13" fillId="0" borderId="24" xfId="1" applyNumberFormat="1" applyFont="1" applyBorder="1"/>
    <xf numFmtId="0" fontId="0" fillId="0" borderId="17" xfId="0" applyBorder="1" applyAlignment="1">
      <alignment vertical="center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7" xfId="0" applyBorder="1" applyAlignment="1">
      <alignment wrapText="1"/>
    </xf>
    <xf numFmtId="170" fontId="0" fillId="0" borderId="2" xfId="0" applyNumberFormat="1" applyBorder="1" applyAlignment="1">
      <alignment vertical="top"/>
    </xf>
    <xf numFmtId="170" fontId="6" fillId="0" borderId="2" xfId="4" applyNumberFormat="1" applyBorder="1"/>
    <xf numFmtId="168" fontId="0" fillId="0" borderId="2" xfId="3" applyNumberFormat="1" applyFont="1" applyBorder="1" applyAlignment="1">
      <alignment vertical="top"/>
    </xf>
    <xf numFmtId="170" fontId="0" fillId="0" borderId="21" xfId="0" applyNumberFormat="1" applyBorder="1" applyAlignment="1">
      <alignment vertical="top"/>
    </xf>
    <xf numFmtId="170" fontId="0" fillId="0" borderId="17" xfId="0" applyNumberFormat="1" applyBorder="1" applyAlignment="1">
      <alignment vertical="top"/>
    </xf>
    <xf numFmtId="0" fontId="0" fillId="0" borderId="22" xfId="0" applyBorder="1" applyAlignment="1">
      <alignment wrapText="1"/>
    </xf>
    <xf numFmtId="170" fontId="0" fillId="0" borderId="23" xfId="0" applyNumberFormat="1" applyBorder="1"/>
    <xf numFmtId="168" fontId="0" fillId="0" borderId="23" xfId="3" applyNumberFormat="1" applyFont="1" applyBorder="1" applyAlignment="1">
      <alignment vertical="top"/>
    </xf>
    <xf numFmtId="170" fontId="0" fillId="0" borderId="23" xfId="1" applyNumberFormat="1" applyFont="1" applyBorder="1"/>
    <xf numFmtId="170" fontId="0" fillId="0" borderId="24" xfId="1" applyNumberFormat="1" applyFont="1" applyBorder="1"/>
    <xf numFmtId="170" fontId="0" fillId="0" borderId="22" xfId="1" applyNumberFormat="1" applyFont="1" applyBorder="1"/>
    <xf numFmtId="176" fontId="0" fillId="0" borderId="0" xfId="0" applyNumberFormat="1" applyFont="1"/>
    <xf numFmtId="10" fontId="0" fillId="0" borderId="0" xfId="0" applyNumberFormat="1"/>
    <xf numFmtId="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17" fontId="29" fillId="0" borderId="0" xfId="0" applyNumberFormat="1" applyFont="1" applyAlignment="1">
      <alignment horizontal="left" vertical="center" wrapText="1"/>
    </xf>
    <xf numFmtId="166" fontId="6" fillId="0" borderId="0" xfId="1" applyFont="1"/>
    <xf numFmtId="3" fontId="6" fillId="0" borderId="0" xfId="4" applyNumberFormat="1" applyAlignment="1">
      <alignment horizontal="center"/>
    </xf>
    <xf numFmtId="170" fontId="6" fillId="0" borderId="0" xfId="1" applyNumberFormat="1" applyFont="1" applyAlignment="1">
      <alignment horizontal="center"/>
    </xf>
    <xf numFmtId="9" fontId="6" fillId="0" borderId="0" xfId="235" applyFont="1"/>
    <xf numFmtId="9" fontId="6" fillId="0" borderId="0" xfId="4" applyNumberFormat="1"/>
    <xf numFmtId="9" fontId="13" fillId="0" borderId="0" xfId="4" applyNumberFormat="1" applyFont="1"/>
    <xf numFmtId="171" fontId="6" fillId="2" borderId="0" xfId="4" applyNumberFormat="1" applyFill="1"/>
    <xf numFmtId="170" fontId="11" fillId="2" borderId="0" xfId="1" applyNumberFormat="1" applyFont="1" applyFill="1"/>
    <xf numFmtId="170" fontId="11" fillId="0" borderId="0" xfId="1" applyNumberFormat="1" applyFont="1" applyFill="1"/>
    <xf numFmtId="9" fontId="0" fillId="0" borderId="0" xfId="3" applyNumberFormat="1" applyFont="1"/>
    <xf numFmtId="170" fontId="0" fillId="0" borderId="0" xfId="0" applyNumberFormat="1" applyFont="1"/>
    <xf numFmtId="170" fontId="6" fillId="0" borderId="0" xfId="0" applyNumberFormat="1" applyFont="1"/>
    <xf numFmtId="172" fontId="6" fillId="0" borderId="0" xfId="0" applyNumberFormat="1" applyFont="1"/>
    <xf numFmtId="10" fontId="0" fillId="0" borderId="0" xfId="3" applyNumberFormat="1" applyFont="1"/>
    <xf numFmtId="10" fontId="0" fillId="0" borderId="0" xfId="0" applyNumberFormat="1" applyFont="1"/>
    <xf numFmtId="11" fontId="0" fillId="0" borderId="0" xfId="0" applyNumberFormat="1" applyFont="1"/>
    <xf numFmtId="1" fontId="0" fillId="2" borderId="0" xfId="0" applyNumberFormat="1" applyFont="1" applyFill="1"/>
    <xf numFmtId="3" fontId="0" fillId="40" borderId="0" xfId="0" applyNumberFormat="1" applyFill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0" fontId="0" fillId="0" borderId="0" xfId="0"/>
    <xf numFmtId="0" fontId="6" fillId="0" borderId="0" xfId="0" applyFont="1"/>
    <xf numFmtId="166" fontId="6" fillId="0" borderId="0" xfId="1" applyFont="1"/>
    <xf numFmtId="3" fontId="6" fillId="0" borderId="0" xfId="0" applyNumberFormat="1" applyFont="1"/>
    <xf numFmtId="0" fontId="0" fillId="0" borderId="0" xfId="0"/>
    <xf numFmtId="0" fontId="6" fillId="0" borderId="0" xfId="0" applyFont="1"/>
    <xf numFmtId="3" fontId="0" fillId="0" borderId="0" xfId="0" applyNumberFormat="1"/>
    <xf numFmtId="174" fontId="38" fillId="0" borderId="0" xfId="8" applyNumberFormat="1" applyFont="1"/>
    <xf numFmtId="9" fontId="0" fillId="0" borderId="0" xfId="0" applyNumberFormat="1"/>
    <xf numFmtId="0" fontId="16" fillId="0" borderId="0" xfId="0" applyFont="1"/>
    <xf numFmtId="181" fontId="0" fillId="0" borderId="0" xfId="0" applyNumberFormat="1"/>
    <xf numFmtId="0" fontId="39" fillId="0" borderId="0" xfId="0" applyFont="1"/>
    <xf numFmtId="10" fontId="39" fillId="0" borderId="0" xfId="3" applyNumberFormat="1" applyFont="1"/>
    <xf numFmtId="170" fontId="11" fillId="0" borderId="0" xfId="0" applyNumberFormat="1" applyFont="1"/>
    <xf numFmtId="166" fontId="11" fillId="0" borderId="0" xfId="0" applyNumberFormat="1" applyFont="1"/>
    <xf numFmtId="172" fontId="11" fillId="0" borderId="0" xfId="1" applyNumberFormat="1" applyFont="1"/>
    <xf numFmtId="15" fontId="0" fillId="0" borderId="0" xfId="0" applyNumberFormat="1"/>
    <xf numFmtId="166" fontId="0" fillId="0" borderId="0" xfId="1" applyNumberFormat="1" applyFont="1"/>
    <xf numFmtId="170" fontId="9" fillId="0" borderId="0" xfId="1" applyNumberFormat="1" applyFont="1"/>
    <xf numFmtId="2" fontId="39" fillId="0" borderId="0" xfId="0" applyNumberFormat="1" applyFont="1"/>
    <xf numFmtId="182" fontId="0" fillId="0" borderId="0" xfId="3" applyNumberFormat="1" applyFont="1"/>
    <xf numFmtId="166" fontId="6" fillId="0" borderId="0" xfId="1" applyFont="1"/>
    <xf numFmtId="166" fontId="40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0" fontId="0" fillId="0" borderId="0" xfId="0"/>
    <xf numFmtId="3" fontId="6" fillId="0" borderId="0" xfId="0" applyNumberFormat="1" applyFont="1"/>
    <xf numFmtId="0" fontId="0" fillId="0" borderId="0" xfId="0"/>
    <xf numFmtId="0" fontId="6" fillId="0" borderId="0" xfId="0" applyFont="1"/>
    <xf numFmtId="166" fontId="6" fillId="0" borderId="0" xfId="1" applyFont="1"/>
    <xf numFmtId="14" fontId="6" fillId="0" borderId="0" xfId="0" applyNumberFormat="1" applyFont="1"/>
    <xf numFmtId="0" fontId="6" fillId="0" borderId="0" xfId="1" applyNumberFormat="1" applyFont="1"/>
    <xf numFmtId="3" fontId="6" fillId="0" borderId="0" xfId="0" applyNumberFormat="1" applyFont="1"/>
    <xf numFmtId="0" fontId="6" fillId="0" borderId="0" xfId="0" applyFont="1" applyFill="1"/>
    <xf numFmtId="3" fontId="6" fillId="0" borderId="0" xfId="0" quotePrefix="1" applyNumberFormat="1" applyFont="1"/>
    <xf numFmtId="3" fontId="6" fillId="0" borderId="0" xfId="1" applyNumberFormat="1" applyFont="1"/>
    <xf numFmtId="3" fontId="0" fillId="0" borderId="0" xfId="0" applyNumberFormat="1"/>
    <xf numFmtId="3" fontId="0" fillId="0" borderId="0" xfId="0" applyNumberFormat="1" applyFill="1"/>
    <xf numFmtId="172" fontId="41" fillId="0" borderId="0" xfId="1" applyNumberFormat="1" applyFont="1"/>
    <xf numFmtId="10" fontId="41" fillId="0" borderId="0" xfId="3" applyNumberFormat="1" applyFont="1"/>
    <xf numFmtId="0" fontId="41" fillId="0" borderId="0" xfId="0" applyFont="1"/>
    <xf numFmtId="183" fontId="14" fillId="0" borderId="0" xfId="7" applyNumberFormat="1" applyFont="1"/>
    <xf numFmtId="176" fontId="0" fillId="0" borderId="0" xfId="0" applyNumberFormat="1"/>
    <xf numFmtId="0" fontId="0" fillId="0" borderId="0" xfId="0" applyFill="1" applyBorder="1"/>
    <xf numFmtId="17" fontId="42" fillId="0" borderId="0" xfId="0" applyNumberFormat="1" applyFont="1" applyFill="1" applyBorder="1" applyAlignment="1">
      <alignment horizontal="left" vertical="center" wrapText="1"/>
    </xf>
    <xf numFmtId="4" fontId="42" fillId="0" borderId="0" xfId="0" applyNumberFormat="1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right" vertical="center"/>
    </xf>
    <xf numFmtId="183" fontId="0" fillId="0" borderId="0" xfId="0" applyNumberFormat="1"/>
    <xf numFmtId="184" fontId="0" fillId="0" borderId="0" xfId="0" applyNumberFormat="1"/>
    <xf numFmtId="2" fontId="0" fillId="41" borderId="0" xfId="0" applyNumberFormat="1" applyFont="1" applyFill="1"/>
    <xf numFmtId="0" fontId="0" fillId="41" borderId="0" xfId="0" applyFont="1" applyFill="1"/>
    <xf numFmtId="0" fontId="0" fillId="0" borderId="0" xfId="0" applyFont="1" applyAlignment="1">
      <alignment horizontal="center"/>
    </xf>
    <xf numFmtId="170" fontId="0" fillId="41" borderId="0" xfId="0" applyNumberFormat="1" applyFont="1" applyFill="1"/>
    <xf numFmtId="0" fontId="6" fillId="0" borderId="0" xfId="4" applyAlignment="1">
      <alignment horizontal="center"/>
    </xf>
    <xf numFmtId="0" fontId="3" fillId="0" borderId="0" xfId="5"/>
    <xf numFmtId="0" fontId="6" fillId="0" borderId="0" xfId="4" applyAlignment="1">
      <alignment horizontal="center"/>
    </xf>
    <xf numFmtId="170" fontId="39" fillId="0" borderId="0" xfId="0" applyNumberFormat="1" applyFont="1"/>
    <xf numFmtId="1" fontId="0" fillId="0" borderId="0" xfId="0" applyNumberFormat="1"/>
    <xf numFmtId="0" fontId="11" fillId="0" borderId="0" xfId="0" applyNumberFormat="1" applyFont="1"/>
    <xf numFmtId="0" fontId="0" fillId="0" borderId="0" xfId="0" applyAlignment="1">
      <alignment horizontal="center"/>
    </xf>
    <xf numFmtId="0" fontId="6" fillId="0" borderId="0" xfId="4" applyAlignment="1">
      <alignment horizontal="center"/>
    </xf>
    <xf numFmtId="170" fontId="11" fillId="0" borderId="0" xfId="1" applyNumberFormat="1" applyFont="1" applyFill="1" applyBorder="1"/>
    <xf numFmtId="170" fontId="0" fillId="0" borderId="2" xfId="0" applyNumberFormat="1" applyFill="1" applyBorder="1" applyAlignment="1">
      <alignment horizontal="right" vertical="center"/>
    </xf>
    <xf numFmtId="0" fontId="6" fillId="0" borderId="2" xfId="4" applyFill="1" applyBorder="1" applyAlignment="1">
      <alignment horizontal="right" vertical="center"/>
    </xf>
    <xf numFmtId="170" fontId="0" fillId="0" borderId="2" xfId="1" applyNumberFormat="1" applyFont="1" applyFill="1" applyBorder="1" applyAlignment="1">
      <alignment horizontal="right" vertical="center"/>
    </xf>
    <xf numFmtId="185" fontId="0" fillId="0" borderId="0" xfId="0" applyNumberFormat="1"/>
    <xf numFmtId="186" fontId="0" fillId="0" borderId="0" xfId="0" applyNumberFormat="1"/>
    <xf numFmtId="1" fontId="0" fillId="5" borderId="0" xfId="0" applyNumberFormat="1" applyFont="1" applyFill="1"/>
    <xf numFmtId="180" fontId="16" fillId="0" borderId="0" xfId="0" applyNumberFormat="1" applyFont="1" applyAlignment="1"/>
    <xf numFmtId="3" fontId="14" fillId="0" borderId="0" xfId="4" applyNumberFormat="1" applyFont="1" applyFill="1"/>
    <xf numFmtId="3" fontId="6" fillId="0" borderId="0" xfId="4" applyNumberFormat="1" applyFill="1"/>
    <xf numFmtId="10" fontId="6" fillId="0" borderId="0" xfId="7" applyNumberFormat="1" applyFill="1"/>
    <xf numFmtId="0" fontId="0" fillId="0" borderId="0" xfId="0" applyFill="1"/>
    <xf numFmtId="174" fontId="38" fillId="0" borderId="0" xfId="8" applyNumberFormat="1" applyFont="1" applyFill="1"/>
    <xf numFmtId="168" fontId="0" fillId="0" borderId="0" xfId="0" applyNumberFormat="1"/>
    <xf numFmtId="10" fontId="14" fillId="0" borderId="0" xfId="7" applyNumberFormat="1" applyFont="1" applyFill="1"/>
    <xf numFmtId="0" fontId="14" fillId="0" borderId="0" xfId="4" applyFont="1" applyFill="1"/>
    <xf numFmtId="169" fontId="0" fillId="0" borderId="0" xfId="0" applyNumberFormat="1" applyFont="1"/>
    <xf numFmtId="2" fontId="11" fillId="0" borderId="0" xfId="0" applyNumberFormat="1" applyFont="1"/>
    <xf numFmtId="0" fontId="16" fillId="0" borderId="0" xfId="0" applyFont="1" applyAlignment="1">
      <alignment horizontal="center"/>
    </xf>
    <xf numFmtId="180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3" fillId="41" borderId="0" xfId="4" applyFont="1" applyFill="1" applyAlignment="1">
      <alignment horizontal="left" vertical="center" wrapText="1"/>
    </xf>
    <xf numFmtId="0" fontId="0" fillId="0" borderId="0" xfId="5" applyFont="1" applyAlignment="1">
      <alignment horizontal="center"/>
    </xf>
    <xf numFmtId="0" fontId="3" fillId="0" borderId="0" xfId="5" applyAlignment="1">
      <alignment horizontal="center"/>
    </xf>
    <xf numFmtId="0" fontId="3" fillId="0" borderId="0" xfId="5"/>
    <xf numFmtId="0" fontId="6" fillId="3" borderId="0" xfId="4" applyFill="1" applyAlignment="1">
      <alignment horizontal="center"/>
    </xf>
    <xf numFmtId="0" fontId="6" fillId="0" borderId="0" xfId="4" applyAlignment="1">
      <alignment horizontal="center"/>
    </xf>
    <xf numFmtId="0" fontId="6" fillId="0" borderId="0" xfId="4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75" fontId="8" fillId="0" borderId="18" xfId="0" applyNumberFormat="1" applyFont="1" applyBorder="1" applyAlignment="1">
      <alignment horizontal="center" wrapText="1"/>
    </xf>
    <xf numFmtId="175" fontId="8" fillId="0" borderId="25" xfId="0" applyNumberFormat="1" applyFont="1" applyBorder="1" applyAlignment="1">
      <alignment horizontal="center" wrapText="1"/>
    </xf>
    <xf numFmtId="175" fontId="8" fillId="0" borderId="3" xfId="0" applyNumberFormat="1" applyFont="1" applyBorder="1" applyAlignment="1">
      <alignment horizontal="center" wrapText="1"/>
    </xf>
    <xf numFmtId="175" fontId="8" fillId="0" borderId="4" xfId="0" applyNumberFormat="1" applyFont="1" applyBorder="1" applyAlignment="1">
      <alignment horizontal="center" wrapText="1"/>
    </xf>
    <xf numFmtId="175" fontId="8" fillId="0" borderId="5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75" fontId="8" fillId="0" borderId="19" xfId="0" applyNumberFormat="1" applyFont="1" applyBorder="1" applyAlignment="1">
      <alignment horizontal="center" wrapText="1"/>
    </xf>
    <xf numFmtId="175" fontId="8" fillId="0" borderId="20" xfId="0" applyNumberFormat="1" applyFont="1" applyBorder="1" applyAlignment="1">
      <alignment horizontal="center" wrapText="1"/>
    </xf>
  </cellXfs>
  <cellStyles count="287">
    <cellStyle name="$" xfId="13" xr:uid="{00000000-0005-0000-0000-000000000000}"/>
    <cellStyle name="$.00" xfId="14" xr:uid="{00000000-0005-0000-0000-000001000000}"/>
    <cellStyle name="$_9. Rev2Cost_GDPIPI" xfId="15" xr:uid="{00000000-0005-0000-0000-000002000000}"/>
    <cellStyle name="$_9. Rev2Cost_GDPIPI 2" xfId="16" xr:uid="{00000000-0005-0000-0000-000003000000}"/>
    <cellStyle name="$_9. Rev2Cost_GDPIPI_6.2 CBR B" xfId="17" xr:uid="{00000000-0005-0000-0000-000004000000}"/>
    <cellStyle name="$_9. Rev2Cost_GDPIPI_9. Shared Tax - Rate Rider" xfId="18" xr:uid="{00000000-0005-0000-0000-000005000000}"/>
    <cellStyle name="$_lists" xfId="19" xr:uid="{00000000-0005-0000-0000-000006000000}"/>
    <cellStyle name="$_lists 2" xfId="20" xr:uid="{00000000-0005-0000-0000-000007000000}"/>
    <cellStyle name="$_lists_4. Current Monthly Fixed Charge" xfId="21" xr:uid="{00000000-0005-0000-0000-000008000000}"/>
    <cellStyle name="$_lists_6.2 CBR B" xfId="22" xr:uid="{00000000-0005-0000-0000-000009000000}"/>
    <cellStyle name="$_lists_9. Shared Tax - Rate Rider" xfId="23" xr:uid="{00000000-0005-0000-0000-00000A000000}"/>
    <cellStyle name="$_Sheet4" xfId="24" xr:uid="{00000000-0005-0000-0000-00000B000000}"/>
    <cellStyle name="$_Sheet4 2" xfId="25" xr:uid="{00000000-0005-0000-0000-00000C000000}"/>
    <cellStyle name="$_Sheet4_6.2 CBR B" xfId="26" xr:uid="{00000000-0005-0000-0000-00000D000000}"/>
    <cellStyle name="$_Sheet4_9. Shared Tax - Rate Rider" xfId="27" xr:uid="{00000000-0005-0000-0000-00000E000000}"/>
    <cellStyle name="$M" xfId="28" xr:uid="{00000000-0005-0000-0000-00000F000000}"/>
    <cellStyle name="$M.00" xfId="29" xr:uid="{00000000-0005-0000-0000-000010000000}"/>
    <cellStyle name="$M_9. Rev2Cost_GDPIPI" xfId="30" xr:uid="{00000000-0005-0000-0000-000011000000}"/>
    <cellStyle name="20% - Accent1 2" xfId="31" xr:uid="{00000000-0005-0000-0000-000012000000}"/>
    <cellStyle name="20% - Accent1 2 2" xfId="32" xr:uid="{00000000-0005-0000-0000-000013000000}"/>
    <cellStyle name="20% - Accent1 2_6.2 CBR B" xfId="33" xr:uid="{00000000-0005-0000-0000-000014000000}"/>
    <cellStyle name="20% - Accent1 3" xfId="34" xr:uid="{00000000-0005-0000-0000-000015000000}"/>
    <cellStyle name="20% - Accent2 2" xfId="35" xr:uid="{00000000-0005-0000-0000-000016000000}"/>
    <cellStyle name="20% - Accent2 2 2" xfId="36" xr:uid="{00000000-0005-0000-0000-000017000000}"/>
    <cellStyle name="20% - Accent2 2_6.2 CBR B" xfId="37" xr:uid="{00000000-0005-0000-0000-000018000000}"/>
    <cellStyle name="20% - Accent2 3" xfId="38" xr:uid="{00000000-0005-0000-0000-000019000000}"/>
    <cellStyle name="20% - Accent3 2" xfId="39" xr:uid="{00000000-0005-0000-0000-00001A000000}"/>
    <cellStyle name="20% - Accent3 2 2" xfId="40" xr:uid="{00000000-0005-0000-0000-00001B000000}"/>
    <cellStyle name="20% - Accent3 2_6.2 CBR B" xfId="41" xr:uid="{00000000-0005-0000-0000-00001C000000}"/>
    <cellStyle name="20% - Accent3 3" xfId="42" xr:uid="{00000000-0005-0000-0000-00001D000000}"/>
    <cellStyle name="20% - Accent4 2" xfId="43" xr:uid="{00000000-0005-0000-0000-00001E000000}"/>
    <cellStyle name="20% - Accent4 2 2" xfId="44" xr:uid="{00000000-0005-0000-0000-00001F000000}"/>
    <cellStyle name="20% - Accent4 2_6.2 CBR B" xfId="45" xr:uid="{00000000-0005-0000-0000-000020000000}"/>
    <cellStyle name="20% - Accent4 3" xfId="46" xr:uid="{00000000-0005-0000-0000-000021000000}"/>
    <cellStyle name="20% - Accent5 2" xfId="47" xr:uid="{00000000-0005-0000-0000-000022000000}"/>
    <cellStyle name="20% - Accent5 2 2" xfId="48" xr:uid="{00000000-0005-0000-0000-000023000000}"/>
    <cellStyle name="20% - Accent5 2_6.2 CBR B" xfId="49" xr:uid="{00000000-0005-0000-0000-000024000000}"/>
    <cellStyle name="20% - Accent5 3" xfId="50" xr:uid="{00000000-0005-0000-0000-000025000000}"/>
    <cellStyle name="20% - Accent6 2" xfId="51" xr:uid="{00000000-0005-0000-0000-000026000000}"/>
    <cellStyle name="20% - Accent6 2 2" xfId="52" xr:uid="{00000000-0005-0000-0000-000027000000}"/>
    <cellStyle name="20% - Accent6 2_6.2 CBR B" xfId="53" xr:uid="{00000000-0005-0000-0000-000028000000}"/>
    <cellStyle name="20% - Accent6 3" xfId="54" xr:uid="{00000000-0005-0000-0000-000029000000}"/>
    <cellStyle name="40% - Accent1 2" xfId="55" xr:uid="{00000000-0005-0000-0000-00002A000000}"/>
    <cellStyle name="40% - Accent1 2 2" xfId="56" xr:uid="{00000000-0005-0000-0000-00002B000000}"/>
    <cellStyle name="40% - Accent1 2_6.2 CBR B" xfId="57" xr:uid="{00000000-0005-0000-0000-00002C000000}"/>
    <cellStyle name="40% - Accent1 3" xfId="58" xr:uid="{00000000-0005-0000-0000-00002D000000}"/>
    <cellStyle name="40% - Accent2 2" xfId="59" xr:uid="{00000000-0005-0000-0000-00002E000000}"/>
    <cellStyle name="40% - Accent2 2 2" xfId="60" xr:uid="{00000000-0005-0000-0000-00002F000000}"/>
    <cellStyle name="40% - Accent2 2_6.2 CBR B" xfId="61" xr:uid="{00000000-0005-0000-0000-000030000000}"/>
    <cellStyle name="40% - Accent2 3" xfId="62" xr:uid="{00000000-0005-0000-0000-000031000000}"/>
    <cellStyle name="40% - Accent3 2" xfId="63" xr:uid="{00000000-0005-0000-0000-000032000000}"/>
    <cellStyle name="40% - Accent3 2 2" xfId="64" xr:uid="{00000000-0005-0000-0000-000033000000}"/>
    <cellStyle name="40% - Accent3 2_6.2 CBR B" xfId="65" xr:uid="{00000000-0005-0000-0000-000034000000}"/>
    <cellStyle name="40% - Accent3 3" xfId="66" xr:uid="{00000000-0005-0000-0000-000035000000}"/>
    <cellStyle name="40% - Accent4 2" xfId="67" xr:uid="{00000000-0005-0000-0000-000036000000}"/>
    <cellStyle name="40% - Accent4 2 2" xfId="68" xr:uid="{00000000-0005-0000-0000-000037000000}"/>
    <cellStyle name="40% - Accent4 2_6.2 CBR B" xfId="69" xr:uid="{00000000-0005-0000-0000-000038000000}"/>
    <cellStyle name="40% - Accent4 3" xfId="70" xr:uid="{00000000-0005-0000-0000-000039000000}"/>
    <cellStyle name="40% - Accent5 2" xfId="71" xr:uid="{00000000-0005-0000-0000-00003A000000}"/>
    <cellStyle name="40% - Accent5 2 2" xfId="72" xr:uid="{00000000-0005-0000-0000-00003B000000}"/>
    <cellStyle name="40% - Accent5 2_6.2 CBR B" xfId="73" xr:uid="{00000000-0005-0000-0000-00003C000000}"/>
    <cellStyle name="40% - Accent5 3" xfId="74" xr:uid="{00000000-0005-0000-0000-00003D000000}"/>
    <cellStyle name="40% - Accent6 2" xfId="75" xr:uid="{00000000-0005-0000-0000-00003E000000}"/>
    <cellStyle name="40% - Accent6 2 2" xfId="76" xr:uid="{00000000-0005-0000-0000-00003F000000}"/>
    <cellStyle name="40% - Accent6 2_6.2 CBR B" xfId="77" xr:uid="{00000000-0005-0000-0000-000040000000}"/>
    <cellStyle name="40% - Accent6 3" xfId="78" xr:uid="{00000000-0005-0000-0000-000041000000}"/>
    <cellStyle name="60% - Accent1 2" xfId="79" xr:uid="{00000000-0005-0000-0000-000042000000}"/>
    <cellStyle name="60% - Accent2 2" xfId="80" xr:uid="{00000000-0005-0000-0000-000043000000}"/>
    <cellStyle name="60% - Accent3 2" xfId="81" xr:uid="{00000000-0005-0000-0000-000044000000}"/>
    <cellStyle name="60% - Accent4 2" xfId="82" xr:uid="{00000000-0005-0000-0000-000045000000}"/>
    <cellStyle name="60% - Accent5 2" xfId="83" xr:uid="{00000000-0005-0000-0000-000046000000}"/>
    <cellStyle name="60% - Accent6 2" xfId="84" xr:uid="{00000000-0005-0000-0000-000047000000}"/>
    <cellStyle name="Accent1 2" xfId="85" xr:uid="{00000000-0005-0000-0000-000048000000}"/>
    <cellStyle name="Accent2 2" xfId="86" xr:uid="{00000000-0005-0000-0000-000049000000}"/>
    <cellStyle name="Accent3 2" xfId="87" xr:uid="{00000000-0005-0000-0000-00004A000000}"/>
    <cellStyle name="Accent4 2" xfId="88" xr:uid="{00000000-0005-0000-0000-00004B000000}"/>
    <cellStyle name="Accent5 2" xfId="89" xr:uid="{00000000-0005-0000-0000-00004C000000}"/>
    <cellStyle name="Accent6 2" xfId="90" xr:uid="{00000000-0005-0000-0000-00004D000000}"/>
    <cellStyle name="Bad 2" xfId="91" xr:uid="{00000000-0005-0000-0000-00004E000000}"/>
    <cellStyle name="Calculation 2" xfId="92" xr:uid="{00000000-0005-0000-0000-00004F000000}"/>
    <cellStyle name="Check Cell 2" xfId="93" xr:uid="{00000000-0005-0000-0000-000050000000}"/>
    <cellStyle name="Comma" xfId="1" builtinId="3"/>
    <cellStyle name="Comma 2" xfId="12" xr:uid="{00000000-0005-0000-0000-000052000000}"/>
    <cellStyle name="Comma 2 2" xfId="94" xr:uid="{00000000-0005-0000-0000-000053000000}"/>
    <cellStyle name="Comma 2 2 2" xfId="95" xr:uid="{00000000-0005-0000-0000-000054000000}"/>
    <cellStyle name="Comma 2 2 2 2" xfId="96" xr:uid="{00000000-0005-0000-0000-000055000000}"/>
    <cellStyle name="Comma 2 2 3" xfId="97" xr:uid="{00000000-0005-0000-0000-000056000000}"/>
    <cellStyle name="Comma 2 2 3 2" xfId="98" xr:uid="{00000000-0005-0000-0000-000057000000}"/>
    <cellStyle name="Comma 2 2 4" xfId="99" xr:uid="{00000000-0005-0000-0000-000058000000}"/>
    <cellStyle name="Comma 2 2 5" xfId="100" xr:uid="{00000000-0005-0000-0000-000059000000}"/>
    <cellStyle name="Comma 2 2 6" xfId="101" xr:uid="{00000000-0005-0000-0000-00005A000000}"/>
    <cellStyle name="Comma 2 2_Database" xfId="102" xr:uid="{00000000-0005-0000-0000-00005B000000}"/>
    <cellStyle name="Comma 3" xfId="11" xr:uid="{00000000-0005-0000-0000-00005C000000}"/>
    <cellStyle name="Comma 3 2" xfId="103" xr:uid="{00000000-0005-0000-0000-00005D000000}"/>
    <cellStyle name="Comma 3 2 2" xfId="104" xr:uid="{00000000-0005-0000-0000-00005E000000}"/>
    <cellStyle name="Comma 3 3" xfId="105" xr:uid="{00000000-0005-0000-0000-00005F000000}"/>
    <cellStyle name="Comma 3 4" xfId="106" xr:uid="{00000000-0005-0000-0000-000060000000}"/>
    <cellStyle name="Comma 4" xfId="107" xr:uid="{00000000-0005-0000-0000-000061000000}"/>
    <cellStyle name="Comma 4 2" xfId="108" xr:uid="{00000000-0005-0000-0000-000062000000}"/>
    <cellStyle name="Comma 4 3" xfId="109" xr:uid="{00000000-0005-0000-0000-000063000000}"/>
    <cellStyle name="Comma 4 6" xfId="110" xr:uid="{00000000-0005-0000-0000-000064000000}"/>
    <cellStyle name="Comma 4 6 2" xfId="111" xr:uid="{00000000-0005-0000-0000-000065000000}"/>
    <cellStyle name="Comma 4 6 3" xfId="112" xr:uid="{00000000-0005-0000-0000-000066000000}"/>
    <cellStyle name="Comma 4 6 4" xfId="113" xr:uid="{00000000-0005-0000-0000-000067000000}"/>
    <cellStyle name="Comma 4 6 5" xfId="114" xr:uid="{00000000-0005-0000-0000-000068000000}"/>
    <cellStyle name="Comma 4 6 6" xfId="115" xr:uid="{00000000-0005-0000-0000-000069000000}"/>
    <cellStyle name="Comma 5" xfId="116" xr:uid="{00000000-0005-0000-0000-00006A000000}"/>
    <cellStyle name="Comma 5 14" xfId="8" xr:uid="{00000000-0005-0000-0000-00006B000000}"/>
    <cellStyle name="Comma 5 2" xfId="117" xr:uid="{00000000-0005-0000-0000-00006C000000}"/>
    <cellStyle name="Comma 6" xfId="118" xr:uid="{00000000-0005-0000-0000-00006D000000}"/>
    <cellStyle name="Comma 7" xfId="119" xr:uid="{00000000-0005-0000-0000-00006E000000}"/>
    <cellStyle name="Comma0" xfId="120" xr:uid="{00000000-0005-0000-0000-00006F000000}"/>
    <cellStyle name="Currency 11" xfId="121" xr:uid="{00000000-0005-0000-0000-000070000000}"/>
    <cellStyle name="Currency 2" xfId="122" xr:uid="{00000000-0005-0000-0000-000071000000}"/>
    <cellStyle name="Currency 2 2" xfId="123" xr:uid="{00000000-0005-0000-0000-000072000000}"/>
    <cellStyle name="Currency 2 3" xfId="124" xr:uid="{00000000-0005-0000-0000-000073000000}"/>
    <cellStyle name="Currency 3" xfId="125" xr:uid="{00000000-0005-0000-0000-000074000000}"/>
    <cellStyle name="Currency 3 2" xfId="126" xr:uid="{00000000-0005-0000-0000-000075000000}"/>
    <cellStyle name="Currency 3 3" xfId="127" xr:uid="{00000000-0005-0000-0000-000076000000}"/>
    <cellStyle name="Currency 3 4" xfId="128" xr:uid="{00000000-0005-0000-0000-000077000000}"/>
    <cellStyle name="Currency 3 5" xfId="129" xr:uid="{00000000-0005-0000-0000-000078000000}"/>
    <cellStyle name="Currency 4" xfId="130" xr:uid="{00000000-0005-0000-0000-000079000000}"/>
    <cellStyle name="Currency 4 2" xfId="131" xr:uid="{00000000-0005-0000-0000-00007A000000}"/>
    <cellStyle name="Currency 4 2 2" xfId="132" xr:uid="{00000000-0005-0000-0000-00007B000000}"/>
    <cellStyle name="Currency 4 3" xfId="133" xr:uid="{00000000-0005-0000-0000-00007C000000}"/>
    <cellStyle name="Currency 4 3 2" xfId="134" xr:uid="{00000000-0005-0000-0000-00007D000000}"/>
    <cellStyle name="Currency 4 4" xfId="135" xr:uid="{00000000-0005-0000-0000-00007E000000}"/>
    <cellStyle name="Currency 4 5" xfId="136" xr:uid="{00000000-0005-0000-0000-00007F000000}"/>
    <cellStyle name="Currency 4 6" xfId="137" xr:uid="{00000000-0005-0000-0000-000080000000}"/>
    <cellStyle name="Currency 5" xfId="138" xr:uid="{00000000-0005-0000-0000-000081000000}"/>
    <cellStyle name="Currency 5 2" xfId="139" xr:uid="{00000000-0005-0000-0000-000082000000}"/>
    <cellStyle name="Currency 6" xfId="140" xr:uid="{00000000-0005-0000-0000-000083000000}"/>
    <cellStyle name="Currency 6 2" xfId="141" xr:uid="{00000000-0005-0000-0000-000084000000}"/>
    <cellStyle name="Currency 7" xfId="142" xr:uid="{00000000-0005-0000-0000-000085000000}"/>
    <cellStyle name="Currency 8" xfId="143" xr:uid="{00000000-0005-0000-0000-000086000000}"/>
    <cellStyle name="Currency 9" xfId="144" xr:uid="{00000000-0005-0000-0000-000087000000}"/>
    <cellStyle name="Currency0" xfId="145" xr:uid="{00000000-0005-0000-0000-000088000000}"/>
    <cellStyle name="Date" xfId="146" xr:uid="{00000000-0005-0000-0000-000089000000}"/>
    <cellStyle name="Explanatory Text 2" xfId="147" xr:uid="{00000000-0005-0000-0000-00008A000000}"/>
    <cellStyle name="Fixed" xfId="148" xr:uid="{00000000-0005-0000-0000-00008B000000}"/>
    <cellStyle name="Good 2" xfId="149" xr:uid="{00000000-0005-0000-0000-00008C000000}"/>
    <cellStyle name="Grey" xfId="150" xr:uid="{00000000-0005-0000-0000-00008D000000}"/>
    <cellStyle name="Heading 1 2" xfId="151" xr:uid="{00000000-0005-0000-0000-00008E000000}"/>
    <cellStyle name="Heading 2 2" xfId="152" xr:uid="{00000000-0005-0000-0000-00008F000000}"/>
    <cellStyle name="Heading 3 2" xfId="153" xr:uid="{00000000-0005-0000-0000-000090000000}"/>
    <cellStyle name="Heading 4 2" xfId="154" xr:uid="{00000000-0005-0000-0000-000091000000}"/>
    <cellStyle name="Hyperlink 2" xfId="155" xr:uid="{00000000-0005-0000-0000-000092000000}"/>
    <cellStyle name="Input [yellow]" xfId="156" xr:uid="{00000000-0005-0000-0000-000093000000}"/>
    <cellStyle name="Input 2" xfId="157" xr:uid="{00000000-0005-0000-0000-000094000000}"/>
    <cellStyle name="Linked Cell 2" xfId="158" xr:uid="{00000000-0005-0000-0000-000095000000}"/>
    <cellStyle name="M" xfId="159" xr:uid="{00000000-0005-0000-0000-000096000000}"/>
    <cellStyle name="M.00" xfId="160" xr:uid="{00000000-0005-0000-0000-000097000000}"/>
    <cellStyle name="M_9. Rev2Cost_GDPIPI" xfId="161" xr:uid="{00000000-0005-0000-0000-000098000000}"/>
    <cellStyle name="M_9. Rev2Cost_GDPIPI 2" xfId="162" xr:uid="{00000000-0005-0000-0000-000099000000}"/>
    <cellStyle name="M_9. Rev2Cost_GDPIPI_6.2 CBR B" xfId="163" xr:uid="{00000000-0005-0000-0000-00009A000000}"/>
    <cellStyle name="M_9. Rev2Cost_GDPIPI_9. Shared Tax - Rate Rider" xfId="164" xr:uid="{00000000-0005-0000-0000-00009B000000}"/>
    <cellStyle name="M_lists" xfId="165" xr:uid="{00000000-0005-0000-0000-00009C000000}"/>
    <cellStyle name="M_lists 2" xfId="166" xr:uid="{00000000-0005-0000-0000-00009D000000}"/>
    <cellStyle name="M_lists_4. Current Monthly Fixed Charge" xfId="167" xr:uid="{00000000-0005-0000-0000-00009E000000}"/>
    <cellStyle name="M_lists_6.2 CBR B" xfId="168" xr:uid="{00000000-0005-0000-0000-00009F000000}"/>
    <cellStyle name="M_lists_9. Shared Tax - Rate Rider" xfId="169" xr:uid="{00000000-0005-0000-0000-0000A0000000}"/>
    <cellStyle name="M_Sheet4" xfId="170" xr:uid="{00000000-0005-0000-0000-0000A1000000}"/>
    <cellStyle name="M_Sheet4 2" xfId="171" xr:uid="{00000000-0005-0000-0000-0000A2000000}"/>
    <cellStyle name="M_Sheet4_6.2 CBR B" xfId="172" xr:uid="{00000000-0005-0000-0000-0000A3000000}"/>
    <cellStyle name="M_Sheet4_9. Shared Tax - Rate Rider" xfId="173" xr:uid="{00000000-0005-0000-0000-0000A4000000}"/>
    <cellStyle name="Neutral 2" xfId="174" xr:uid="{00000000-0005-0000-0000-0000A5000000}"/>
    <cellStyle name="Normal" xfId="0" builtinId="0"/>
    <cellStyle name="Normal - Style1" xfId="175" xr:uid="{00000000-0005-0000-0000-0000A7000000}"/>
    <cellStyle name="Normal 10" xfId="176" xr:uid="{00000000-0005-0000-0000-0000A8000000}"/>
    <cellStyle name="Normal 10 12" xfId="177" xr:uid="{00000000-0005-0000-0000-0000A9000000}"/>
    <cellStyle name="Normal 11" xfId="178" xr:uid="{00000000-0005-0000-0000-0000AA000000}"/>
    <cellStyle name="Normal 12" xfId="179" xr:uid="{00000000-0005-0000-0000-0000AB000000}"/>
    <cellStyle name="Normal 13" xfId="10" xr:uid="{00000000-0005-0000-0000-0000AC000000}"/>
    <cellStyle name="Normal 13 6" xfId="180" xr:uid="{00000000-0005-0000-0000-0000AD000000}"/>
    <cellStyle name="Normal 15" xfId="181" xr:uid="{00000000-0005-0000-0000-0000AE000000}"/>
    <cellStyle name="Normal 167" xfId="182" xr:uid="{00000000-0005-0000-0000-0000AF000000}"/>
    <cellStyle name="Normal 167 2" xfId="183" xr:uid="{00000000-0005-0000-0000-0000B0000000}"/>
    <cellStyle name="Normal 167_6.2 CBR B" xfId="184" xr:uid="{00000000-0005-0000-0000-0000B1000000}"/>
    <cellStyle name="Normal 168" xfId="185" xr:uid="{00000000-0005-0000-0000-0000B2000000}"/>
    <cellStyle name="Normal 168 2" xfId="186" xr:uid="{00000000-0005-0000-0000-0000B3000000}"/>
    <cellStyle name="Normal 168_6.2 CBR B" xfId="187" xr:uid="{00000000-0005-0000-0000-0000B4000000}"/>
    <cellStyle name="Normal 169" xfId="188" xr:uid="{00000000-0005-0000-0000-0000B5000000}"/>
    <cellStyle name="Normal 169 2" xfId="189" xr:uid="{00000000-0005-0000-0000-0000B6000000}"/>
    <cellStyle name="Normal 169_6.2 CBR B" xfId="190" xr:uid="{00000000-0005-0000-0000-0000B7000000}"/>
    <cellStyle name="Normal 170" xfId="191" xr:uid="{00000000-0005-0000-0000-0000B8000000}"/>
    <cellStyle name="Normal 170 2" xfId="192" xr:uid="{00000000-0005-0000-0000-0000B9000000}"/>
    <cellStyle name="Normal 170_6.2 CBR B" xfId="193" xr:uid="{00000000-0005-0000-0000-0000BA000000}"/>
    <cellStyle name="Normal 171" xfId="194" xr:uid="{00000000-0005-0000-0000-0000BB000000}"/>
    <cellStyle name="Normal 171 2" xfId="195" xr:uid="{00000000-0005-0000-0000-0000BC000000}"/>
    <cellStyle name="Normal 171_6.2 CBR B" xfId="196" xr:uid="{00000000-0005-0000-0000-0000BD000000}"/>
    <cellStyle name="Normal 19" xfId="197" xr:uid="{00000000-0005-0000-0000-0000BE000000}"/>
    <cellStyle name="Normal 2" xfId="198" xr:uid="{00000000-0005-0000-0000-0000BF000000}"/>
    <cellStyle name="Normal 2 2 2 2 2" xfId="4" xr:uid="{00000000-0005-0000-0000-0000C0000000}"/>
    <cellStyle name="Normal 25" xfId="199" xr:uid="{00000000-0005-0000-0000-0000C1000000}"/>
    <cellStyle name="Normal 3" xfId="5" xr:uid="{00000000-0005-0000-0000-0000C2000000}"/>
    <cellStyle name="Normal 3 2" xfId="201" xr:uid="{00000000-0005-0000-0000-0000C3000000}"/>
    <cellStyle name="Normal 3 3" xfId="200" xr:uid="{00000000-0005-0000-0000-0000C4000000}"/>
    <cellStyle name="Normal 3_6.2 CBR B" xfId="202" xr:uid="{00000000-0005-0000-0000-0000C5000000}"/>
    <cellStyle name="Normal 30" xfId="203" xr:uid="{00000000-0005-0000-0000-0000C6000000}"/>
    <cellStyle name="Normal 31" xfId="204" xr:uid="{00000000-0005-0000-0000-0000C7000000}"/>
    <cellStyle name="Normal 4" xfId="205" xr:uid="{00000000-0005-0000-0000-0000C8000000}"/>
    <cellStyle name="Normal 4 2" xfId="206" xr:uid="{00000000-0005-0000-0000-0000C9000000}"/>
    <cellStyle name="Normal 4_6.2 CBR B" xfId="207" xr:uid="{00000000-0005-0000-0000-0000CA000000}"/>
    <cellStyle name="Normal 41" xfId="208" xr:uid="{00000000-0005-0000-0000-0000CB000000}"/>
    <cellStyle name="Normal 42" xfId="209" xr:uid="{00000000-0005-0000-0000-0000CC000000}"/>
    <cellStyle name="Normal 5" xfId="210" xr:uid="{00000000-0005-0000-0000-0000CD000000}"/>
    <cellStyle name="Normal 5 2" xfId="211" xr:uid="{00000000-0005-0000-0000-0000CE000000}"/>
    <cellStyle name="Normal 5 2 2" xfId="212" xr:uid="{00000000-0005-0000-0000-0000CF000000}"/>
    <cellStyle name="Normal 5 2_6.2 CBR B" xfId="213" xr:uid="{00000000-0005-0000-0000-0000D0000000}"/>
    <cellStyle name="Normal 5 3" xfId="214" xr:uid="{00000000-0005-0000-0000-0000D1000000}"/>
    <cellStyle name="Normal 5_6.2 CBR B" xfId="215" xr:uid="{00000000-0005-0000-0000-0000D2000000}"/>
    <cellStyle name="Normal 50" xfId="216" xr:uid="{00000000-0005-0000-0000-0000D3000000}"/>
    <cellStyle name="Normal 51" xfId="217" xr:uid="{00000000-0005-0000-0000-0000D4000000}"/>
    <cellStyle name="Normal 52" xfId="218" xr:uid="{00000000-0005-0000-0000-0000D5000000}"/>
    <cellStyle name="Normal 6" xfId="219" xr:uid="{00000000-0005-0000-0000-0000D6000000}"/>
    <cellStyle name="Normal 6 2" xfId="220" xr:uid="{00000000-0005-0000-0000-0000D7000000}"/>
    <cellStyle name="Normal 6 3" xfId="221" xr:uid="{00000000-0005-0000-0000-0000D8000000}"/>
    <cellStyle name="Normal 6 4" xfId="222" xr:uid="{00000000-0005-0000-0000-0000D9000000}"/>
    <cellStyle name="Normal 6 5" xfId="223" xr:uid="{00000000-0005-0000-0000-0000DA000000}"/>
    <cellStyle name="Normal 6_6.2 CBR B" xfId="224" xr:uid="{00000000-0005-0000-0000-0000DB000000}"/>
    <cellStyle name="Normal 60" xfId="225" xr:uid="{00000000-0005-0000-0000-0000DC000000}"/>
    <cellStyle name="Normal 61" xfId="226" xr:uid="{00000000-0005-0000-0000-0000DD000000}"/>
    <cellStyle name="Normal 67" xfId="2" xr:uid="{00000000-0005-0000-0000-0000DE000000}"/>
    <cellStyle name="Normal 67 2" xfId="9" xr:uid="{00000000-0005-0000-0000-0000DF000000}"/>
    <cellStyle name="Normal 67 3" xfId="286" xr:uid="{00000000-0005-0000-0000-0000E0000000}"/>
    <cellStyle name="Normal 7" xfId="227" xr:uid="{00000000-0005-0000-0000-0000E1000000}"/>
    <cellStyle name="Normal 8" xfId="228" xr:uid="{00000000-0005-0000-0000-0000E2000000}"/>
    <cellStyle name="Normal 9" xfId="229" xr:uid="{00000000-0005-0000-0000-0000E3000000}"/>
    <cellStyle name="Note 2" xfId="230" xr:uid="{00000000-0005-0000-0000-0000E4000000}"/>
    <cellStyle name="Note 2 2" xfId="231" xr:uid="{00000000-0005-0000-0000-0000E5000000}"/>
    <cellStyle name="Note 3" xfId="232" xr:uid="{00000000-0005-0000-0000-0000E6000000}"/>
    <cellStyle name="Output 2" xfId="233" xr:uid="{00000000-0005-0000-0000-0000E7000000}"/>
    <cellStyle name="Percent" xfId="3" builtinId="5"/>
    <cellStyle name="Percent [2]" xfId="234" xr:uid="{00000000-0005-0000-0000-0000E9000000}"/>
    <cellStyle name="Percent 10" xfId="235" xr:uid="{00000000-0005-0000-0000-0000EA000000}"/>
    <cellStyle name="Percent 11" xfId="236" xr:uid="{00000000-0005-0000-0000-0000EB000000}"/>
    <cellStyle name="Percent 12" xfId="237" xr:uid="{00000000-0005-0000-0000-0000EC000000}"/>
    <cellStyle name="Percent 13" xfId="238" xr:uid="{00000000-0005-0000-0000-0000ED000000}"/>
    <cellStyle name="Percent 13 6" xfId="239" xr:uid="{00000000-0005-0000-0000-0000EE000000}"/>
    <cellStyle name="Percent 14" xfId="240" xr:uid="{00000000-0005-0000-0000-0000EF000000}"/>
    <cellStyle name="Percent 15" xfId="241" xr:uid="{00000000-0005-0000-0000-0000F0000000}"/>
    <cellStyle name="Percent 16" xfId="242" xr:uid="{00000000-0005-0000-0000-0000F1000000}"/>
    <cellStyle name="Percent 17" xfId="243" xr:uid="{00000000-0005-0000-0000-0000F2000000}"/>
    <cellStyle name="Percent 18" xfId="244" xr:uid="{00000000-0005-0000-0000-0000F3000000}"/>
    <cellStyle name="Percent 19" xfId="245" xr:uid="{00000000-0005-0000-0000-0000F4000000}"/>
    <cellStyle name="Percent 2" xfId="246" xr:uid="{00000000-0005-0000-0000-0000F5000000}"/>
    <cellStyle name="Percent 20" xfId="247" xr:uid="{00000000-0005-0000-0000-0000F6000000}"/>
    <cellStyle name="Percent 21" xfId="248" xr:uid="{00000000-0005-0000-0000-0000F7000000}"/>
    <cellStyle name="Percent 22" xfId="249" xr:uid="{00000000-0005-0000-0000-0000F8000000}"/>
    <cellStyle name="Percent 23" xfId="250" xr:uid="{00000000-0005-0000-0000-0000F9000000}"/>
    <cellStyle name="Percent 24" xfId="251" xr:uid="{00000000-0005-0000-0000-0000FA000000}"/>
    <cellStyle name="Percent 25" xfId="252" xr:uid="{00000000-0005-0000-0000-0000FB000000}"/>
    <cellStyle name="Percent 26" xfId="253" xr:uid="{00000000-0005-0000-0000-0000FC000000}"/>
    <cellStyle name="Percent 27" xfId="254" xr:uid="{00000000-0005-0000-0000-0000FD000000}"/>
    <cellStyle name="Percent 28" xfId="255" xr:uid="{00000000-0005-0000-0000-0000FE000000}"/>
    <cellStyle name="Percent 29" xfId="256" xr:uid="{00000000-0005-0000-0000-0000FF000000}"/>
    <cellStyle name="Percent 3" xfId="6" xr:uid="{00000000-0005-0000-0000-000000010000}"/>
    <cellStyle name="Percent 3 2" xfId="258" xr:uid="{00000000-0005-0000-0000-000001010000}"/>
    <cellStyle name="Percent 3 2 2" xfId="259" xr:uid="{00000000-0005-0000-0000-000002010000}"/>
    <cellStyle name="Percent 3 3" xfId="260" xr:uid="{00000000-0005-0000-0000-000003010000}"/>
    <cellStyle name="Percent 3 4" xfId="257" xr:uid="{00000000-0005-0000-0000-000004010000}"/>
    <cellStyle name="Percent 30" xfId="261" xr:uid="{00000000-0005-0000-0000-000005010000}"/>
    <cellStyle name="Percent 31" xfId="262" xr:uid="{00000000-0005-0000-0000-000006010000}"/>
    <cellStyle name="Percent 32" xfId="263" xr:uid="{00000000-0005-0000-0000-000007010000}"/>
    <cellStyle name="Percent 33" xfId="264" xr:uid="{00000000-0005-0000-0000-000008010000}"/>
    <cellStyle name="Percent 34" xfId="265" xr:uid="{00000000-0005-0000-0000-000009010000}"/>
    <cellStyle name="Percent 35" xfId="266" xr:uid="{00000000-0005-0000-0000-00000A010000}"/>
    <cellStyle name="Percent 36" xfId="267" xr:uid="{00000000-0005-0000-0000-00000B010000}"/>
    <cellStyle name="Percent 37" xfId="268" xr:uid="{00000000-0005-0000-0000-00000C010000}"/>
    <cellStyle name="Percent 38" xfId="269" xr:uid="{00000000-0005-0000-0000-00000D010000}"/>
    <cellStyle name="Percent 39" xfId="270" xr:uid="{00000000-0005-0000-0000-00000E010000}"/>
    <cellStyle name="Percent 4" xfId="271" xr:uid="{00000000-0005-0000-0000-00000F010000}"/>
    <cellStyle name="Percent 4 2" xfId="272" xr:uid="{00000000-0005-0000-0000-000010010000}"/>
    <cellStyle name="Percent 4 3" xfId="273" xr:uid="{00000000-0005-0000-0000-000011010000}"/>
    <cellStyle name="Percent 40" xfId="274" xr:uid="{00000000-0005-0000-0000-000012010000}"/>
    <cellStyle name="Percent 41" xfId="275" xr:uid="{00000000-0005-0000-0000-000013010000}"/>
    <cellStyle name="Percent 42" xfId="276" xr:uid="{00000000-0005-0000-0000-000014010000}"/>
    <cellStyle name="Percent 5" xfId="277" xr:uid="{00000000-0005-0000-0000-000015010000}"/>
    <cellStyle name="Percent 5 3" xfId="7" xr:uid="{00000000-0005-0000-0000-000016010000}"/>
    <cellStyle name="Percent 54" xfId="278" xr:uid="{00000000-0005-0000-0000-000017010000}"/>
    <cellStyle name="Percent 6" xfId="279" xr:uid="{00000000-0005-0000-0000-000018010000}"/>
    <cellStyle name="Percent 7" xfId="280" xr:uid="{00000000-0005-0000-0000-000019010000}"/>
    <cellStyle name="Percent 8" xfId="281" xr:uid="{00000000-0005-0000-0000-00001A010000}"/>
    <cellStyle name="Percent 9" xfId="282" xr:uid="{00000000-0005-0000-0000-00001B010000}"/>
    <cellStyle name="Title 2" xfId="283" xr:uid="{00000000-0005-0000-0000-00001C010000}"/>
    <cellStyle name="Total 2" xfId="284" xr:uid="{00000000-0005-0000-0000-00001D010000}"/>
    <cellStyle name="Warning Text 2" xfId="285" xr:uid="{00000000-0005-0000-0000-00001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Weather!$D$122:$D$241</c:f>
              <c:numCache>
                <c:formatCode>0.00</c:formatCode>
                <c:ptCount val="120"/>
                <c:pt idx="0">
                  <c:v>-6.7387096774193553</c:v>
                </c:pt>
                <c:pt idx="1">
                  <c:v>-2.0749999999999997</c:v>
                </c:pt>
                <c:pt idx="2">
                  <c:v>1.532258064516129</c:v>
                </c:pt>
                <c:pt idx="3">
                  <c:v>7.31</c:v>
                </c:pt>
                <c:pt idx="4">
                  <c:v>12.75483870967742</c:v>
                </c:pt>
                <c:pt idx="5">
                  <c:v>17.443333333333332</c:v>
                </c:pt>
                <c:pt idx="6">
                  <c:v>19.235483870967741</c:v>
                </c:pt>
                <c:pt idx="7">
                  <c:v>21.296774193548387</c:v>
                </c:pt>
                <c:pt idx="8">
                  <c:v>17.513333333333332</c:v>
                </c:pt>
                <c:pt idx="9">
                  <c:v>9.6516129032258053</c:v>
                </c:pt>
                <c:pt idx="10">
                  <c:v>7.1466666666666665</c:v>
                </c:pt>
                <c:pt idx="11">
                  <c:v>-0.71612903225806457</c:v>
                </c:pt>
                <c:pt idx="12">
                  <c:v>-3.5870967741935478</c:v>
                </c:pt>
                <c:pt idx="13">
                  <c:v>-2.0214285714285714</c:v>
                </c:pt>
                <c:pt idx="14">
                  <c:v>4.5032258064516126</c:v>
                </c:pt>
                <c:pt idx="15">
                  <c:v>9.7033333333333349</c:v>
                </c:pt>
                <c:pt idx="16">
                  <c:v>14.548387096774196</c:v>
                </c:pt>
                <c:pt idx="17">
                  <c:v>19.37</c:v>
                </c:pt>
                <c:pt idx="18">
                  <c:v>23.412903225806449</c:v>
                </c:pt>
                <c:pt idx="19">
                  <c:v>22.700000000000003</c:v>
                </c:pt>
                <c:pt idx="20">
                  <c:v>16.953333333333333</c:v>
                </c:pt>
                <c:pt idx="21">
                  <c:v>11.558064516129031</c:v>
                </c:pt>
                <c:pt idx="22">
                  <c:v>5.2633333333333336</c:v>
                </c:pt>
                <c:pt idx="23">
                  <c:v>-2.4387096774193551</c:v>
                </c:pt>
                <c:pt idx="24">
                  <c:v>-5.4419354838709673</c:v>
                </c:pt>
                <c:pt idx="25">
                  <c:v>-3.6142857142857139</c:v>
                </c:pt>
                <c:pt idx="26">
                  <c:v>0.40322580645161288</c:v>
                </c:pt>
                <c:pt idx="27">
                  <c:v>6.1433333333333335</c:v>
                </c:pt>
                <c:pt idx="28">
                  <c:v>11.96774193548387</c:v>
                </c:pt>
                <c:pt idx="29">
                  <c:v>18.653333333333332</c:v>
                </c:pt>
                <c:pt idx="30">
                  <c:v>24.125806451612902</c:v>
                </c:pt>
                <c:pt idx="31">
                  <c:v>21.819354838709678</c:v>
                </c:pt>
                <c:pt idx="32">
                  <c:v>17.616666666666667</c:v>
                </c:pt>
                <c:pt idx="33">
                  <c:v>11.587096774193549</c:v>
                </c:pt>
                <c:pt idx="34">
                  <c:v>8.0533333333333328</c:v>
                </c:pt>
                <c:pt idx="35">
                  <c:v>2.4741935483870963</c:v>
                </c:pt>
                <c:pt idx="36">
                  <c:v>-0.34516129032258075</c:v>
                </c:pt>
                <c:pt idx="37">
                  <c:v>0.84827586206896544</c:v>
                </c:pt>
                <c:pt idx="38">
                  <c:v>6.112903225806452</c:v>
                </c:pt>
                <c:pt idx="39">
                  <c:v>7.86</c:v>
                </c:pt>
                <c:pt idx="40">
                  <c:v>15.490322580645163</c:v>
                </c:pt>
                <c:pt idx="41">
                  <c:v>20.633333333333333</c:v>
                </c:pt>
                <c:pt idx="42">
                  <c:v>24.2258064516129</c:v>
                </c:pt>
                <c:pt idx="43">
                  <c:v>22.219354838709677</c:v>
                </c:pt>
                <c:pt idx="44">
                  <c:v>17.386666666666663</c:v>
                </c:pt>
                <c:pt idx="45">
                  <c:v>10.816129032258065</c:v>
                </c:pt>
                <c:pt idx="46">
                  <c:v>4.8366666666666669</c:v>
                </c:pt>
                <c:pt idx="47">
                  <c:v>2.5354838709677421</c:v>
                </c:pt>
                <c:pt idx="48">
                  <c:v>-0.74838709677419368</c:v>
                </c:pt>
                <c:pt idx="49">
                  <c:v>-2.9821428571428572</c:v>
                </c:pt>
                <c:pt idx="50">
                  <c:v>1.1193548387096774</c:v>
                </c:pt>
                <c:pt idx="51">
                  <c:v>6.0466666666666669</c:v>
                </c:pt>
                <c:pt idx="52">
                  <c:v>13.312903225806453</c:v>
                </c:pt>
                <c:pt idx="53">
                  <c:v>18.400000000000002</c:v>
                </c:pt>
                <c:pt idx="54">
                  <c:v>22.22258064516129</c:v>
                </c:pt>
                <c:pt idx="55">
                  <c:v>20.870967741935488</c:v>
                </c:pt>
                <c:pt idx="56">
                  <c:v>16.766666666666669</c:v>
                </c:pt>
                <c:pt idx="57">
                  <c:v>11.85483870967742</c:v>
                </c:pt>
                <c:pt idx="58">
                  <c:v>3.776666666666666</c:v>
                </c:pt>
                <c:pt idx="59">
                  <c:v>-2.1290322580645156</c:v>
                </c:pt>
                <c:pt idx="60">
                  <c:v>-6.9064516129032256</c:v>
                </c:pt>
                <c:pt idx="61">
                  <c:v>-6.8785714285714272</c:v>
                </c:pt>
                <c:pt idx="62">
                  <c:v>-2.9806451612903229</c:v>
                </c:pt>
                <c:pt idx="63">
                  <c:v>5.8566666666666682</c:v>
                </c:pt>
                <c:pt idx="64">
                  <c:v>12.861290322580649</c:v>
                </c:pt>
                <c:pt idx="65">
                  <c:v>18.513333333333328</c:v>
                </c:pt>
                <c:pt idx="66">
                  <c:v>19.825806451612905</c:v>
                </c:pt>
                <c:pt idx="67">
                  <c:v>20.070967741935487</c:v>
                </c:pt>
                <c:pt idx="68">
                  <c:v>17.286666666666665</c:v>
                </c:pt>
                <c:pt idx="69">
                  <c:v>11.712903225806446</c:v>
                </c:pt>
                <c:pt idx="70">
                  <c:v>3.2833333333333328</c:v>
                </c:pt>
                <c:pt idx="71">
                  <c:v>1.2548387096774198</c:v>
                </c:pt>
                <c:pt idx="72">
                  <c:v>-5.8580645161290343</c:v>
                </c:pt>
                <c:pt idx="73">
                  <c:v>-11.139285714285718</c:v>
                </c:pt>
                <c:pt idx="74">
                  <c:v>-1.1612903225806448</c:v>
                </c:pt>
                <c:pt idx="75">
                  <c:v>7.2700000000000022</c:v>
                </c:pt>
                <c:pt idx="76">
                  <c:v>14.535483870967743</c:v>
                </c:pt>
                <c:pt idx="77">
                  <c:v>16.886666666666663</c:v>
                </c:pt>
                <c:pt idx="78">
                  <c:v>21.899999999999995</c:v>
                </c:pt>
                <c:pt idx="79">
                  <c:v>20.796774193548384</c:v>
                </c:pt>
                <c:pt idx="80">
                  <c:v>20.030000000000005</c:v>
                </c:pt>
                <c:pt idx="81">
                  <c:v>11.587096774193544</c:v>
                </c:pt>
                <c:pt idx="82">
                  <c:v>7.9633333333333329</c:v>
                </c:pt>
                <c:pt idx="83">
                  <c:v>5.2741935483870979</c:v>
                </c:pt>
                <c:pt idx="84">
                  <c:v>-2.1612903225806446</c:v>
                </c:pt>
                <c:pt idx="85">
                  <c:v>-0.76896551724137929</c:v>
                </c:pt>
                <c:pt idx="86">
                  <c:v>3.4451612903225803</c:v>
                </c:pt>
                <c:pt idx="87">
                  <c:v>4.9666666666666659</c:v>
                </c:pt>
                <c:pt idx="88">
                  <c:v>13.870967741935482</c:v>
                </c:pt>
                <c:pt idx="89">
                  <c:v>19.386666666666663</c:v>
                </c:pt>
                <c:pt idx="90">
                  <c:v>22.919354838709673</c:v>
                </c:pt>
                <c:pt idx="91">
                  <c:v>23.735483870967741</c:v>
                </c:pt>
                <c:pt idx="92">
                  <c:v>20.029999999999998</c:v>
                </c:pt>
                <c:pt idx="93">
                  <c:v>13.20967741935484</c:v>
                </c:pt>
                <c:pt idx="94">
                  <c:v>8.2366666666666628</c:v>
                </c:pt>
                <c:pt idx="95">
                  <c:v>-3.2258064516129135E-2</c:v>
                </c:pt>
                <c:pt idx="96">
                  <c:v>-0.34193548387096795</c:v>
                </c:pt>
                <c:pt idx="97">
                  <c:v>1.1714285714285715</c:v>
                </c:pt>
                <c:pt idx="98">
                  <c:v>0.54193548387096779</c:v>
                </c:pt>
                <c:pt idx="99">
                  <c:v>8.9300000000000015</c:v>
                </c:pt>
                <c:pt idx="100">
                  <c:v>11.783870967741937</c:v>
                </c:pt>
                <c:pt idx="101">
                  <c:v>19.303333333333331</c:v>
                </c:pt>
                <c:pt idx="102">
                  <c:v>21.661290322580644</c:v>
                </c:pt>
                <c:pt idx="103">
                  <c:v>20.522580645161295</c:v>
                </c:pt>
                <c:pt idx="104">
                  <c:v>18.610000000000003</c:v>
                </c:pt>
                <c:pt idx="105">
                  <c:v>14.658064516129036</c:v>
                </c:pt>
                <c:pt idx="106">
                  <c:v>5.0699999999999994</c:v>
                </c:pt>
                <c:pt idx="107">
                  <c:v>-2.9419354838709673</c:v>
                </c:pt>
                <c:pt idx="108">
                  <c:v>-3.9451612903225803</c:v>
                </c:pt>
                <c:pt idx="109">
                  <c:v>-0.28928571428571387</c:v>
                </c:pt>
                <c:pt idx="110">
                  <c:v>0.77741935483870972</c:v>
                </c:pt>
                <c:pt idx="111">
                  <c:v>4.0233333333333334</c:v>
                </c:pt>
                <c:pt idx="112">
                  <c:v>14.790322580645164</c:v>
                </c:pt>
                <c:pt idx="113">
                  <c:v>19.029999999999998</c:v>
                </c:pt>
                <c:pt idx="114">
                  <c:v>23.296774193548391</c:v>
                </c:pt>
                <c:pt idx="115">
                  <c:v>23.283870967741933</c:v>
                </c:pt>
                <c:pt idx="116">
                  <c:v>19.446666666666669</c:v>
                </c:pt>
                <c:pt idx="117">
                  <c:v>10.645161290322582</c:v>
                </c:pt>
                <c:pt idx="118">
                  <c:v>2.9200000000000004</c:v>
                </c:pt>
                <c:pt idx="119">
                  <c:v>1.3548387096774193</c:v>
                </c:pt>
              </c:numCache>
            </c:numRef>
          </c:xVal>
          <c:yVal>
            <c:numRef>
              <c:f>Weather!$S$122:$S$241</c:f>
              <c:numCache>
                <c:formatCode>_(* #,##0_);_(* \(#,##0\);_(* "-"??_);_(@_)</c:formatCode>
                <c:ptCount val="120"/>
                <c:pt idx="12" formatCode="_(* #,##0.00_);_(* \(#,##0.00\);_(* &quot;-&quot;??_);_(@_)">
                  <c:v>27.644441049369242</c:v>
                </c:pt>
                <c:pt idx="13" formatCode="_(* #,##0.00_);_(* \(#,##0.00\);_(* &quot;-&quot;??_);_(@_)">
                  <c:v>25.244456195710594</c:v>
                </c:pt>
                <c:pt idx="14" formatCode="_(* #,##0.00_);_(* \(#,##0.00\);_(* &quot;-&quot;??_);_(@_)">
                  <c:v>22.867800013303675</c:v>
                </c:pt>
                <c:pt idx="15" formatCode="_(* #,##0.00_);_(* \(#,##0.00\);_(* &quot;-&quot;??_);_(@_)">
                  <c:v>21.172436263729921</c:v>
                </c:pt>
                <c:pt idx="16" formatCode="_(* #,##0.00_);_(* \(#,##0.00\);_(* &quot;-&quot;??_);_(@_)">
                  <c:v>24.933846807950303</c:v>
                </c:pt>
                <c:pt idx="17" formatCode="_(* #,##0.00_);_(* \(#,##0.00\);_(* &quot;-&quot;??_);_(@_)">
                  <c:v>29.71478835475445</c:v>
                </c:pt>
                <c:pt idx="18" formatCode="_(* #,##0.00_);_(* \(#,##0.00\);_(* &quot;-&quot;??_);_(@_)">
                  <c:v>34.210926586993637</c:v>
                </c:pt>
                <c:pt idx="19" formatCode="_(* #,##0.00_);_(* \(#,##0.00\);_(* &quot;-&quot;??_);_(@_)">
                  <c:v>31.814103854309952</c:v>
                </c:pt>
                <c:pt idx="20" formatCode="_(* #,##0.00_);_(* \(#,##0.00\);_(* &quot;-&quot;??_);_(@_)">
                  <c:v>26.308931021221149</c:v>
                </c:pt>
                <c:pt idx="21" formatCode="_(* #,##0.00_);_(* \(#,##0.00\);_(* &quot;-&quot;??_);_(@_)">
                  <c:v>22.944654394530652</c:v>
                </c:pt>
                <c:pt idx="22" formatCode="_(* #,##0.00_);_(* \(#,##0.00\);_(* &quot;-&quot;??_);_(@_)">
                  <c:v>22.819018717834094</c:v>
                </c:pt>
                <c:pt idx="23" formatCode="_(* #,##0.00_);_(* \(#,##0.00\);_(* &quot;-&quot;??_);_(@_)">
                  <c:v>26.145607388335659</c:v>
                </c:pt>
                <c:pt idx="24" formatCode="_(* #,##0.00_);_(* \(#,##0.00\);_(* &quot;-&quot;??_);_(@_)">
                  <c:v>27.377763328751993</c:v>
                </c:pt>
                <c:pt idx="25" formatCode="_(* #,##0.00_);_(* \(#,##0.00\);_(* &quot;-&quot;??_);_(@_)">
                  <c:v>25.568548392245958</c:v>
                </c:pt>
                <c:pt idx="26" formatCode="_(* #,##0.00_);_(* \(#,##0.00\);_(* &quot;-&quot;??_);_(@_)">
                  <c:v>23.521476507639047</c:v>
                </c:pt>
                <c:pt idx="27" formatCode="_(* #,##0.00_);_(* \(#,##0.00\);_(* &quot;-&quot;??_);_(@_)">
                  <c:v>22.004034322362564</c:v>
                </c:pt>
                <c:pt idx="28" formatCode="_(* #,##0.00_);_(* \(#,##0.00\);_(* &quot;-&quot;??_);_(@_)">
                  <c:v>23.481150138622279</c:v>
                </c:pt>
                <c:pt idx="29" formatCode="_(* #,##0.00_);_(* \(#,##0.00\);_(* &quot;-&quot;??_);_(@_)">
                  <c:v>28.367000299824667</c:v>
                </c:pt>
                <c:pt idx="30" formatCode="_(* #,##0.00_);_(* \(#,##0.00\);_(* &quot;-&quot;??_);_(@_)">
                  <c:v>34.022566298769441</c:v>
                </c:pt>
                <c:pt idx="31" formatCode="_(* #,##0.00_);_(* \(#,##0.00\);_(* &quot;-&quot;??_);_(@_)">
                  <c:v>30.944764265866571</c:v>
                </c:pt>
                <c:pt idx="32" formatCode="_(* #,##0.00_);_(* \(#,##0.00\);_(* &quot;-&quot;??_);_(@_)">
                  <c:v>25.24597655671035</c:v>
                </c:pt>
                <c:pt idx="33" formatCode="_(* #,##0.00_);_(* \(#,##0.00\);_(* &quot;-&quot;??_);_(@_)">
                  <c:v>23.090560169345522</c:v>
                </c:pt>
                <c:pt idx="34" formatCode="_(* #,##0.00_);_(* \(#,##0.00\);_(* &quot;-&quot;??_);_(@_)">
                  <c:v>22.653725613592769</c:v>
                </c:pt>
                <c:pt idx="35" formatCode="_(* #,##0.00_);_(* \(#,##0.00\);_(* &quot;-&quot;??_);_(@_)">
                  <c:v>24.055467439176603</c:v>
                </c:pt>
                <c:pt idx="36" formatCode="_(* #,##0.00_);_(* \(#,##0.00\);_(* &quot;-&quot;??_);_(@_)">
                  <c:v>25.80309725728376</c:v>
                </c:pt>
                <c:pt idx="37" formatCode="_(* #,##0.00_);_(* \(#,##0.00\);_(* &quot;-&quot;??_);_(@_)">
                  <c:v>23.649929611081212</c:v>
                </c:pt>
                <c:pt idx="38" formatCode="_(* #,##0.00_);_(* \(#,##0.00\);_(* &quot;-&quot;??_);_(@_)">
                  <c:v>21.360113216375673</c:v>
                </c:pt>
                <c:pt idx="39" formatCode="_(* #,##0.00_);_(* \(#,##0.00\);_(* &quot;-&quot;??_);_(@_)">
                  <c:v>21.432983765148204</c:v>
                </c:pt>
                <c:pt idx="40" formatCode="_(* #,##0.00_);_(* \(#,##0.00\);_(* &quot;-&quot;??_);_(@_)">
                  <c:v>23.540082795225139</c:v>
                </c:pt>
                <c:pt idx="41" formatCode="_(* #,##0.00_);_(* \(#,##0.00\);_(* &quot;-&quot;??_);_(@_)">
                  <c:v>30.011842373709509</c:v>
                </c:pt>
                <c:pt idx="42" formatCode="_(* #,##0.00_);_(* \(#,##0.00\);_(* &quot;-&quot;??_);_(@_)">
                  <c:v>34.599709959372568</c:v>
                </c:pt>
                <c:pt idx="43" formatCode="_(* #,##0.00_);_(* \(#,##0.00\);_(* &quot;-&quot;??_);_(@_)">
                  <c:v>31.361527943233291</c:v>
                </c:pt>
                <c:pt idx="44" formatCode="_(* #,##0.00_);_(* \(#,##0.00\);_(* &quot;-&quot;??_);_(@_)">
                  <c:v>26.258289486224395</c:v>
                </c:pt>
                <c:pt idx="45" formatCode="_(* #,##0.00_);_(* \(#,##0.00\);_(* &quot;-&quot;??_);_(@_)">
                  <c:v>22.945929184441262</c:v>
                </c:pt>
                <c:pt idx="46" formatCode="_(* #,##0.00_);_(* \(#,##0.00\);_(* &quot;-&quot;??_);_(@_)">
                  <c:v>22.283162582604419</c:v>
                </c:pt>
                <c:pt idx="47" formatCode="_(* #,##0.00_);_(* \(#,##0.00\);_(* &quot;-&quot;??_);_(@_)">
                  <c:v>24.410395449273572</c:v>
                </c:pt>
                <c:pt idx="48" formatCode="_(* #,##0.00_);_(* \(#,##0.00\);_(* &quot;-&quot;??_);_(@_)">
                  <c:v>26.149987915830657</c:v>
                </c:pt>
                <c:pt idx="49" formatCode="_(* #,##0.00_);_(* \(#,##0.00\);_(* &quot;-&quot;??_);_(@_)">
                  <c:v>24.825956390012834</c:v>
                </c:pt>
                <c:pt idx="50" formatCode="_(* #,##0.00_);_(* \(#,##0.00\);_(* &quot;-&quot;??_);_(@_)">
                  <c:v>23.114646951677866</c:v>
                </c:pt>
                <c:pt idx="51" formatCode="_(* #,##0.00_);_(* \(#,##0.00\);_(* &quot;-&quot;??_);_(@_)">
                  <c:v>21.714724204434514</c:v>
                </c:pt>
                <c:pt idx="52" formatCode="_(* #,##0.00_);_(* \(#,##0.00\);_(* &quot;-&quot;??_);_(@_)">
                  <c:v>22.542376909925576</c:v>
                </c:pt>
                <c:pt idx="53" formatCode="_(* #,##0.00_);_(* \(#,##0.00\);_(* &quot;-&quot;??_);_(@_)">
                  <c:v>26.913206838277596</c:v>
                </c:pt>
                <c:pt idx="54" formatCode="_(* #,##0.00_);_(* \(#,##0.00\);_(* &quot;-&quot;??_);_(@_)">
                  <c:v>30.639347722721432</c:v>
                </c:pt>
                <c:pt idx="55" formatCode="_(* #,##0.00_);_(* \(#,##0.00\);_(* &quot;-&quot;??_);_(@_)">
                  <c:v>28.906474472616395</c:v>
                </c:pt>
                <c:pt idx="56" formatCode="_(* #,##0.00_);_(* \(#,##0.00\);_(* &quot;-&quot;??_);_(@_)">
                  <c:v>25.503256038493145</c:v>
                </c:pt>
                <c:pt idx="57" formatCode="_(* #,##0.00_);_(* \(#,##0.00\);_(* &quot;-&quot;??_);_(@_)">
                  <c:v>22.986762012570551</c:v>
                </c:pt>
                <c:pt idx="58" formatCode="_(* #,##0.00_);_(* \(#,##0.00\);_(* &quot;-&quot;??_);_(@_)">
                  <c:v>23.156283665530953</c:v>
                </c:pt>
                <c:pt idx="59" formatCode="_(* #,##0.00_);_(* \(#,##0.00\);_(* &quot;-&quot;??_);_(@_)">
                  <c:v>25.198171518915093</c:v>
                </c:pt>
                <c:pt idx="60" formatCode="_(* #,##0.00_);_(* \(#,##0.00\);_(* &quot;-&quot;??_);_(@_)">
                  <c:v>27.679073895971062</c:v>
                </c:pt>
                <c:pt idx="61" formatCode="_(* #,##0.00_);_(* \(#,##0.00\);_(* &quot;-&quot;??_);_(@_)">
                  <c:v>26.026299185001104</c:v>
                </c:pt>
                <c:pt idx="62" formatCode="_(* #,##0.00_);_(* \(#,##0.00\);_(* &quot;-&quot;??_);_(@_)">
                  <c:v>23.879514786999692</c:v>
                </c:pt>
                <c:pt idx="63" formatCode="_(* #,##0.00_);_(* \(#,##0.00\);_(* &quot;-&quot;??_);_(@_)">
                  <c:v>21.633211890190946</c:v>
                </c:pt>
                <c:pt idx="64" formatCode="_(* #,##0.00_);_(* \(#,##0.00\);_(* &quot;-&quot;??_);_(@_)">
                  <c:v>21.982221596912364</c:v>
                </c:pt>
                <c:pt idx="65" formatCode="_(* #,##0.00_);_(* \(#,##0.00\);_(* &quot;-&quot;??_);_(@_)">
                  <c:v>25.340370119313448</c:v>
                </c:pt>
                <c:pt idx="66" formatCode="_(* #,##0.00_);_(* \(#,##0.00\);_(* &quot;-&quot;??_);_(@_)">
                  <c:v>27.945262776573134</c:v>
                </c:pt>
                <c:pt idx="67" formatCode="_(* #,##0.00_);_(* \(#,##0.00\);_(* &quot;-&quot;??_);_(@_)">
                  <c:v>27.049350990739434</c:v>
                </c:pt>
                <c:pt idx="68" formatCode="_(* #,##0.00_);_(* \(#,##0.00\);_(* &quot;-&quot;??_);_(@_)">
                  <c:v>24.435155959682913</c:v>
                </c:pt>
                <c:pt idx="69" formatCode="_(* #,##0.00_);_(* \(#,##0.00\);_(* &quot;-&quot;??_);_(@_)">
                  <c:v>22.440093665240667</c:v>
                </c:pt>
                <c:pt idx="70" formatCode="_(* #,##0.00_);_(* \(#,##0.00\);_(* &quot;-&quot;??_);_(@_)">
                  <c:v>22.561411606533611</c:v>
                </c:pt>
                <c:pt idx="71" formatCode="_(* #,##0.00_);_(* \(#,##0.00\);_(* &quot;-&quot;??_);_(@_)">
                  <c:v>24.289810104438622</c:v>
                </c:pt>
                <c:pt idx="72" formatCode="_(* #,##0.00_);_(* \(#,##0.00\);_(* &quot;-&quot;??_);_(@_)">
                  <c:v>26.811047675711936</c:v>
                </c:pt>
                <c:pt idx="73" formatCode="_(* #,##0.00_);_(* \(#,##0.00\);_(* &quot;-&quot;??_);_(@_)">
                  <c:v>25.571560283901587</c:v>
                </c:pt>
                <c:pt idx="74" formatCode="_(* #,##0.00_);_(* \(#,##0.00\);_(* &quot;-&quot;??_);_(@_)">
                  <c:v>23.322959549121499</c:v>
                </c:pt>
                <c:pt idx="75" formatCode="_(* #,##0.00_);_(* \(#,##0.00\);_(* &quot;-&quot;??_);_(@_)">
                  <c:v>21.431203938362469</c:v>
                </c:pt>
                <c:pt idx="76" formatCode="_(* #,##0.00_);_(* \(#,##0.00\);_(* &quot;-&quot;??_);_(@_)">
                  <c:v>21.890840050042851</c:v>
                </c:pt>
                <c:pt idx="77" formatCode="_(* #,##0.00_);_(* \(#,##0.00\);_(* &quot;-&quot;??_);_(@_)">
                  <c:v>25.58172717404133</c:v>
                </c:pt>
                <c:pt idx="78" formatCode="_(* #,##0.00_);_(* \(#,##0.00\);_(* &quot;-&quot;??_);_(@_)">
                  <c:v>29.213519328163752</c:v>
                </c:pt>
                <c:pt idx="79" formatCode="_(* #,##0.00_);_(* \(#,##0.00\);_(* &quot;-&quot;??_);_(@_)">
                  <c:v>29.577699648190265</c:v>
                </c:pt>
                <c:pt idx="80" formatCode="_(* #,##0.00_);_(* \(#,##0.00\);_(* &quot;-&quot;??_);_(@_)">
                  <c:v>26.481692780356905</c:v>
                </c:pt>
                <c:pt idx="81" formatCode="_(* #,##0.00_);_(* \(#,##0.00\);_(* &quot;-&quot;??_);_(@_)">
                  <c:v>22.425038447381645</c:v>
                </c:pt>
                <c:pt idx="82" formatCode="_(* #,##0.00_);_(* \(#,##0.00\);_(* &quot;-&quot;??_);_(@_)">
                  <c:v>21.217211508812657</c:v>
                </c:pt>
                <c:pt idx="83" formatCode="_(* #,##0.00_);_(* \(#,##0.00\);_(* &quot;-&quot;??_);_(@_)">
                  <c:v>22.377453605227707</c:v>
                </c:pt>
                <c:pt idx="84" formatCode="_(* #,##0.00_);_(* \(#,##0.00\);_(* &quot;-&quot;??_);_(@_)">
                  <c:v>24.648136085903101</c:v>
                </c:pt>
                <c:pt idx="85" formatCode="_(* #,##0.00_);_(* \(#,##0.00\);_(* &quot;-&quot;??_);_(@_)">
                  <c:v>23.20357691251596</c:v>
                </c:pt>
                <c:pt idx="86" formatCode="_(* #,##0.00_);_(* \(#,##0.00\);_(* &quot;-&quot;??_);_(@_)">
                  <c:v>21.737232834328577</c:v>
                </c:pt>
                <c:pt idx="87" formatCode="_(* #,##0.00_);_(* \(#,##0.00\);_(* &quot;-&quot;??_);_(@_)">
                  <c:v>21.100729998961793</c:v>
                </c:pt>
                <c:pt idx="88" formatCode="_(* #,##0.00_);_(* \(#,##0.00\);_(* &quot;-&quot;??_);_(@_)">
                  <c:v>22.813493763808857</c:v>
                </c:pt>
                <c:pt idx="89" formatCode="_(* #,##0.00_);_(* \(#,##0.00\);_(* &quot;-&quot;??_);_(@_)">
                  <c:v>28.651343649389403</c:v>
                </c:pt>
                <c:pt idx="90" formatCode="_(* #,##0.00_);_(* \(#,##0.00\);_(* &quot;-&quot;??_);_(@_)">
                  <c:v>33.670610974599668</c:v>
                </c:pt>
                <c:pt idx="91" formatCode="_(* #,##0.00_);_(* \(#,##0.00\);_(* &quot;-&quot;??_);_(@_)">
                  <c:v>32.888668770637771</c:v>
                </c:pt>
                <c:pt idx="92" formatCode="_(* #,##0.00_);_(* \(#,##0.00\);_(* &quot;-&quot;??_);_(@_)">
                  <c:v>28.167601118601507</c:v>
                </c:pt>
                <c:pt idx="93" formatCode="_(* #,##0.00_);_(* \(#,##0.00\);_(* &quot;-&quot;??_);_(@_)">
                  <c:v>22.662710404829475</c:v>
                </c:pt>
                <c:pt idx="94" formatCode="_(* #,##0.00_);_(* \(#,##0.00\);_(* &quot;-&quot;??_);_(@_)">
                  <c:v>21.230632189477884</c:v>
                </c:pt>
                <c:pt idx="95" formatCode="_(* #,##0.00_);_(* \(#,##0.00\);_(* &quot;-&quot;??_);_(@_)">
                  <c:v>23.556111000827542</c:v>
                </c:pt>
                <c:pt idx="96" formatCode="_(* #,##0.00_);_(* \(#,##0.00\);_(* &quot;-&quot;??_);_(@_)">
                  <c:v>24.324826117489433</c:v>
                </c:pt>
                <c:pt idx="97" formatCode="_(* #,##0.00_);_(* \(#,##0.00\);_(* &quot;-&quot;??_);_(@_)">
                  <c:v>23.04728800059835</c:v>
                </c:pt>
                <c:pt idx="98" formatCode="_(* #,##0.00_);_(* \(#,##0.00\);_(* &quot;-&quot;??_);_(@_)">
                  <c:v>21.688222768231395</c:v>
                </c:pt>
                <c:pt idx="99" formatCode="_(* #,##0.00_);_(* \(#,##0.00\);_(* &quot;-&quot;??_);_(@_)">
                  <c:v>20.045945124755448</c:v>
                </c:pt>
                <c:pt idx="100" formatCode="_(* #,##0.00_);_(* \(#,##0.00\);_(* &quot;-&quot;??_);_(@_)">
                  <c:v>20.919170938149399</c:v>
                </c:pt>
                <c:pt idx="101" formatCode="_(* #,##0.00_);_(* \(#,##0.00\);_(* &quot;-&quot;??_);_(@_)">
                  <c:v>26.234040246523129</c:v>
                </c:pt>
                <c:pt idx="102" formatCode="_(* #,##0.00_);_(* \(#,##0.00\);_(* &quot;-&quot;??_);_(@_)">
                  <c:v>29.745180231345266</c:v>
                </c:pt>
                <c:pt idx="103" formatCode="_(* #,##0.00_);_(* \(#,##0.00\);_(* &quot;-&quot;??_);_(@_)">
                  <c:v>27.967341757605514</c:v>
                </c:pt>
                <c:pt idx="104" formatCode="_(* #,##0.00_);_(* \(#,##0.00\);_(* &quot;-&quot;??_);_(@_)">
                  <c:v>25.258571594101618</c:v>
                </c:pt>
                <c:pt idx="105" formatCode="_(* #,##0.00_);_(* \(#,##0.00\);_(* &quot;-&quot;??_);_(@_)">
                  <c:v>21.97627973144262</c:v>
                </c:pt>
                <c:pt idx="106" formatCode="_(* #,##0.00_);_(* \(#,##0.00\);_(* &quot;-&quot;??_);_(@_)">
                  <c:v>21.569537429226308</c:v>
                </c:pt>
                <c:pt idx="107" formatCode="_(* #,##0.00_);_(* \(#,##0.00\);_(* &quot;-&quot;??_);_(@_)">
                  <c:v>25.129235849590451</c:v>
                </c:pt>
                <c:pt idx="108" formatCode="_(* #,##0.00_);_(* \(#,##0.00\);_(* &quot;-&quot;??_);_(@_)">
                  <c:v>25.771979403670748</c:v>
                </c:pt>
                <c:pt idx="109" formatCode="_(* #,##0.00_);_(* \(#,##0.00\);_(* &quot;-&quot;??_);_(@_)">
                  <c:v>23.782152209957985</c:v>
                </c:pt>
                <c:pt idx="110" formatCode="_(* #,##0.00_);_(* \(#,##0.00\);_(* &quot;-&quot;??_);_(@_)">
                  <c:v>22.189034349308407</c:v>
                </c:pt>
                <c:pt idx="111" formatCode="_(* #,##0.00_);_(* \(#,##0.00\);_(* &quot;-&quot;??_);_(@_)">
                  <c:v>21.309850101683796</c:v>
                </c:pt>
                <c:pt idx="112" formatCode="_(* #,##0.00_);_(* \(#,##0.00\);_(* &quot;-&quot;??_);_(@_)">
                  <c:v>22.216325704221433</c:v>
                </c:pt>
                <c:pt idx="113" formatCode="_(* #,##0.00_);_(* \(#,##0.00\);_(* &quot;-&quot;??_);_(@_)">
                  <c:v>28.856181999040725</c:v>
                </c:pt>
                <c:pt idx="114" formatCode="_(* #,##0.00_);_(* \(#,##0.00\);_(* &quot;-&quot;??_);_(@_)">
                  <c:v>34.674033497407898</c:v>
                </c:pt>
                <c:pt idx="115" formatCode="_(* #,##0.00_);_(* \(#,##0.00\);_(* &quot;-&quot;??_);_(@_)">
                  <c:v>33.730991997124001</c:v>
                </c:pt>
                <c:pt idx="116" formatCode="_(* #,##0.00_);_(* \(#,##0.00\);_(* &quot;-&quot;??_);_(@_)">
                  <c:v>28.041992478335676</c:v>
                </c:pt>
                <c:pt idx="117" formatCode="_(* #,##0.00_);_(* \(#,##0.00\);_(* &quot;-&quot;??_);_(@_)">
                  <c:v>21.704619760522181</c:v>
                </c:pt>
                <c:pt idx="118" formatCode="_(* #,##0.00_);_(* \(#,##0.00\);_(* &quot;-&quot;??_);_(@_)">
                  <c:v>22.477415969724042</c:v>
                </c:pt>
                <c:pt idx="119" formatCode="_(* #,##0.00_);_(* \(#,##0.00\);_(* &quot;-&quot;??_);_(@_)">
                  <c:v>24.324301283174457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30-4760-B813-A6923811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15712"/>
        <c:axId val="152584192"/>
      </c:scatterChart>
      <c:valAx>
        <c:axId val="1745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Tempurature (°C)</a:t>
                </a: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584192"/>
        <c:crosses val="autoZero"/>
        <c:crossBetween val="midCat"/>
      </c:valAx>
      <c:valAx>
        <c:axId val="15258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Avg. Monthly Consumption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15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Weather!$D$122:$D$241</c:f>
              <c:numCache>
                <c:formatCode>0.00</c:formatCode>
                <c:ptCount val="120"/>
                <c:pt idx="0">
                  <c:v>-6.7387096774193553</c:v>
                </c:pt>
                <c:pt idx="1">
                  <c:v>-2.0749999999999997</c:v>
                </c:pt>
                <c:pt idx="2">
                  <c:v>1.532258064516129</c:v>
                </c:pt>
                <c:pt idx="3">
                  <c:v>7.31</c:v>
                </c:pt>
                <c:pt idx="4">
                  <c:v>12.75483870967742</c:v>
                </c:pt>
                <c:pt idx="5">
                  <c:v>17.443333333333332</c:v>
                </c:pt>
                <c:pt idx="6">
                  <c:v>19.235483870967741</c:v>
                </c:pt>
                <c:pt idx="7">
                  <c:v>21.296774193548387</c:v>
                </c:pt>
                <c:pt idx="8">
                  <c:v>17.513333333333332</c:v>
                </c:pt>
                <c:pt idx="9">
                  <c:v>9.6516129032258053</c:v>
                </c:pt>
                <c:pt idx="10">
                  <c:v>7.1466666666666665</c:v>
                </c:pt>
                <c:pt idx="11">
                  <c:v>-0.71612903225806457</c:v>
                </c:pt>
                <c:pt idx="12">
                  <c:v>-3.5870967741935478</c:v>
                </c:pt>
                <c:pt idx="13">
                  <c:v>-2.0214285714285714</c:v>
                </c:pt>
                <c:pt idx="14">
                  <c:v>4.5032258064516126</c:v>
                </c:pt>
                <c:pt idx="15">
                  <c:v>9.7033333333333349</c:v>
                </c:pt>
                <c:pt idx="16">
                  <c:v>14.548387096774196</c:v>
                </c:pt>
                <c:pt idx="17">
                  <c:v>19.37</c:v>
                </c:pt>
                <c:pt idx="18">
                  <c:v>23.412903225806449</c:v>
                </c:pt>
                <c:pt idx="19">
                  <c:v>22.700000000000003</c:v>
                </c:pt>
                <c:pt idx="20">
                  <c:v>16.953333333333333</c:v>
                </c:pt>
                <c:pt idx="21">
                  <c:v>11.558064516129031</c:v>
                </c:pt>
                <c:pt idx="22">
                  <c:v>5.2633333333333336</c:v>
                </c:pt>
                <c:pt idx="23">
                  <c:v>-2.4387096774193551</c:v>
                </c:pt>
                <c:pt idx="24">
                  <c:v>-5.4419354838709673</c:v>
                </c:pt>
                <c:pt idx="25">
                  <c:v>-3.6142857142857139</c:v>
                </c:pt>
                <c:pt idx="26">
                  <c:v>0.40322580645161288</c:v>
                </c:pt>
                <c:pt idx="27">
                  <c:v>6.1433333333333335</c:v>
                </c:pt>
                <c:pt idx="28">
                  <c:v>11.96774193548387</c:v>
                </c:pt>
                <c:pt idx="29">
                  <c:v>18.653333333333332</c:v>
                </c:pt>
                <c:pt idx="30">
                  <c:v>24.125806451612902</c:v>
                </c:pt>
                <c:pt idx="31">
                  <c:v>21.819354838709678</c:v>
                </c:pt>
                <c:pt idx="32">
                  <c:v>17.616666666666667</c:v>
                </c:pt>
                <c:pt idx="33">
                  <c:v>11.587096774193549</c:v>
                </c:pt>
                <c:pt idx="34">
                  <c:v>8.0533333333333328</c:v>
                </c:pt>
                <c:pt idx="35">
                  <c:v>2.4741935483870963</c:v>
                </c:pt>
                <c:pt idx="36">
                  <c:v>-0.34516129032258075</c:v>
                </c:pt>
                <c:pt idx="37">
                  <c:v>0.84827586206896544</c:v>
                </c:pt>
                <c:pt idx="38">
                  <c:v>6.112903225806452</c:v>
                </c:pt>
                <c:pt idx="39">
                  <c:v>7.86</c:v>
                </c:pt>
                <c:pt idx="40">
                  <c:v>15.490322580645163</c:v>
                </c:pt>
                <c:pt idx="41">
                  <c:v>20.633333333333333</c:v>
                </c:pt>
                <c:pt idx="42">
                  <c:v>24.2258064516129</c:v>
                </c:pt>
                <c:pt idx="43">
                  <c:v>22.219354838709677</c:v>
                </c:pt>
                <c:pt idx="44">
                  <c:v>17.386666666666663</c:v>
                </c:pt>
                <c:pt idx="45">
                  <c:v>10.816129032258065</c:v>
                </c:pt>
                <c:pt idx="46">
                  <c:v>4.8366666666666669</c:v>
                </c:pt>
                <c:pt idx="47">
                  <c:v>2.5354838709677421</c:v>
                </c:pt>
                <c:pt idx="48">
                  <c:v>-0.74838709677419368</c:v>
                </c:pt>
                <c:pt idx="49">
                  <c:v>-2.9821428571428572</c:v>
                </c:pt>
                <c:pt idx="50">
                  <c:v>1.1193548387096774</c:v>
                </c:pt>
                <c:pt idx="51">
                  <c:v>6.0466666666666669</c:v>
                </c:pt>
                <c:pt idx="52">
                  <c:v>13.312903225806453</c:v>
                </c:pt>
                <c:pt idx="53">
                  <c:v>18.400000000000002</c:v>
                </c:pt>
                <c:pt idx="54">
                  <c:v>22.22258064516129</c:v>
                </c:pt>
                <c:pt idx="55">
                  <c:v>20.870967741935488</c:v>
                </c:pt>
                <c:pt idx="56">
                  <c:v>16.766666666666669</c:v>
                </c:pt>
                <c:pt idx="57">
                  <c:v>11.85483870967742</c:v>
                </c:pt>
                <c:pt idx="58">
                  <c:v>3.776666666666666</c:v>
                </c:pt>
                <c:pt idx="59">
                  <c:v>-2.1290322580645156</c:v>
                </c:pt>
                <c:pt idx="60">
                  <c:v>-6.9064516129032256</c:v>
                </c:pt>
                <c:pt idx="61">
                  <c:v>-6.8785714285714272</c:v>
                </c:pt>
                <c:pt idx="62">
                  <c:v>-2.9806451612903229</c:v>
                </c:pt>
                <c:pt idx="63">
                  <c:v>5.8566666666666682</c:v>
                </c:pt>
                <c:pt idx="64">
                  <c:v>12.861290322580649</c:v>
                </c:pt>
                <c:pt idx="65">
                  <c:v>18.513333333333328</c:v>
                </c:pt>
                <c:pt idx="66">
                  <c:v>19.825806451612905</c:v>
                </c:pt>
                <c:pt idx="67">
                  <c:v>20.070967741935487</c:v>
                </c:pt>
                <c:pt idx="68">
                  <c:v>17.286666666666665</c:v>
                </c:pt>
                <c:pt idx="69">
                  <c:v>11.712903225806446</c:v>
                </c:pt>
                <c:pt idx="70">
                  <c:v>3.2833333333333328</c:v>
                </c:pt>
                <c:pt idx="71">
                  <c:v>1.2548387096774198</c:v>
                </c:pt>
                <c:pt idx="72">
                  <c:v>-5.8580645161290343</c:v>
                </c:pt>
                <c:pt idx="73">
                  <c:v>-11.139285714285718</c:v>
                </c:pt>
                <c:pt idx="74">
                  <c:v>-1.1612903225806448</c:v>
                </c:pt>
                <c:pt idx="75">
                  <c:v>7.2700000000000022</c:v>
                </c:pt>
                <c:pt idx="76">
                  <c:v>14.535483870967743</c:v>
                </c:pt>
                <c:pt idx="77">
                  <c:v>16.886666666666663</c:v>
                </c:pt>
                <c:pt idx="78">
                  <c:v>21.899999999999995</c:v>
                </c:pt>
                <c:pt idx="79">
                  <c:v>20.796774193548384</c:v>
                </c:pt>
                <c:pt idx="80">
                  <c:v>20.030000000000005</c:v>
                </c:pt>
                <c:pt idx="81">
                  <c:v>11.587096774193544</c:v>
                </c:pt>
                <c:pt idx="82">
                  <c:v>7.9633333333333329</c:v>
                </c:pt>
                <c:pt idx="83">
                  <c:v>5.2741935483870979</c:v>
                </c:pt>
                <c:pt idx="84">
                  <c:v>-2.1612903225806446</c:v>
                </c:pt>
                <c:pt idx="85">
                  <c:v>-0.76896551724137929</c:v>
                </c:pt>
                <c:pt idx="86">
                  <c:v>3.4451612903225803</c:v>
                </c:pt>
                <c:pt idx="87">
                  <c:v>4.9666666666666659</c:v>
                </c:pt>
                <c:pt idx="88">
                  <c:v>13.870967741935482</c:v>
                </c:pt>
                <c:pt idx="89">
                  <c:v>19.386666666666663</c:v>
                </c:pt>
                <c:pt idx="90">
                  <c:v>22.919354838709673</c:v>
                </c:pt>
                <c:pt idx="91">
                  <c:v>23.735483870967741</c:v>
                </c:pt>
                <c:pt idx="92">
                  <c:v>20.029999999999998</c:v>
                </c:pt>
                <c:pt idx="93">
                  <c:v>13.20967741935484</c:v>
                </c:pt>
                <c:pt idx="94">
                  <c:v>8.2366666666666628</c:v>
                </c:pt>
                <c:pt idx="95">
                  <c:v>-3.2258064516129135E-2</c:v>
                </c:pt>
                <c:pt idx="96">
                  <c:v>-0.34193548387096795</c:v>
                </c:pt>
                <c:pt idx="97">
                  <c:v>1.1714285714285715</c:v>
                </c:pt>
                <c:pt idx="98">
                  <c:v>0.54193548387096779</c:v>
                </c:pt>
                <c:pt idx="99">
                  <c:v>8.9300000000000015</c:v>
                </c:pt>
                <c:pt idx="100">
                  <c:v>11.783870967741937</c:v>
                </c:pt>
                <c:pt idx="101">
                  <c:v>19.303333333333331</c:v>
                </c:pt>
                <c:pt idx="102">
                  <c:v>21.661290322580644</c:v>
                </c:pt>
                <c:pt idx="103">
                  <c:v>20.522580645161295</c:v>
                </c:pt>
                <c:pt idx="104">
                  <c:v>18.610000000000003</c:v>
                </c:pt>
                <c:pt idx="105">
                  <c:v>14.658064516129036</c:v>
                </c:pt>
                <c:pt idx="106">
                  <c:v>5.0699999999999994</c:v>
                </c:pt>
                <c:pt idx="107">
                  <c:v>-2.9419354838709673</c:v>
                </c:pt>
                <c:pt idx="108">
                  <c:v>-3.9451612903225803</c:v>
                </c:pt>
                <c:pt idx="109">
                  <c:v>-0.28928571428571387</c:v>
                </c:pt>
                <c:pt idx="110">
                  <c:v>0.77741935483870972</c:v>
                </c:pt>
                <c:pt idx="111">
                  <c:v>4.0233333333333334</c:v>
                </c:pt>
                <c:pt idx="112">
                  <c:v>14.790322580645164</c:v>
                </c:pt>
                <c:pt idx="113">
                  <c:v>19.029999999999998</c:v>
                </c:pt>
                <c:pt idx="114">
                  <c:v>23.296774193548391</c:v>
                </c:pt>
                <c:pt idx="115">
                  <c:v>23.283870967741933</c:v>
                </c:pt>
                <c:pt idx="116">
                  <c:v>19.446666666666669</c:v>
                </c:pt>
                <c:pt idx="117">
                  <c:v>10.645161290322582</c:v>
                </c:pt>
                <c:pt idx="118">
                  <c:v>2.9200000000000004</c:v>
                </c:pt>
                <c:pt idx="119">
                  <c:v>1.3548387096774193</c:v>
                </c:pt>
              </c:numCache>
            </c:numRef>
          </c:xVal>
          <c:yVal>
            <c:numRef>
              <c:f>Weather!$T$122:$T$241</c:f>
              <c:numCache>
                <c:formatCode>_(* #,##0_);_(* \(#,##0\);_(* "-"??_);_(@_)</c:formatCode>
                <c:ptCount val="120"/>
                <c:pt idx="12">
                  <c:v>102.06269667577472</c:v>
                </c:pt>
                <c:pt idx="13" formatCode="_(* #,##0.00_);_(* \(#,##0.00\);_(* &quot;-&quot;??_);_(@_)">
                  <c:v>103.44364856742136</c:v>
                </c:pt>
                <c:pt idx="14" formatCode="_(* #,##0.00_);_(* \(#,##0.00\);_(* &quot;-&quot;??_);_(@_)">
                  <c:v>92.171646757072807</c:v>
                </c:pt>
                <c:pt idx="15" formatCode="_(* #,##0.00_);_(* \(#,##0.00\);_(* &quot;-&quot;??_);_(@_)">
                  <c:v>85.377166465135033</c:v>
                </c:pt>
                <c:pt idx="16" formatCode="_(* #,##0.00_);_(* \(#,##0.00\);_(* &quot;-&quot;??_);_(@_)">
                  <c:v>88.405377858853925</c:v>
                </c:pt>
                <c:pt idx="17" formatCode="_(* #,##0.00_);_(* \(#,##0.00\);_(* &quot;-&quot;??_);_(@_)">
                  <c:v>96.143468649517686</c:v>
                </c:pt>
                <c:pt idx="18" formatCode="_(* #,##0.00_);_(* \(#,##0.00\);_(* &quot;-&quot;??_);_(@_)">
                  <c:v>103.74286787272892</c:v>
                </c:pt>
                <c:pt idx="19" formatCode="_(* #,##0.00_);_(* \(#,##0.00\);_(* &quot;-&quot;??_);_(@_)">
                  <c:v>101.96580632214044</c:v>
                </c:pt>
                <c:pt idx="20" formatCode="_(* #,##0.00_);_(* \(#,##0.00\);_(* &quot;-&quot;??_);_(@_)">
                  <c:v>89.697202703607033</c:v>
                </c:pt>
                <c:pt idx="21" formatCode="_(* #,##0.00_);_(* \(#,##0.00\);_(* &quot;-&quot;??_);_(@_)">
                  <c:v>85.114175803537307</c:v>
                </c:pt>
                <c:pt idx="22" formatCode="_(* #,##0.00_);_(* \(#,##0.00\);_(* &quot;-&quot;??_);_(@_)">
                  <c:v>90.07946778153827</c:v>
                </c:pt>
                <c:pt idx="23" formatCode="_(* #,##0.00_);_(* \(#,##0.00\);_(* &quot;-&quot;??_);_(@_)">
                  <c:v>96.993133311127622</c:v>
                </c:pt>
                <c:pt idx="24" formatCode="_(* #,##0.00_);_(* \(#,##0.00\);_(* &quot;-&quot;??_);_(@_)">
                  <c:v>102.27390475997917</c:v>
                </c:pt>
                <c:pt idx="25" formatCode="_(* #,##0.00_);_(* \(#,##0.00\);_(* &quot;-&quot;??_);_(@_)">
                  <c:v>102.14667725161372</c:v>
                </c:pt>
                <c:pt idx="26" formatCode="_(* #,##0.00_);_(* \(#,##0.00\);_(* &quot;-&quot;??_);_(@_)">
                  <c:v>96.144916152724576</c:v>
                </c:pt>
                <c:pt idx="27" formatCode="_(* #,##0.00_);_(* \(#,##0.00\);_(* &quot;-&quot;??_);_(@_)">
                  <c:v>88.617707865859998</c:v>
                </c:pt>
                <c:pt idx="28" formatCode="_(* #,##0.00_);_(* \(#,##0.00\);_(* &quot;-&quot;??_);_(@_)">
                  <c:v>86.564823177380873</c:v>
                </c:pt>
                <c:pt idx="29" formatCode="_(* #,##0.00_);_(* \(#,##0.00\);_(* &quot;-&quot;??_);_(@_)">
                  <c:v>95.026815787334016</c:v>
                </c:pt>
                <c:pt idx="30" formatCode="_(* #,##0.00_);_(* \(#,##0.00\);_(* &quot;-&quot;??_);_(@_)">
                  <c:v>105.14117546296238</c:v>
                </c:pt>
                <c:pt idx="31" formatCode="_(* #,##0.00_);_(* \(#,##0.00\);_(* &quot;-&quot;??_);_(@_)">
                  <c:v>100.55400538122669</c:v>
                </c:pt>
                <c:pt idx="32" formatCode="_(* #,##0.00_);_(* \(#,##0.00\);_(* &quot;-&quot;??_);_(@_)">
                  <c:v>88.653985422804922</c:v>
                </c:pt>
                <c:pt idx="33" formatCode="_(* #,##0.00_);_(* \(#,##0.00\);_(* &quot;-&quot;??_);_(@_)">
                  <c:v>83.965999006948209</c:v>
                </c:pt>
                <c:pt idx="34" formatCode="_(* #,##0.00_);_(* \(#,##0.00\);_(* &quot;-&quot;??_);_(@_)">
                  <c:v>88.39489349822297</c:v>
                </c:pt>
                <c:pt idx="35" formatCode="_(* #,##0.00_);_(* \(#,##0.00\);_(* &quot;-&quot;??_);_(@_)">
                  <c:v>93.332481188170632</c:v>
                </c:pt>
                <c:pt idx="36" formatCode="_(* #,##0.00_);_(* \(#,##0.00\);_(* &quot;-&quot;??_);_(@_)">
                  <c:v>97.587607521572878</c:v>
                </c:pt>
                <c:pt idx="37" formatCode="_(* #,##0.00_);_(* \(#,##0.00\);_(* &quot;-&quot;??_);_(@_)">
                  <c:v>97.159576290882057</c:v>
                </c:pt>
                <c:pt idx="38" formatCode="_(* #,##0.00_);_(* \(#,##0.00\);_(* &quot;-&quot;??_);_(@_)">
                  <c:v>90.226431721840115</c:v>
                </c:pt>
                <c:pt idx="39" formatCode="_(* #,##0.00_);_(* \(#,##0.00\);_(* &quot;-&quot;??_);_(@_)">
                  <c:v>85.783325406059063</c:v>
                </c:pt>
                <c:pt idx="40" formatCode="_(* #,##0.00_);_(* \(#,##0.00\);_(* &quot;-&quot;??_);_(@_)">
                  <c:v>88.046805246782171</c:v>
                </c:pt>
                <c:pt idx="41" formatCode="_(* #,##0.00_);_(* \(#,##0.00\);_(* &quot;-&quot;??_);_(@_)">
                  <c:v>97.410508300222475</c:v>
                </c:pt>
                <c:pt idx="42" formatCode="_(* #,##0.00_);_(* \(#,##0.00\);_(* &quot;-&quot;??_);_(@_)">
                  <c:v>105.14372134093801</c:v>
                </c:pt>
                <c:pt idx="43" formatCode="_(* #,##0.00_);_(* \(#,##0.00\);_(* &quot;-&quot;??_);_(@_)">
                  <c:v>99.620726647262202</c:v>
                </c:pt>
                <c:pt idx="44" formatCode="_(* #,##0.00_);_(* \(#,##0.00\);_(* &quot;-&quot;??_);_(@_)">
                  <c:v>91.765133913864403</c:v>
                </c:pt>
                <c:pt idx="45" formatCode="_(* #,##0.00_);_(* \(#,##0.00\);_(* &quot;-&quot;??_);_(@_)">
                  <c:v>85.540784726947805</c:v>
                </c:pt>
                <c:pt idx="46" formatCode="_(* #,##0.00_);_(* \(#,##0.00\);_(* &quot;-&quot;??_);_(@_)">
                  <c:v>91.438210523422555</c:v>
                </c:pt>
                <c:pt idx="47" formatCode="_(* #,##0.00_);_(* \(#,##0.00\);_(* &quot;-&quot;??_);_(@_)">
                  <c:v>93.887148467350045</c:v>
                </c:pt>
                <c:pt idx="48" formatCode="_(* #,##0.00_);_(* \(#,##0.00\);_(* &quot;-&quot;??_);_(@_)">
                  <c:v>98.68722465170265</c:v>
                </c:pt>
                <c:pt idx="49" formatCode="_(* #,##0.00_);_(* \(#,##0.00\);_(* &quot;-&quot;??_);_(@_)">
                  <c:v>100.66388283421534</c:v>
                </c:pt>
                <c:pt idx="50" formatCode="_(* #,##0.00_);_(* \(#,##0.00\);_(* &quot;-&quot;??_);_(@_)">
                  <c:v>95.766254393138482</c:v>
                </c:pt>
                <c:pt idx="51" formatCode="_(* #,##0.00_);_(* \(#,##0.00\);_(* &quot;-&quot;??_);_(@_)">
                  <c:v>90.329242895839357</c:v>
                </c:pt>
                <c:pt idx="52" formatCode="_(* #,##0.00_);_(* \(#,##0.00\);_(* &quot;-&quot;??_);_(@_)">
                  <c:v>87.088813918362774</c:v>
                </c:pt>
                <c:pt idx="53" formatCode="_(* #,##0.00_);_(* \(#,##0.00\);_(* &quot;-&quot;??_);_(@_)">
                  <c:v>93.465096051566888</c:v>
                </c:pt>
                <c:pt idx="54" formatCode="_(* #,##0.00_);_(* \(#,##0.00\);_(* &quot;-&quot;??_);_(@_)">
                  <c:v>101.73784133316919</c:v>
                </c:pt>
                <c:pt idx="55" formatCode="_(* #,##0.00_);_(* \(#,##0.00\);_(* &quot;-&quot;??_);_(@_)">
                  <c:v>97.14491763243106</c:v>
                </c:pt>
                <c:pt idx="56" formatCode="_(* #,##0.00_);_(* \(#,##0.00\);_(* &quot;-&quot;??_);_(@_)">
                  <c:v>91.457082186062379</c:v>
                </c:pt>
                <c:pt idx="57" formatCode="_(* #,##0.00_);_(* \(#,##0.00\);_(* &quot;-&quot;??_);_(@_)">
                  <c:v>85.950286024497601</c:v>
                </c:pt>
                <c:pt idx="58" formatCode="_(* #,##0.00_);_(* \(#,##0.00\);_(* &quot;-&quot;??_);_(@_)">
                  <c:v>91.738621191299714</c:v>
                </c:pt>
                <c:pt idx="59" formatCode="_(* #,##0.00_);_(* \(#,##0.00\);_(* &quot;-&quot;??_);_(@_)">
                  <c:v>98.346759377510367</c:v>
                </c:pt>
                <c:pt idx="60" formatCode="_(* #,##0.00_);_(* \(#,##0.00\);_(* &quot;-&quot;??_);_(@_)">
                  <c:v>103.91006923042647</c:v>
                </c:pt>
                <c:pt idx="61" formatCode="_(* #,##0.00_);_(* \(#,##0.00\);_(* &quot;-&quot;??_);_(@_)">
                  <c:v>104.9440219386919</c:v>
                </c:pt>
                <c:pt idx="62" formatCode="_(* #,##0.00_);_(* \(#,##0.00\);_(* &quot;-&quot;??_);_(@_)">
                  <c:v>99.193471441929404</c:v>
                </c:pt>
                <c:pt idx="63" formatCode="_(* #,##0.00_);_(* \(#,##0.00\);_(* &quot;-&quot;??_);_(@_)">
                  <c:v>88.433356760816608</c:v>
                </c:pt>
                <c:pt idx="64" formatCode="_(* #,##0.00_);_(* \(#,##0.00\);_(* &quot;-&quot;??_);_(@_)">
                  <c:v>85.461091396677219</c:v>
                </c:pt>
                <c:pt idx="65" formatCode="_(* #,##0.00_);_(* \(#,##0.00\);_(* &quot;-&quot;??_);_(@_)">
                  <c:v>92.31388633699261</c:v>
                </c:pt>
                <c:pt idx="66" formatCode="_(* #,##0.00_);_(* \(#,##0.00\);_(* &quot;-&quot;??_);_(@_)">
                  <c:v>94.061190777932225</c:v>
                </c:pt>
                <c:pt idx="67" formatCode="_(* #,##0.00_);_(* \(#,##0.00\);_(* &quot;-&quot;??_);_(@_)">
                  <c:v>91.632509715466682</c:v>
                </c:pt>
                <c:pt idx="68" formatCode="_(* #,##0.00_);_(* \(#,##0.00\);_(* &quot;-&quot;??_);_(@_)">
                  <c:v>87.398118169959233</c:v>
                </c:pt>
                <c:pt idx="69" formatCode="_(* #,##0.00_);_(* \(#,##0.00\);_(* &quot;-&quot;??_);_(@_)">
                  <c:v>82.064328358921372</c:v>
                </c:pt>
                <c:pt idx="70" formatCode="_(* #,##0.00_);_(* \(#,##0.00\);_(* &quot;-&quot;??_);_(@_)">
                  <c:v>89.489050547007864</c:v>
                </c:pt>
                <c:pt idx="71" formatCode="_(* #,##0.00_);_(* \(#,##0.00\);_(* &quot;-&quot;??_);_(@_)">
                  <c:v>93.362706742398217</c:v>
                </c:pt>
                <c:pt idx="72" formatCode="_(* #,##0.00_);_(* \(#,##0.00\);_(* &quot;-&quot;??_);_(@_)">
                  <c:v>99.812229069819793</c:v>
                </c:pt>
                <c:pt idx="73" formatCode="_(* #,##0.00_);_(* \(#,##0.00\);_(* &quot;-&quot;??_);_(@_)">
                  <c:v>103.24004243606285</c:v>
                </c:pt>
                <c:pt idx="74" formatCode="_(* #,##0.00_);_(* \(#,##0.00\);_(* &quot;-&quot;??_);_(@_)">
                  <c:v>95.739247511581624</c:v>
                </c:pt>
                <c:pt idx="75" formatCode="_(* #,##0.00_);_(* \(#,##0.00\);_(* &quot;-&quot;??_);_(@_)">
                  <c:v>87.292823396294139</c:v>
                </c:pt>
                <c:pt idx="76" formatCode="_(* #,##0.00_);_(* \(#,##0.00\);_(* &quot;-&quot;??_);_(@_)">
                  <c:v>85.066830716374085</c:v>
                </c:pt>
                <c:pt idx="77" formatCode="_(* #,##0.00_);_(* \(#,##0.00\);_(* &quot;-&quot;??_);_(@_)">
                  <c:v>90.063516498695435</c:v>
                </c:pt>
                <c:pt idx="78" formatCode="_(* #,##0.00_);_(* \(#,##0.00\);_(* &quot;-&quot;??_);_(@_)">
                  <c:v>96.165456162828633</c:v>
                </c:pt>
                <c:pt idx="79" formatCode="_(* #,##0.00_);_(* \(#,##0.00\);_(* &quot;-&quot;??_);_(@_)">
                  <c:v>97.511156831093501</c:v>
                </c:pt>
                <c:pt idx="80" formatCode="_(* #,##0.00_);_(* \(#,##0.00\);_(* &quot;-&quot;??_);_(@_)">
                  <c:v>92.097063834828347</c:v>
                </c:pt>
                <c:pt idx="81" formatCode="_(* #,##0.00_);_(* \(#,##0.00\);_(* &quot;-&quot;??_);_(@_)">
                  <c:v>82.594286218568897</c:v>
                </c:pt>
                <c:pt idx="82" formatCode="_(* #,##0.00_);_(* \(#,##0.00\);_(* &quot;-&quot;??_);_(@_)">
                  <c:v>85.749577754998626</c:v>
                </c:pt>
                <c:pt idx="83" formatCode="_(* #,##0.00_);_(* \(#,##0.00\);_(* &quot;-&quot;??_);_(@_)">
                  <c:v>88.470917852725634</c:v>
                </c:pt>
                <c:pt idx="84" formatCode="_(* #,##0.00_);_(* \(#,##0.00\);_(* &quot;-&quot;??_);_(@_)">
                  <c:v>95.415747198877938</c:v>
                </c:pt>
                <c:pt idx="85" formatCode="_(* #,##0.00_);_(* \(#,##0.00\);_(* &quot;-&quot;??_);_(@_)">
                  <c:v>96.406056604654381</c:v>
                </c:pt>
                <c:pt idx="86" formatCode="_(* #,##0.00_);_(* \(#,##0.00\);_(* &quot;-&quot;??_);_(@_)">
                  <c:v>90.922571484340793</c:v>
                </c:pt>
                <c:pt idx="87" formatCode="_(* #,##0.00_);_(* \(#,##0.00\);_(* &quot;-&quot;??_);_(@_)">
                  <c:v>86.980433541957623</c:v>
                </c:pt>
                <c:pt idx="88" formatCode="_(* #,##0.00_);_(* \(#,##0.00\);_(* &quot;-&quot;??_);_(@_)">
                  <c:v>85.597415844868351</c:v>
                </c:pt>
                <c:pt idx="89" formatCode="_(* #,##0.00_);_(* \(#,##0.00\);_(* &quot;-&quot;??_);_(@_)">
                  <c:v>94.023412512441254</c:v>
                </c:pt>
                <c:pt idx="90" formatCode="_(* #,##0.00_);_(* \(#,##0.00\);_(* &quot;-&quot;??_);_(@_)">
                  <c:v>101.92641277059333</c:v>
                </c:pt>
                <c:pt idx="91" formatCode="_(* #,##0.00_);_(* \(#,##0.00\);_(* &quot;-&quot;??_);_(@_)">
                  <c:v>104.24711948954204</c:v>
                </c:pt>
                <c:pt idx="92" formatCode="_(* #,##0.00_);_(* \(#,##0.00\);_(* &quot;-&quot;??_);_(@_)">
                  <c:v>92.798219255102879</c:v>
                </c:pt>
                <c:pt idx="93" formatCode="_(* #,##0.00_);_(* \(#,##0.00\);_(* &quot;-&quot;??_);_(@_)">
                  <c:v>82.94232482957085</c:v>
                </c:pt>
                <c:pt idx="94" formatCode="_(* #,##0.00_);_(* \(#,##0.00\);_(* &quot;-&quot;??_);_(@_)">
                  <c:v>85.810855064582398</c:v>
                </c:pt>
                <c:pt idx="95" formatCode="_(* #,##0.00_);_(* \(#,##0.00\);_(* &quot;-&quot;??_);_(@_)">
                  <c:v>91.920462002014077</c:v>
                </c:pt>
                <c:pt idx="96" formatCode="_(* #,##0.00_);_(* \(#,##0.00\);_(* &quot;-&quot;??_);_(@_)">
                  <c:v>96.406919493533707</c:v>
                </c:pt>
                <c:pt idx="97" formatCode="_(* #,##0.00_);_(* \(#,##0.00\);_(* &quot;-&quot;??_);_(@_)">
                  <c:v>94.653520717766114</c:v>
                </c:pt>
                <c:pt idx="98" formatCode="_(* #,##0.00_);_(* \(#,##0.00\);_(* &quot;-&quot;??_);_(@_)">
                  <c:v>91.234403668436897</c:v>
                </c:pt>
                <c:pt idx="99" formatCode="_(* #,##0.00_);_(* \(#,##0.00\);_(* &quot;-&quot;??_);_(@_)">
                  <c:v>85.137454567742552</c:v>
                </c:pt>
                <c:pt idx="100" formatCode="_(* #,##0.00_);_(* \(#,##0.00\);_(* &quot;-&quot;??_);_(@_)">
                  <c:v>83.658048307375623</c:v>
                </c:pt>
                <c:pt idx="101" formatCode="_(* #,##0.00_);_(* \(#,##0.00\);_(* &quot;-&quot;??_);_(@_)">
                  <c:v>90.15961613473489</c:v>
                </c:pt>
                <c:pt idx="102" formatCode="_(* #,##0.00_);_(* \(#,##0.00\);_(* &quot;-&quot;??_);_(@_)">
                  <c:v>95.22381014041045</c:v>
                </c:pt>
                <c:pt idx="103" formatCode="_(* #,##0.00_);_(* \(#,##0.00\);_(* &quot;-&quot;??_);_(@_)">
                  <c:v>92.770117323621832</c:v>
                </c:pt>
                <c:pt idx="104" formatCode="_(* #,##0.00_);_(* \(#,##0.00\);_(* &quot;-&quot;??_);_(@_)">
                  <c:v>89.717636861685293</c:v>
                </c:pt>
                <c:pt idx="105" formatCode="_(* #,##0.00_);_(* \(#,##0.00\);_(* &quot;-&quot;??_);_(@_)">
                  <c:v>85.075494219478372</c:v>
                </c:pt>
                <c:pt idx="106" formatCode="_(* #,##0.00_);_(* \(#,##0.00\);_(* &quot;-&quot;??_);_(@_)">
                  <c:v>88.168968904044377</c:v>
                </c:pt>
                <c:pt idx="107" formatCode="_(* #,##0.00_);_(* \(#,##0.00\);_(* &quot;-&quot;??_);_(@_)">
                  <c:v>94.681278254718777</c:v>
                </c:pt>
                <c:pt idx="108" formatCode="_(* #,##0.00_);_(* \(#,##0.00\);_(* &quot;-&quot;??_);_(@_)">
                  <c:v>100.13744020286423</c:v>
                </c:pt>
                <c:pt idx="109" formatCode="_(* #,##0.00_);_(* \(#,##0.00\);_(* &quot;-&quot;??_);_(@_)">
                  <c:v>97.48570874483859</c:v>
                </c:pt>
                <c:pt idx="110" formatCode="_(* #,##0.00_);_(* \(#,##0.00\);_(* &quot;-&quot;??_);_(@_)">
                  <c:v>92.957093341840576</c:v>
                </c:pt>
                <c:pt idx="111" formatCode="_(* #,##0.00_);_(* \(#,##0.00\);_(* &quot;-&quot;??_);_(@_)">
                  <c:v>89.591000975385057</c:v>
                </c:pt>
                <c:pt idx="112" formatCode="_(* #,##0.00_);_(* \(#,##0.00\);_(* &quot;-&quot;??_);_(@_)">
                  <c:v>88.931942554935787</c:v>
                </c:pt>
                <c:pt idx="113" formatCode="_(* #,##0.00_);_(* \(#,##0.00\);_(* &quot;-&quot;??_);_(@_)">
                  <c:v>95.676576343200082</c:v>
                </c:pt>
                <c:pt idx="114" formatCode="_(* #,##0.00_);_(* \(#,##0.00\);_(* &quot;-&quot;??_);_(@_)">
                  <c:v>102.74878279494447</c:v>
                </c:pt>
                <c:pt idx="115" formatCode="_(* #,##0.00_);_(* \(#,##0.00\);_(* &quot;-&quot;??_);_(@_)">
                  <c:v>101.1699973285847</c:v>
                </c:pt>
                <c:pt idx="116" formatCode="_(* #,##0.00_);_(* \(#,##0.00\);_(* &quot;-&quot;??_);_(@_)">
                  <c:v>93.34407468800687</c:v>
                </c:pt>
                <c:pt idx="117" formatCode="_(* #,##0.00_);_(* \(#,##0.00\);_(* &quot;-&quot;??_);_(@_)">
                  <c:v>84.805315398459143</c:v>
                </c:pt>
                <c:pt idx="118" formatCode="_(* #,##0.00_);_(* \(#,##0.00\);_(* &quot;-&quot;??_);_(@_)">
                  <c:v>90.041074522921917</c:v>
                </c:pt>
                <c:pt idx="119" formatCode="_(* #,##0.00_);_(* \(#,##0.00\);_(* &quot;-&quot;??_);_(@_)">
                  <c:v>92.158591585773138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18-493C-A18D-374F6CA8F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21824"/>
        <c:axId val="152624128"/>
      </c:scatterChart>
      <c:valAx>
        <c:axId val="15262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4128"/>
        <c:crosses val="autoZero"/>
        <c:crossBetween val="midCat"/>
      </c:valAx>
      <c:valAx>
        <c:axId val="1526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1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Weather!$D$123:$D$242</c:f>
              <c:numCache>
                <c:formatCode>0.00</c:formatCode>
                <c:ptCount val="120"/>
                <c:pt idx="0">
                  <c:v>-2.0749999999999997</c:v>
                </c:pt>
                <c:pt idx="1">
                  <c:v>1.532258064516129</c:v>
                </c:pt>
                <c:pt idx="2">
                  <c:v>7.31</c:v>
                </c:pt>
                <c:pt idx="3">
                  <c:v>12.75483870967742</c:v>
                </c:pt>
                <c:pt idx="4">
                  <c:v>17.443333333333332</c:v>
                </c:pt>
                <c:pt idx="5">
                  <c:v>19.235483870967741</c:v>
                </c:pt>
                <c:pt idx="6">
                  <c:v>21.296774193548387</c:v>
                </c:pt>
                <c:pt idx="7">
                  <c:v>17.513333333333332</c:v>
                </c:pt>
                <c:pt idx="8">
                  <c:v>9.6516129032258053</c:v>
                </c:pt>
                <c:pt idx="9">
                  <c:v>7.1466666666666665</c:v>
                </c:pt>
                <c:pt idx="10">
                  <c:v>-0.71612903225806457</c:v>
                </c:pt>
                <c:pt idx="11">
                  <c:v>-3.5870967741935478</c:v>
                </c:pt>
                <c:pt idx="12">
                  <c:v>-2.0214285714285714</c:v>
                </c:pt>
                <c:pt idx="13">
                  <c:v>4.5032258064516126</c:v>
                </c:pt>
                <c:pt idx="14">
                  <c:v>9.7033333333333349</c:v>
                </c:pt>
                <c:pt idx="15">
                  <c:v>14.548387096774196</c:v>
                </c:pt>
                <c:pt idx="16">
                  <c:v>19.37</c:v>
                </c:pt>
                <c:pt idx="17">
                  <c:v>23.412903225806449</c:v>
                </c:pt>
                <c:pt idx="18">
                  <c:v>22.700000000000003</c:v>
                </c:pt>
                <c:pt idx="19">
                  <c:v>16.953333333333333</c:v>
                </c:pt>
                <c:pt idx="20">
                  <c:v>11.558064516129031</c:v>
                </c:pt>
                <c:pt idx="21">
                  <c:v>5.2633333333333336</c:v>
                </c:pt>
                <c:pt idx="22">
                  <c:v>-2.4387096774193551</c:v>
                </c:pt>
                <c:pt idx="23">
                  <c:v>-5.4419354838709673</c:v>
                </c:pt>
                <c:pt idx="24">
                  <c:v>-3.6142857142857139</c:v>
                </c:pt>
                <c:pt idx="25">
                  <c:v>0.40322580645161288</c:v>
                </c:pt>
                <c:pt idx="26">
                  <c:v>6.1433333333333335</c:v>
                </c:pt>
                <c:pt idx="27">
                  <c:v>11.96774193548387</c:v>
                </c:pt>
                <c:pt idx="28">
                  <c:v>18.653333333333332</c:v>
                </c:pt>
                <c:pt idx="29">
                  <c:v>24.125806451612902</c:v>
                </c:pt>
                <c:pt idx="30">
                  <c:v>21.819354838709678</c:v>
                </c:pt>
                <c:pt idx="31">
                  <c:v>17.616666666666667</c:v>
                </c:pt>
                <c:pt idx="32">
                  <c:v>11.587096774193549</c:v>
                </c:pt>
                <c:pt idx="33">
                  <c:v>8.0533333333333328</c:v>
                </c:pt>
                <c:pt idx="34">
                  <c:v>2.4741935483870963</c:v>
                </c:pt>
                <c:pt idx="35">
                  <c:v>-0.34516129032258075</c:v>
                </c:pt>
                <c:pt idx="36">
                  <c:v>0.84827586206896544</c:v>
                </c:pt>
                <c:pt idx="37">
                  <c:v>6.112903225806452</c:v>
                </c:pt>
                <c:pt idx="38">
                  <c:v>7.86</c:v>
                </c:pt>
                <c:pt idx="39">
                  <c:v>15.490322580645163</c:v>
                </c:pt>
                <c:pt idx="40">
                  <c:v>20.633333333333333</c:v>
                </c:pt>
                <c:pt idx="41">
                  <c:v>24.2258064516129</c:v>
                </c:pt>
                <c:pt idx="42">
                  <c:v>22.219354838709677</c:v>
                </c:pt>
                <c:pt idx="43">
                  <c:v>17.386666666666663</c:v>
                </c:pt>
                <c:pt idx="44">
                  <c:v>10.816129032258065</c:v>
                </c:pt>
                <c:pt idx="45">
                  <c:v>4.8366666666666669</c:v>
                </c:pt>
                <c:pt idx="46">
                  <c:v>2.5354838709677421</c:v>
                </c:pt>
                <c:pt idx="47">
                  <c:v>-0.74838709677419368</c:v>
                </c:pt>
                <c:pt idx="48">
                  <c:v>-2.9821428571428572</c:v>
                </c:pt>
                <c:pt idx="49">
                  <c:v>1.1193548387096774</c:v>
                </c:pt>
                <c:pt idx="50">
                  <c:v>6.0466666666666669</c:v>
                </c:pt>
                <c:pt idx="51">
                  <c:v>13.312903225806453</c:v>
                </c:pt>
                <c:pt idx="52">
                  <c:v>18.400000000000002</c:v>
                </c:pt>
                <c:pt idx="53">
                  <c:v>22.22258064516129</c:v>
                </c:pt>
                <c:pt idx="54">
                  <c:v>20.870967741935488</c:v>
                </c:pt>
                <c:pt idx="55">
                  <c:v>16.766666666666669</c:v>
                </c:pt>
                <c:pt idx="56">
                  <c:v>11.85483870967742</c:v>
                </c:pt>
                <c:pt idx="57">
                  <c:v>3.776666666666666</c:v>
                </c:pt>
                <c:pt idx="58">
                  <c:v>-2.1290322580645156</c:v>
                </c:pt>
                <c:pt idx="59">
                  <c:v>-6.9064516129032256</c:v>
                </c:pt>
                <c:pt idx="60">
                  <c:v>-6.8785714285714272</c:v>
                </c:pt>
                <c:pt idx="61">
                  <c:v>-2.9806451612903229</c:v>
                </c:pt>
                <c:pt idx="62">
                  <c:v>5.8566666666666682</c:v>
                </c:pt>
                <c:pt idx="63">
                  <c:v>12.861290322580649</c:v>
                </c:pt>
                <c:pt idx="64">
                  <c:v>18.513333333333328</c:v>
                </c:pt>
                <c:pt idx="65">
                  <c:v>19.825806451612905</c:v>
                </c:pt>
                <c:pt idx="66">
                  <c:v>20.070967741935487</c:v>
                </c:pt>
                <c:pt idx="67">
                  <c:v>17.286666666666665</c:v>
                </c:pt>
                <c:pt idx="68">
                  <c:v>11.712903225806446</c:v>
                </c:pt>
                <c:pt idx="69">
                  <c:v>3.2833333333333328</c:v>
                </c:pt>
                <c:pt idx="70">
                  <c:v>1.2548387096774198</c:v>
                </c:pt>
                <c:pt idx="71">
                  <c:v>-5.8580645161290343</c:v>
                </c:pt>
                <c:pt idx="72">
                  <c:v>-11.139285714285718</c:v>
                </c:pt>
                <c:pt idx="73">
                  <c:v>-1.1612903225806448</c:v>
                </c:pt>
                <c:pt idx="74">
                  <c:v>7.2700000000000022</c:v>
                </c:pt>
                <c:pt idx="75">
                  <c:v>14.535483870967743</c:v>
                </c:pt>
                <c:pt idx="76">
                  <c:v>16.886666666666663</c:v>
                </c:pt>
                <c:pt idx="77">
                  <c:v>21.899999999999995</c:v>
                </c:pt>
                <c:pt idx="78">
                  <c:v>20.796774193548384</c:v>
                </c:pt>
                <c:pt idx="79">
                  <c:v>20.030000000000005</c:v>
                </c:pt>
                <c:pt idx="80">
                  <c:v>11.587096774193544</c:v>
                </c:pt>
                <c:pt idx="81">
                  <c:v>7.9633333333333329</c:v>
                </c:pt>
                <c:pt idx="82">
                  <c:v>5.2741935483870979</c:v>
                </c:pt>
                <c:pt idx="83">
                  <c:v>-2.1612903225806446</c:v>
                </c:pt>
                <c:pt idx="84">
                  <c:v>-0.76896551724137929</c:v>
                </c:pt>
                <c:pt idx="85">
                  <c:v>3.4451612903225803</c:v>
                </c:pt>
                <c:pt idx="86">
                  <c:v>4.9666666666666659</c:v>
                </c:pt>
                <c:pt idx="87">
                  <c:v>13.870967741935482</c:v>
                </c:pt>
                <c:pt idx="88">
                  <c:v>19.386666666666663</c:v>
                </c:pt>
                <c:pt idx="89">
                  <c:v>22.919354838709673</c:v>
                </c:pt>
                <c:pt idx="90">
                  <c:v>23.735483870967741</c:v>
                </c:pt>
                <c:pt idx="91">
                  <c:v>20.029999999999998</c:v>
                </c:pt>
                <c:pt idx="92">
                  <c:v>13.20967741935484</c:v>
                </c:pt>
                <c:pt idx="93">
                  <c:v>8.2366666666666628</c:v>
                </c:pt>
                <c:pt idx="94">
                  <c:v>-3.2258064516129135E-2</c:v>
                </c:pt>
                <c:pt idx="95">
                  <c:v>-0.34193548387096795</c:v>
                </c:pt>
                <c:pt idx="96">
                  <c:v>1.1714285714285715</c:v>
                </c:pt>
                <c:pt idx="97">
                  <c:v>0.54193548387096779</c:v>
                </c:pt>
                <c:pt idx="98">
                  <c:v>8.9300000000000015</c:v>
                </c:pt>
                <c:pt idx="99">
                  <c:v>11.783870967741937</c:v>
                </c:pt>
                <c:pt idx="100">
                  <c:v>19.303333333333331</c:v>
                </c:pt>
                <c:pt idx="101">
                  <c:v>21.661290322580644</c:v>
                </c:pt>
                <c:pt idx="102">
                  <c:v>20.522580645161295</c:v>
                </c:pt>
                <c:pt idx="103">
                  <c:v>18.610000000000003</c:v>
                </c:pt>
                <c:pt idx="104">
                  <c:v>14.658064516129036</c:v>
                </c:pt>
                <c:pt idx="105">
                  <c:v>5.0699999999999994</c:v>
                </c:pt>
                <c:pt idx="106">
                  <c:v>-2.9419354838709673</c:v>
                </c:pt>
                <c:pt idx="107">
                  <c:v>-3.9451612903225803</c:v>
                </c:pt>
                <c:pt idx="108">
                  <c:v>-0.28928571428571387</c:v>
                </c:pt>
                <c:pt idx="109">
                  <c:v>0.77741935483870972</c:v>
                </c:pt>
                <c:pt idx="110">
                  <c:v>4.0233333333333334</c:v>
                </c:pt>
                <c:pt idx="111">
                  <c:v>14.790322580645164</c:v>
                </c:pt>
                <c:pt idx="112">
                  <c:v>19.029999999999998</c:v>
                </c:pt>
                <c:pt idx="113">
                  <c:v>23.296774193548391</c:v>
                </c:pt>
                <c:pt idx="114">
                  <c:v>23.283870967741933</c:v>
                </c:pt>
                <c:pt idx="115">
                  <c:v>19.446666666666669</c:v>
                </c:pt>
                <c:pt idx="116">
                  <c:v>10.645161290322582</c:v>
                </c:pt>
                <c:pt idx="117">
                  <c:v>2.9200000000000004</c:v>
                </c:pt>
                <c:pt idx="118">
                  <c:v>1.3548387096774193</c:v>
                </c:pt>
                <c:pt idx="119">
                  <c:v>-4.580645161290323</c:v>
                </c:pt>
              </c:numCache>
            </c:numRef>
          </c:xVal>
          <c:yVal>
            <c:numRef>
              <c:f>Weather!$U$123:$U$242</c:f>
              <c:numCache>
                <c:formatCode>_(* #,##0_);_(* \(#,##0\);_(* "-"??_);_(@_)</c:formatCode>
                <c:ptCount val="120"/>
                <c:pt idx="11">
                  <c:v>2565.6671389502126</c:v>
                </c:pt>
                <c:pt idx="12">
                  <c:v>2588.8357069821795</c:v>
                </c:pt>
                <c:pt idx="13">
                  <c:v>2496.7454467889606</c:v>
                </c:pt>
                <c:pt idx="14">
                  <c:v>2347.9766599597583</c:v>
                </c:pt>
                <c:pt idx="15">
                  <c:v>2436.005376344086</c:v>
                </c:pt>
                <c:pt idx="16">
                  <c:v>2611.6086593112673</c:v>
                </c:pt>
                <c:pt idx="17">
                  <c:v>2717.1797049764955</c:v>
                </c:pt>
                <c:pt idx="18">
                  <c:v>2683.2693451418968</c:v>
                </c:pt>
                <c:pt idx="19">
                  <c:v>2452.4984333333332</c:v>
                </c:pt>
                <c:pt idx="20">
                  <c:v>2278.757230808696</c:v>
                </c:pt>
                <c:pt idx="21">
                  <c:v>2371.9136378682551</c:v>
                </c:pt>
                <c:pt idx="22">
                  <c:v>2384.7852752921699</c:v>
                </c:pt>
                <c:pt idx="23">
                  <c:v>2511.7438972787304</c:v>
                </c:pt>
                <c:pt idx="24">
                  <c:v>2624.2548652130827</c:v>
                </c:pt>
                <c:pt idx="25">
                  <c:v>2614.6910637177202</c:v>
                </c:pt>
                <c:pt idx="26">
                  <c:v>2434.6861256043908</c:v>
                </c:pt>
                <c:pt idx="27">
                  <c:v>2439.4811475188585</c:v>
                </c:pt>
                <c:pt idx="28">
                  <c:v>2609.7358068618983</c:v>
                </c:pt>
                <c:pt idx="29">
                  <c:v>2777.9188164200796</c:v>
                </c:pt>
                <c:pt idx="30">
                  <c:v>2697.4386864689754</c:v>
                </c:pt>
                <c:pt idx="31">
                  <c:v>2523.2027470450234</c:v>
                </c:pt>
                <c:pt idx="32">
                  <c:v>2367.0504411370425</c:v>
                </c:pt>
                <c:pt idx="33">
                  <c:v>2390.3555698879613</c:v>
                </c:pt>
                <c:pt idx="34">
                  <c:v>2344.4603045151271</c:v>
                </c:pt>
                <c:pt idx="35">
                  <c:v>2521.7432297902856</c:v>
                </c:pt>
                <c:pt idx="36">
                  <c:v>2526.8517055278066</c:v>
                </c:pt>
                <c:pt idx="37">
                  <c:v>2425.5018772834842</c:v>
                </c:pt>
                <c:pt idx="38">
                  <c:v>2339.3983254017689</c:v>
                </c:pt>
                <c:pt idx="39">
                  <c:v>2446.7642692806535</c:v>
                </c:pt>
                <c:pt idx="40">
                  <c:v>2624.0486474142431</c:v>
                </c:pt>
                <c:pt idx="41">
                  <c:v>2751.9134181614472</c:v>
                </c:pt>
                <c:pt idx="42">
                  <c:v>2664.5069573768883</c:v>
                </c:pt>
                <c:pt idx="43">
                  <c:v>2491.6159480482102</c:v>
                </c:pt>
                <c:pt idx="44">
                  <c:v>2371.6625820351946</c:v>
                </c:pt>
                <c:pt idx="45">
                  <c:v>2426.9584987668286</c:v>
                </c:pt>
                <c:pt idx="46">
                  <c:v>2335.4202854069163</c:v>
                </c:pt>
                <c:pt idx="47">
                  <c:v>2554.7699363520883</c:v>
                </c:pt>
                <c:pt idx="48">
                  <c:v>2593.6065331815525</c:v>
                </c:pt>
                <c:pt idx="49">
                  <c:v>2470.6015902500208</c:v>
                </c:pt>
                <c:pt idx="50">
                  <c:v>2401.7880680895178</c:v>
                </c:pt>
                <c:pt idx="51">
                  <c:v>2389.3052297486579</c:v>
                </c:pt>
                <c:pt idx="52">
                  <c:v>2529.6687859018789</c:v>
                </c:pt>
                <c:pt idx="53">
                  <c:v>2673.5174710876013</c:v>
                </c:pt>
                <c:pt idx="54">
                  <c:v>2587.1667593107286</c:v>
                </c:pt>
                <c:pt idx="55">
                  <c:v>2446.2777632950661</c:v>
                </c:pt>
                <c:pt idx="56">
                  <c:v>2370.5601979091693</c:v>
                </c:pt>
                <c:pt idx="57">
                  <c:v>2419.3478926673783</c:v>
                </c:pt>
                <c:pt idx="58">
                  <c:v>2415.7399299202812</c:v>
                </c:pt>
                <c:pt idx="59">
                  <c:v>2610.77164120208</c:v>
                </c:pt>
                <c:pt idx="60">
                  <c:v>2623.8024262888575</c:v>
                </c:pt>
                <c:pt idx="61">
                  <c:v>2523.2384027454073</c:v>
                </c:pt>
                <c:pt idx="62">
                  <c:v>2376.8337682306105</c:v>
                </c:pt>
                <c:pt idx="63">
                  <c:v>2337.3783200053849</c:v>
                </c:pt>
                <c:pt idx="64">
                  <c:v>2526.3558056996158</c:v>
                </c:pt>
                <c:pt idx="65">
                  <c:v>2575.3259237620578</c:v>
                </c:pt>
                <c:pt idx="66">
                  <c:v>2530.1410431422969</c:v>
                </c:pt>
                <c:pt idx="67">
                  <c:v>2481.5239120263341</c:v>
                </c:pt>
                <c:pt idx="68">
                  <c:v>2340.6722196187329</c:v>
                </c:pt>
                <c:pt idx="69">
                  <c:v>2401.5020179724579</c:v>
                </c:pt>
                <c:pt idx="70">
                  <c:v>2363.6494695245942</c:v>
                </c:pt>
                <c:pt idx="71">
                  <c:v>2562.3515407714572</c:v>
                </c:pt>
                <c:pt idx="72">
                  <c:v>2653.9075984596188</c:v>
                </c:pt>
                <c:pt idx="73">
                  <c:v>2486.2139023271156</c:v>
                </c:pt>
                <c:pt idx="74">
                  <c:v>2332.0883236480154</c:v>
                </c:pt>
                <c:pt idx="75">
                  <c:v>2372.7457606785742</c:v>
                </c:pt>
                <c:pt idx="76">
                  <c:v>2515.8214184130088</c:v>
                </c:pt>
                <c:pt idx="77">
                  <c:v>2641.8919779283474</c:v>
                </c:pt>
                <c:pt idx="78">
                  <c:v>2601.0434465439293</c:v>
                </c:pt>
                <c:pt idx="79">
                  <c:v>2609.3095622991177</c:v>
                </c:pt>
                <c:pt idx="80">
                  <c:v>2355.2906029896926</c:v>
                </c:pt>
                <c:pt idx="81">
                  <c:v>2388.1921746609801</c:v>
                </c:pt>
                <c:pt idx="82">
                  <c:v>2330.9383021820372</c:v>
                </c:pt>
                <c:pt idx="83">
                  <c:v>2530.5042536826459</c:v>
                </c:pt>
                <c:pt idx="84">
                  <c:v>2560.2272407768146</c:v>
                </c:pt>
                <c:pt idx="85">
                  <c:v>2466.2536173941176</c:v>
                </c:pt>
                <c:pt idx="86">
                  <c:v>2425.9777601272481</c:v>
                </c:pt>
                <c:pt idx="87">
                  <c:v>2409.1856460012791</c:v>
                </c:pt>
                <c:pt idx="88">
                  <c:v>2604.5770716989691</c:v>
                </c:pt>
                <c:pt idx="89">
                  <c:v>2708.8157001295017</c:v>
                </c:pt>
                <c:pt idx="90">
                  <c:v>2807.2687481110329</c:v>
                </c:pt>
                <c:pt idx="91">
                  <c:v>2602.6844611794463</c:v>
                </c:pt>
                <c:pt idx="92">
                  <c:v>2365.3852114818483</c:v>
                </c:pt>
                <c:pt idx="93">
                  <c:v>2394.8382063047311</c:v>
                </c:pt>
                <c:pt idx="94">
                  <c:v>2391.2323593209317</c:v>
                </c:pt>
                <c:pt idx="95">
                  <c:v>2486.4810555230802</c:v>
                </c:pt>
                <c:pt idx="96">
                  <c:v>2560.3834429593176</c:v>
                </c:pt>
                <c:pt idx="97">
                  <c:v>2543.6508279502591</c:v>
                </c:pt>
                <c:pt idx="98">
                  <c:v>2383.2061888819344</c:v>
                </c:pt>
                <c:pt idx="99">
                  <c:v>2441.3769588267392</c:v>
                </c:pt>
                <c:pt idx="100">
                  <c:v>2618.4744810675334</c:v>
                </c:pt>
                <c:pt idx="101">
                  <c:v>2656.1239298268833</c:v>
                </c:pt>
                <c:pt idx="102">
                  <c:v>2650.2105681043727</c:v>
                </c:pt>
                <c:pt idx="103">
                  <c:v>2606.3054500985022</c:v>
                </c:pt>
                <c:pt idx="104">
                  <c:v>2459.9705642411313</c:v>
                </c:pt>
                <c:pt idx="105">
                  <c:v>2487.3028802412105</c:v>
                </c:pt>
                <c:pt idx="106">
                  <c:v>2446.6714265737637</c:v>
                </c:pt>
                <c:pt idx="107">
                  <c:v>2623.8306180169525</c:v>
                </c:pt>
                <c:pt idx="108">
                  <c:v>2575.0515316179067</c:v>
                </c:pt>
                <c:pt idx="109">
                  <c:v>2490.0254626485721</c:v>
                </c:pt>
                <c:pt idx="110">
                  <c:v>2460.1160920093635</c:v>
                </c:pt>
                <c:pt idx="111">
                  <c:v>2457.8578999245578</c:v>
                </c:pt>
                <c:pt idx="112">
                  <c:v>2694.7255552179581</c:v>
                </c:pt>
                <c:pt idx="113">
                  <c:v>2785.8559912485066</c:v>
                </c:pt>
                <c:pt idx="114">
                  <c:v>2791.0662340153835</c:v>
                </c:pt>
                <c:pt idx="115">
                  <c:v>2614.5214803847566</c:v>
                </c:pt>
                <c:pt idx="116">
                  <c:v>2408.8960127718901</c:v>
                </c:pt>
                <c:pt idx="117">
                  <c:v>2479.468506750432</c:v>
                </c:pt>
                <c:pt idx="118">
                  <c:v>2372.0781829781608</c:v>
                </c:pt>
                <c:pt idx="119">
                  <c:v>2609.8452198386121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8D-4301-9ADB-BDBD32FAA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72640"/>
        <c:axId val="175474944"/>
      </c:scatterChart>
      <c:valAx>
        <c:axId val="17547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4944"/>
        <c:crosses val="autoZero"/>
        <c:crossBetween val="midCat"/>
      </c:valAx>
      <c:valAx>
        <c:axId val="17547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2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  <a:r>
              <a:rPr lang="en-US" baseline="0"/>
              <a:t> Predicted Monthly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'Res Predicted Monthly'!$D$2:$D$121</c:f>
              <c:numCache>
                <c:formatCode>_(* #,##0_);_(* \(#,##0\);_(* "-"??_);_(@_)</c:formatCode>
                <c:ptCount val="120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49884340.383905195</c:v>
                </c:pt>
                <c:pt idx="61">
                  <c:v>42980985.383905195</c:v>
                </c:pt>
                <c:pt idx="62">
                  <c:v>43419024.383905195</c:v>
                </c:pt>
                <c:pt idx="63">
                  <c:v>38613457.383905195</c:v>
                </c:pt>
                <c:pt idx="64">
                  <c:v>40763108.383905195</c:v>
                </c:pt>
                <c:pt idx="65">
                  <c:v>46119249.383905195</c:v>
                </c:pt>
                <c:pt idx="66">
                  <c:v>54424085.383905195</c:v>
                </c:pt>
                <c:pt idx="67">
                  <c:v>55134636.383905195</c:v>
                </c:pt>
                <c:pt idx="68">
                  <c:v>47798131.383905195</c:v>
                </c:pt>
                <c:pt idx="69">
                  <c:v>41883670.383905195</c:v>
                </c:pt>
                <c:pt idx="70">
                  <c:v>38353292.383905195</c:v>
                </c:pt>
                <c:pt idx="71">
                  <c:v>41803813.383905195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45513379.429172598</c:v>
                </c:pt>
                <c:pt idx="85">
                  <c:v>39003386.429172598</c:v>
                </c:pt>
                <c:pt idx="86">
                  <c:v>40659453.429172598</c:v>
                </c:pt>
                <c:pt idx="87">
                  <c:v>36365950.429172598</c:v>
                </c:pt>
                <c:pt idx="88">
                  <c:v>39252711.429172598</c:v>
                </c:pt>
                <c:pt idx="89">
                  <c:v>47628949.429172598</c:v>
                </c:pt>
                <c:pt idx="90">
                  <c:v>55795384.429172598</c:v>
                </c:pt>
                <c:pt idx="91">
                  <c:v>52455350.429172598</c:v>
                </c:pt>
                <c:pt idx="92">
                  <c:v>45869313.429172598</c:v>
                </c:pt>
                <c:pt idx="93">
                  <c:v>41241719.429172598</c:v>
                </c:pt>
                <c:pt idx="94">
                  <c:v>39186241.429172598</c:v>
                </c:pt>
                <c:pt idx="95">
                  <c:v>47203108.429172598</c:v>
                </c:pt>
                <c:pt idx="96">
                  <c:v>48558249.221446835</c:v>
                </c:pt>
                <c:pt idx="97">
                  <c:v>40484738.221446835</c:v>
                </c:pt>
                <c:pt idx="98">
                  <c:v>41820516.221446835</c:v>
                </c:pt>
                <c:pt idx="99">
                  <c:v>38864052.221446835</c:v>
                </c:pt>
                <c:pt idx="100">
                  <c:v>41888482.221446835</c:v>
                </c:pt>
                <c:pt idx="101">
                  <c:v>52737558.221446835</c:v>
                </c:pt>
                <c:pt idx="102">
                  <c:v>65508403.221446835</c:v>
                </c:pt>
                <c:pt idx="103">
                  <c:v>63722566.221446835</c:v>
                </c:pt>
                <c:pt idx="104">
                  <c:v>51294132.221446835</c:v>
                </c:pt>
                <c:pt idx="105">
                  <c:v>41038053.221446835</c:v>
                </c:pt>
                <c:pt idx="106">
                  <c:v>41154575.221446835</c:v>
                </c:pt>
                <c:pt idx="107">
                  <c:v>46188029.221446835</c:v>
                </c:pt>
                <c:pt idx="108">
                  <c:v>47946223.226718538</c:v>
                </c:pt>
                <c:pt idx="109">
                  <c:v>42834954.226718538</c:v>
                </c:pt>
                <c:pt idx="110">
                  <c:v>43153575.226718538</c:v>
                </c:pt>
                <c:pt idx="111">
                  <c:v>38136662.226718538</c:v>
                </c:pt>
                <c:pt idx="112">
                  <c:v>38687980.226718538</c:v>
                </c:pt>
                <c:pt idx="113">
                  <c:v>45809796.226718538</c:v>
                </c:pt>
                <c:pt idx="114">
                  <c:v>63707328.226718538</c:v>
                </c:pt>
                <c:pt idx="115">
                  <c:v>58791766.226718538</c:v>
                </c:pt>
                <c:pt idx="116">
                  <c:v>44846342.226718538</c:v>
                </c:pt>
                <c:pt idx="117">
                  <c:v>39953556.226718538</c:v>
                </c:pt>
                <c:pt idx="118">
                  <c:v>40979024.226718538</c:v>
                </c:pt>
                <c:pt idx="119">
                  <c:v>46060405.226718538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E-45FF-B359-C8A24C015BBE}"/>
            </c:ext>
          </c:extLst>
        </c:ser>
        <c:ser>
          <c:idx val="1"/>
          <c:order val="1"/>
          <c:tx>
            <c:strRef>
              <c:f>'Res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'Res Predicted Monthly'!$S$2:$S$121</c:f>
              <c:numCache>
                <c:formatCode>_(* #,##0_);_(* \(#,##0\);_(* "-"??_);_(@_)</c:formatCode>
                <c:ptCount val="120"/>
                <c:pt idx="0">
                  <c:v>46834453.627266236</c:v>
                </c:pt>
                <c:pt idx="1">
                  <c:v>41126151.270353362</c:v>
                </c:pt>
                <c:pt idx="2">
                  <c:v>41138737.952705123</c:v>
                </c:pt>
                <c:pt idx="3">
                  <c:v>37802633.28661105</c:v>
                </c:pt>
                <c:pt idx="4">
                  <c:v>43834964.524947785</c:v>
                </c:pt>
                <c:pt idx="5">
                  <c:v>49797991.015393071</c:v>
                </c:pt>
                <c:pt idx="6">
                  <c:v>60789694.650775142</c:v>
                </c:pt>
                <c:pt idx="7">
                  <c:v>59261146.3622775</c:v>
                </c:pt>
                <c:pt idx="8">
                  <c:v>43334856.275741294</c:v>
                </c:pt>
                <c:pt idx="9">
                  <c:v>39685878.271122731</c:v>
                </c:pt>
                <c:pt idx="10">
                  <c:v>39659462.576295368</c:v>
                </c:pt>
                <c:pt idx="11">
                  <c:v>46768616.270850286</c:v>
                </c:pt>
                <c:pt idx="12">
                  <c:v>48249314.04322397</c:v>
                </c:pt>
                <c:pt idx="13">
                  <c:v>42280062.885169066</c:v>
                </c:pt>
                <c:pt idx="14">
                  <c:v>43558775.704397999</c:v>
                </c:pt>
                <c:pt idx="15">
                  <c:v>39625882.267154269</c:v>
                </c:pt>
                <c:pt idx="16">
                  <c:v>40629520.335946366</c:v>
                </c:pt>
                <c:pt idx="17">
                  <c:v>48893231.665942714</c:v>
                </c:pt>
                <c:pt idx="18">
                  <c:v>62716600.783550709</c:v>
                </c:pt>
                <c:pt idx="19">
                  <c:v>57709902.717808448</c:v>
                </c:pt>
                <c:pt idx="20">
                  <c:v>45019002.59810289</c:v>
                </c:pt>
                <c:pt idx="21">
                  <c:v>41168296.486928433</c:v>
                </c:pt>
                <c:pt idx="22">
                  <c:v>38887890.73450543</c:v>
                </c:pt>
                <c:pt idx="23">
                  <c:v>44676404.015377112</c:v>
                </c:pt>
                <c:pt idx="24">
                  <c:v>45979171.826582633</c:v>
                </c:pt>
                <c:pt idx="25">
                  <c:v>42144461.692927301</c:v>
                </c:pt>
                <c:pt idx="26">
                  <c:v>40896440.303536616</c:v>
                </c:pt>
                <c:pt idx="27">
                  <c:v>39076137.630442753</c:v>
                </c:pt>
                <c:pt idx="28">
                  <c:v>43890580.782791287</c:v>
                </c:pt>
                <c:pt idx="29">
                  <c:v>52845617.879552677</c:v>
                </c:pt>
                <c:pt idx="30">
                  <c:v>62888594.89366027</c:v>
                </c:pt>
                <c:pt idx="31">
                  <c:v>58447241.9884561</c:v>
                </c:pt>
                <c:pt idx="32">
                  <c:v>44668759.566854246</c:v>
                </c:pt>
                <c:pt idx="33">
                  <c:v>39762647.218750708</c:v>
                </c:pt>
                <c:pt idx="34">
                  <c:v>39811150.87651445</c:v>
                </c:pt>
                <c:pt idx="35">
                  <c:v>44614196.775129616</c:v>
                </c:pt>
                <c:pt idx="36">
                  <c:v>46110552.871844888</c:v>
                </c:pt>
                <c:pt idx="37">
                  <c:v>42017246.371275946</c:v>
                </c:pt>
                <c:pt idx="38">
                  <c:v>43111501.986127108</c:v>
                </c:pt>
                <c:pt idx="39">
                  <c:v>39632567.608037516</c:v>
                </c:pt>
                <c:pt idx="40">
                  <c:v>41709160.4077169</c:v>
                </c:pt>
                <c:pt idx="41">
                  <c:v>48605870.0005356</c:v>
                </c:pt>
                <c:pt idx="42">
                  <c:v>58605882.430290878</c:v>
                </c:pt>
                <c:pt idx="43">
                  <c:v>55605701.320950888</c:v>
                </c:pt>
                <c:pt idx="44">
                  <c:v>43671443.308839619</c:v>
                </c:pt>
                <c:pt idx="45">
                  <c:v>41107847.95947016</c:v>
                </c:pt>
                <c:pt idx="46">
                  <c:v>40543580.435370021</c:v>
                </c:pt>
                <c:pt idx="47">
                  <c:v>46879200.182372309</c:v>
                </c:pt>
                <c:pt idx="48">
                  <c:v>48964652.297277965</c:v>
                </c:pt>
                <c:pt idx="49">
                  <c:v>43405884.6001366</c:v>
                </c:pt>
                <c:pt idx="50">
                  <c:v>44900554.58555533</c:v>
                </c:pt>
                <c:pt idx="51">
                  <c:v>39521226.158072598</c:v>
                </c:pt>
                <c:pt idx="52">
                  <c:v>41112739.575680904</c:v>
                </c:pt>
                <c:pt idx="53">
                  <c:v>48440967.780512229</c:v>
                </c:pt>
                <c:pt idx="54">
                  <c:v>53171926.432844073</c:v>
                </c:pt>
                <c:pt idx="55">
                  <c:v>53693697.59828987</c:v>
                </c:pt>
                <c:pt idx="56">
                  <c:v>44344578.851461552</c:v>
                </c:pt>
                <c:pt idx="57">
                  <c:v>40213128.056271747</c:v>
                </c:pt>
                <c:pt idx="58">
                  <c:v>40522180.576941371</c:v>
                </c:pt>
                <c:pt idx="59">
                  <c:v>45035470.667826049</c:v>
                </c:pt>
                <c:pt idx="60">
                  <c:v>48066560.769301824</c:v>
                </c:pt>
                <c:pt idx="61">
                  <c:v>44598100.892208219</c:v>
                </c:pt>
                <c:pt idx="62">
                  <c:v>43626518.25289873</c:v>
                </c:pt>
                <c:pt idx="63">
                  <c:v>38612349.541166782</c:v>
                </c:pt>
                <c:pt idx="64">
                  <c:v>42230051.932155214</c:v>
                </c:pt>
                <c:pt idx="65">
                  <c:v>45440738.399523713</c:v>
                </c:pt>
                <c:pt idx="66">
                  <c:v>57579337.916371018</c:v>
                </c:pt>
                <c:pt idx="67">
                  <c:v>55121891.174234897</c:v>
                </c:pt>
                <c:pt idx="68">
                  <c:v>49015933.472140409</c:v>
                </c:pt>
                <c:pt idx="69">
                  <c:v>39298225.193763226</c:v>
                </c:pt>
                <c:pt idx="70">
                  <c:v>38337523.006567419</c:v>
                </c:pt>
                <c:pt idx="71">
                  <c:v>42690216.213939868</c:v>
                </c:pt>
                <c:pt idx="72">
                  <c:v>46167293.688632175</c:v>
                </c:pt>
                <c:pt idx="73">
                  <c:v>42252140.084276587</c:v>
                </c:pt>
                <c:pt idx="74">
                  <c:v>41405911.206711948</c:v>
                </c:pt>
                <c:pt idx="75">
                  <c:v>39494076.833678521</c:v>
                </c:pt>
                <c:pt idx="76">
                  <c:v>43138873.199711777</c:v>
                </c:pt>
                <c:pt idx="77">
                  <c:v>49789533.40351969</c:v>
                </c:pt>
                <c:pt idx="78">
                  <c:v>59497306.957476787</c:v>
                </c:pt>
                <c:pt idx="79">
                  <c:v>61195842.860458151</c:v>
                </c:pt>
                <c:pt idx="80">
                  <c:v>48534327.066872023</c:v>
                </c:pt>
                <c:pt idx="81">
                  <c:v>41649986.391871832</c:v>
                </c:pt>
                <c:pt idx="82">
                  <c:v>37790748.69821018</c:v>
                </c:pt>
                <c:pt idx="83">
                  <c:v>44857261.65345107</c:v>
                </c:pt>
                <c:pt idx="84">
                  <c:v>45049552.235722549</c:v>
                </c:pt>
                <c:pt idx="85">
                  <c:v>39713935.655421726</c:v>
                </c:pt>
                <c:pt idx="86">
                  <c:v>42564436.548230402</c:v>
                </c:pt>
                <c:pt idx="87">
                  <c:v>37883022.050391302</c:v>
                </c:pt>
                <c:pt idx="88">
                  <c:v>40247584.421046779</c:v>
                </c:pt>
                <c:pt idx="89">
                  <c:v>49305784.752122171</c:v>
                </c:pt>
                <c:pt idx="90">
                  <c:v>56668785.667613111</c:v>
                </c:pt>
                <c:pt idx="91">
                  <c:v>54181261.704437517</c:v>
                </c:pt>
                <c:pt idx="92">
                  <c:v>46249848.012564957</c:v>
                </c:pt>
                <c:pt idx="93">
                  <c:v>42828961.797012761</c:v>
                </c:pt>
                <c:pt idx="94">
                  <c:v>39357974.869585492</c:v>
                </c:pt>
                <c:pt idx="95">
                  <c:v>46732654.22497274</c:v>
                </c:pt>
                <c:pt idx="96">
                  <c:v>47229016.047484115</c:v>
                </c:pt>
                <c:pt idx="97">
                  <c:v>40498084.833333164</c:v>
                </c:pt>
                <c:pt idx="98">
                  <c:v>42543157.219032526</c:v>
                </c:pt>
                <c:pt idx="99">
                  <c:v>39619070.485346563</c:v>
                </c:pt>
                <c:pt idx="100">
                  <c:v>43239490.497847989</c:v>
                </c:pt>
                <c:pt idx="101">
                  <c:v>49171457.366570331</c:v>
                </c:pt>
                <c:pt idx="102">
                  <c:v>61023056.558478415</c:v>
                </c:pt>
                <c:pt idx="103">
                  <c:v>60954289.502619334</c:v>
                </c:pt>
                <c:pt idx="104">
                  <c:v>48120571.523895182</c:v>
                </c:pt>
                <c:pt idx="105">
                  <c:v>40842409.844439022</c:v>
                </c:pt>
                <c:pt idx="106">
                  <c:v>40256059.547883891</c:v>
                </c:pt>
                <c:pt idx="107">
                  <c:v>44904818.642682411</c:v>
                </c:pt>
                <c:pt idx="108">
                  <c:v>47803503.73017358</c:v>
                </c:pt>
                <c:pt idx="109">
                  <c:v>41836308.820912279</c:v>
                </c:pt>
                <c:pt idx="110">
                  <c:v>43671173.626555912</c:v>
                </c:pt>
                <c:pt idx="111">
                  <c:v>39624156.612488084</c:v>
                </c:pt>
                <c:pt idx="112">
                  <c:v>40416701.702407598</c:v>
                </c:pt>
                <c:pt idx="113">
                  <c:v>46791692.476206742</c:v>
                </c:pt>
                <c:pt idx="114">
                  <c:v>61054723.127318285</c:v>
                </c:pt>
                <c:pt idx="115">
                  <c:v>57309103.285699539</c:v>
                </c:pt>
                <c:pt idx="116">
                  <c:v>46882460.786287934</c:v>
                </c:pt>
                <c:pt idx="117">
                  <c:v>40366206.382678695</c:v>
                </c:pt>
                <c:pt idx="118">
                  <c:v>41614616.485728383</c:v>
                </c:pt>
                <c:pt idx="119">
                  <c:v>46000938.561985202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E-45FF-B359-C8A24C015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69856"/>
        <c:axId val="175784320"/>
      </c:lineChart>
      <c:dateAx>
        <c:axId val="17576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84320"/>
        <c:crosses val="autoZero"/>
        <c:auto val="1"/>
        <c:lblOffset val="100"/>
        <c:baseTimeUnit val="months"/>
      </c:dateAx>
      <c:valAx>
        <c:axId val="1757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6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'GS&lt;50 Predicted Monthly'!$D$2:$D$195</c:f>
              <c:numCache>
                <c:formatCode>_(* #,##0_);_(* \(#,##0\);_(* "-"??_);_(@_)</c:formatCode>
                <c:ptCount val="194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16182556.699089883</c:v>
                </c:pt>
                <c:pt idx="61">
                  <c:v>15130034.699089883</c:v>
                </c:pt>
                <c:pt idx="62">
                  <c:v>15540011.699089883</c:v>
                </c:pt>
                <c:pt idx="63">
                  <c:v>13711956.699089883</c:v>
                </c:pt>
                <c:pt idx="64">
                  <c:v>13844626.699089883</c:v>
                </c:pt>
                <c:pt idx="65">
                  <c:v>14160686.699089883</c:v>
                </c:pt>
                <c:pt idx="66">
                  <c:v>15621116.699089883</c:v>
                </c:pt>
                <c:pt idx="67">
                  <c:v>15851803.699089883</c:v>
                </c:pt>
                <c:pt idx="68">
                  <c:v>14469369.699089883</c:v>
                </c:pt>
                <c:pt idx="69">
                  <c:v>13421736.699089883</c:v>
                </c:pt>
                <c:pt idx="70">
                  <c:v>13464398.699089883</c:v>
                </c:pt>
                <c:pt idx="71">
                  <c:v>14365730.699089883</c:v>
                </c:pt>
                <c:pt idx="72">
                  <c:v>15517081.303964725</c:v>
                </c:pt>
                <c:pt idx="73">
                  <c:v>14725350.303964725</c:v>
                </c:pt>
                <c:pt idx="74">
                  <c:v>14848383.303964725</c:v>
                </c:pt>
                <c:pt idx="75">
                  <c:v>13743778.303964725</c:v>
                </c:pt>
                <c:pt idx="76">
                  <c:v>14047734.303964725</c:v>
                </c:pt>
                <c:pt idx="77">
                  <c:v>14848177.303964725</c:v>
                </c:pt>
                <c:pt idx="78">
                  <c:v>16626440.303964725</c:v>
                </c:pt>
                <c:pt idx="79">
                  <c:v>16998535.303964727</c:v>
                </c:pt>
                <c:pt idx="80">
                  <c:v>14679750.303964725</c:v>
                </c:pt>
                <c:pt idx="81">
                  <c:v>13570857.303964725</c:v>
                </c:pt>
                <c:pt idx="82">
                  <c:v>13638777.303964725</c:v>
                </c:pt>
                <c:pt idx="83">
                  <c:v>15093983.303964725</c:v>
                </c:pt>
                <c:pt idx="84">
                  <c:v>15848622.716300488</c:v>
                </c:pt>
                <c:pt idx="85">
                  <c:v>14155244.716300488</c:v>
                </c:pt>
                <c:pt idx="86">
                  <c:v>15108599.716300488</c:v>
                </c:pt>
                <c:pt idx="87">
                  <c:v>13649236.716300488</c:v>
                </c:pt>
                <c:pt idx="88">
                  <c:v>13851346.716300488</c:v>
                </c:pt>
                <c:pt idx="89">
                  <c:v>14440865.716300488</c:v>
                </c:pt>
                <c:pt idx="90">
                  <c:v>15754493.716300488</c:v>
                </c:pt>
                <c:pt idx="91">
                  <c:v>15368668.716300488</c:v>
                </c:pt>
                <c:pt idx="92">
                  <c:v>14399680.716300488</c:v>
                </c:pt>
                <c:pt idx="93">
                  <c:v>14109770.716300488</c:v>
                </c:pt>
                <c:pt idx="94">
                  <c:v>14159054.716300488</c:v>
                </c:pt>
                <c:pt idx="95">
                  <c:v>15720500.716300488</c:v>
                </c:pt>
                <c:pt idx="96">
                  <c:v>16654358.367339365</c:v>
                </c:pt>
                <c:pt idx="97">
                  <c:v>14649762.367339365</c:v>
                </c:pt>
                <c:pt idx="98">
                  <c:v>15509147.367339365</c:v>
                </c:pt>
                <c:pt idx="99">
                  <c:v>14451924.367339365</c:v>
                </c:pt>
                <c:pt idx="100">
                  <c:v>14807257.367339365</c:v>
                </c:pt>
                <c:pt idx="101">
                  <c:v>15605806.367339365</c:v>
                </c:pt>
                <c:pt idx="102">
                  <c:v>17337110.367339365</c:v>
                </c:pt>
                <c:pt idx="103">
                  <c:v>17142851.367339365</c:v>
                </c:pt>
                <c:pt idx="104">
                  <c:v>15306561.367339365</c:v>
                </c:pt>
                <c:pt idx="105">
                  <c:v>14377808.367339365</c:v>
                </c:pt>
                <c:pt idx="106">
                  <c:v>14845972.367339365</c:v>
                </c:pt>
                <c:pt idx="107">
                  <c:v>15695898.367339365</c:v>
                </c:pt>
                <c:pt idx="108">
                  <c:v>16830375.066078711</c:v>
                </c:pt>
                <c:pt idx="109">
                  <c:v>15569003.066078711</c:v>
                </c:pt>
                <c:pt idx="110">
                  <c:v>16318845.066078711</c:v>
                </c:pt>
                <c:pt idx="111">
                  <c:v>14529418.066078711</c:v>
                </c:pt>
                <c:pt idx="112">
                  <c:v>14271330.066078711</c:v>
                </c:pt>
                <c:pt idx="113">
                  <c:v>14804296.066078711</c:v>
                </c:pt>
                <c:pt idx="114">
                  <c:v>17319087.066078711</c:v>
                </c:pt>
                <c:pt idx="115">
                  <c:v>16585053.066078711</c:v>
                </c:pt>
                <c:pt idx="116">
                  <c:v>14725435.066078711</c:v>
                </c:pt>
                <c:pt idx="117">
                  <c:v>14042656.066078711</c:v>
                </c:pt>
                <c:pt idx="118">
                  <c:v>14515114.066078711</c:v>
                </c:pt>
                <c:pt idx="119">
                  <c:v>15355560.066078711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5-4C03-A1C2-4F4A0569D7D6}"/>
            </c:ext>
          </c:extLst>
        </c:ser>
        <c:ser>
          <c:idx val="1"/>
          <c:order val="1"/>
          <c:tx>
            <c:strRef>
              <c:f>'GS&lt;50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'GS&lt;50 Predicted Monthly'!$S$2:$S$195</c:f>
              <c:numCache>
                <c:formatCode>_(* #,##0.00_);_(* \(#,##0.00\);_(* "-"??_);_(@_)</c:formatCode>
                <c:ptCount val="194"/>
                <c:pt idx="0">
                  <c:v>15685509.268686779</c:v>
                </c:pt>
                <c:pt idx="1">
                  <c:v>13800635.61211374</c:v>
                </c:pt>
                <c:pt idx="2">
                  <c:v>14218478.096309923</c:v>
                </c:pt>
                <c:pt idx="3">
                  <c:v>12946281.827828713</c:v>
                </c:pt>
                <c:pt idx="4">
                  <c:v>13757278.518715747</c:v>
                </c:pt>
                <c:pt idx="5">
                  <c:v>14153072.037606001</c:v>
                </c:pt>
                <c:pt idx="6">
                  <c:v>16183223.8367496</c:v>
                </c:pt>
                <c:pt idx="7">
                  <c:v>15935188.993394431</c:v>
                </c:pt>
                <c:pt idx="8">
                  <c:v>13322905.436374335</c:v>
                </c:pt>
                <c:pt idx="9">
                  <c:v>13315263.134594912</c:v>
                </c:pt>
                <c:pt idx="10">
                  <c:v>13672788.21524499</c:v>
                </c:pt>
                <c:pt idx="11">
                  <c:v>15681506.9151411</c:v>
                </c:pt>
                <c:pt idx="12">
                  <c:v>16181365.705735931</c:v>
                </c:pt>
                <c:pt idx="13">
                  <c:v>14292383.346313093</c:v>
                </c:pt>
                <c:pt idx="14">
                  <c:v>15100510.420220705</c:v>
                </c:pt>
                <c:pt idx="15">
                  <c:v>13720392.440226883</c:v>
                </c:pt>
                <c:pt idx="16">
                  <c:v>13612104.015553812</c:v>
                </c:pt>
                <c:pt idx="17">
                  <c:v>14200181.280435974</c:v>
                </c:pt>
                <c:pt idx="18">
                  <c:v>16745160.837193729</c:v>
                </c:pt>
                <c:pt idx="19">
                  <c:v>15807340.1333756</c:v>
                </c:pt>
                <c:pt idx="20">
                  <c:v>13584051.029105628</c:v>
                </c:pt>
                <c:pt idx="21">
                  <c:v>13677105.73207186</c:v>
                </c:pt>
                <c:pt idx="22">
                  <c:v>13436950.088836176</c:v>
                </c:pt>
                <c:pt idx="23">
                  <c:v>14994705.676475121</c:v>
                </c:pt>
                <c:pt idx="24">
                  <c:v>15400250.451338505</c:v>
                </c:pt>
                <c:pt idx="25">
                  <c:v>14134505.962585228</c:v>
                </c:pt>
                <c:pt idx="26">
                  <c:v>14103267.635719504</c:v>
                </c:pt>
                <c:pt idx="27">
                  <c:v>13406850.706135336</c:v>
                </c:pt>
                <c:pt idx="28">
                  <c:v>13828569.384325797</c:v>
                </c:pt>
                <c:pt idx="29">
                  <c:v>14870188.260124989</c:v>
                </c:pt>
                <c:pt idx="30">
                  <c:v>16770823.560352506</c:v>
                </c:pt>
                <c:pt idx="31">
                  <c:v>16051586.983046006</c:v>
                </c:pt>
                <c:pt idx="32">
                  <c:v>13759781.871913526</c:v>
                </c:pt>
                <c:pt idx="33">
                  <c:v>13732667.742866898</c:v>
                </c:pt>
                <c:pt idx="34">
                  <c:v>14007910.745552003</c:v>
                </c:pt>
                <c:pt idx="35">
                  <c:v>15191067.844331253</c:v>
                </c:pt>
                <c:pt idx="36">
                  <c:v>15719487.06222127</c:v>
                </c:pt>
                <c:pt idx="37">
                  <c:v>14293744.44885597</c:v>
                </c:pt>
                <c:pt idx="38">
                  <c:v>15104478.537039688</c:v>
                </c:pt>
                <c:pt idx="39">
                  <c:v>13779318.193481274</c:v>
                </c:pt>
                <c:pt idx="40">
                  <c:v>13852678.131367711</c:v>
                </c:pt>
                <c:pt idx="41">
                  <c:v>14367316.858379347</c:v>
                </c:pt>
                <c:pt idx="42">
                  <c:v>16153775.522539189</c:v>
                </c:pt>
                <c:pt idx="43">
                  <c:v>15629172.344411626</c:v>
                </c:pt>
                <c:pt idx="44">
                  <c:v>13698385.856759464</c:v>
                </c:pt>
                <c:pt idx="45">
                  <c:v>13835527.442670217</c:v>
                </c:pt>
                <c:pt idx="46">
                  <c:v>14199870.645464843</c:v>
                </c:pt>
                <c:pt idx="47">
                  <c:v>15900865.648578195</c:v>
                </c:pt>
                <c:pt idx="48">
                  <c:v>16602023.937111557</c:v>
                </c:pt>
                <c:pt idx="49">
                  <c:v>14742984.408754844</c:v>
                </c:pt>
                <c:pt idx="50">
                  <c:v>15694088.428910192</c:v>
                </c:pt>
                <c:pt idx="51">
                  <c:v>13880075.74957091</c:v>
                </c:pt>
                <c:pt idx="52">
                  <c:v>13773959.078221615</c:v>
                </c:pt>
                <c:pt idx="53">
                  <c:v>14275571.84481921</c:v>
                </c:pt>
                <c:pt idx="54">
                  <c:v>15139551.760897549</c:v>
                </c:pt>
                <c:pt idx="55">
                  <c:v>15214222.941587484</c:v>
                </c:pt>
                <c:pt idx="56">
                  <c:v>13652634.905324854</c:v>
                </c:pt>
                <c:pt idx="57">
                  <c:v>13630891.605279768</c:v>
                </c:pt>
                <c:pt idx="58">
                  <c:v>14140299.595875217</c:v>
                </c:pt>
                <c:pt idx="59">
                  <c:v>15298665.623900648</c:v>
                </c:pt>
                <c:pt idx="60">
                  <c:v>16374098.959166344</c:v>
                </c:pt>
                <c:pt idx="61">
                  <c:v>15227307.728267891</c:v>
                </c:pt>
                <c:pt idx="62">
                  <c:v>15381519.195766645</c:v>
                </c:pt>
                <c:pt idx="63">
                  <c:v>13652156.218643894</c:v>
                </c:pt>
                <c:pt idx="64">
                  <c:v>13963197.281535031</c:v>
                </c:pt>
                <c:pt idx="65">
                  <c:v>14017517.909386285</c:v>
                </c:pt>
                <c:pt idx="66">
                  <c:v>16134759.399646776</c:v>
                </c:pt>
                <c:pt idx="67">
                  <c:v>15734045.635993231</c:v>
                </c:pt>
                <c:pt idx="68">
                  <c:v>14637529.012323953</c:v>
                </c:pt>
                <c:pt idx="69">
                  <c:v>13789704.264024727</c:v>
                </c:pt>
                <c:pt idx="70">
                  <c:v>13638982.548327733</c:v>
                </c:pt>
                <c:pt idx="71">
                  <c:v>14801955.789311312</c:v>
                </c:pt>
                <c:pt idx="72">
                  <c:v>15974314.001175527</c:v>
                </c:pt>
                <c:pt idx="73">
                  <c:v>14655110.347308481</c:v>
                </c:pt>
                <c:pt idx="74">
                  <c:v>14791092.978001861</c:v>
                </c:pt>
                <c:pt idx="75">
                  <c:v>14058653.968329778</c:v>
                </c:pt>
                <c:pt idx="76">
                  <c:v>14329627.683820616</c:v>
                </c:pt>
                <c:pt idx="77">
                  <c:v>14683602.097241204</c:v>
                </c:pt>
                <c:pt idx="78">
                  <c:v>16491578.438295679</c:v>
                </c:pt>
                <c:pt idx="79">
                  <c:v>16785125.017337691</c:v>
                </c:pt>
                <c:pt idx="80">
                  <c:v>14506015.423090221</c:v>
                </c:pt>
                <c:pt idx="81">
                  <c:v>13937026.61126809</c:v>
                </c:pt>
                <c:pt idx="82">
                  <c:v>13555125.839404032</c:v>
                </c:pt>
                <c:pt idx="83">
                  <c:v>15574520.890000202</c:v>
                </c:pt>
                <c:pt idx="84">
                  <c:v>15644429.924064167</c:v>
                </c:pt>
                <c:pt idx="85">
                  <c:v>13884966.022048218</c:v>
                </c:pt>
                <c:pt idx="86">
                  <c:v>15333811.464207362</c:v>
                </c:pt>
                <c:pt idx="87">
                  <c:v>13639746.353118157</c:v>
                </c:pt>
                <c:pt idx="88">
                  <c:v>14053484.391724709</c:v>
                </c:pt>
                <c:pt idx="89">
                  <c:v>14759283.192377925</c:v>
                </c:pt>
                <c:pt idx="90">
                  <c:v>16112293.541509559</c:v>
                </c:pt>
                <c:pt idx="91">
                  <c:v>15674785.722742736</c:v>
                </c:pt>
                <c:pt idx="92">
                  <c:v>14350458.008686608</c:v>
                </c:pt>
                <c:pt idx="93">
                  <c:v>14163170.227869267</c:v>
                </c:pt>
                <c:pt idx="94">
                  <c:v>14199720.054652561</c:v>
                </c:pt>
                <c:pt idx="95">
                  <c:v>16329139.692382811</c:v>
                </c:pt>
                <c:pt idx="96">
                  <c:v>16509542.485537603</c:v>
                </c:pt>
                <c:pt idx="97">
                  <c:v>14207852.956089305</c:v>
                </c:pt>
                <c:pt idx="98">
                  <c:v>15425510.598451134</c:v>
                </c:pt>
                <c:pt idx="99">
                  <c:v>14346579.073425146</c:v>
                </c:pt>
                <c:pt idx="100">
                  <c:v>14326365.51944885</c:v>
                </c:pt>
                <c:pt idx="101">
                  <c:v>14837851.765234467</c:v>
                </c:pt>
                <c:pt idx="102">
                  <c:v>17099374.958080724</c:v>
                </c:pt>
                <c:pt idx="103">
                  <c:v>17143284.635054395</c:v>
                </c:pt>
                <c:pt idx="104">
                  <c:v>14800130.706997629</c:v>
                </c:pt>
                <c:pt idx="105">
                  <c:v>14427600.320073698</c:v>
                </c:pt>
                <c:pt idx="106">
                  <c:v>14777899.234274691</c:v>
                </c:pt>
                <c:pt idx="107">
                  <c:v>15922290.853106691</c:v>
                </c:pt>
                <c:pt idx="108">
                  <c:v>16909821.142415423</c:v>
                </c:pt>
                <c:pt idx="109">
                  <c:v>14792551.105466198</c:v>
                </c:pt>
                <c:pt idx="110">
                  <c:v>15869769.958487488</c:v>
                </c:pt>
                <c:pt idx="111">
                  <c:v>14368542.306545388</c:v>
                </c:pt>
                <c:pt idx="112">
                  <c:v>14329950.325840393</c:v>
                </c:pt>
                <c:pt idx="113">
                  <c:v>14613292.91910162</c:v>
                </c:pt>
                <c:pt idx="114">
                  <c:v>17191129.244451214</c:v>
                </c:pt>
                <c:pt idx="115">
                  <c:v>16504418.108755643</c:v>
                </c:pt>
                <c:pt idx="116">
                  <c:v>14591257.226486094</c:v>
                </c:pt>
                <c:pt idx="117">
                  <c:v>14287914.76815962</c:v>
                </c:pt>
                <c:pt idx="118">
                  <c:v>14884360.015220191</c:v>
                </c:pt>
                <c:pt idx="119">
                  <c:v>15971923.975022925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5-4C03-A1C2-4F4A0569D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301760"/>
        <c:axId val="175303680"/>
      </c:lineChart>
      <c:dateAx>
        <c:axId val="17530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3680"/>
        <c:crosses val="autoZero"/>
        <c:auto val="1"/>
        <c:lblOffset val="100"/>
        <c:baseTimeUnit val="months"/>
      </c:dateAx>
      <c:valAx>
        <c:axId val="175303680"/>
        <c:scaling>
          <c:orientation val="minMax"/>
          <c:min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'GS&gt;50 Predicted Monthly'!$D$2:$D$195</c:f>
              <c:numCache>
                <c:formatCode>_(* #,##0_);_(* \(#,##0\);_(* "-"??_);_(@_)</c:formatCode>
                <c:ptCount val="194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81657018.901304796</c:v>
                </c:pt>
                <c:pt idx="61">
                  <c:v>76315766.901304796</c:v>
                </c:pt>
                <c:pt idx="62">
                  <c:v>79384809.901304796</c:v>
                </c:pt>
                <c:pt idx="63">
                  <c:v>71921603.901304796</c:v>
                </c:pt>
                <c:pt idx="64">
                  <c:v>75614661.901304796</c:v>
                </c:pt>
                <c:pt idx="65">
                  <c:v>77512457.901304796</c:v>
                </c:pt>
                <c:pt idx="66">
                  <c:v>84109914.901304796</c:v>
                </c:pt>
                <c:pt idx="67">
                  <c:v>82970684.901304796</c:v>
                </c:pt>
                <c:pt idx="68">
                  <c:v>80471106.901304796</c:v>
                </c:pt>
                <c:pt idx="69">
                  <c:v>74766344.901304796</c:v>
                </c:pt>
                <c:pt idx="70">
                  <c:v>73580200.901304796</c:v>
                </c:pt>
                <c:pt idx="71">
                  <c:v>74354600.901304796</c:v>
                </c:pt>
                <c:pt idx="72">
                  <c:v>80877446.451951042</c:v>
                </c:pt>
                <c:pt idx="73">
                  <c:v>76696727.451951042</c:v>
                </c:pt>
                <c:pt idx="74">
                  <c:v>79053293.451951042</c:v>
                </c:pt>
                <c:pt idx="75">
                  <c:v>75326609.451951042</c:v>
                </c:pt>
                <c:pt idx="76">
                  <c:v>77298721.451951042</c:v>
                </c:pt>
                <c:pt idx="77">
                  <c:v>80715843.451951042</c:v>
                </c:pt>
                <c:pt idx="78">
                  <c:v>86828378.451951042</c:v>
                </c:pt>
                <c:pt idx="79">
                  <c:v>89984192.451951042</c:v>
                </c:pt>
                <c:pt idx="80">
                  <c:v>80657191.451951042</c:v>
                </c:pt>
                <c:pt idx="81">
                  <c:v>75966711.451951042</c:v>
                </c:pt>
                <c:pt idx="82">
                  <c:v>74431571.451951042</c:v>
                </c:pt>
                <c:pt idx="83">
                  <c:v>76796818.451951042</c:v>
                </c:pt>
                <c:pt idx="84">
                  <c:v>79778744.666458026</c:v>
                </c:pt>
                <c:pt idx="85">
                  <c:v>71619045.666458026</c:v>
                </c:pt>
                <c:pt idx="86">
                  <c:v>78853175.666458026</c:v>
                </c:pt>
                <c:pt idx="87">
                  <c:v>71496185.666458026</c:v>
                </c:pt>
                <c:pt idx="88">
                  <c:v>75455637.666458026</c:v>
                </c:pt>
                <c:pt idx="89">
                  <c:v>78632788.666458026</c:v>
                </c:pt>
                <c:pt idx="90">
                  <c:v>82422181.666458026</c:v>
                </c:pt>
                <c:pt idx="91">
                  <c:v>82320840.666458026</c:v>
                </c:pt>
                <c:pt idx="92">
                  <c:v>78267352.666458026</c:v>
                </c:pt>
                <c:pt idx="93">
                  <c:v>76411605.666458026</c:v>
                </c:pt>
                <c:pt idx="94">
                  <c:v>74842943.666458026</c:v>
                </c:pt>
                <c:pt idx="95">
                  <c:v>76074354.666458026</c:v>
                </c:pt>
                <c:pt idx="96">
                  <c:v>81501426.656842589</c:v>
                </c:pt>
                <c:pt idx="97">
                  <c:v>72389848.656842589</c:v>
                </c:pt>
                <c:pt idx="98">
                  <c:v>77808315.656842589</c:v>
                </c:pt>
                <c:pt idx="99">
                  <c:v>74246303.656842589</c:v>
                </c:pt>
                <c:pt idx="100">
                  <c:v>76803143.656842589</c:v>
                </c:pt>
                <c:pt idx="101">
                  <c:v>78416513.656842589</c:v>
                </c:pt>
                <c:pt idx="102">
                  <c:v>83770689.656842589</c:v>
                </c:pt>
                <c:pt idx="103">
                  <c:v>83927361.656842589</c:v>
                </c:pt>
                <c:pt idx="104">
                  <c:v>76396317.656842589</c:v>
                </c:pt>
                <c:pt idx="105">
                  <c:v>72584854.656842589</c:v>
                </c:pt>
                <c:pt idx="106">
                  <c:v>72301301.656842589</c:v>
                </c:pt>
                <c:pt idx="107">
                  <c:v>71622528.656842589</c:v>
                </c:pt>
                <c:pt idx="108">
                  <c:v>78801666.567807063</c:v>
                </c:pt>
                <c:pt idx="109">
                  <c:v>71331586.567807063</c:v>
                </c:pt>
                <c:pt idx="110">
                  <c:v>76137811.567807063</c:v>
                </c:pt>
                <c:pt idx="111">
                  <c:v>69883776.567807063</c:v>
                </c:pt>
                <c:pt idx="112">
                  <c:v>70924333.567807063</c:v>
                </c:pt>
                <c:pt idx="113">
                  <c:v>71942833.567807063</c:v>
                </c:pt>
                <c:pt idx="114">
                  <c:v>83258537.567807063</c:v>
                </c:pt>
                <c:pt idx="115">
                  <c:v>79859842.567807063</c:v>
                </c:pt>
                <c:pt idx="116">
                  <c:v>73220953.567807063</c:v>
                </c:pt>
                <c:pt idx="117">
                  <c:v>71051748.567807063</c:v>
                </c:pt>
                <c:pt idx="118">
                  <c:v>71481685.567807063</c:v>
                </c:pt>
                <c:pt idx="119">
                  <c:v>72324333.567807063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E-40F3-A504-D9A134A283C8}"/>
            </c:ext>
          </c:extLst>
        </c:ser>
        <c:ser>
          <c:idx val="1"/>
          <c:order val="1"/>
          <c:tx>
            <c:strRef>
              <c:f>'GS&gt;50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'GS&gt;50 Predicted Monthly'!$S$2:$S$195</c:f>
              <c:numCache>
                <c:formatCode>_(* #,##0.00_);_(* \(#,##0.00\);_(* "-"??_);_(@_)</c:formatCode>
                <c:ptCount val="194"/>
                <c:pt idx="0">
                  <c:v>78431876.977922589</c:v>
                </c:pt>
                <c:pt idx="1">
                  <c:v>69467180.554454684</c:v>
                </c:pt>
                <c:pt idx="2">
                  <c:v>75055247.914263397</c:v>
                </c:pt>
                <c:pt idx="3">
                  <c:v>71177266.959834352</c:v>
                </c:pt>
                <c:pt idx="4">
                  <c:v>76206275.459792227</c:v>
                </c:pt>
                <c:pt idx="5">
                  <c:v>76797772.841835693</c:v>
                </c:pt>
                <c:pt idx="6">
                  <c:v>85328466.068358645</c:v>
                </c:pt>
                <c:pt idx="7">
                  <c:v>84416675.473398298</c:v>
                </c:pt>
                <c:pt idx="8">
                  <c:v>73688637.298102528</c:v>
                </c:pt>
                <c:pt idx="9">
                  <c:v>73768852.049796537</c:v>
                </c:pt>
                <c:pt idx="10">
                  <c:v>73098483.15052022</c:v>
                </c:pt>
                <c:pt idx="11">
                  <c:v>76043068.850611001</c:v>
                </c:pt>
                <c:pt idx="12">
                  <c:v>82762639.620108917</c:v>
                </c:pt>
                <c:pt idx="13">
                  <c:v>70070393.5864622</c:v>
                </c:pt>
                <c:pt idx="14">
                  <c:v>76637597.995589152</c:v>
                </c:pt>
                <c:pt idx="15">
                  <c:v>71649376.593683302</c:v>
                </c:pt>
                <c:pt idx="16">
                  <c:v>73070890.992724702</c:v>
                </c:pt>
                <c:pt idx="17">
                  <c:v>75036137.601381063</c:v>
                </c:pt>
                <c:pt idx="18">
                  <c:v>85474221.596556246</c:v>
                </c:pt>
                <c:pt idx="19">
                  <c:v>81992549.604077578</c:v>
                </c:pt>
                <c:pt idx="20">
                  <c:v>73541279.018958494</c:v>
                </c:pt>
                <c:pt idx="21">
                  <c:v>73050670.315652698</c:v>
                </c:pt>
                <c:pt idx="22">
                  <c:v>70993010.291215867</c:v>
                </c:pt>
                <c:pt idx="23">
                  <c:v>72687430.969406158</c:v>
                </c:pt>
                <c:pt idx="24">
                  <c:v>78003049.539118558</c:v>
                </c:pt>
                <c:pt idx="25">
                  <c:v>71962627.630113065</c:v>
                </c:pt>
                <c:pt idx="26">
                  <c:v>74986811.119777337</c:v>
                </c:pt>
                <c:pt idx="27">
                  <c:v>71766472.543473303</c:v>
                </c:pt>
                <c:pt idx="28">
                  <c:v>75593861.862978354</c:v>
                </c:pt>
                <c:pt idx="29">
                  <c:v>78408951.301810429</c:v>
                </c:pt>
                <c:pt idx="30">
                  <c:v>86586729.74687995</c:v>
                </c:pt>
                <c:pt idx="31">
                  <c:v>83407618.854636952</c:v>
                </c:pt>
                <c:pt idx="32">
                  <c:v>74181080.565913737</c:v>
                </c:pt>
                <c:pt idx="33">
                  <c:v>73027985.178381115</c:v>
                </c:pt>
                <c:pt idx="34">
                  <c:v>72397646.838852361</c:v>
                </c:pt>
                <c:pt idx="35">
                  <c:v>72801490.732274145</c:v>
                </c:pt>
                <c:pt idx="36">
                  <c:v>78054915.22603789</c:v>
                </c:pt>
                <c:pt idx="37">
                  <c:v>70704967.507478356</c:v>
                </c:pt>
                <c:pt idx="38">
                  <c:v>77245778.104610965</c:v>
                </c:pt>
                <c:pt idx="39">
                  <c:v>72683888.895638451</c:v>
                </c:pt>
                <c:pt idx="40">
                  <c:v>74515239.094426706</c:v>
                </c:pt>
                <c:pt idx="41">
                  <c:v>75523153.639186487</c:v>
                </c:pt>
                <c:pt idx="42">
                  <c:v>83672703.293098494</c:v>
                </c:pt>
                <c:pt idx="43">
                  <c:v>81617306.10817863</c:v>
                </c:pt>
                <c:pt idx="44">
                  <c:v>73615196.263871118</c:v>
                </c:pt>
                <c:pt idx="45">
                  <c:v>74067518.253229633</c:v>
                </c:pt>
                <c:pt idx="46">
                  <c:v>73345443.630040601</c:v>
                </c:pt>
                <c:pt idx="47">
                  <c:v>75146742.595429614</c:v>
                </c:pt>
                <c:pt idx="48">
                  <c:v>82399201.794736922</c:v>
                </c:pt>
                <c:pt idx="49">
                  <c:v>73497337.850962445</c:v>
                </c:pt>
                <c:pt idx="50">
                  <c:v>80421190.29791604</c:v>
                </c:pt>
                <c:pt idx="51">
                  <c:v>73715628.228427902</c:v>
                </c:pt>
                <c:pt idx="52">
                  <c:v>75171914.176610708</c:v>
                </c:pt>
                <c:pt idx="53">
                  <c:v>76432694.40702109</c:v>
                </c:pt>
                <c:pt idx="54">
                  <c:v>80912670.375123486</c:v>
                </c:pt>
                <c:pt idx="55">
                  <c:v>81170491.832534671</c:v>
                </c:pt>
                <c:pt idx="56">
                  <c:v>75507512.604596525</c:v>
                </c:pt>
                <c:pt idx="57">
                  <c:v>74916264.05042538</c:v>
                </c:pt>
                <c:pt idx="58">
                  <c:v>74750641.99776113</c:v>
                </c:pt>
                <c:pt idx="59">
                  <c:v>74703327.261245176</c:v>
                </c:pt>
                <c:pt idx="60">
                  <c:v>82838867.249628156</c:v>
                </c:pt>
                <c:pt idx="61">
                  <c:v>75802369.478279307</c:v>
                </c:pt>
                <c:pt idx="62">
                  <c:v>80655245.424637258</c:v>
                </c:pt>
                <c:pt idx="63">
                  <c:v>74126619.677726045</c:v>
                </c:pt>
                <c:pt idx="64">
                  <c:v>77092842.269077405</c:v>
                </c:pt>
                <c:pt idx="65">
                  <c:v>75737250.037560493</c:v>
                </c:pt>
                <c:pt idx="66">
                  <c:v>85222067.465832397</c:v>
                </c:pt>
                <c:pt idx="67">
                  <c:v>83585193.242561281</c:v>
                </c:pt>
                <c:pt idx="68">
                  <c:v>79283525.336245403</c:v>
                </c:pt>
                <c:pt idx="69">
                  <c:v>74595219.320607081</c:v>
                </c:pt>
                <c:pt idx="70">
                  <c:v>73139175.433119401</c:v>
                </c:pt>
                <c:pt idx="71">
                  <c:v>73231831.100564718</c:v>
                </c:pt>
                <c:pt idx="72">
                  <c:v>81465242.90777345</c:v>
                </c:pt>
                <c:pt idx="73">
                  <c:v>75258670.773120761</c:v>
                </c:pt>
                <c:pt idx="74">
                  <c:v>78936922.416506365</c:v>
                </c:pt>
                <c:pt idx="75">
                  <c:v>75733147.591387451</c:v>
                </c:pt>
                <c:pt idx="76">
                  <c:v>78600655.893926576</c:v>
                </c:pt>
                <c:pt idx="77">
                  <c:v>79244310.372962967</c:v>
                </c:pt>
                <c:pt idx="78">
                  <c:v>87422923.979942605</c:v>
                </c:pt>
                <c:pt idx="79">
                  <c:v>88563532.370573342</c:v>
                </c:pt>
                <c:pt idx="80">
                  <c:v>79719507.815263405</c:v>
                </c:pt>
                <c:pt idx="81">
                  <c:v>77250142.954253897</c:v>
                </c:pt>
                <c:pt idx="82">
                  <c:v>73583877.828461617</c:v>
                </c:pt>
                <c:pt idx="83">
                  <c:v>76187111.563463584</c:v>
                </c:pt>
                <c:pt idx="84">
                  <c:v>81516124.988890782</c:v>
                </c:pt>
                <c:pt idx="85">
                  <c:v>69879009.637978822</c:v>
                </c:pt>
                <c:pt idx="86">
                  <c:v>78151029.978892937</c:v>
                </c:pt>
                <c:pt idx="87">
                  <c:v>72184833.898916602</c:v>
                </c:pt>
                <c:pt idx="88">
                  <c:v>74643405.168048128</c:v>
                </c:pt>
                <c:pt idx="89">
                  <c:v>77075772.924455002</c:v>
                </c:pt>
                <c:pt idx="90">
                  <c:v>83299744.221240908</c:v>
                </c:pt>
                <c:pt idx="91">
                  <c:v>81574538.655386984</c:v>
                </c:pt>
                <c:pt idx="92">
                  <c:v>76033167.810421914</c:v>
                </c:pt>
                <c:pt idx="93">
                  <c:v>75566548.587505475</c:v>
                </c:pt>
                <c:pt idx="94">
                  <c:v>72950544.007617444</c:v>
                </c:pt>
                <c:pt idx="95">
                  <c:v>75578274.293662786</c:v>
                </c:pt>
                <c:pt idx="96">
                  <c:v>80709143.982127279</c:v>
                </c:pt>
                <c:pt idx="97">
                  <c:v>70944623.388966486</c:v>
                </c:pt>
                <c:pt idx="98">
                  <c:v>78886348.634974092</c:v>
                </c:pt>
                <c:pt idx="99">
                  <c:v>74562713.006296828</c:v>
                </c:pt>
                <c:pt idx="100">
                  <c:v>77178162.629253909</c:v>
                </c:pt>
                <c:pt idx="101">
                  <c:v>74553663.428277075</c:v>
                </c:pt>
                <c:pt idx="102">
                  <c:v>83285789.01500994</c:v>
                </c:pt>
                <c:pt idx="103">
                  <c:v>83159570.734198093</c:v>
                </c:pt>
                <c:pt idx="104">
                  <c:v>75194746.368264169</c:v>
                </c:pt>
                <c:pt idx="105">
                  <c:v>72850662.326026753</c:v>
                </c:pt>
                <c:pt idx="106">
                  <c:v>71751662.12593019</c:v>
                </c:pt>
                <c:pt idx="107">
                  <c:v>71769009.22521688</c:v>
                </c:pt>
                <c:pt idx="108">
                  <c:v>78678842.087056831</c:v>
                </c:pt>
                <c:pt idx="109">
                  <c:v>69380608.936564133</c:v>
                </c:pt>
                <c:pt idx="110">
                  <c:v>76333337.924163654</c:v>
                </c:pt>
                <c:pt idx="111">
                  <c:v>71177030.58756493</c:v>
                </c:pt>
                <c:pt idx="112">
                  <c:v>72689522.936738089</c:v>
                </c:pt>
                <c:pt idx="113">
                  <c:v>73298005.564815506</c:v>
                </c:pt>
                <c:pt idx="114">
                  <c:v>83723416.307211414</c:v>
                </c:pt>
                <c:pt idx="115">
                  <c:v>81279829.309401274</c:v>
                </c:pt>
                <c:pt idx="116">
                  <c:v>74232829.277089179</c:v>
                </c:pt>
                <c:pt idx="117">
                  <c:v>71996626.683468446</c:v>
                </c:pt>
                <c:pt idx="118">
                  <c:v>75410195.155946255</c:v>
                </c:pt>
                <c:pt idx="119">
                  <c:v>75321358.080132857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E-40F3-A504-D9A134A28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50464"/>
        <c:axId val="176296704"/>
      </c:lineChart>
      <c:dateAx>
        <c:axId val="17595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96704"/>
        <c:crosses val="autoZero"/>
        <c:auto val="1"/>
        <c:lblOffset val="100"/>
        <c:baseTimeUnit val="months"/>
      </c:dateAx>
      <c:valAx>
        <c:axId val="176296704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Mnthly Consumption</a:t>
                </a:r>
                <a:r>
                  <a:rPr lang="en-US" baseline="0"/>
                  <a:t> (kWh)</a:t>
                </a:r>
                <a:endParaRPr lang="en-US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2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Summary'!$C$4:$C$13</c:f>
              <c:numCache>
                <c:formatCode>#,##0</c:formatCode>
                <c:ptCount val="10"/>
                <c:pt idx="0">
                  <c:v>556896336</c:v>
                </c:pt>
                <c:pt idx="1">
                  <c:v>552441915.71376777</c:v>
                </c:pt>
                <c:pt idx="2">
                  <c:v>554745009.76718867</c:v>
                </c:pt>
                <c:pt idx="3">
                  <c:v>544522483.65061712</c:v>
                </c:pt>
                <c:pt idx="4">
                  <c:v>537297947.86209404</c:v>
                </c:pt>
                <c:pt idx="5">
                  <c:v>541177794.60686231</c:v>
                </c:pt>
                <c:pt idx="6">
                  <c:v>560271575.81065547</c:v>
                </c:pt>
                <c:pt idx="7">
                  <c:v>530174948.15007108</c:v>
                </c:pt>
                <c:pt idx="8">
                  <c:v>573259355.65736198</c:v>
                </c:pt>
                <c:pt idx="9">
                  <c:v>550907613.72062242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B-4816-B55E-9CA300298653}"/>
            </c:ext>
          </c:extLst>
        </c:ser>
        <c:ser>
          <c:idx val="0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Summary'!$D$4:$D$13</c:f>
              <c:numCache>
                <c:formatCode>#,##0</c:formatCode>
                <c:ptCount val="10"/>
                <c:pt idx="0">
                  <c:v>550034586.08433902</c:v>
                </c:pt>
                <c:pt idx="1">
                  <c:v>553414884.23810744</c:v>
                </c:pt>
                <c:pt idx="2">
                  <c:v>555025001.43519855</c:v>
                </c:pt>
                <c:pt idx="3">
                  <c:v>547600554.88283181</c:v>
                </c:pt>
                <c:pt idx="4">
                  <c:v>543327007.18087018</c:v>
                </c:pt>
                <c:pt idx="5">
                  <c:v>544617446.76427138</c:v>
                </c:pt>
                <c:pt idx="6">
                  <c:v>555773302.04487062</c:v>
                </c:pt>
                <c:pt idx="7">
                  <c:v>540783801.93912148</c:v>
                </c:pt>
                <c:pt idx="8">
                  <c:v>558401482.06961298</c:v>
                </c:pt>
                <c:pt idx="9">
                  <c:v>553371585.5984422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B-4816-B55E-9CA30029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336256"/>
        <c:axId val="176354432"/>
      </c:lineChart>
      <c:catAx>
        <c:axId val="17633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54432"/>
        <c:crosses val="autoZero"/>
        <c:auto val="1"/>
        <c:lblAlgn val="ctr"/>
        <c:lblOffset val="100"/>
        <c:noMultiLvlLbl val="0"/>
      </c:catAx>
      <c:valAx>
        <c:axId val="176354432"/>
        <c:scaling>
          <c:orientation val="minMax"/>
          <c:min val="4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36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24757020584833503"/>
          <c:h val="0.11145320768619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Summary'!$I$3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Summary'!$H$4:$H$13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Summary'!$I$4:$I$13</c:f>
              <c:numCache>
                <c:formatCode>#,##0</c:formatCode>
                <c:ptCount val="10"/>
                <c:pt idx="0">
                  <c:v>172200325</c:v>
                </c:pt>
                <c:pt idx="1">
                  <c:v>175038865.01924333</c:v>
                </c:pt>
                <c:pt idx="2">
                  <c:v>176077042.3798866</c:v>
                </c:pt>
                <c:pt idx="3">
                  <c:v>177641893.47213364</c:v>
                </c:pt>
                <c:pt idx="4">
                  <c:v>175728867.72974026</c:v>
                </c:pt>
                <c:pt idx="5">
                  <c:v>175764029.38907859</c:v>
                </c:pt>
                <c:pt idx="6">
                  <c:v>178338848.64757672</c:v>
                </c:pt>
                <c:pt idx="7">
                  <c:v>176566085.59560585</c:v>
                </c:pt>
                <c:pt idx="8">
                  <c:v>186384458.40807244</c:v>
                </c:pt>
                <c:pt idx="9">
                  <c:v>184866172.79294455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9-4DF8-BB13-414F3FA7538F}"/>
            </c:ext>
          </c:extLst>
        </c:ser>
        <c:ser>
          <c:idx val="2"/>
          <c:order val="1"/>
          <c:tx>
            <c:strRef>
              <c:f>'Model Summary'!$J$3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Summary'!$H$4:$H$13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Summary'!$J$4:$J$13</c:f>
              <c:numCache>
                <c:formatCode>#,##0</c:formatCode>
                <c:ptCount val="10"/>
                <c:pt idx="0">
                  <c:v>172672131.89276028</c:v>
                </c:pt>
                <c:pt idx="1">
                  <c:v>175352250.7055445</c:v>
                </c:pt>
                <c:pt idx="2">
                  <c:v>175257471.14829156</c:v>
                </c:pt>
                <c:pt idx="3">
                  <c:v>176534620.6917688</c:v>
                </c:pt>
                <c:pt idx="4">
                  <c:v>176044969.88025382</c:v>
                </c:pt>
                <c:pt idx="5">
                  <c:v>177352773.94239384</c:v>
                </c:pt>
                <c:pt idx="6">
                  <c:v>179341793.29527339</c:v>
                </c:pt>
                <c:pt idx="7">
                  <c:v>178145288.59538409</c:v>
                </c:pt>
                <c:pt idx="8">
                  <c:v>183824283.10577431</c:v>
                </c:pt>
                <c:pt idx="9">
                  <c:v>184314931.09595221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9-4DF8-BB13-414F3FA7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99616"/>
        <c:axId val="176009600"/>
      </c:lineChart>
      <c:catAx>
        <c:axId val="1759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009600"/>
        <c:crosses val="autoZero"/>
        <c:auto val="1"/>
        <c:lblAlgn val="ctr"/>
        <c:lblOffset val="100"/>
        <c:noMultiLvlLbl val="0"/>
      </c:catAx>
      <c:valAx>
        <c:axId val="176009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599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Summary'!$O$3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Summary'!$N$4:$N$13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Summary'!$O$4:$O$13</c:f>
              <c:numCache>
                <c:formatCode>#,##0</c:formatCode>
                <c:ptCount val="10"/>
                <c:pt idx="0">
                  <c:v>906197008</c:v>
                </c:pt>
                <c:pt idx="1">
                  <c:v>910448523.11322927</c:v>
                </c:pt>
                <c:pt idx="2">
                  <c:v>911276433.55605805</c:v>
                </c:pt>
                <c:pt idx="3">
                  <c:v>914608976.73929989</c:v>
                </c:pt>
                <c:pt idx="4">
                  <c:v>921825088.53771746</c:v>
                </c:pt>
                <c:pt idx="5">
                  <c:v>932659172.81565773</c:v>
                </c:pt>
                <c:pt idx="6">
                  <c:v>954633505.42341244</c:v>
                </c:pt>
                <c:pt idx="7">
                  <c:v>926174856.99749625</c:v>
                </c:pt>
                <c:pt idx="8">
                  <c:v>921768605.88211107</c:v>
                </c:pt>
                <c:pt idx="9">
                  <c:v>890219109.81368482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1-45C4-9E84-D2732F09EE2B}"/>
            </c:ext>
          </c:extLst>
        </c:ser>
        <c:ser>
          <c:idx val="2"/>
          <c:order val="1"/>
          <c:tx>
            <c:strRef>
              <c:f>'Model Summary'!$P$3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Summary'!$N$4:$N$13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Summary'!$P$4:$P$13</c:f>
              <c:numCache>
                <c:formatCode>#,##0</c:formatCode>
                <c:ptCount val="10"/>
                <c:pt idx="0">
                  <c:v>913479803.59889007</c:v>
                </c:pt>
                <c:pt idx="1">
                  <c:v>906966198.18581629</c:v>
                </c:pt>
                <c:pt idx="2">
                  <c:v>913124325.91420937</c:v>
                </c:pt>
                <c:pt idx="3">
                  <c:v>910192852.61122704</c:v>
                </c:pt>
                <c:pt idx="4">
                  <c:v>923598874.87736142</c:v>
                </c:pt>
                <c:pt idx="5">
                  <c:v>935310206.03583896</c:v>
                </c:pt>
                <c:pt idx="6">
                  <c:v>951966046.46763587</c:v>
                </c:pt>
                <c:pt idx="7">
                  <c:v>918452994.17301786</c:v>
                </c:pt>
                <c:pt idx="8">
                  <c:v>914846094.86454177</c:v>
                </c:pt>
                <c:pt idx="9">
                  <c:v>903521602.85015249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1-45C4-9E84-D2732F09E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099328"/>
        <c:axId val="176100864"/>
      </c:lineChart>
      <c:catAx>
        <c:axId val="17609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100864"/>
        <c:crosses val="autoZero"/>
        <c:auto val="1"/>
        <c:lblAlgn val="ctr"/>
        <c:lblOffset val="100"/>
        <c:noMultiLvlLbl val="0"/>
      </c:catAx>
      <c:valAx>
        <c:axId val="176100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6099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 Avg'!$D$1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 Avg'!$D$2:$D$133</c:f>
              <c:numCache>
                <c:formatCode>_(* #,##0.00_);_(* \(#,##0.00\);_(* "-"??_);_(@_)</c:formatCode>
                <c:ptCount val="132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49884340.383905195</c:v>
                </c:pt>
                <c:pt idx="61">
                  <c:v>42980985.383905195</c:v>
                </c:pt>
                <c:pt idx="62">
                  <c:v>43419024.383905195</c:v>
                </c:pt>
                <c:pt idx="63">
                  <c:v>38613457.383905195</c:v>
                </c:pt>
                <c:pt idx="64">
                  <c:v>40763108.383905195</c:v>
                </c:pt>
                <c:pt idx="65">
                  <c:v>46119249.383905195</c:v>
                </c:pt>
                <c:pt idx="66">
                  <c:v>54424085.383905195</c:v>
                </c:pt>
                <c:pt idx="67">
                  <c:v>55134636.383905195</c:v>
                </c:pt>
                <c:pt idx="68">
                  <c:v>47798131.383905195</c:v>
                </c:pt>
                <c:pt idx="69">
                  <c:v>41883670.383905195</c:v>
                </c:pt>
                <c:pt idx="70">
                  <c:v>38353292.383905195</c:v>
                </c:pt>
                <c:pt idx="71">
                  <c:v>41803813.383905195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45513379.429172598</c:v>
                </c:pt>
                <c:pt idx="85">
                  <c:v>39003386.429172598</c:v>
                </c:pt>
                <c:pt idx="86">
                  <c:v>40659453.429172598</c:v>
                </c:pt>
                <c:pt idx="87">
                  <c:v>36365950.429172598</c:v>
                </c:pt>
                <c:pt idx="88">
                  <c:v>39252711.429172598</c:v>
                </c:pt>
                <c:pt idx="89">
                  <c:v>47628949.429172598</c:v>
                </c:pt>
                <c:pt idx="90">
                  <c:v>55795384.429172598</c:v>
                </c:pt>
                <c:pt idx="91">
                  <c:v>52455350.429172598</c:v>
                </c:pt>
                <c:pt idx="92">
                  <c:v>45869313.429172598</c:v>
                </c:pt>
                <c:pt idx="93">
                  <c:v>41241719.429172598</c:v>
                </c:pt>
                <c:pt idx="94">
                  <c:v>39186241.429172598</c:v>
                </c:pt>
                <c:pt idx="95">
                  <c:v>47203108.429172598</c:v>
                </c:pt>
                <c:pt idx="96">
                  <c:v>48558249.221446835</c:v>
                </c:pt>
                <c:pt idx="97">
                  <c:v>40484738.221446835</c:v>
                </c:pt>
                <c:pt idx="98">
                  <c:v>41820516.221446835</c:v>
                </c:pt>
                <c:pt idx="99">
                  <c:v>38864052.221446835</c:v>
                </c:pt>
                <c:pt idx="100">
                  <c:v>41888482.221446835</c:v>
                </c:pt>
                <c:pt idx="101">
                  <c:v>52737558.221446835</c:v>
                </c:pt>
                <c:pt idx="102">
                  <c:v>65508403.221446835</c:v>
                </c:pt>
                <c:pt idx="103">
                  <c:v>63722566.221446835</c:v>
                </c:pt>
                <c:pt idx="104">
                  <c:v>51294132.221446835</c:v>
                </c:pt>
                <c:pt idx="105">
                  <c:v>41038053.221446835</c:v>
                </c:pt>
                <c:pt idx="106">
                  <c:v>41154575.221446835</c:v>
                </c:pt>
                <c:pt idx="107">
                  <c:v>46188029.221446835</c:v>
                </c:pt>
                <c:pt idx="108">
                  <c:v>47946223.226718538</c:v>
                </c:pt>
                <c:pt idx="109">
                  <c:v>42834954.226718538</c:v>
                </c:pt>
                <c:pt idx="110">
                  <c:v>43153575.226718538</c:v>
                </c:pt>
                <c:pt idx="111">
                  <c:v>38136662.226718538</c:v>
                </c:pt>
                <c:pt idx="112">
                  <c:v>38687980.226718538</c:v>
                </c:pt>
                <c:pt idx="113">
                  <c:v>45809796.226718538</c:v>
                </c:pt>
                <c:pt idx="114">
                  <c:v>63707328.226718538</c:v>
                </c:pt>
                <c:pt idx="115">
                  <c:v>58791766.226718538</c:v>
                </c:pt>
                <c:pt idx="116">
                  <c:v>44846342.226718538</c:v>
                </c:pt>
                <c:pt idx="117">
                  <c:v>39953556.226718538</c:v>
                </c:pt>
                <c:pt idx="118">
                  <c:v>40979024.226718538</c:v>
                </c:pt>
                <c:pt idx="119">
                  <c:v>46060405.226718538</c:v>
                </c:pt>
                <c:pt idx="120">
                  <c:v>45679000.963918254</c:v>
                </c:pt>
                <c:pt idx="121">
                  <c:v>41650816.963918254</c:v>
                </c:pt>
                <c:pt idx="122">
                  <c:v>42916551.963918254</c:v>
                </c:pt>
                <c:pt idx="123">
                  <c:v>41294428.963918254</c:v>
                </c:pt>
                <c:pt idx="124">
                  <c:v>46424125.963918254</c:v>
                </c:pt>
                <c:pt idx="125">
                  <c:v>59123962.963918254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1-42B8-9E06-6EB880D1DA70}"/>
            </c:ext>
          </c:extLst>
        </c:ser>
        <c:ser>
          <c:idx val="1"/>
          <c:order val="1"/>
          <c:tx>
            <c:strRef>
              <c:f>'Res Normalized Monthly Avg'!$S$1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 Avg'!$S$2:$S$145</c:f>
              <c:numCache>
                <c:formatCode>_(* #,##0.00_);_(* \(#,##0.00\);_(* "-"??_);_(@_)</c:formatCode>
                <c:ptCount val="144"/>
                <c:pt idx="0">
                  <c:v>46748810.713056654</c:v>
                </c:pt>
                <c:pt idx="1">
                  <c:v>41438440.952400148</c:v>
                </c:pt>
                <c:pt idx="2">
                  <c:v>42560095.531457491</c:v>
                </c:pt>
                <c:pt idx="3">
                  <c:v>38984949.93378143</c:v>
                </c:pt>
                <c:pt idx="4">
                  <c:v>42006807.267685898</c:v>
                </c:pt>
                <c:pt idx="5">
                  <c:v>48733522.516621426</c:v>
                </c:pt>
                <c:pt idx="6">
                  <c:v>59145388.455368958</c:v>
                </c:pt>
                <c:pt idx="7">
                  <c:v>57163029.981531493</c:v>
                </c:pt>
                <c:pt idx="8">
                  <c:v>45942182.046041079</c:v>
                </c:pt>
                <c:pt idx="9">
                  <c:v>40821178.212597616</c:v>
                </c:pt>
                <c:pt idx="10">
                  <c:v>39774555.397193082</c:v>
                </c:pt>
                <c:pt idx="11">
                  <c:v>45398370.997505717</c:v>
                </c:pt>
                <c:pt idx="12">
                  <c:v>47341219.56056831</c:v>
                </c:pt>
                <c:pt idx="13">
                  <c:v>42019919.812895752</c:v>
                </c:pt>
                <c:pt idx="14">
                  <c:v>43177827.282601491</c:v>
                </c:pt>
                <c:pt idx="15">
                  <c:v>39544801.99617248</c:v>
                </c:pt>
                <c:pt idx="16">
                  <c:v>42499489.923399173</c:v>
                </c:pt>
                <c:pt idx="17">
                  <c:v>49257484.065287948</c:v>
                </c:pt>
                <c:pt idx="18">
                  <c:v>59504164.696574077</c:v>
                </c:pt>
                <c:pt idx="19">
                  <c:v>57512382.649034843</c:v>
                </c:pt>
                <c:pt idx="20">
                  <c:v>46297650.61046885</c:v>
                </c:pt>
                <c:pt idx="21">
                  <c:v>41091804.084673509</c:v>
                </c:pt>
                <c:pt idx="22">
                  <c:v>39988863.435329117</c:v>
                </c:pt>
                <c:pt idx="23">
                  <c:v>45488008.802664667</c:v>
                </c:pt>
                <c:pt idx="24">
                  <c:v>47341722.608818732</c:v>
                </c:pt>
                <c:pt idx="25">
                  <c:v>43409302.626195684</c:v>
                </c:pt>
                <c:pt idx="26">
                  <c:v>43013649.382188693</c:v>
                </c:pt>
                <c:pt idx="27">
                  <c:v>39435928.531392485</c:v>
                </c:pt>
                <c:pt idx="28">
                  <c:v>42357790.554406762</c:v>
                </c:pt>
                <c:pt idx="29">
                  <c:v>49076368.56209977</c:v>
                </c:pt>
                <c:pt idx="30">
                  <c:v>59419311.049051158</c:v>
                </c:pt>
                <c:pt idx="31">
                  <c:v>57366247.335109241</c:v>
                </c:pt>
                <c:pt idx="32">
                  <c:v>46042247.807069249</c:v>
                </c:pt>
                <c:pt idx="33">
                  <c:v>40704883.898958735</c:v>
                </c:pt>
                <c:pt idx="34">
                  <c:v>39730418.869965799</c:v>
                </c:pt>
                <c:pt idx="35">
                  <c:v>45460479.278291136</c:v>
                </c:pt>
                <c:pt idx="36">
                  <c:v>47299989.893638849</c:v>
                </c:pt>
                <c:pt idx="37">
                  <c:v>41985116.923377968</c:v>
                </c:pt>
                <c:pt idx="38">
                  <c:v>43046990.687560685</c:v>
                </c:pt>
                <c:pt idx="39">
                  <c:v>39362915.851333328</c:v>
                </c:pt>
                <c:pt idx="40">
                  <c:v>42347135.657643564</c:v>
                </c:pt>
                <c:pt idx="41">
                  <c:v>49131889.393070243</c:v>
                </c:pt>
                <c:pt idx="42">
                  <c:v>59552255.768412024</c:v>
                </c:pt>
                <c:pt idx="43">
                  <c:v>57499383.640354581</c:v>
                </c:pt>
                <c:pt idx="44">
                  <c:v>46242904.799934752</c:v>
                </c:pt>
                <c:pt idx="45">
                  <c:v>41068484.986326635</c:v>
                </c:pt>
                <c:pt idx="46">
                  <c:v>39999752.260959238</c:v>
                </c:pt>
                <c:pt idx="47">
                  <c:v>45616369.047828928</c:v>
                </c:pt>
                <c:pt idx="48">
                  <c:v>47370572.04326532</c:v>
                </c:pt>
                <c:pt idx="49">
                  <c:v>41931771.405153848</c:v>
                </c:pt>
                <c:pt idx="50">
                  <c:v>42975569.369345956</c:v>
                </c:pt>
                <c:pt idx="51">
                  <c:v>39319348.720691554</c:v>
                </c:pt>
                <c:pt idx="52">
                  <c:v>42209744.921425104</c:v>
                </c:pt>
                <c:pt idx="53">
                  <c:v>48994041.32406687</c:v>
                </c:pt>
                <c:pt idx="54">
                  <c:v>59474068.125565939</c:v>
                </c:pt>
                <c:pt idx="55">
                  <c:v>57392281.527682655</c:v>
                </c:pt>
                <c:pt idx="56">
                  <c:v>46018079.240564972</c:v>
                </c:pt>
                <c:pt idx="57">
                  <c:v>40829199.561745472</c:v>
                </c:pt>
                <c:pt idx="58">
                  <c:v>39802609.000640497</c:v>
                </c:pt>
                <c:pt idx="59">
                  <c:v>45308416.369490266</c:v>
                </c:pt>
                <c:pt idx="60">
                  <c:v>46941430.469432525</c:v>
                </c:pt>
                <c:pt idx="61">
                  <c:v>41529311.412802525</c:v>
                </c:pt>
                <c:pt idx="62">
                  <c:v>42520140.986279584</c:v>
                </c:pt>
                <c:pt idx="63">
                  <c:v>38813346.519983284</c:v>
                </c:pt>
                <c:pt idx="64">
                  <c:v>41760172.651515067</c:v>
                </c:pt>
                <c:pt idx="65">
                  <c:v>48691625.957801715</c:v>
                </c:pt>
                <c:pt idx="66">
                  <c:v>59260351.102193564</c:v>
                </c:pt>
                <c:pt idx="67">
                  <c:v>57208312.597965896</c:v>
                </c:pt>
                <c:pt idx="68">
                  <c:v>45662822.638365418</c:v>
                </c:pt>
                <c:pt idx="69">
                  <c:v>40297702.382421538</c:v>
                </c:pt>
                <c:pt idx="70">
                  <c:v>39173093.893942259</c:v>
                </c:pt>
                <c:pt idx="71">
                  <c:v>44805237.122375339</c:v>
                </c:pt>
                <c:pt idx="72">
                  <c:v>46731283.672590666</c:v>
                </c:pt>
                <c:pt idx="73">
                  <c:v>42898816.495196052</c:v>
                </c:pt>
                <c:pt idx="74">
                  <c:v>42379923.367905885</c:v>
                </c:pt>
                <c:pt idx="75">
                  <c:v>38650066.078928769</c:v>
                </c:pt>
                <c:pt idx="76">
                  <c:v>41608405.414840214</c:v>
                </c:pt>
                <c:pt idx="77">
                  <c:v>48503810.543972045</c:v>
                </c:pt>
                <c:pt idx="78">
                  <c:v>58895376.363502339</c:v>
                </c:pt>
                <c:pt idx="79">
                  <c:v>56690515.252772756</c:v>
                </c:pt>
                <c:pt idx="80">
                  <c:v>45172577.785839744</c:v>
                </c:pt>
                <c:pt idx="81">
                  <c:v>39901052.965120912</c:v>
                </c:pt>
                <c:pt idx="82">
                  <c:v>38942378.569437504</c:v>
                </c:pt>
                <c:pt idx="83">
                  <c:v>44541342.095094882</c:v>
                </c:pt>
                <c:pt idx="84">
                  <c:v>46448569.310039461</c:v>
                </c:pt>
                <c:pt idx="85">
                  <c:v>41237755.410968259</c:v>
                </c:pt>
                <c:pt idx="86">
                  <c:v>42233154.485148683</c:v>
                </c:pt>
                <c:pt idx="87">
                  <c:v>38478735.583175674</c:v>
                </c:pt>
                <c:pt idx="88">
                  <c:v>41432775.515472189</c:v>
                </c:pt>
                <c:pt idx="89">
                  <c:v>48332113.26257664</c:v>
                </c:pt>
                <c:pt idx="90">
                  <c:v>58899135.199361414</c:v>
                </c:pt>
                <c:pt idx="91">
                  <c:v>56898254.205738649</c:v>
                </c:pt>
                <c:pt idx="92">
                  <c:v>45577648.679975316</c:v>
                </c:pt>
                <c:pt idx="93">
                  <c:v>40321863.746580943</c:v>
                </c:pt>
                <c:pt idx="94">
                  <c:v>39400219.17466189</c:v>
                </c:pt>
                <c:pt idx="95">
                  <c:v>45075438.793126173</c:v>
                </c:pt>
                <c:pt idx="96">
                  <c:v>46973304.343994915</c:v>
                </c:pt>
                <c:pt idx="97">
                  <c:v>41480247.800879806</c:v>
                </c:pt>
                <c:pt idx="98">
                  <c:v>42318921.553218223</c:v>
                </c:pt>
                <c:pt idx="99">
                  <c:v>38643186.389837362</c:v>
                </c:pt>
                <c:pt idx="100">
                  <c:v>41623517.46161636</c:v>
                </c:pt>
                <c:pt idx="101">
                  <c:v>48729450.481877498</c:v>
                </c:pt>
                <c:pt idx="102">
                  <c:v>59558405.70428811</c:v>
                </c:pt>
                <c:pt idx="103">
                  <c:v>57425744.614645131</c:v>
                </c:pt>
                <c:pt idx="104">
                  <c:v>45827977.771484748</c:v>
                </c:pt>
                <c:pt idx="105">
                  <c:v>40262366.668179922</c:v>
                </c:pt>
                <c:pt idx="106">
                  <c:v>39367524.238220274</c:v>
                </c:pt>
                <c:pt idx="107">
                  <c:v>45229954.626080029</c:v>
                </c:pt>
                <c:pt idx="108">
                  <c:v>47249820.056687206</c:v>
                </c:pt>
                <c:pt idx="109">
                  <c:v>42017483.45464883</c:v>
                </c:pt>
                <c:pt idx="110">
                  <c:v>43105626.175601773</c:v>
                </c:pt>
                <c:pt idx="111">
                  <c:v>39599989.682577364</c:v>
                </c:pt>
                <c:pt idx="112">
                  <c:v>42665374.219001457</c:v>
                </c:pt>
                <c:pt idx="113">
                  <c:v>49765145.467665531</c:v>
                </c:pt>
                <c:pt idx="114">
                  <c:v>60433832.256676942</c:v>
                </c:pt>
                <c:pt idx="115">
                  <c:v>58363997.995125569</c:v>
                </c:pt>
                <c:pt idx="116">
                  <c:v>46821739.456026509</c:v>
                </c:pt>
                <c:pt idx="117">
                  <c:v>41566806.656315245</c:v>
                </c:pt>
                <c:pt idx="118">
                  <c:v>40550055.31002526</c:v>
                </c:pt>
                <c:pt idx="119">
                  <c:v>46261040.738730676</c:v>
                </c:pt>
                <c:pt idx="120">
                  <c:v>47519177.703750677</c:v>
                </c:pt>
                <c:pt idx="121">
                  <c:v>43765315.555986188</c:v>
                </c:pt>
                <c:pt idx="122">
                  <c:v>43390118.324084982</c:v>
                </c:pt>
                <c:pt idx="123">
                  <c:v>39752836.906245045</c:v>
                </c:pt>
                <c:pt idx="124">
                  <c:v>42849502.208909228</c:v>
                </c:pt>
                <c:pt idx="125">
                  <c:v>49977890.199607112</c:v>
                </c:pt>
                <c:pt idx="126">
                  <c:v>67205568.424789786</c:v>
                </c:pt>
                <c:pt idx="127">
                  <c:v>64520961.064483687</c:v>
                </c:pt>
                <c:pt idx="128">
                  <c:v>51324854.921065286</c:v>
                </c:pt>
                <c:pt idx="129">
                  <c:v>44662932.21970126</c:v>
                </c:pt>
                <c:pt idx="130">
                  <c:v>41698362.690348975</c:v>
                </c:pt>
                <c:pt idx="131">
                  <c:v>47323662.70837912</c:v>
                </c:pt>
                <c:pt idx="132">
                  <c:v>47484891.623730123</c:v>
                </c:pt>
                <c:pt idx="133">
                  <c:v>42242212.226839468</c:v>
                </c:pt>
                <c:pt idx="134">
                  <c:v>43353077.792170241</c:v>
                </c:pt>
                <c:pt idx="135">
                  <c:v>39718546.423751339</c:v>
                </c:pt>
                <c:pt idx="136">
                  <c:v>42832500.612823144</c:v>
                </c:pt>
                <c:pt idx="137">
                  <c:v>50028495.88529738</c:v>
                </c:pt>
                <c:pt idx="138">
                  <c:v>60824786.45880308</c:v>
                </c:pt>
                <c:pt idx="139">
                  <c:v>58776602.236463934</c:v>
                </c:pt>
                <c:pt idx="140">
                  <c:v>47152706.182044625</c:v>
                </c:pt>
                <c:pt idx="141">
                  <c:v>41838436.611177772</c:v>
                </c:pt>
                <c:pt idx="142">
                  <c:v>40844608.51686576</c:v>
                </c:pt>
                <c:pt idx="143">
                  <c:v>46640168.299561583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1-42B8-9E06-6EB880D1D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50976"/>
        <c:axId val="176752512"/>
      </c:lineChart>
      <c:dateAx>
        <c:axId val="1767509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2512"/>
        <c:crosses val="autoZero"/>
        <c:auto val="1"/>
        <c:lblOffset val="100"/>
        <c:baseTimeUnit val="months"/>
      </c:dateAx>
      <c:valAx>
        <c:axId val="1767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Normalized Monthly Avg'!$D$1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 Avg'!$D$2:$D$145</c:f>
              <c:numCache>
                <c:formatCode>_(* #,##0.00_);_(* \(#,##0.00\);_(* "-"??_);_(@_)</c:formatCode>
                <c:ptCount val="144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16182556.699089883</c:v>
                </c:pt>
                <c:pt idx="61">
                  <c:v>15130034.699089883</c:v>
                </c:pt>
                <c:pt idx="62">
                  <c:v>15540011.699089883</c:v>
                </c:pt>
                <c:pt idx="63">
                  <c:v>13711956.699089883</c:v>
                </c:pt>
                <c:pt idx="64">
                  <c:v>13844626.699089883</c:v>
                </c:pt>
                <c:pt idx="65">
                  <c:v>14160686.699089883</c:v>
                </c:pt>
                <c:pt idx="66">
                  <c:v>15621116.699089883</c:v>
                </c:pt>
                <c:pt idx="67">
                  <c:v>15851803.699089883</c:v>
                </c:pt>
                <c:pt idx="68">
                  <c:v>14469369.699089883</c:v>
                </c:pt>
                <c:pt idx="69">
                  <c:v>13421736.699089883</c:v>
                </c:pt>
                <c:pt idx="70">
                  <c:v>13464398.699089883</c:v>
                </c:pt>
                <c:pt idx="71">
                  <c:v>14365730.699089883</c:v>
                </c:pt>
                <c:pt idx="72">
                  <c:v>15517081.303964725</c:v>
                </c:pt>
                <c:pt idx="73">
                  <c:v>14725350.303964725</c:v>
                </c:pt>
                <c:pt idx="74">
                  <c:v>14848383.303964725</c:v>
                </c:pt>
                <c:pt idx="75">
                  <c:v>13743778.303964725</c:v>
                </c:pt>
                <c:pt idx="76">
                  <c:v>14047734.303964725</c:v>
                </c:pt>
                <c:pt idx="77">
                  <c:v>14848177.303964725</c:v>
                </c:pt>
                <c:pt idx="78">
                  <c:v>16626440.303964725</c:v>
                </c:pt>
                <c:pt idx="79">
                  <c:v>16998535.303964727</c:v>
                </c:pt>
                <c:pt idx="80">
                  <c:v>14679750.303964725</c:v>
                </c:pt>
                <c:pt idx="81">
                  <c:v>13570857.303964725</c:v>
                </c:pt>
                <c:pt idx="82">
                  <c:v>13638777.303964725</c:v>
                </c:pt>
                <c:pt idx="83">
                  <c:v>15093983.303964725</c:v>
                </c:pt>
                <c:pt idx="84">
                  <c:v>15848622.716300488</c:v>
                </c:pt>
                <c:pt idx="85">
                  <c:v>14155244.716300488</c:v>
                </c:pt>
                <c:pt idx="86">
                  <c:v>15108599.716300488</c:v>
                </c:pt>
                <c:pt idx="87">
                  <c:v>13649236.716300488</c:v>
                </c:pt>
                <c:pt idx="88">
                  <c:v>13851346.716300488</c:v>
                </c:pt>
                <c:pt idx="89">
                  <c:v>14440865.716300488</c:v>
                </c:pt>
                <c:pt idx="90">
                  <c:v>15754493.716300488</c:v>
                </c:pt>
                <c:pt idx="91">
                  <c:v>15368668.716300488</c:v>
                </c:pt>
                <c:pt idx="92">
                  <c:v>14399680.716300488</c:v>
                </c:pt>
                <c:pt idx="93">
                  <c:v>14109770.716300488</c:v>
                </c:pt>
                <c:pt idx="94">
                  <c:v>14159054.716300488</c:v>
                </c:pt>
                <c:pt idx="95">
                  <c:v>15720500.716300488</c:v>
                </c:pt>
                <c:pt idx="96">
                  <c:v>16654358.367339365</c:v>
                </c:pt>
                <c:pt idx="97">
                  <c:v>14649762.367339365</c:v>
                </c:pt>
                <c:pt idx="98">
                  <c:v>15509147.367339365</c:v>
                </c:pt>
                <c:pt idx="99">
                  <c:v>14451924.367339365</c:v>
                </c:pt>
                <c:pt idx="100">
                  <c:v>14807257.367339365</c:v>
                </c:pt>
                <c:pt idx="101">
                  <c:v>15605806.367339365</c:v>
                </c:pt>
                <c:pt idx="102">
                  <c:v>17337110.367339365</c:v>
                </c:pt>
                <c:pt idx="103">
                  <c:v>17142851.367339365</c:v>
                </c:pt>
                <c:pt idx="104">
                  <c:v>15306561.367339365</c:v>
                </c:pt>
                <c:pt idx="105">
                  <c:v>14377808.367339365</c:v>
                </c:pt>
                <c:pt idx="106">
                  <c:v>14845972.367339365</c:v>
                </c:pt>
                <c:pt idx="107">
                  <c:v>15695898.367339365</c:v>
                </c:pt>
                <c:pt idx="108">
                  <c:v>16830375.066078711</c:v>
                </c:pt>
                <c:pt idx="109">
                  <c:v>15569003.066078711</c:v>
                </c:pt>
                <c:pt idx="110">
                  <c:v>16318845.066078711</c:v>
                </c:pt>
                <c:pt idx="111">
                  <c:v>14529418.066078711</c:v>
                </c:pt>
                <c:pt idx="112">
                  <c:v>14271330.066078711</c:v>
                </c:pt>
                <c:pt idx="113">
                  <c:v>14804296.066078711</c:v>
                </c:pt>
                <c:pt idx="114">
                  <c:v>17319087.066078711</c:v>
                </c:pt>
                <c:pt idx="115">
                  <c:v>16585053.066078711</c:v>
                </c:pt>
                <c:pt idx="116">
                  <c:v>14725435.066078711</c:v>
                </c:pt>
                <c:pt idx="117">
                  <c:v>14042656.066078711</c:v>
                </c:pt>
                <c:pt idx="118">
                  <c:v>14515114.066078711</c:v>
                </c:pt>
                <c:pt idx="119">
                  <c:v>15355560.066078711</c:v>
                </c:pt>
                <c:pt idx="120">
                  <c:v>15872905.454444034</c:v>
                </c:pt>
                <c:pt idx="121">
                  <c:v>14960550.454444034</c:v>
                </c:pt>
                <c:pt idx="122">
                  <c:v>14210374.454444034</c:v>
                </c:pt>
                <c:pt idx="123">
                  <c:v>11710017.454444034</c:v>
                </c:pt>
                <c:pt idx="124">
                  <c:v>11990515.454444034</c:v>
                </c:pt>
                <c:pt idx="125">
                  <c:v>13734565.454444034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6-4CA9-A1E3-93DA94FB27B9}"/>
            </c:ext>
          </c:extLst>
        </c:ser>
        <c:ser>
          <c:idx val="1"/>
          <c:order val="1"/>
          <c:tx>
            <c:strRef>
              <c:f>'GS&lt;50 Normalized Monthly Avg'!$S$1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 Avg'!$S$2:$S$145</c:f>
              <c:numCache>
                <c:formatCode>_(* #,##0.0_);_(* \(#,##0.0\);_(* "-"??_);_(@_)</c:formatCode>
                <c:ptCount val="144"/>
                <c:pt idx="0">
                  <c:v>15656767.601458771</c:v>
                </c:pt>
                <c:pt idx="1">
                  <c:v>13905565.299810283</c:v>
                </c:pt>
                <c:pt idx="2">
                  <c:v>14695283.760454286</c:v>
                </c:pt>
                <c:pt idx="3">
                  <c:v>13341601.53465021</c:v>
                </c:pt>
                <c:pt idx="4">
                  <c:v>13551596.018146049</c:v>
                </c:pt>
                <c:pt idx="5">
                  <c:v>14032248.783727607</c:v>
                </c:pt>
                <c:pt idx="6">
                  <c:v>15897003.219221324</c:v>
                </c:pt>
                <c:pt idx="7">
                  <c:v>15569308.094654454</c:v>
                </c:pt>
                <c:pt idx="8">
                  <c:v>13664384.362977533</c:v>
                </c:pt>
                <c:pt idx="9">
                  <c:v>13465867.845146829</c:v>
                </c:pt>
                <c:pt idx="10">
                  <c:v>13695859.981333945</c:v>
                </c:pt>
                <c:pt idx="11">
                  <c:v>15221497.934971724</c:v>
                </c:pt>
                <c:pt idx="12">
                  <c:v>15876098.136491068</c:v>
                </c:pt>
                <c:pt idx="13">
                  <c:v>14204209.568557248</c:v>
                </c:pt>
                <c:pt idx="14">
                  <c:v>14970746.061250696</c:v>
                </c:pt>
                <c:pt idx="15">
                  <c:v>13661721.548964011</c:v>
                </c:pt>
                <c:pt idx="16">
                  <c:v>13832325.931850111</c:v>
                </c:pt>
                <c:pt idx="17">
                  <c:v>14300227.366407461</c:v>
                </c:pt>
                <c:pt idx="18">
                  <c:v>16177296.527574699</c:v>
                </c:pt>
                <c:pt idx="19">
                  <c:v>15773031.65896995</c:v>
                </c:pt>
                <c:pt idx="20">
                  <c:v>13832835.731339237</c:v>
                </c:pt>
                <c:pt idx="21">
                  <c:v>13647092.814176416</c:v>
                </c:pt>
                <c:pt idx="22">
                  <c:v>13817220.471118826</c:v>
                </c:pt>
                <c:pt idx="23">
                  <c:v>15269529.188780528</c:v>
                </c:pt>
                <c:pt idx="24">
                  <c:v>15860662.164346231</c:v>
                </c:pt>
                <c:pt idx="25">
                  <c:v>14562111.196786001</c:v>
                </c:pt>
                <c:pt idx="26">
                  <c:v>14824008.258280223</c:v>
                </c:pt>
                <c:pt idx="27">
                  <c:v>13552106.7945663</c:v>
                </c:pt>
                <c:pt idx="28">
                  <c:v>13746435.266664244</c:v>
                </c:pt>
                <c:pt idx="29">
                  <c:v>14236681.831547892</c:v>
                </c:pt>
                <c:pt idx="30">
                  <c:v>16159730.148939656</c:v>
                </c:pt>
                <c:pt idx="31">
                  <c:v>15860991.219426079</c:v>
                </c:pt>
                <c:pt idx="32">
                  <c:v>13949500.438905654</c:v>
                </c:pt>
                <c:pt idx="33">
                  <c:v>13773528.085539078</c:v>
                </c:pt>
                <c:pt idx="34">
                  <c:v>13964565.797468226</c:v>
                </c:pt>
                <c:pt idx="35">
                  <c:v>15477653.232774209</c:v>
                </c:pt>
                <c:pt idx="36">
                  <c:v>16123327.434921261</c:v>
                </c:pt>
                <c:pt idx="37">
                  <c:v>14282842.393435294</c:v>
                </c:pt>
                <c:pt idx="38">
                  <c:v>15081852.403757185</c:v>
                </c:pt>
                <c:pt idx="39">
                  <c:v>13694017.728690812</c:v>
                </c:pt>
                <c:pt idx="40">
                  <c:v>13934209.567115262</c:v>
                </c:pt>
                <c:pt idx="41">
                  <c:v>14426766.843169581</c:v>
                </c:pt>
                <c:pt idx="42">
                  <c:v>16322025.31045166</c:v>
                </c:pt>
                <c:pt idx="43">
                  <c:v>15964097.881537938</c:v>
                </c:pt>
                <c:pt idx="44">
                  <c:v>14039390.696418092</c:v>
                </c:pt>
                <c:pt idx="45">
                  <c:v>13822757.316392926</c:v>
                </c:pt>
                <c:pt idx="46">
                  <c:v>14000114.43039011</c:v>
                </c:pt>
                <c:pt idx="47">
                  <c:v>15475372.845193723</c:v>
                </c:pt>
                <c:pt idx="48">
                  <c:v>16065326.985695018</c:v>
                </c:pt>
                <c:pt idx="49">
                  <c:v>14246415.314102124</c:v>
                </c:pt>
                <c:pt idx="50">
                  <c:v>15044679.632669894</c:v>
                </c:pt>
                <c:pt idx="51">
                  <c:v>13780125.300136719</c:v>
                </c:pt>
                <c:pt idx="52">
                  <c:v>13934298.576922437</c:v>
                </c:pt>
                <c:pt idx="53">
                  <c:v>14381475.556935931</c:v>
                </c:pt>
                <c:pt idx="54">
                  <c:v>16242444.672478791</c:v>
                </c:pt>
                <c:pt idx="55">
                  <c:v>15862493.857346794</c:v>
                </c:pt>
                <c:pt idx="56">
                  <c:v>13911549.871002661</c:v>
                </c:pt>
                <c:pt idx="57">
                  <c:v>13718582.509157469</c:v>
                </c:pt>
                <c:pt idx="58">
                  <c:v>13881068.691072552</c:v>
                </c:pt>
                <c:pt idx="59">
                  <c:v>15391025.047151938</c:v>
                </c:pt>
                <c:pt idx="60">
                  <c:v>15993408.85125293</c:v>
                </c:pt>
                <c:pt idx="61">
                  <c:v>14188355.583073681</c:v>
                </c:pt>
                <c:pt idx="62">
                  <c:v>15006224.397939224</c:v>
                </c:pt>
                <c:pt idx="63">
                  <c:v>13725846.427532097</c:v>
                </c:pt>
                <c:pt idx="64">
                  <c:v>13986885.932190537</c:v>
                </c:pt>
                <c:pt idx="65">
                  <c:v>14476701.107016403</c:v>
                </c:pt>
                <c:pt idx="66">
                  <c:v>16434010.439087149</c:v>
                </c:pt>
                <c:pt idx="67">
                  <c:v>16104744.353554437</c:v>
                </c:pt>
                <c:pt idx="68">
                  <c:v>14114384.706474721</c:v>
                </c:pt>
                <c:pt idx="69">
                  <c:v>13898749.829055442</c:v>
                </c:pt>
                <c:pt idx="70">
                  <c:v>13997880.949165102</c:v>
                </c:pt>
                <c:pt idx="71">
                  <c:v>15515781.942949686</c:v>
                </c:pt>
                <c:pt idx="72">
                  <c:v>16164791.896802675</c:v>
                </c:pt>
                <c:pt idx="73">
                  <c:v>14874399.347294072</c:v>
                </c:pt>
                <c:pt idx="74">
                  <c:v>15120636.548562601</c:v>
                </c:pt>
                <c:pt idx="75">
                  <c:v>13796737.453891804</c:v>
                </c:pt>
                <c:pt idx="76">
                  <c:v>14071638.888741516</c:v>
                </c:pt>
                <c:pt idx="77">
                  <c:v>14492325.065094348</c:v>
                </c:pt>
                <c:pt idx="78">
                  <c:v>16385925.267568596</c:v>
                </c:pt>
                <c:pt idx="79">
                  <c:v>15986474.782444168</c:v>
                </c:pt>
                <c:pt idx="80">
                  <c:v>14021654.465913078</c:v>
                </c:pt>
                <c:pt idx="81">
                  <c:v>13791071.493031843</c:v>
                </c:pt>
                <c:pt idx="82">
                  <c:v>13976772.602169983</c:v>
                </c:pt>
                <c:pt idx="83">
                  <c:v>15466858.637528295</c:v>
                </c:pt>
                <c:pt idx="84">
                  <c:v>16121709.482827485</c:v>
                </c:pt>
                <c:pt idx="85">
                  <c:v>14407828.600023914</c:v>
                </c:pt>
                <c:pt idx="86">
                  <c:v>15219437.032669438</c:v>
                </c:pt>
                <c:pt idx="87">
                  <c:v>13913322.516710211</c:v>
                </c:pt>
                <c:pt idx="88">
                  <c:v>14108454.354240334</c:v>
                </c:pt>
                <c:pt idx="89">
                  <c:v>14591784.11909279</c:v>
                </c:pt>
                <c:pt idx="90">
                  <c:v>16513553.378217081</c:v>
                </c:pt>
                <c:pt idx="91">
                  <c:v>16163508.030993447</c:v>
                </c:pt>
                <c:pt idx="92">
                  <c:v>14205670.211134592</c:v>
                </c:pt>
                <c:pt idx="93">
                  <c:v>14021442.245138478</c:v>
                </c:pt>
                <c:pt idx="94">
                  <c:v>14197676.664570641</c:v>
                </c:pt>
                <c:pt idx="95">
                  <c:v>15760357.812365711</c:v>
                </c:pt>
                <c:pt idx="96">
                  <c:v>16421898.398948688</c:v>
                </c:pt>
                <c:pt idx="97">
                  <c:v>14544510.87810453</c:v>
                </c:pt>
                <c:pt idx="98">
                  <c:v>15347682.382239407</c:v>
                </c:pt>
                <c:pt idx="99">
                  <c:v>13978396.536367571</c:v>
                </c:pt>
                <c:pt idx="100">
                  <c:v>14139518.83498626</c:v>
                </c:pt>
                <c:pt idx="101">
                  <c:v>14822790.245962864</c:v>
                </c:pt>
                <c:pt idx="102">
                  <c:v>16834532.541380335</c:v>
                </c:pt>
                <c:pt idx="103">
                  <c:v>16500277.222630519</c:v>
                </c:pt>
                <c:pt idx="104">
                  <c:v>14427249.283782389</c:v>
                </c:pt>
                <c:pt idx="105">
                  <c:v>14192882.576483211</c:v>
                </c:pt>
                <c:pt idx="106">
                  <c:v>14450224.894144645</c:v>
                </c:pt>
                <c:pt idx="107">
                  <c:v>16035526.239196349</c:v>
                </c:pt>
                <c:pt idx="108">
                  <c:v>16716857.868050819</c:v>
                </c:pt>
                <c:pt idx="109">
                  <c:v>14855767.29131593</c:v>
                </c:pt>
                <c:pt idx="110">
                  <c:v>15671902.128523875</c:v>
                </c:pt>
                <c:pt idx="111">
                  <c:v>14326395.547457537</c:v>
                </c:pt>
                <c:pt idx="112">
                  <c:v>14527457.976176813</c:v>
                </c:pt>
                <c:pt idx="113">
                  <c:v>15047313.954013119</c:v>
                </c:pt>
                <c:pt idx="114">
                  <c:v>17079455.546686839</c:v>
                </c:pt>
                <c:pt idx="115">
                  <c:v>16696789.087094089</c:v>
                </c:pt>
                <c:pt idx="116">
                  <c:v>14684030.641970735</c:v>
                </c:pt>
                <c:pt idx="117">
                  <c:v>14450770.033618357</c:v>
                </c:pt>
                <c:pt idx="118">
                  <c:v>14500762.579381321</c:v>
                </c:pt>
                <c:pt idx="119">
                  <c:v>16061587.818584828</c:v>
                </c:pt>
                <c:pt idx="120">
                  <c:v>16060395.36100648</c:v>
                </c:pt>
                <c:pt idx="121">
                  <c:v>14742808.864730395</c:v>
                </c:pt>
                <c:pt idx="122">
                  <c:v>15034138.205095217</c:v>
                </c:pt>
                <c:pt idx="123">
                  <c:v>12059112.059408706</c:v>
                </c:pt>
                <c:pt idx="124">
                  <c:v>12197940.221350495</c:v>
                </c:pt>
                <c:pt idx="125">
                  <c:v>12807351.357871801</c:v>
                </c:pt>
                <c:pt idx="126">
                  <c:v>15029694.258279772</c:v>
                </c:pt>
                <c:pt idx="127">
                  <c:v>14670584.956139306</c:v>
                </c:pt>
                <c:pt idx="128">
                  <c:v>12701834.289948102</c:v>
                </c:pt>
                <c:pt idx="129">
                  <c:v>12629483.887840888</c:v>
                </c:pt>
                <c:pt idx="130">
                  <c:v>12872260.881543268</c:v>
                </c:pt>
                <c:pt idx="131">
                  <c:v>14425225.180796051</c:v>
                </c:pt>
                <c:pt idx="132">
                  <c:v>16461206.429657951</c:v>
                </c:pt>
                <c:pt idx="133">
                  <c:v>14614492.223981546</c:v>
                </c:pt>
                <c:pt idx="134">
                  <c:v>15433690.901535546</c:v>
                </c:pt>
                <c:pt idx="135">
                  <c:v>14111803.656274987</c:v>
                </c:pt>
                <c:pt idx="136">
                  <c:v>14334409.073635116</c:v>
                </c:pt>
                <c:pt idx="137">
                  <c:v>14886014.394067407</c:v>
                </c:pt>
                <c:pt idx="138">
                  <c:v>16929344.484226935</c:v>
                </c:pt>
                <c:pt idx="139">
                  <c:v>16565682.74729605</c:v>
                </c:pt>
                <c:pt idx="140">
                  <c:v>14537923.129010696</c:v>
                </c:pt>
                <c:pt idx="141">
                  <c:v>14304532.390954461</c:v>
                </c:pt>
                <c:pt idx="142">
                  <c:v>14485559.528388828</c:v>
                </c:pt>
                <c:pt idx="143">
                  <c:v>16073884.972623769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6-4CA9-A1E3-93DA94FB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07712"/>
        <c:axId val="177109248"/>
      </c:lineChart>
      <c:dateAx>
        <c:axId val="1771077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9248"/>
        <c:crosses val="autoZero"/>
        <c:auto val="1"/>
        <c:lblOffset val="100"/>
        <c:baseTimeUnit val="months"/>
      </c:dateAx>
      <c:valAx>
        <c:axId val="17710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Normalized Monthly Avg'!$D$1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 Avg'!$D$2:$D$133</c:f>
              <c:numCache>
                <c:formatCode>_(* #,##0.00_);_(* \(#,##0.00\);_(* "-"??_);_(@_)</c:formatCode>
                <c:ptCount val="132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81657018.901304796</c:v>
                </c:pt>
                <c:pt idx="61">
                  <c:v>76315766.901304796</c:v>
                </c:pt>
                <c:pt idx="62">
                  <c:v>79384809.901304796</c:v>
                </c:pt>
                <c:pt idx="63">
                  <c:v>71921603.901304796</c:v>
                </c:pt>
                <c:pt idx="64">
                  <c:v>75614661.901304796</c:v>
                </c:pt>
                <c:pt idx="65">
                  <c:v>77512457.901304796</c:v>
                </c:pt>
                <c:pt idx="66">
                  <c:v>84109914.901304796</c:v>
                </c:pt>
                <c:pt idx="67">
                  <c:v>82970684.901304796</c:v>
                </c:pt>
                <c:pt idx="68">
                  <c:v>80471106.901304796</c:v>
                </c:pt>
                <c:pt idx="69">
                  <c:v>74766344.901304796</c:v>
                </c:pt>
                <c:pt idx="70">
                  <c:v>73580200.901304796</c:v>
                </c:pt>
                <c:pt idx="71">
                  <c:v>74354600.901304796</c:v>
                </c:pt>
                <c:pt idx="72">
                  <c:v>80877446.451951042</c:v>
                </c:pt>
                <c:pt idx="73">
                  <c:v>76696727.451951042</c:v>
                </c:pt>
                <c:pt idx="74">
                  <c:v>79053293.451951042</c:v>
                </c:pt>
                <c:pt idx="75">
                  <c:v>75326609.451951042</c:v>
                </c:pt>
                <c:pt idx="76">
                  <c:v>77298721.451951042</c:v>
                </c:pt>
                <c:pt idx="77">
                  <c:v>80715843.451951042</c:v>
                </c:pt>
                <c:pt idx="78">
                  <c:v>86828378.451951042</c:v>
                </c:pt>
                <c:pt idx="79">
                  <c:v>89984192.451951042</c:v>
                </c:pt>
                <c:pt idx="80">
                  <c:v>80657191.451951042</c:v>
                </c:pt>
                <c:pt idx="81">
                  <c:v>75966711.451951042</c:v>
                </c:pt>
                <c:pt idx="82">
                  <c:v>74431571.451951042</c:v>
                </c:pt>
                <c:pt idx="83">
                  <c:v>76796818.451951042</c:v>
                </c:pt>
                <c:pt idx="84">
                  <c:v>79778744.666458026</c:v>
                </c:pt>
                <c:pt idx="85">
                  <c:v>71619045.666458026</c:v>
                </c:pt>
                <c:pt idx="86">
                  <c:v>78853175.666458026</c:v>
                </c:pt>
                <c:pt idx="87">
                  <c:v>71496185.666458026</c:v>
                </c:pt>
                <c:pt idx="88">
                  <c:v>75455637.666458026</c:v>
                </c:pt>
                <c:pt idx="89">
                  <c:v>78632788.666458026</c:v>
                </c:pt>
                <c:pt idx="90">
                  <c:v>82422181.666458026</c:v>
                </c:pt>
                <c:pt idx="91">
                  <c:v>82320840.666458026</c:v>
                </c:pt>
                <c:pt idx="92">
                  <c:v>78267352.666458026</c:v>
                </c:pt>
                <c:pt idx="93">
                  <c:v>76411605.666458026</c:v>
                </c:pt>
                <c:pt idx="94">
                  <c:v>74842943.666458026</c:v>
                </c:pt>
                <c:pt idx="95">
                  <c:v>76074354.666458026</c:v>
                </c:pt>
                <c:pt idx="96">
                  <c:v>81501426.656842589</c:v>
                </c:pt>
                <c:pt idx="97">
                  <c:v>72389848.656842589</c:v>
                </c:pt>
                <c:pt idx="98">
                  <c:v>77808315.656842589</c:v>
                </c:pt>
                <c:pt idx="99">
                  <c:v>74246303.656842589</c:v>
                </c:pt>
                <c:pt idx="100">
                  <c:v>76803143.656842589</c:v>
                </c:pt>
                <c:pt idx="101">
                  <c:v>78416513.656842589</c:v>
                </c:pt>
                <c:pt idx="102">
                  <c:v>83770689.656842589</c:v>
                </c:pt>
                <c:pt idx="103">
                  <c:v>83927361.656842589</c:v>
                </c:pt>
                <c:pt idx="104">
                  <c:v>76396317.656842589</c:v>
                </c:pt>
                <c:pt idx="105">
                  <c:v>72584854.656842589</c:v>
                </c:pt>
                <c:pt idx="106">
                  <c:v>72301301.656842589</c:v>
                </c:pt>
                <c:pt idx="107">
                  <c:v>71622528.656842589</c:v>
                </c:pt>
                <c:pt idx="108">
                  <c:v>78801666.567807063</c:v>
                </c:pt>
                <c:pt idx="109">
                  <c:v>71331586.567807063</c:v>
                </c:pt>
                <c:pt idx="110">
                  <c:v>76137811.567807063</c:v>
                </c:pt>
                <c:pt idx="111">
                  <c:v>69883776.567807063</c:v>
                </c:pt>
                <c:pt idx="112">
                  <c:v>70924333.567807063</c:v>
                </c:pt>
                <c:pt idx="113">
                  <c:v>71942833.567807063</c:v>
                </c:pt>
                <c:pt idx="114">
                  <c:v>83258537.567807063</c:v>
                </c:pt>
                <c:pt idx="115">
                  <c:v>79859842.567807063</c:v>
                </c:pt>
                <c:pt idx="116">
                  <c:v>73220953.567807063</c:v>
                </c:pt>
                <c:pt idx="117">
                  <c:v>71051748.567807063</c:v>
                </c:pt>
                <c:pt idx="118">
                  <c:v>71481685.567807063</c:v>
                </c:pt>
                <c:pt idx="119">
                  <c:v>72324333.567807063</c:v>
                </c:pt>
                <c:pt idx="120">
                  <c:v>75739921.554761291</c:v>
                </c:pt>
                <c:pt idx="121">
                  <c:v>70677174.554761291</c:v>
                </c:pt>
                <c:pt idx="122">
                  <c:v>70423460.554761291</c:v>
                </c:pt>
                <c:pt idx="123">
                  <c:v>60626134.554761283</c:v>
                </c:pt>
                <c:pt idx="124">
                  <c:v>63498080.554761283</c:v>
                </c:pt>
                <c:pt idx="125">
                  <c:v>69985308.554761291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3-43DF-B3EE-184CDB99B5F2}"/>
            </c:ext>
          </c:extLst>
        </c:ser>
        <c:ser>
          <c:idx val="1"/>
          <c:order val="1"/>
          <c:tx>
            <c:strRef>
              <c:f>'GS&gt;50 Normalized Monthly Avg'!$T$1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 Avg'!$T$2:$T$145</c:f>
              <c:numCache>
                <c:formatCode>_(* #,##0.0_);_(* \(#,##0.0\);_(* "-"??_);_(@_)</c:formatCode>
                <c:ptCount val="144"/>
                <c:pt idx="0">
                  <c:v>78348157.027163714</c:v>
                </c:pt>
                <c:pt idx="1">
                  <c:v>69776947.614269331</c:v>
                </c:pt>
                <c:pt idx="2">
                  <c:v>76442715.21955207</c:v>
                </c:pt>
                <c:pt idx="3">
                  <c:v>72400453.490071014</c:v>
                </c:pt>
                <c:pt idx="4">
                  <c:v>75076028.515352428</c:v>
                </c:pt>
                <c:pt idx="5">
                  <c:v>76097875.789825857</c:v>
                </c:pt>
                <c:pt idx="6">
                  <c:v>84201195.403959885</c:v>
                </c:pt>
                <c:pt idx="7">
                  <c:v>82974724.700234011</c:v>
                </c:pt>
                <c:pt idx="8">
                  <c:v>75470745.155782506</c:v>
                </c:pt>
                <c:pt idx="9">
                  <c:v>74484714.206341133</c:v>
                </c:pt>
                <c:pt idx="10">
                  <c:v>73168979.588497952</c:v>
                </c:pt>
                <c:pt idx="11">
                  <c:v>74671466.967519417</c:v>
                </c:pt>
                <c:pt idx="12">
                  <c:v>81846876.227189496</c:v>
                </c:pt>
                <c:pt idx="13">
                  <c:v>69824452.181615189</c:v>
                </c:pt>
                <c:pt idx="14">
                  <c:v>76263510.91403614</c:v>
                </c:pt>
                <c:pt idx="15">
                  <c:v>71508460.314548761</c:v>
                </c:pt>
                <c:pt idx="16">
                  <c:v>74153001.57867071</c:v>
                </c:pt>
                <c:pt idx="17">
                  <c:v>75310336.726476356</c:v>
                </c:pt>
                <c:pt idx="18">
                  <c:v>83318096.887688607</c:v>
                </c:pt>
                <c:pt idx="19">
                  <c:v>81860002.887124658</c:v>
                </c:pt>
                <c:pt idx="20">
                  <c:v>74391466.107960075</c:v>
                </c:pt>
                <c:pt idx="21">
                  <c:v>72914176.652241051</c:v>
                </c:pt>
                <c:pt idx="22">
                  <c:v>72135579.117756873</c:v>
                </c:pt>
                <c:pt idx="23">
                  <c:v>73478638.932191655</c:v>
                </c:pt>
                <c:pt idx="24">
                  <c:v>79330410.269753844</c:v>
                </c:pt>
                <c:pt idx="25">
                  <c:v>73171712.609509006</c:v>
                </c:pt>
                <c:pt idx="26">
                  <c:v>77075420.824953824</c:v>
                </c:pt>
                <c:pt idx="27">
                  <c:v>72180093.903677016</c:v>
                </c:pt>
                <c:pt idx="28">
                  <c:v>74847788.388714075</c:v>
                </c:pt>
                <c:pt idx="29">
                  <c:v>75883392.445745096</c:v>
                </c:pt>
                <c:pt idx="30">
                  <c:v>84244562.27549918</c:v>
                </c:pt>
                <c:pt idx="31">
                  <c:v>82678490.748255834</c:v>
                </c:pt>
                <c:pt idx="32">
                  <c:v>75028137.353828177</c:v>
                </c:pt>
                <c:pt idx="33">
                  <c:v>73513395.231338128</c:v>
                </c:pt>
                <c:pt idx="34">
                  <c:v>72292852.527515903</c:v>
                </c:pt>
                <c:pt idx="35">
                  <c:v>73626774.47641784</c:v>
                </c:pt>
                <c:pt idx="36">
                  <c:v>79212369.08006607</c:v>
                </c:pt>
                <c:pt idx="37">
                  <c:v>70678786.185700446</c:v>
                </c:pt>
                <c:pt idx="38">
                  <c:v>77176666.977780268</c:v>
                </c:pt>
                <c:pt idx="39">
                  <c:v>72402666.151263148</c:v>
                </c:pt>
                <c:pt idx="40">
                  <c:v>74928905.586951092</c:v>
                </c:pt>
                <c:pt idx="41">
                  <c:v>75837520.198822021</c:v>
                </c:pt>
                <c:pt idx="42">
                  <c:v>84314893.367560953</c:v>
                </c:pt>
                <c:pt idx="43">
                  <c:v>82903445.401940718</c:v>
                </c:pt>
                <c:pt idx="44">
                  <c:v>75275544.871287107</c:v>
                </c:pt>
                <c:pt idx="45">
                  <c:v>74095830.514737159</c:v>
                </c:pt>
                <c:pt idx="46">
                  <c:v>72798831.910944656</c:v>
                </c:pt>
                <c:pt idx="47">
                  <c:v>73909935.316794619</c:v>
                </c:pt>
                <c:pt idx="48">
                  <c:v>80830859.28328684</c:v>
                </c:pt>
                <c:pt idx="49">
                  <c:v>72052298.664005712</c:v>
                </c:pt>
                <c:pt idx="50">
                  <c:v>78521532.743431389</c:v>
                </c:pt>
                <c:pt idx="51">
                  <c:v>73449428.392930791</c:v>
                </c:pt>
                <c:pt idx="52">
                  <c:v>75862828.343807951</c:v>
                </c:pt>
                <c:pt idx="53">
                  <c:v>76816181.35332647</c:v>
                </c:pt>
                <c:pt idx="54">
                  <c:v>85182960.397646248</c:v>
                </c:pt>
                <c:pt idx="55">
                  <c:v>83675917.157999262</c:v>
                </c:pt>
                <c:pt idx="56">
                  <c:v>76581006.318975732</c:v>
                </c:pt>
                <c:pt idx="57">
                  <c:v>75308865.067163751</c:v>
                </c:pt>
                <c:pt idx="58">
                  <c:v>73987969.705714986</c:v>
                </c:pt>
                <c:pt idx="59">
                  <c:v>74972425.389428988</c:v>
                </c:pt>
                <c:pt idx="60">
                  <c:v>81729689.735831156</c:v>
                </c:pt>
                <c:pt idx="61">
                  <c:v>72785773.540875316</c:v>
                </c:pt>
                <c:pt idx="62">
                  <c:v>79556729.918177009</c:v>
                </c:pt>
                <c:pt idx="63">
                  <c:v>74354466.547150061</c:v>
                </c:pt>
                <c:pt idx="64">
                  <c:v>76948233.172052339</c:v>
                </c:pt>
                <c:pt idx="65">
                  <c:v>77865728.504170358</c:v>
                </c:pt>
                <c:pt idx="66">
                  <c:v>86369822.138634816</c:v>
                </c:pt>
                <c:pt idx="67">
                  <c:v>85011694.15584521</c:v>
                </c:pt>
                <c:pt idx="68">
                  <c:v>77061464.812975556</c:v>
                </c:pt>
                <c:pt idx="69">
                  <c:v>75279666.797489896</c:v>
                </c:pt>
                <c:pt idx="70">
                  <c:v>74100233.753852889</c:v>
                </c:pt>
                <c:pt idx="71">
                  <c:v>75310476.341838628</c:v>
                </c:pt>
                <c:pt idx="72">
                  <c:v>82020140.706855103</c:v>
                </c:pt>
                <c:pt idx="73">
                  <c:v>75874369.178070828</c:v>
                </c:pt>
                <c:pt idx="74">
                  <c:v>79917779.431341067</c:v>
                </c:pt>
                <c:pt idx="75">
                  <c:v>74911231.006765753</c:v>
                </c:pt>
                <c:pt idx="76">
                  <c:v>77524341.457539767</c:v>
                </c:pt>
                <c:pt idx="77">
                  <c:v>78371002.477446586</c:v>
                </c:pt>
                <c:pt idx="78">
                  <c:v>87010607.49388364</c:v>
                </c:pt>
                <c:pt idx="79">
                  <c:v>85476864.669282302</c:v>
                </c:pt>
                <c:pt idx="80">
                  <c:v>77486639.604623571</c:v>
                </c:pt>
                <c:pt idx="81">
                  <c:v>76214042.488438949</c:v>
                </c:pt>
                <c:pt idx="82">
                  <c:v>74800111.370613068</c:v>
                </c:pt>
                <c:pt idx="83">
                  <c:v>75874984.603095338</c:v>
                </c:pt>
                <c:pt idx="84">
                  <c:v>82896921.229718775</c:v>
                </c:pt>
                <c:pt idx="85">
                  <c:v>71333770.748496264</c:v>
                </c:pt>
                <c:pt idx="86">
                  <c:v>77829598.072902113</c:v>
                </c:pt>
                <c:pt idx="87">
                  <c:v>72900268.062044546</c:v>
                </c:pt>
                <c:pt idx="88">
                  <c:v>75216094.097819388</c:v>
                </c:pt>
                <c:pt idx="89">
                  <c:v>76466035.706775427</c:v>
                </c:pt>
                <c:pt idx="90">
                  <c:v>84773888.880457744</c:v>
                </c:pt>
                <c:pt idx="91">
                  <c:v>83372301.184344947</c:v>
                </c:pt>
                <c:pt idx="92">
                  <c:v>75609068.39245224</c:v>
                </c:pt>
                <c:pt idx="93">
                  <c:v>74253564.778085142</c:v>
                </c:pt>
                <c:pt idx="94">
                  <c:v>72941316.231060043</c:v>
                </c:pt>
                <c:pt idx="95">
                  <c:v>73999412.353197917</c:v>
                </c:pt>
                <c:pt idx="96">
                  <c:v>80466506.073887184</c:v>
                </c:pt>
                <c:pt idx="97">
                  <c:v>71883273.674843445</c:v>
                </c:pt>
                <c:pt idx="98">
                  <c:v>78666183.447271362</c:v>
                </c:pt>
                <c:pt idx="99">
                  <c:v>73544305.885206312</c:v>
                </c:pt>
                <c:pt idx="100">
                  <c:v>76259909.322586387</c:v>
                </c:pt>
                <c:pt idx="101">
                  <c:v>74297198.357169434</c:v>
                </c:pt>
                <c:pt idx="102">
                  <c:v>82354406.757905677</c:v>
                </c:pt>
                <c:pt idx="103">
                  <c:v>80915595.790919885</c:v>
                </c:pt>
                <c:pt idx="104">
                  <c:v>73769726.244741499</c:v>
                </c:pt>
                <c:pt idx="105">
                  <c:v>72236711.724709019</c:v>
                </c:pt>
                <c:pt idx="106">
                  <c:v>70886551.166408941</c:v>
                </c:pt>
                <c:pt idx="107">
                  <c:v>72066580.157643944</c:v>
                </c:pt>
                <c:pt idx="108">
                  <c:v>78172215.548060894</c:v>
                </c:pt>
                <c:pt idx="109">
                  <c:v>69550957.685681432</c:v>
                </c:pt>
                <c:pt idx="110">
                  <c:v>75811045.301913694</c:v>
                </c:pt>
                <c:pt idx="111">
                  <c:v>71087613.67555058</c:v>
                </c:pt>
                <c:pt idx="112">
                  <c:v>73868748.168139562</c:v>
                </c:pt>
                <c:pt idx="113">
                  <c:v>75171725.03168346</c:v>
                </c:pt>
                <c:pt idx="114">
                  <c:v>83327123.106586665</c:v>
                </c:pt>
                <c:pt idx="115">
                  <c:v>81953883.610204577</c:v>
                </c:pt>
                <c:pt idx="116">
                  <c:v>74255330.323264152</c:v>
                </c:pt>
                <c:pt idx="117">
                  <c:v>72785245.399607867</c:v>
                </c:pt>
                <c:pt idx="118">
                  <c:v>74340781.266280591</c:v>
                </c:pt>
                <c:pt idx="119">
                  <c:v>75570137.037562892</c:v>
                </c:pt>
                <c:pt idx="120">
                  <c:v>79401381.752274066</c:v>
                </c:pt>
                <c:pt idx="121">
                  <c:v>73301935.185665935</c:v>
                </c:pt>
                <c:pt idx="122">
                  <c:v>71226600.230843708</c:v>
                </c:pt>
                <c:pt idx="123">
                  <c:v>59505687.159665175</c:v>
                </c:pt>
                <c:pt idx="124">
                  <c:v>61480024.894710585</c:v>
                </c:pt>
                <c:pt idx="125">
                  <c:v>62835411.78892491</c:v>
                </c:pt>
                <c:pt idx="126">
                  <c:v>72074892.302452296</c:v>
                </c:pt>
                <c:pt idx="127">
                  <c:v>70578608.413941488</c:v>
                </c:pt>
                <c:pt idx="128">
                  <c:v>63287818.770561732</c:v>
                </c:pt>
                <c:pt idx="129">
                  <c:v>63267960.930152752</c:v>
                </c:pt>
                <c:pt idx="130">
                  <c:v>62232869.380392827</c:v>
                </c:pt>
                <c:pt idx="131">
                  <c:v>62926919.362184368</c:v>
                </c:pt>
                <c:pt idx="132">
                  <c:v>77086414.582536519</c:v>
                </c:pt>
                <c:pt idx="133">
                  <c:v>68677928.143269137</c:v>
                </c:pt>
                <c:pt idx="134">
                  <c:v>74797326.567856312</c:v>
                </c:pt>
                <c:pt idx="135">
                  <c:v>69948508.403451085</c:v>
                </c:pt>
                <c:pt idx="136">
                  <c:v>72385516.630108222</c:v>
                </c:pt>
                <c:pt idx="137">
                  <c:v>73437781.751577303</c:v>
                </c:pt>
                <c:pt idx="138">
                  <c:v>81653627.623296887</c:v>
                </c:pt>
                <c:pt idx="139">
                  <c:v>80156583.272507846</c:v>
                </c:pt>
                <c:pt idx="140">
                  <c:v>72556557.702060238</c:v>
                </c:pt>
                <c:pt idx="141">
                  <c:v>71007586.12846069</c:v>
                </c:pt>
                <c:pt idx="142">
                  <c:v>69721949.710689917</c:v>
                </c:pt>
                <c:pt idx="143">
                  <c:v>70665043.696792215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3-43DF-B3EE-184CDB99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20384"/>
        <c:axId val="177121920"/>
      </c:lineChart>
      <c:dateAx>
        <c:axId val="177120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1920"/>
        <c:crosses val="autoZero"/>
        <c:auto val="1"/>
        <c:lblOffset val="100"/>
        <c:baseTimeUnit val="months"/>
      </c:dateAx>
      <c:valAx>
        <c:axId val="1771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Summary'!$C$5:$C$16</c:f>
              <c:numCache>
                <c:formatCode>#,##0</c:formatCode>
                <c:ptCount val="12"/>
                <c:pt idx="0">
                  <c:v>556896336</c:v>
                </c:pt>
                <c:pt idx="1">
                  <c:v>551353006</c:v>
                </c:pt>
                <c:pt idx="2">
                  <c:v>551839571</c:v>
                </c:pt>
                <c:pt idx="3">
                  <c:v>540087395</c:v>
                </c:pt>
                <c:pt idx="4">
                  <c:v>530303117</c:v>
                </c:pt>
                <c:pt idx="5">
                  <c:v>530999846</c:v>
                </c:pt>
                <c:pt idx="6">
                  <c:v>545123880</c:v>
                </c:pt>
                <c:pt idx="7">
                  <c:v>501428451</c:v>
                </c:pt>
                <c:pt idx="8">
                  <c:v>536801589</c:v>
                </c:pt>
                <c:pt idx="9">
                  <c:v>512580883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2-4E16-B54F-952CEB5448A4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Summary'!$E$5:$E$16</c:f>
              <c:numCache>
                <c:formatCode>#,##0</c:formatCode>
                <c:ptCount val="12"/>
                <c:pt idx="0">
                  <c:v>556896336</c:v>
                </c:pt>
                <c:pt idx="1">
                  <c:v>552441915.71376777</c:v>
                </c:pt>
                <c:pt idx="2">
                  <c:v>554745009.76718867</c:v>
                </c:pt>
                <c:pt idx="3">
                  <c:v>544522483.65061712</c:v>
                </c:pt>
                <c:pt idx="4">
                  <c:v>537297947.86209393</c:v>
                </c:pt>
                <c:pt idx="5">
                  <c:v>541177794.60686231</c:v>
                </c:pt>
                <c:pt idx="6">
                  <c:v>560271575.81065547</c:v>
                </c:pt>
                <c:pt idx="7">
                  <c:v>530174948.1500712</c:v>
                </c:pt>
                <c:pt idx="8">
                  <c:v>573259355.65736198</c:v>
                </c:pt>
                <c:pt idx="9">
                  <c:v>550907613.72062242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2-4E16-B54F-952CEB5448A4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548717332.00524092</c:v>
                </c:pt>
                <c:pt idx="1">
                  <c:v>553723616.91967034</c:v>
                </c:pt>
                <c:pt idx="2">
                  <c:v>553358350.50354743</c:v>
                </c:pt>
                <c:pt idx="3">
                  <c:v>553153188.9104408</c:v>
                </c:pt>
                <c:pt idx="4">
                  <c:v>551625701.60963845</c:v>
                </c:pt>
                <c:pt idx="5">
                  <c:v>546663547.73507869</c:v>
                </c:pt>
                <c:pt idx="6">
                  <c:v>544915548.60520172</c:v>
                </c:pt>
                <c:pt idx="7">
                  <c:v>544335663.36682534</c:v>
                </c:pt>
                <c:pt idx="8">
                  <c:v>547440601.65432239</c:v>
                </c:pt>
                <c:pt idx="9">
                  <c:v>558400911.46908247</c:v>
                </c:pt>
                <c:pt idx="10">
                  <c:v>583991182.92735136</c:v>
                </c:pt>
                <c:pt idx="11">
                  <c:v>561737032.86952853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2-4E16-B54F-952CEB5448A4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548717332.00524092</c:v>
                </c:pt>
                <c:pt idx="1">
                  <c:v>552634707.20590258</c:v>
                </c:pt>
                <c:pt idx="2">
                  <c:v>550452911.73635876</c:v>
                </c:pt>
                <c:pt idx="3">
                  <c:v>548718100.25982368</c:v>
                </c:pt>
                <c:pt idx="4">
                  <c:v>544630870.74754453</c:v>
                </c:pt>
                <c:pt idx="5">
                  <c:v>536485599.12821639</c:v>
                </c:pt>
                <c:pt idx="6">
                  <c:v>529767852.79454625</c:v>
                </c:pt>
                <c:pt idx="7">
                  <c:v>515589166.21675414</c:v>
                </c:pt>
                <c:pt idx="8">
                  <c:v>510982834.9969604</c:v>
                </c:pt>
                <c:pt idx="9">
                  <c:v>520074180.74845999</c:v>
                </c:pt>
                <c:pt idx="10">
                  <c:v>546040547.36033237</c:v>
                </c:pt>
                <c:pt idx="11">
                  <c:v>524245339.16692615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E2-4E16-B54F-952CEB54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Summary'!$L$5:$L$15</c:f>
              <c:numCache>
                <c:formatCode>#,##0</c:formatCode>
                <c:ptCount val="11"/>
                <c:pt idx="0">
                  <c:v>172200325</c:v>
                </c:pt>
                <c:pt idx="1">
                  <c:v>174484065</c:v>
                </c:pt>
                <c:pt idx="2">
                  <c:v>174704767</c:v>
                </c:pt>
                <c:pt idx="3">
                  <c:v>175467402</c:v>
                </c:pt>
                <c:pt idx="4">
                  <c:v>172644356</c:v>
                </c:pt>
                <c:pt idx="5">
                  <c:v>170245509</c:v>
                </c:pt>
                <c:pt idx="6">
                  <c:v>169905557</c:v>
                </c:pt>
                <c:pt idx="7">
                  <c:v>166894185</c:v>
                </c:pt>
                <c:pt idx="8">
                  <c:v>174257110</c:v>
                </c:pt>
                <c:pt idx="9">
                  <c:v>170703484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4-4DA4-9875-10FB45B051C5}"/>
            </c:ext>
          </c:extLst>
        </c:ser>
        <c:ser>
          <c:idx val="1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Summary'!$N$5:$N$16</c:f>
              <c:numCache>
                <c:formatCode>#,##0</c:formatCode>
                <c:ptCount val="12"/>
                <c:pt idx="0">
                  <c:v>172200325</c:v>
                </c:pt>
                <c:pt idx="1">
                  <c:v>175038865.0192433</c:v>
                </c:pt>
                <c:pt idx="2">
                  <c:v>176077042.3798866</c:v>
                </c:pt>
                <c:pt idx="3">
                  <c:v>177641893.47213364</c:v>
                </c:pt>
                <c:pt idx="4">
                  <c:v>175728867.72974029</c:v>
                </c:pt>
                <c:pt idx="5">
                  <c:v>175764029.38907862</c:v>
                </c:pt>
                <c:pt idx="6">
                  <c:v>178338848.64757669</c:v>
                </c:pt>
                <c:pt idx="7">
                  <c:v>176566085.59560585</c:v>
                </c:pt>
                <c:pt idx="8">
                  <c:v>186384458.40807238</c:v>
                </c:pt>
                <c:pt idx="9">
                  <c:v>184866172.79294452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4-4DA4-9875-10FB45B051C5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172696984.436553</c:v>
                </c:pt>
                <c:pt idx="1">
                  <c:v>175362335.00548026</c:v>
                </c:pt>
                <c:pt idx="2">
                  <c:v>175967974.43524376</c:v>
                </c:pt>
                <c:pt idx="3">
                  <c:v>177166774.85147384</c:v>
                </c:pt>
                <c:pt idx="4">
                  <c:v>176459486.01467234</c:v>
                </c:pt>
                <c:pt idx="5">
                  <c:v>177442974.5192914</c:v>
                </c:pt>
                <c:pt idx="6">
                  <c:v>178149286.44904298</c:v>
                </c:pt>
                <c:pt idx="7">
                  <c:v>179224744.4479841</c:v>
                </c:pt>
                <c:pt idx="8">
                  <c:v>181695490.03422678</c:v>
                </c:pt>
                <c:pt idx="9">
                  <c:v>184619090.47287428</c:v>
                </c:pt>
                <c:pt idx="10">
                  <c:v>165230829.52401051</c:v>
                </c:pt>
                <c:pt idx="11">
                  <c:v>182738543.93165329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F4-4DA4-9875-10FB45B051C5}"/>
            </c:ext>
          </c:extLst>
        </c:ser>
        <c:ser>
          <c:idx val="3"/>
          <c:order val="3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172696984.436553</c:v>
                </c:pt>
                <c:pt idx="1">
                  <c:v>174807534.98623696</c:v>
                </c:pt>
                <c:pt idx="2">
                  <c:v>174595699.05535716</c:v>
                </c:pt>
                <c:pt idx="3">
                  <c:v>174992283.3793402</c:v>
                </c:pt>
                <c:pt idx="4">
                  <c:v>173374974.28493205</c:v>
                </c:pt>
                <c:pt idx="5">
                  <c:v>171924454.13021278</c:v>
                </c:pt>
                <c:pt idx="6">
                  <c:v>169715994.80146629</c:v>
                </c:pt>
                <c:pt idx="7">
                  <c:v>169552843.85237825</c:v>
                </c:pt>
                <c:pt idx="8">
                  <c:v>169568141.62615439</c:v>
                </c:pt>
                <c:pt idx="9">
                  <c:v>170456401.67992976</c:v>
                </c:pt>
                <c:pt idx="10">
                  <c:v>150583257.86839649</c:v>
                </c:pt>
                <c:pt idx="11">
                  <c:v>168573853.66803649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F4-4DA4-9875-10FB45B0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75968"/>
        <c:axId val="177885952"/>
      </c:lineChart>
      <c:catAx>
        <c:axId val="1778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85952"/>
        <c:crosses val="autoZero"/>
        <c:auto val="1"/>
        <c:lblAlgn val="ctr"/>
        <c:lblOffset val="100"/>
        <c:noMultiLvlLbl val="0"/>
      </c:catAx>
      <c:valAx>
        <c:axId val="177885952"/>
        <c:scaling>
          <c:orientation val="minMax"/>
          <c:min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685006509185803E-2"/>
          <c:y val="0.8509923345674506"/>
          <c:w val="0.9620622153021775"/>
          <c:h val="0.12251759920738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Summary'!$U$5:$U$15</c:f>
              <c:numCache>
                <c:formatCode>#,##0</c:formatCode>
                <c:ptCount val="11"/>
                <c:pt idx="0">
                  <c:v>906197008</c:v>
                </c:pt>
                <c:pt idx="1">
                  <c:v>908229110</c:v>
                </c:pt>
                <c:pt idx="2">
                  <c:v>903337846</c:v>
                </c:pt>
                <c:pt idx="3">
                  <c:v>899933878</c:v>
                </c:pt>
                <c:pt idx="4">
                  <c:v>901672321</c:v>
                </c:pt>
                <c:pt idx="5">
                  <c:v>907051642</c:v>
                </c:pt>
                <c:pt idx="6">
                  <c:v>920835908</c:v>
                </c:pt>
                <c:pt idx="7">
                  <c:v>885596225</c:v>
                </c:pt>
                <c:pt idx="8">
                  <c:v>874283086</c:v>
                </c:pt>
                <c:pt idx="9">
                  <c:v>837536595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7-4CD5-B9F2-06D34607F46F}"/>
            </c:ext>
          </c:extLst>
        </c:ser>
        <c:ser>
          <c:idx val="1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Summary'!$W$5:$W$15</c:f>
              <c:numCache>
                <c:formatCode>#,##0</c:formatCode>
                <c:ptCount val="11"/>
                <c:pt idx="0">
                  <c:v>906197008</c:v>
                </c:pt>
                <c:pt idx="1">
                  <c:v>910448523.11322904</c:v>
                </c:pt>
                <c:pt idx="2">
                  <c:v>911276433.55605817</c:v>
                </c:pt>
                <c:pt idx="3">
                  <c:v>914608976.73929965</c:v>
                </c:pt>
                <c:pt idx="4">
                  <c:v>921825088.53771722</c:v>
                </c:pt>
                <c:pt idx="5">
                  <c:v>932659172.8156575</c:v>
                </c:pt>
                <c:pt idx="6">
                  <c:v>954633505.42341256</c:v>
                </c:pt>
                <c:pt idx="7">
                  <c:v>926174856.99749625</c:v>
                </c:pt>
                <c:pt idx="8">
                  <c:v>921768605.88211107</c:v>
                </c:pt>
                <c:pt idx="9">
                  <c:v>890219109.81368482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7-4CD5-B9F2-06D34607F46F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913114003.67856932</c:v>
                </c:pt>
                <c:pt idx="1">
                  <c:v>907004598.52749944</c:v>
                </c:pt>
                <c:pt idx="2">
                  <c:v>913873031.05520797</c:v>
                </c:pt>
                <c:pt idx="3">
                  <c:v>913535395.56384826</c:v>
                </c:pt>
                <c:pt idx="4">
                  <c:v>927242272.81771791</c:v>
                </c:pt>
                <c:pt idx="5">
                  <c:v>936373979.4188931</c:v>
                </c:pt>
                <c:pt idx="6">
                  <c:v>945482114.48795593</c:v>
                </c:pt>
                <c:pt idx="7">
                  <c:v>921592239.73735452</c:v>
                </c:pt>
                <c:pt idx="8">
                  <c:v>907346948.60329318</c:v>
                </c:pt>
                <c:pt idx="9">
                  <c:v>905894806.15453625</c:v>
                </c:pt>
                <c:pt idx="10">
                  <c:v>802120110.17176986</c:v>
                </c:pt>
                <c:pt idx="11">
                  <c:v>882094824.21260643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47-4CD5-B9F2-06D34607F46F}"/>
            </c:ext>
          </c:extLst>
        </c:ser>
        <c:ser>
          <c:idx val="3"/>
          <c:order val="3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913114003.67856932</c:v>
                </c:pt>
                <c:pt idx="1">
                  <c:v>904785185.4142704</c:v>
                </c:pt>
                <c:pt idx="2">
                  <c:v>905934443.4991498</c:v>
                </c:pt>
                <c:pt idx="3">
                  <c:v>898860296.8245486</c:v>
                </c:pt>
                <c:pt idx="4">
                  <c:v>907089505.28000069</c:v>
                </c:pt>
                <c:pt idx="5">
                  <c:v>910766448.6032356</c:v>
                </c:pt>
                <c:pt idx="6">
                  <c:v>911684517.06454337</c:v>
                </c:pt>
                <c:pt idx="7">
                  <c:v>881013607.73985827</c:v>
                </c:pt>
                <c:pt idx="8">
                  <c:v>859861428.72118211</c:v>
                </c:pt>
                <c:pt idx="9">
                  <c:v>853212291.34085143</c:v>
                </c:pt>
                <c:pt idx="10">
                  <c:v>747410162.65449774</c:v>
                </c:pt>
                <c:pt idx="11">
                  <c:v>829981996.46143186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47-4CD5-B9F2-06D34607F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01408"/>
        <c:axId val="178002944"/>
      </c:lineChart>
      <c:catAx>
        <c:axId val="1780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2944"/>
        <c:crosses val="autoZero"/>
        <c:auto val="1"/>
        <c:lblAlgn val="ctr"/>
        <c:lblOffset val="100"/>
        <c:noMultiLvlLbl val="0"/>
      </c:catAx>
      <c:valAx>
        <c:axId val="178002944"/>
        <c:scaling>
          <c:orientation val="minMax"/>
          <c:min val="600000000.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 Light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Summary'!$AD$5:$AD$15</c:f>
              <c:numCache>
                <c:formatCode>#,##0</c:formatCode>
                <c:ptCount val="11"/>
                <c:pt idx="0">
                  <c:v>9467387</c:v>
                </c:pt>
                <c:pt idx="1">
                  <c:v>9847280</c:v>
                </c:pt>
                <c:pt idx="2">
                  <c:v>9866380</c:v>
                </c:pt>
                <c:pt idx="3">
                  <c:v>9864267</c:v>
                </c:pt>
                <c:pt idx="4">
                  <c:v>9908447</c:v>
                </c:pt>
                <c:pt idx="5">
                  <c:v>9918681</c:v>
                </c:pt>
                <c:pt idx="6">
                  <c:v>9945876</c:v>
                </c:pt>
                <c:pt idx="7">
                  <c:v>11286654.700000001</c:v>
                </c:pt>
                <c:pt idx="8">
                  <c:v>6528022.6000000006</c:v>
                </c:pt>
                <c:pt idx="9">
                  <c:v>5537652.8999999994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7-4806-AF2F-9B2AB721F4D7}"/>
            </c:ext>
          </c:extLst>
        </c:ser>
        <c:ser>
          <c:idx val="3"/>
          <c:order val="1"/>
          <c:tx>
            <c:strRef>
              <c:f>'Normalized Annual Summary'!$AK$3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Summary'!$AL$5:$AL$13,'Normalized Annual Summary'!$AK$14:$AK$16)</c:f>
              <c:numCache>
                <c:formatCode>General</c:formatCode>
                <c:ptCount val="12"/>
                <c:pt idx="9" formatCode="#,##0">
                  <c:v>5537652.8999999994</c:v>
                </c:pt>
                <c:pt idx="10" formatCode="#,##0">
                  <c:v>5541713.5211686473</c:v>
                </c:pt>
                <c:pt idx="11" formatCode="#,##0">
                  <c:v>5569643.7573153349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87-4806-AF2F-9B2AB721F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42752"/>
        <c:axId val="178044288"/>
      </c:lineChart>
      <c:catAx>
        <c:axId val="1780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4288"/>
        <c:crosses val="autoZero"/>
        <c:auto val="1"/>
        <c:lblAlgn val="ctr"/>
        <c:lblOffset val="100"/>
        <c:noMultiLvlLbl val="0"/>
      </c:catAx>
      <c:valAx>
        <c:axId val="17804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Summary'!$AH$3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Summary'!$AH$5:$AH$15</c:f>
              <c:numCache>
                <c:formatCode>#,##0</c:formatCode>
                <c:ptCount val="11"/>
                <c:pt idx="0">
                  <c:v>646.15715894484197</c:v>
                </c:pt>
                <c:pt idx="1">
                  <c:v>655.43663471778484</c:v>
                </c:pt>
                <c:pt idx="2">
                  <c:v>654.15355374823196</c:v>
                </c:pt>
                <c:pt idx="3">
                  <c:v>652.63961008529384</c:v>
                </c:pt>
                <c:pt idx="4">
                  <c:v>653.12835555262598</c:v>
                </c:pt>
                <c:pt idx="5">
                  <c:v>651.32000678548559</c:v>
                </c:pt>
                <c:pt idx="6">
                  <c:v>652.07456619607501</c:v>
                </c:pt>
                <c:pt idx="7">
                  <c:v>656.81184241154574</c:v>
                </c:pt>
                <c:pt idx="8">
                  <c:v>379.88958333333335</c:v>
                </c:pt>
                <c:pt idx="9">
                  <c:v>322.25633729050276</c:v>
                </c:pt>
                <c:pt idx="10">
                  <c:v>322.25633729050276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A-47C0-92B0-3D2135012DDA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Summary'!$AL$5:$AL$14,'Normalized Annual Summary'!$AH$15:$AH$16)</c:f>
              <c:numCache>
                <c:formatCode>General</c:formatCode>
                <c:ptCount val="12"/>
                <c:pt idx="10" formatCode="#,##0">
                  <c:v>322.25633729050276</c:v>
                </c:pt>
                <c:pt idx="11" formatCode="#,##0">
                  <c:v>322.25633729050276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A-47C0-92B0-3D2135012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Summary'!$AN$5:$AN$16</c:f>
              <c:numCache>
                <c:formatCode>#,##0</c:formatCode>
                <c:ptCount val="12"/>
                <c:pt idx="0">
                  <c:v>3512551</c:v>
                </c:pt>
                <c:pt idx="1">
                  <c:v>3296779</c:v>
                </c:pt>
                <c:pt idx="2">
                  <c:v>3353868</c:v>
                </c:pt>
                <c:pt idx="3">
                  <c:v>3104444</c:v>
                </c:pt>
                <c:pt idx="4">
                  <c:v>3098633</c:v>
                </c:pt>
                <c:pt idx="5">
                  <c:v>3110148</c:v>
                </c:pt>
                <c:pt idx="6">
                  <c:v>3115033</c:v>
                </c:pt>
                <c:pt idx="7">
                  <c:v>3130244</c:v>
                </c:pt>
                <c:pt idx="8">
                  <c:v>3138478</c:v>
                </c:pt>
                <c:pt idx="9">
                  <c:v>3144191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8-43A7-9AA7-1FFDC34E62D4}"/>
            </c:ext>
          </c:extLst>
        </c:ser>
        <c:ser>
          <c:idx val="3"/>
          <c:order val="1"/>
          <c:tx>
            <c:strRef>
              <c:f>'Normalized Annual Summary'!$AQ$3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Summary'!$AR$5:$AR$13,'Normalized Annual Summary'!$AQ$14:$AQ$16)</c:f>
              <c:numCache>
                <c:formatCode>General</c:formatCode>
                <c:ptCount val="12"/>
                <c:pt idx="9" formatCode="#,##0">
                  <c:v>3144191</c:v>
                </c:pt>
                <c:pt idx="10" formatCode="#,##0">
                  <c:v>3128398.0784571716</c:v>
                </c:pt>
                <c:pt idx="11" formatCode="#,##0">
                  <c:v>3103370.8938295147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8-43A7-9AA7-1FFDC34E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61440"/>
        <c:axId val="177662976"/>
      </c:lineChart>
      <c:catAx>
        <c:axId val="1776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2976"/>
        <c:crosses val="autoZero"/>
        <c:auto val="1"/>
        <c:lblAlgn val="ctr"/>
        <c:lblOffset val="100"/>
        <c:noMultiLvlLbl val="0"/>
      </c:catAx>
      <c:valAx>
        <c:axId val="1776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Summary'!$AP$3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Summary'!$AP$5:$AP$14</c:f>
              <c:numCache>
                <c:formatCode>#,##0</c:formatCode>
                <c:ptCount val="10"/>
                <c:pt idx="0">
                  <c:v>5819.4963412950428</c:v>
                </c:pt>
                <c:pt idx="1">
                  <c:v>5459.7499309964114</c:v>
                </c:pt>
                <c:pt idx="2">
                  <c:v>5548.1687344913153</c:v>
                </c:pt>
                <c:pt idx="3">
                  <c:v>5459.9630660999555</c:v>
                </c:pt>
                <c:pt idx="4">
                  <c:v>5543.1717352415026</c:v>
                </c:pt>
                <c:pt idx="5">
                  <c:v>5586.2559497081274</c:v>
                </c:pt>
                <c:pt idx="6">
                  <c:v>5571.6792368460274</c:v>
                </c:pt>
                <c:pt idx="7">
                  <c:v>5570.6551979830938</c:v>
                </c:pt>
                <c:pt idx="8">
                  <c:v>5571.2627218934904</c:v>
                </c:pt>
                <c:pt idx="9">
                  <c:v>5599.6277827248441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D-4DDA-B3EA-029F51E8F94F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Summary'!$AL$5:$AL$13,'Normalized Annual Summary'!$AP$14:$AP$16)</c:f>
              <c:numCache>
                <c:formatCode>General</c:formatCode>
                <c:ptCount val="12"/>
                <c:pt idx="9" formatCode="#,##0">
                  <c:v>5599.6277827248441</c:v>
                </c:pt>
                <c:pt idx="10" formatCode="#,##0">
                  <c:v>5599.6277827248441</c:v>
                </c:pt>
                <c:pt idx="11" formatCode="#,##0">
                  <c:v>5599.6277827248441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D-4DDA-B3EA-029F51E8F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702400"/>
        <c:axId val="177703936"/>
      </c:lineChart>
      <c:catAx>
        <c:axId val="1777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3936"/>
        <c:crosses val="autoZero"/>
        <c:auto val="1"/>
        <c:lblAlgn val="ctr"/>
        <c:lblOffset val="100"/>
        <c:noMultiLvlLbl val="0"/>
      </c:catAx>
      <c:valAx>
        <c:axId val="17770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per Device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Forecast'!$E$5:$E$14</c:f>
              <c:numCache>
                <c:formatCode>0.000000</c:formatCode>
                <c:ptCount val="10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2.6173812934897922E-3</c:v>
                </c:pt>
                <c:pt idx="6">
                  <c:v>2.6177780200117911E-3</c:v>
                </c:pt>
                <c:pt idx="7">
                  <c:v>2.6693654887700092E-3</c:v>
                </c:pt>
                <c:pt idx="8">
                  <c:v>2.6919450206543283E-3</c:v>
                </c:pt>
                <c:pt idx="9">
                  <c:v>2.7168771055311319E-3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6-4A91-BE35-5F8396D72999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Forecast'!$G$5:$G$14,'kW Forecast'!$F$19:$F$20)</c:f>
              <c:numCache>
                <c:formatCode>General</c:formatCode>
                <c:ptCount val="12"/>
                <c:pt idx="10" formatCode="_-* #,##0.000000_-;\-* #,##0.000000_-;_-* &quot;-&quot;??_-;_-@_-">
                  <c:v>2.7274652927573376E-3</c:v>
                </c:pt>
                <c:pt idx="11" formatCode="_-* #,##0.000000_-;\-* #,##0.000000_-;_-* &quot;-&quot;??_-;_-@_-">
                  <c:v>2.7474304350791623E-3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F6-4A91-BE35-5F8396D72999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Forecast'!$G$5:$G$14,'kW Forecast'!$E$19:$E$20)</c:f>
              <c:numCache>
                <c:formatCode>General</c:formatCode>
                <c:ptCount val="12"/>
                <c:pt idx="10" formatCode="_-* #,##0.000000_-;\-* #,##0.000000_-;_-* &quot;-&quot;??_-;_-@_-">
                  <c:v>2.6612872659787824E-3</c:v>
                </c:pt>
                <c:pt idx="11" formatCode="_-* #,##0.000000_-;\-* #,##0.000000_-;_-* &quot;-&quot;??_-;_-@_-">
                  <c:v>2.6612872659787824E-3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F6-4A91-BE35-5F8396D72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Forecast'!$K$5:$K$14</c:f>
              <c:numCache>
                <c:formatCode>0.000000</c:formatCode>
                <c:ptCount val="10"/>
                <c:pt idx="0">
                  <c:v>2.7902102237924785E-3</c:v>
                </c:pt>
                <c:pt idx="1">
                  <c:v>2.7757918938021466E-3</c:v>
                </c:pt>
                <c:pt idx="2">
                  <c:v>2.7828849081426013E-3</c:v>
                </c:pt>
                <c:pt idx="3">
                  <c:v>2.78784019126814E-3</c:v>
                </c:pt>
                <c:pt idx="4">
                  <c:v>2.7891353710626904E-3</c:v>
                </c:pt>
                <c:pt idx="5">
                  <c:v>2.788778064341418E-3</c:v>
                </c:pt>
                <c:pt idx="6">
                  <c:v>2.7798456365231176E-3</c:v>
                </c:pt>
                <c:pt idx="7">
                  <c:v>2.6980359379648604E-3</c:v>
                </c:pt>
                <c:pt idx="8">
                  <c:v>2.7881184112322154E-3</c:v>
                </c:pt>
                <c:pt idx="9">
                  <c:v>2.7892322395287727E-3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5-4533-8DD9-03E0BE3E3248}"/>
            </c:ext>
          </c:extLst>
        </c:ser>
        <c:ser>
          <c:idx val="1"/>
          <c:order val="1"/>
          <c:tx>
            <c:strRef>
              <c:f>'kW Forecast'!$L$3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Forecast'!$L$5:$L$14</c:f>
              <c:numCache>
                <c:formatCode>0.000000</c:formatCode>
                <c:ptCount val="10"/>
                <c:pt idx="2">
                  <c:v>2.7829623419124093E-3</c:v>
                </c:pt>
                <c:pt idx="3">
                  <c:v>2.782172331070963E-3</c:v>
                </c:pt>
                <c:pt idx="4">
                  <c:v>2.7866201568244771E-3</c:v>
                </c:pt>
                <c:pt idx="5">
                  <c:v>2.7885845422240831E-3</c:v>
                </c:pt>
                <c:pt idx="6">
                  <c:v>2.7859196906424091E-3</c:v>
                </c:pt>
                <c:pt idx="7">
                  <c:v>2.7843118504322678E-3</c:v>
                </c:pt>
                <c:pt idx="8">
                  <c:v>2.7839820238776663E-3</c:v>
                </c:pt>
                <c:pt idx="9">
                  <c:v>2.7886753253804943E-3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5-4533-8DD9-03E0BE3E3248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Forecast'!$M$5:$M$14,'kW Forecast'!$L$19:$L$20)</c:f>
              <c:numCache>
                <c:formatCode>0.000000</c:formatCode>
                <c:ptCount val="12"/>
                <c:pt idx="10" formatCode="_-* #,##0.000000_-;\-* #,##0.000000_-;_-* &quot;-&quot;??_-;_-@_-">
                  <c:v>2.7875169030215866E-3</c:v>
                </c:pt>
                <c:pt idx="11" formatCode="_-* #,##0.000000_-;\-* #,##0.000000_-;_-* &quot;-&quot;??_-;_-@_-">
                  <c:v>2.787986540849584E-3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B5-4533-8DD9-03E0BE3E3248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Forecast'!$M$5:$M$14,'kW Forecast'!$K$19:$K$20)</c:f>
              <c:numCache>
                <c:formatCode>0.000000</c:formatCode>
                <c:ptCount val="12"/>
                <c:pt idx="10" formatCode="_-* #,##0.000000_-;\-* #,##0.000000_-;_-* &quot;-&quot;??_-;_-@_-">
                  <c:v>2.7857596599659535E-3</c:v>
                </c:pt>
                <c:pt idx="11" formatCode="_-* #,##0.000000_-;\-* #,##0.000000_-;_-* &quot;-&quot;??_-;_-@_-">
                  <c:v>2.7857596599659535E-3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B5-4533-8DD9-03E0BE3E3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30432"/>
        <c:axId val="177340416"/>
      </c:lineChart>
      <c:catAx>
        <c:axId val="17733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40416"/>
        <c:crosses val="autoZero"/>
        <c:auto val="1"/>
        <c:lblAlgn val="ctr"/>
        <c:lblOffset val="100"/>
        <c:noMultiLvlLbl val="0"/>
      </c:catAx>
      <c:valAx>
        <c:axId val="1773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3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Actual Ratio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Normal)'!$B$5:$B$14,'kW Forecast (Weather Normal)'!$B$28:$B$29)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Normal)'!$E$5:$E$14</c:f>
              <c:numCache>
                <c:formatCode>0.000000</c:formatCode>
                <c:ptCount val="10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2.6173812934897922E-3</c:v>
                </c:pt>
                <c:pt idx="6">
                  <c:v>2.6177780200117911E-3</c:v>
                </c:pt>
                <c:pt idx="7">
                  <c:v>2.6693654887700092E-3</c:v>
                </c:pt>
                <c:pt idx="8">
                  <c:v>2.6919450206543283E-3</c:v>
                </c:pt>
                <c:pt idx="9">
                  <c:v>2.7168771055311319E-3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1-4D6E-BEA4-A655F889F03B}"/>
            </c:ext>
          </c:extLst>
        </c:ser>
        <c:ser>
          <c:idx val="1"/>
          <c:order val="1"/>
          <c:tx>
            <c:v>Ratio Applied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Normal)'!$B$5:$B$14,'kW Forecast (Weather Normal)'!$B$28:$B$29)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Normal)'!$F$18:$F$29</c:f>
              <c:numCache>
                <c:formatCode>_-* #,##0.000000_-;\-* #,##0.000000_-;_-* "-"??_-;_-@_-</c:formatCode>
                <c:ptCount val="12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2.6276395811482348E-3</c:v>
                </c:pt>
                <c:pt idx="6">
                  <c:v>2.6476047234700525E-3</c:v>
                </c:pt>
                <c:pt idx="7">
                  <c:v>2.6675698657918773E-3</c:v>
                </c:pt>
                <c:pt idx="8">
                  <c:v>2.6875350081136951E-3</c:v>
                </c:pt>
                <c:pt idx="9">
                  <c:v>2.7075001504355198E-3</c:v>
                </c:pt>
                <c:pt idx="10">
                  <c:v>2.7274652927573376E-3</c:v>
                </c:pt>
                <c:pt idx="11">
                  <c:v>2.7474304350791623E-3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1-4D6E-BEA4-A655F889F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20544"/>
        <c:axId val="177426432"/>
      </c:lineChart>
      <c:catAx>
        <c:axId val="17742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26432"/>
        <c:crosses val="autoZero"/>
        <c:auto val="1"/>
        <c:lblAlgn val="ctr"/>
        <c:lblOffset val="100"/>
        <c:noMultiLvlLbl val="0"/>
      </c:catAx>
      <c:valAx>
        <c:axId val="1774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2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 (Weather Normal)'!$K$3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Normal)'!$H$5:$H$14,'kW Forecast (Weather Normal)'!$H$28:$H$29)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Normal)'!$K$5:$K$14</c:f>
              <c:numCache>
                <c:formatCode>0.000000</c:formatCode>
                <c:ptCount val="10"/>
                <c:pt idx="0">
                  <c:v>2.7902102237924785E-3</c:v>
                </c:pt>
                <c:pt idx="1">
                  <c:v>2.7757918938021466E-3</c:v>
                </c:pt>
                <c:pt idx="2">
                  <c:v>2.7828849081426013E-3</c:v>
                </c:pt>
                <c:pt idx="3">
                  <c:v>2.78784019126814E-3</c:v>
                </c:pt>
                <c:pt idx="4">
                  <c:v>2.7891353710626904E-3</c:v>
                </c:pt>
                <c:pt idx="5">
                  <c:v>2.788778064341418E-3</c:v>
                </c:pt>
                <c:pt idx="6">
                  <c:v>2.7798456365231176E-3</c:v>
                </c:pt>
                <c:pt idx="7">
                  <c:v>2.6980359379648604E-3</c:v>
                </c:pt>
                <c:pt idx="8">
                  <c:v>2.7881184112322154E-3</c:v>
                </c:pt>
                <c:pt idx="9">
                  <c:v>2.7892322395287727E-3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5-4A83-A7CD-6920A66E18C1}"/>
            </c:ext>
          </c:extLst>
        </c:ser>
        <c:ser>
          <c:idx val="1"/>
          <c:order val="1"/>
          <c:tx>
            <c:strRef>
              <c:f>'kW Forecast (Weather Normal)'!$L$3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Normal)'!$H$5:$H$14,'kW Forecast (Weather Normal)'!$H$28:$H$29)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Normal)'!$L$5:$L$14</c:f>
              <c:numCache>
                <c:formatCode>0.000000</c:formatCode>
                <c:ptCount val="10"/>
                <c:pt idx="2">
                  <c:v>2.7829623419124093E-3</c:v>
                </c:pt>
                <c:pt idx="3">
                  <c:v>2.782172331070963E-3</c:v>
                </c:pt>
                <c:pt idx="4">
                  <c:v>2.7866201568244771E-3</c:v>
                </c:pt>
                <c:pt idx="5">
                  <c:v>2.7885845422240831E-3</c:v>
                </c:pt>
                <c:pt idx="6">
                  <c:v>2.7859196906424091E-3</c:v>
                </c:pt>
                <c:pt idx="7">
                  <c:v>2.7843118504322678E-3</c:v>
                </c:pt>
                <c:pt idx="8">
                  <c:v>2.7839820238776663E-3</c:v>
                </c:pt>
                <c:pt idx="9">
                  <c:v>2.7886753253804943E-3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5-4A83-A7CD-6920A66E18C1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Normal)'!$H$5:$H$14,'kW Forecast (Weather Normal)'!$H$28:$H$29)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(Weather Normal)'!$M$5:$M$14,'kW Forecast (Weather Normal)'!$L$28:$L$29)</c:f>
              <c:numCache>
                <c:formatCode>0.000000</c:formatCode>
                <c:ptCount val="12"/>
                <c:pt idx="10" formatCode="_-* #,##0.000000_-;\-* #,##0.000000_-;_-* &quot;-&quot;??_-;_-@_-">
                  <c:v>2.7875169030215866E-3</c:v>
                </c:pt>
                <c:pt idx="11" formatCode="_-* #,##0.000000_-;\-* #,##0.000000_-;_-* &quot;-&quot;??_-;_-@_-">
                  <c:v>2.787986540849584E-3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5-4A83-A7CD-6920A66E18C1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 (Weather Normal)'!$M$5:$M$14,'kW Forecast (Weather Normal)'!$K$28:$K$29)</c:f>
              <c:numCache>
                <c:formatCode>0.000000</c:formatCode>
                <c:ptCount val="12"/>
                <c:pt idx="10" formatCode="_-* #,##0.000000_-;\-* #,##0.000000_-;_-* &quot;-&quot;??_-;_-@_-">
                  <c:v>2.7857596599659535E-3</c:v>
                </c:pt>
                <c:pt idx="11" formatCode="_-* #,##0.000000_-;\-* #,##0.000000_-;_-* &quot;-&quot;??_-;_-@_-">
                  <c:v>2.7857596599659535E-3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65-4A83-A7CD-6920A66E1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94176"/>
        <c:axId val="178595712"/>
      </c:lineChart>
      <c:catAx>
        <c:axId val="17859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5712"/>
        <c:crosses val="autoZero"/>
        <c:auto val="1"/>
        <c:lblAlgn val="ctr"/>
        <c:lblOffset val="100"/>
        <c:noMultiLvlLbl val="0"/>
      </c:catAx>
      <c:valAx>
        <c:axId val="17859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 Avg Tr'!$D$1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Avg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 Avg Tr'!$D$2:$D$133</c:f>
              <c:numCache>
                <c:formatCode>_(* #,##0.00_);_(* \(#,##0.00\);_(* "-"??_);_(@_)</c:formatCode>
                <c:ptCount val="132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49884340.383905195</c:v>
                </c:pt>
                <c:pt idx="61">
                  <c:v>42980985.383905195</c:v>
                </c:pt>
                <c:pt idx="62">
                  <c:v>43419024.383905195</c:v>
                </c:pt>
                <c:pt idx="63">
                  <c:v>38613457.383905195</c:v>
                </c:pt>
                <c:pt idx="64">
                  <c:v>40763108.383905195</c:v>
                </c:pt>
                <c:pt idx="65">
                  <c:v>46119249.383905195</c:v>
                </c:pt>
                <c:pt idx="66">
                  <c:v>54424085.383905195</c:v>
                </c:pt>
                <c:pt idx="67">
                  <c:v>55134636.383905195</c:v>
                </c:pt>
                <c:pt idx="68">
                  <c:v>47798131.383905195</c:v>
                </c:pt>
                <c:pt idx="69">
                  <c:v>41883670.383905195</c:v>
                </c:pt>
                <c:pt idx="70">
                  <c:v>38353292.383905195</c:v>
                </c:pt>
                <c:pt idx="71">
                  <c:v>41803813.383905195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45513379.429172598</c:v>
                </c:pt>
                <c:pt idx="85">
                  <c:v>39003386.429172598</c:v>
                </c:pt>
                <c:pt idx="86">
                  <c:v>40659453.429172598</c:v>
                </c:pt>
                <c:pt idx="87">
                  <c:v>36365950.429172598</c:v>
                </c:pt>
                <c:pt idx="88">
                  <c:v>39252711.429172598</c:v>
                </c:pt>
                <c:pt idx="89">
                  <c:v>47628949.429172598</c:v>
                </c:pt>
                <c:pt idx="90">
                  <c:v>55795384.429172598</c:v>
                </c:pt>
                <c:pt idx="91">
                  <c:v>52455350.429172598</c:v>
                </c:pt>
                <c:pt idx="92">
                  <c:v>45869313.429172598</c:v>
                </c:pt>
                <c:pt idx="93">
                  <c:v>41241719.429172598</c:v>
                </c:pt>
                <c:pt idx="94">
                  <c:v>39186241.429172598</c:v>
                </c:pt>
                <c:pt idx="95">
                  <c:v>47203108.429172598</c:v>
                </c:pt>
                <c:pt idx="96">
                  <c:v>48558249.221446835</c:v>
                </c:pt>
                <c:pt idx="97">
                  <c:v>40484738.221446835</c:v>
                </c:pt>
                <c:pt idx="98">
                  <c:v>41820516.221446835</c:v>
                </c:pt>
                <c:pt idx="99">
                  <c:v>38864052.221446835</c:v>
                </c:pt>
                <c:pt idx="100">
                  <c:v>41888482.221446835</c:v>
                </c:pt>
                <c:pt idx="101">
                  <c:v>52737558.221446835</c:v>
                </c:pt>
                <c:pt idx="102">
                  <c:v>65508403.221446835</c:v>
                </c:pt>
                <c:pt idx="103">
                  <c:v>63722566.221446835</c:v>
                </c:pt>
                <c:pt idx="104">
                  <c:v>51294132.221446835</c:v>
                </c:pt>
                <c:pt idx="105">
                  <c:v>41038053.221446835</c:v>
                </c:pt>
                <c:pt idx="106">
                  <c:v>41154575.221446835</c:v>
                </c:pt>
                <c:pt idx="107">
                  <c:v>46188029.221446835</c:v>
                </c:pt>
                <c:pt idx="108">
                  <c:v>47946223.226718538</c:v>
                </c:pt>
                <c:pt idx="109">
                  <c:v>42834954.226718538</c:v>
                </c:pt>
                <c:pt idx="110">
                  <c:v>43153575.226718538</c:v>
                </c:pt>
                <c:pt idx="111">
                  <c:v>38136662.226718538</c:v>
                </c:pt>
                <c:pt idx="112">
                  <c:v>38687980.226718538</c:v>
                </c:pt>
                <c:pt idx="113">
                  <c:v>45809796.226718538</c:v>
                </c:pt>
                <c:pt idx="114">
                  <c:v>63707328.226718538</c:v>
                </c:pt>
                <c:pt idx="115">
                  <c:v>58791766.226718538</c:v>
                </c:pt>
                <c:pt idx="116">
                  <c:v>44846342.226718538</c:v>
                </c:pt>
                <c:pt idx="117">
                  <c:v>39953556.226718538</c:v>
                </c:pt>
                <c:pt idx="118">
                  <c:v>40979024.226718538</c:v>
                </c:pt>
                <c:pt idx="119">
                  <c:v>46060405.226718538</c:v>
                </c:pt>
                <c:pt idx="120">
                  <c:v>45679000.963918254</c:v>
                </c:pt>
                <c:pt idx="121">
                  <c:v>41650816.963918254</c:v>
                </c:pt>
                <c:pt idx="122">
                  <c:v>42916551.963918254</c:v>
                </c:pt>
                <c:pt idx="123">
                  <c:v>41294428.963918254</c:v>
                </c:pt>
                <c:pt idx="124">
                  <c:v>46424125.963918254</c:v>
                </c:pt>
                <c:pt idx="125">
                  <c:v>59123962.963918254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B-4F63-862E-FBBE75A10F47}"/>
            </c:ext>
          </c:extLst>
        </c:ser>
        <c:ser>
          <c:idx val="1"/>
          <c:order val="1"/>
          <c:tx>
            <c:strRef>
              <c:f>'Res Normalized Monthly Avg Tr'!$S$1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Avg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 Avg Tr'!$S$2:$S$145</c:f>
              <c:numCache>
                <c:formatCode>_(* #,##0.00_);_(* \(#,##0.00\);_(* "-"??_);_(@_)</c:formatCode>
                <c:ptCount val="144"/>
                <c:pt idx="0">
                  <c:v>46748810.713056654</c:v>
                </c:pt>
                <c:pt idx="1">
                  <c:v>41438440.952400148</c:v>
                </c:pt>
                <c:pt idx="2">
                  <c:v>42560095.531457491</c:v>
                </c:pt>
                <c:pt idx="3">
                  <c:v>38984949.93378143</c:v>
                </c:pt>
                <c:pt idx="4">
                  <c:v>42006807.267685898</c:v>
                </c:pt>
                <c:pt idx="5">
                  <c:v>48733522.516621426</c:v>
                </c:pt>
                <c:pt idx="6">
                  <c:v>59145388.455368958</c:v>
                </c:pt>
                <c:pt idx="7">
                  <c:v>57163029.981531493</c:v>
                </c:pt>
                <c:pt idx="8">
                  <c:v>45942182.046041079</c:v>
                </c:pt>
                <c:pt idx="9">
                  <c:v>40821178.212597616</c:v>
                </c:pt>
                <c:pt idx="10">
                  <c:v>39774555.397193082</c:v>
                </c:pt>
                <c:pt idx="11">
                  <c:v>45398370.997505717</c:v>
                </c:pt>
                <c:pt idx="12">
                  <c:v>47341219.56056831</c:v>
                </c:pt>
                <c:pt idx="13">
                  <c:v>42019919.812895752</c:v>
                </c:pt>
                <c:pt idx="14">
                  <c:v>43177827.282601491</c:v>
                </c:pt>
                <c:pt idx="15">
                  <c:v>39544801.99617248</c:v>
                </c:pt>
                <c:pt idx="16">
                  <c:v>42499489.923399173</c:v>
                </c:pt>
                <c:pt idx="17">
                  <c:v>49257484.065287948</c:v>
                </c:pt>
                <c:pt idx="18">
                  <c:v>59504164.696574077</c:v>
                </c:pt>
                <c:pt idx="19">
                  <c:v>57512382.649034843</c:v>
                </c:pt>
                <c:pt idx="20">
                  <c:v>46297650.61046885</c:v>
                </c:pt>
                <c:pt idx="21">
                  <c:v>41091804.084673509</c:v>
                </c:pt>
                <c:pt idx="22">
                  <c:v>39988863.435329117</c:v>
                </c:pt>
                <c:pt idx="23">
                  <c:v>45488008.802664667</c:v>
                </c:pt>
                <c:pt idx="24">
                  <c:v>47341722.608818732</c:v>
                </c:pt>
                <c:pt idx="25">
                  <c:v>43409302.626195684</c:v>
                </c:pt>
                <c:pt idx="26">
                  <c:v>43013649.382188693</c:v>
                </c:pt>
                <c:pt idx="27">
                  <c:v>39435928.531392485</c:v>
                </c:pt>
                <c:pt idx="28">
                  <c:v>42357790.554406762</c:v>
                </c:pt>
                <c:pt idx="29">
                  <c:v>49076368.56209977</c:v>
                </c:pt>
                <c:pt idx="30">
                  <c:v>59419311.049051158</c:v>
                </c:pt>
                <c:pt idx="31">
                  <c:v>57366247.335109241</c:v>
                </c:pt>
                <c:pt idx="32">
                  <c:v>46042247.807069249</c:v>
                </c:pt>
                <c:pt idx="33">
                  <c:v>40704883.898958735</c:v>
                </c:pt>
                <c:pt idx="34">
                  <c:v>39730418.869965799</c:v>
                </c:pt>
                <c:pt idx="35">
                  <c:v>45460479.278291136</c:v>
                </c:pt>
                <c:pt idx="36">
                  <c:v>47299989.893638849</c:v>
                </c:pt>
                <c:pt idx="37">
                  <c:v>41985116.923377968</c:v>
                </c:pt>
                <c:pt idx="38">
                  <c:v>43046990.687560685</c:v>
                </c:pt>
                <c:pt idx="39">
                  <c:v>39362915.851333328</c:v>
                </c:pt>
                <c:pt idx="40">
                  <c:v>42347135.657643564</c:v>
                </c:pt>
                <c:pt idx="41">
                  <c:v>49131889.393070243</c:v>
                </c:pt>
                <c:pt idx="42">
                  <c:v>59552255.768412024</c:v>
                </c:pt>
                <c:pt idx="43">
                  <c:v>57499383.640354581</c:v>
                </c:pt>
                <c:pt idx="44">
                  <c:v>46242904.799934752</c:v>
                </c:pt>
                <c:pt idx="45">
                  <c:v>41068484.986326635</c:v>
                </c:pt>
                <c:pt idx="46">
                  <c:v>39999752.260959238</c:v>
                </c:pt>
                <c:pt idx="47">
                  <c:v>45616369.047828928</c:v>
                </c:pt>
                <c:pt idx="48">
                  <c:v>47370572.04326532</c:v>
                </c:pt>
                <c:pt idx="49">
                  <c:v>41931771.405153848</c:v>
                </c:pt>
                <c:pt idx="50">
                  <c:v>42975569.369345956</c:v>
                </c:pt>
                <c:pt idx="51">
                  <c:v>39319348.720691554</c:v>
                </c:pt>
                <c:pt idx="52">
                  <c:v>42209744.921425104</c:v>
                </c:pt>
                <c:pt idx="53">
                  <c:v>48994041.32406687</c:v>
                </c:pt>
                <c:pt idx="54">
                  <c:v>59474068.125565939</c:v>
                </c:pt>
                <c:pt idx="55">
                  <c:v>57392281.527682655</c:v>
                </c:pt>
                <c:pt idx="56">
                  <c:v>46018079.240564972</c:v>
                </c:pt>
                <c:pt idx="57">
                  <c:v>40829199.561745472</c:v>
                </c:pt>
                <c:pt idx="58">
                  <c:v>39802609.000640497</c:v>
                </c:pt>
                <c:pt idx="59">
                  <c:v>45308416.369490266</c:v>
                </c:pt>
                <c:pt idx="60">
                  <c:v>46941430.469432525</c:v>
                </c:pt>
                <c:pt idx="61">
                  <c:v>41529311.412802525</c:v>
                </c:pt>
                <c:pt idx="62">
                  <c:v>42520140.986279584</c:v>
                </c:pt>
                <c:pt idx="63">
                  <c:v>38813346.519983284</c:v>
                </c:pt>
                <c:pt idx="64">
                  <c:v>41760172.651515067</c:v>
                </c:pt>
                <c:pt idx="65">
                  <c:v>48691625.957801715</c:v>
                </c:pt>
                <c:pt idx="66">
                  <c:v>59260351.102193564</c:v>
                </c:pt>
                <c:pt idx="67">
                  <c:v>57208312.597965896</c:v>
                </c:pt>
                <c:pt idx="68">
                  <c:v>45662822.638365418</c:v>
                </c:pt>
                <c:pt idx="69">
                  <c:v>40297702.382421538</c:v>
                </c:pt>
                <c:pt idx="70">
                  <c:v>39173093.893942259</c:v>
                </c:pt>
                <c:pt idx="71">
                  <c:v>44805237.122375339</c:v>
                </c:pt>
                <c:pt idx="72">
                  <c:v>46731283.672590666</c:v>
                </c:pt>
                <c:pt idx="73">
                  <c:v>42898816.495196052</c:v>
                </c:pt>
                <c:pt idx="74">
                  <c:v>42379923.367905885</c:v>
                </c:pt>
                <c:pt idx="75">
                  <c:v>38650066.078928769</c:v>
                </c:pt>
                <c:pt idx="76">
                  <c:v>41608405.414840214</c:v>
                </c:pt>
                <c:pt idx="77">
                  <c:v>48503810.543972045</c:v>
                </c:pt>
                <c:pt idx="78">
                  <c:v>58895376.363502339</c:v>
                </c:pt>
                <c:pt idx="79">
                  <c:v>56690515.252772756</c:v>
                </c:pt>
                <c:pt idx="80">
                  <c:v>45172577.785839744</c:v>
                </c:pt>
                <c:pt idx="81">
                  <c:v>39901052.965120912</c:v>
                </c:pt>
                <c:pt idx="82">
                  <c:v>38942378.569437504</c:v>
                </c:pt>
                <c:pt idx="83">
                  <c:v>44541342.095094882</c:v>
                </c:pt>
                <c:pt idx="84">
                  <c:v>46448569.310039461</c:v>
                </c:pt>
                <c:pt idx="85">
                  <c:v>41237755.410968259</c:v>
                </c:pt>
                <c:pt idx="86">
                  <c:v>42233154.485148683</c:v>
                </c:pt>
                <c:pt idx="87">
                  <c:v>38478735.583175674</c:v>
                </c:pt>
                <c:pt idx="88">
                  <c:v>41432775.515472189</c:v>
                </c:pt>
                <c:pt idx="89">
                  <c:v>48332113.26257664</c:v>
                </c:pt>
                <c:pt idx="90">
                  <c:v>58899135.199361414</c:v>
                </c:pt>
                <c:pt idx="91">
                  <c:v>56898254.205738649</c:v>
                </c:pt>
                <c:pt idx="92">
                  <c:v>45577648.679975316</c:v>
                </c:pt>
                <c:pt idx="93">
                  <c:v>40321863.746580943</c:v>
                </c:pt>
                <c:pt idx="94">
                  <c:v>39400219.17466189</c:v>
                </c:pt>
                <c:pt idx="95">
                  <c:v>45075438.793126173</c:v>
                </c:pt>
                <c:pt idx="96">
                  <c:v>46973304.343994915</c:v>
                </c:pt>
                <c:pt idx="97">
                  <c:v>41480247.800879806</c:v>
                </c:pt>
                <c:pt idx="98">
                  <c:v>42318921.553218223</c:v>
                </c:pt>
                <c:pt idx="99">
                  <c:v>38643186.389837362</c:v>
                </c:pt>
                <c:pt idx="100">
                  <c:v>41623517.46161636</c:v>
                </c:pt>
                <c:pt idx="101">
                  <c:v>48729450.481877498</c:v>
                </c:pt>
                <c:pt idx="102">
                  <c:v>59558405.70428811</c:v>
                </c:pt>
                <c:pt idx="103">
                  <c:v>57425744.614645131</c:v>
                </c:pt>
                <c:pt idx="104">
                  <c:v>45827977.771484748</c:v>
                </c:pt>
                <c:pt idx="105">
                  <c:v>40262366.668179922</c:v>
                </c:pt>
                <c:pt idx="106">
                  <c:v>39367524.238220274</c:v>
                </c:pt>
                <c:pt idx="107">
                  <c:v>45229954.626080029</c:v>
                </c:pt>
                <c:pt idx="108">
                  <c:v>47249820.056687206</c:v>
                </c:pt>
                <c:pt idx="109">
                  <c:v>42017483.45464883</c:v>
                </c:pt>
                <c:pt idx="110">
                  <c:v>43105626.175601773</c:v>
                </c:pt>
                <c:pt idx="111">
                  <c:v>39599989.682577364</c:v>
                </c:pt>
                <c:pt idx="112">
                  <c:v>42665374.219001457</c:v>
                </c:pt>
                <c:pt idx="113">
                  <c:v>49765145.467665531</c:v>
                </c:pt>
                <c:pt idx="114">
                  <c:v>60433832.256676942</c:v>
                </c:pt>
                <c:pt idx="115">
                  <c:v>58363997.995125569</c:v>
                </c:pt>
                <c:pt idx="116">
                  <c:v>46821739.456026509</c:v>
                </c:pt>
                <c:pt idx="117">
                  <c:v>41566806.656315245</c:v>
                </c:pt>
                <c:pt idx="118">
                  <c:v>40550055.31002526</c:v>
                </c:pt>
                <c:pt idx="119">
                  <c:v>46261040.738730676</c:v>
                </c:pt>
                <c:pt idx="120">
                  <c:v>47546354.962775379</c:v>
                </c:pt>
                <c:pt idx="121">
                  <c:v>43823959.039578564</c:v>
                </c:pt>
                <c:pt idx="122">
                  <c:v>43717333.44820521</c:v>
                </c:pt>
                <c:pt idx="123">
                  <c:v>39744458.307285748</c:v>
                </c:pt>
                <c:pt idx="124">
                  <c:v>43052273.741102204</c:v>
                </c:pt>
                <c:pt idx="125">
                  <c:v>49719153.923235409</c:v>
                </c:pt>
                <c:pt idx="126">
                  <c:v>67707503.288260847</c:v>
                </c:pt>
                <c:pt idx="127">
                  <c:v>64331238.751570791</c:v>
                </c:pt>
                <c:pt idx="128">
                  <c:v>51956124.281557761</c:v>
                </c:pt>
                <c:pt idx="129">
                  <c:v>44871808.396697551</c:v>
                </c:pt>
                <c:pt idx="130">
                  <c:v>41963903.455560341</c:v>
                </c:pt>
                <c:pt idx="131">
                  <c:v>47104421.34245763</c:v>
                </c:pt>
                <c:pt idx="132">
                  <c:v>47521187.935523704</c:v>
                </c:pt>
                <c:pt idx="133">
                  <c:v>42305738.59116488</c:v>
                </c:pt>
                <c:pt idx="134">
                  <c:v>43714004.361262336</c:v>
                </c:pt>
                <c:pt idx="135">
                  <c:v>39720481.75019706</c:v>
                </c:pt>
                <c:pt idx="136">
                  <c:v>43129152.876763731</c:v>
                </c:pt>
                <c:pt idx="137">
                  <c:v>49720735.436322138</c:v>
                </c:pt>
                <c:pt idx="138">
                  <c:v>61527704.633321874</c:v>
                </c:pt>
                <c:pt idx="139">
                  <c:v>58586420.772057615</c:v>
                </c:pt>
                <c:pt idx="140">
                  <c:v>47856127.906251073</c:v>
                </c:pt>
                <c:pt idx="141">
                  <c:v>42082397.925812125</c:v>
                </c:pt>
                <c:pt idx="142">
                  <c:v>41154274.479004271</c:v>
                </c:pt>
                <c:pt idx="143">
                  <c:v>46375938.430048607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B-4F63-862E-FBBE75A1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234496"/>
        <c:axId val="178236032"/>
      </c:lineChart>
      <c:dateAx>
        <c:axId val="17823449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36032"/>
        <c:crosses val="autoZero"/>
        <c:auto val="1"/>
        <c:lblOffset val="100"/>
        <c:baseTimeUnit val="months"/>
      </c:dateAx>
      <c:valAx>
        <c:axId val="17823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3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Normalized Monthly Av Tr'!$D$1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Av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 Av Tr'!$D$2:$D$133</c:f>
              <c:numCache>
                <c:formatCode>_(* #,##0.00_);_(* \(#,##0.00\);_(* "-"??_);_(@_)</c:formatCode>
                <c:ptCount val="132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16182556.699089883</c:v>
                </c:pt>
                <c:pt idx="61">
                  <c:v>15130034.699089883</c:v>
                </c:pt>
                <c:pt idx="62">
                  <c:v>15540011.699089883</c:v>
                </c:pt>
                <c:pt idx="63">
                  <c:v>13711956.699089883</c:v>
                </c:pt>
                <c:pt idx="64">
                  <c:v>13844626.699089883</c:v>
                </c:pt>
                <c:pt idx="65">
                  <c:v>14160686.699089883</c:v>
                </c:pt>
                <c:pt idx="66">
                  <c:v>15621116.699089883</c:v>
                </c:pt>
                <c:pt idx="67">
                  <c:v>15851803.699089883</c:v>
                </c:pt>
                <c:pt idx="68">
                  <c:v>14469369.699089883</c:v>
                </c:pt>
                <c:pt idx="69">
                  <c:v>13421736.699089883</c:v>
                </c:pt>
                <c:pt idx="70">
                  <c:v>13464398.699089883</c:v>
                </c:pt>
                <c:pt idx="71">
                  <c:v>14365730.699089883</c:v>
                </c:pt>
                <c:pt idx="72">
                  <c:v>15517081.303964725</c:v>
                </c:pt>
                <c:pt idx="73">
                  <c:v>14725350.303964725</c:v>
                </c:pt>
                <c:pt idx="74">
                  <c:v>14848383.303964725</c:v>
                </c:pt>
                <c:pt idx="75">
                  <c:v>13743778.303964725</c:v>
                </c:pt>
                <c:pt idx="76">
                  <c:v>14047734.303964725</c:v>
                </c:pt>
                <c:pt idx="77">
                  <c:v>14848177.303964725</c:v>
                </c:pt>
                <c:pt idx="78">
                  <c:v>16626440.303964725</c:v>
                </c:pt>
                <c:pt idx="79">
                  <c:v>16998535.303964727</c:v>
                </c:pt>
                <c:pt idx="80">
                  <c:v>14679750.303964725</c:v>
                </c:pt>
                <c:pt idx="81">
                  <c:v>13570857.303964725</c:v>
                </c:pt>
                <c:pt idx="82">
                  <c:v>13638777.303964725</c:v>
                </c:pt>
                <c:pt idx="83">
                  <c:v>15093983.303964725</c:v>
                </c:pt>
                <c:pt idx="84">
                  <c:v>15848622.716300488</c:v>
                </c:pt>
                <c:pt idx="85">
                  <c:v>14155244.716300488</c:v>
                </c:pt>
                <c:pt idx="86">
                  <c:v>15108599.716300488</c:v>
                </c:pt>
                <c:pt idx="87">
                  <c:v>13649236.716300488</c:v>
                </c:pt>
                <c:pt idx="88">
                  <c:v>13851346.716300488</c:v>
                </c:pt>
                <c:pt idx="89">
                  <c:v>14440865.716300488</c:v>
                </c:pt>
                <c:pt idx="90">
                  <c:v>15754493.716300488</c:v>
                </c:pt>
                <c:pt idx="91">
                  <c:v>15368668.716300488</c:v>
                </c:pt>
                <c:pt idx="92">
                  <c:v>14399680.716300488</c:v>
                </c:pt>
                <c:pt idx="93">
                  <c:v>14109770.716300488</c:v>
                </c:pt>
                <c:pt idx="94">
                  <c:v>14159054.716300488</c:v>
                </c:pt>
                <c:pt idx="95">
                  <c:v>15720500.716300488</c:v>
                </c:pt>
                <c:pt idx="96">
                  <c:v>16654358.367339365</c:v>
                </c:pt>
                <c:pt idx="97">
                  <c:v>14649762.367339365</c:v>
                </c:pt>
                <c:pt idx="98">
                  <c:v>15509147.367339365</c:v>
                </c:pt>
                <c:pt idx="99">
                  <c:v>14451924.367339365</c:v>
                </c:pt>
                <c:pt idx="100">
                  <c:v>14807257.367339365</c:v>
                </c:pt>
                <c:pt idx="101">
                  <c:v>15605806.367339365</c:v>
                </c:pt>
                <c:pt idx="102">
                  <c:v>17337110.367339365</c:v>
                </c:pt>
                <c:pt idx="103">
                  <c:v>17142851.367339365</c:v>
                </c:pt>
                <c:pt idx="104">
                  <c:v>15306561.367339365</c:v>
                </c:pt>
                <c:pt idx="105">
                  <c:v>14377808.367339365</c:v>
                </c:pt>
                <c:pt idx="106">
                  <c:v>14845972.367339365</c:v>
                </c:pt>
                <c:pt idx="107">
                  <c:v>15695898.367339365</c:v>
                </c:pt>
                <c:pt idx="108">
                  <c:v>16830375.066078711</c:v>
                </c:pt>
                <c:pt idx="109">
                  <c:v>15569003.066078711</c:v>
                </c:pt>
                <c:pt idx="110">
                  <c:v>16318845.066078711</c:v>
                </c:pt>
                <c:pt idx="111">
                  <c:v>14529418.066078711</c:v>
                </c:pt>
                <c:pt idx="112">
                  <c:v>14271330.066078711</c:v>
                </c:pt>
                <c:pt idx="113">
                  <c:v>14804296.066078711</c:v>
                </c:pt>
                <c:pt idx="114">
                  <c:v>17319087.066078711</c:v>
                </c:pt>
                <c:pt idx="115">
                  <c:v>16585053.066078711</c:v>
                </c:pt>
                <c:pt idx="116">
                  <c:v>14725435.066078711</c:v>
                </c:pt>
                <c:pt idx="117">
                  <c:v>14042656.066078711</c:v>
                </c:pt>
                <c:pt idx="118">
                  <c:v>14515114.066078711</c:v>
                </c:pt>
                <c:pt idx="119">
                  <c:v>15355560.066078711</c:v>
                </c:pt>
                <c:pt idx="120">
                  <c:v>15872905.454444034</c:v>
                </c:pt>
                <c:pt idx="121">
                  <c:v>14960550.454444034</c:v>
                </c:pt>
                <c:pt idx="122">
                  <c:v>14210374.454444034</c:v>
                </c:pt>
                <c:pt idx="123">
                  <c:v>11710017.454444034</c:v>
                </c:pt>
                <c:pt idx="124">
                  <c:v>11990515.454444034</c:v>
                </c:pt>
                <c:pt idx="125">
                  <c:v>13734565.454444034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C-4034-9DB4-3E7130FCA08B}"/>
            </c:ext>
          </c:extLst>
        </c:ser>
        <c:ser>
          <c:idx val="1"/>
          <c:order val="1"/>
          <c:tx>
            <c:strRef>
              <c:f>'GS&lt;50 Normalized Monthly Av Tr'!$S$1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Av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 Av Tr'!$S$2:$S$145</c:f>
              <c:numCache>
                <c:formatCode>_(* #,##0.0_);_(* \(#,##0.0\);_(* "-"??_);_(@_)</c:formatCode>
                <c:ptCount val="144"/>
                <c:pt idx="0">
                  <c:v>15656767.601458771</c:v>
                </c:pt>
                <c:pt idx="1">
                  <c:v>13905565.299810283</c:v>
                </c:pt>
                <c:pt idx="2">
                  <c:v>14695283.760454286</c:v>
                </c:pt>
                <c:pt idx="3">
                  <c:v>13341601.53465021</c:v>
                </c:pt>
                <c:pt idx="4">
                  <c:v>13551596.018146049</c:v>
                </c:pt>
                <c:pt idx="5">
                  <c:v>14032248.783727607</c:v>
                </c:pt>
                <c:pt idx="6">
                  <c:v>15897003.219221324</c:v>
                </c:pt>
                <c:pt idx="7">
                  <c:v>15569308.094654454</c:v>
                </c:pt>
                <c:pt idx="8">
                  <c:v>13664384.362977533</c:v>
                </c:pt>
                <c:pt idx="9">
                  <c:v>13465867.845146829</c:v>
                </c:pt>
                <c:pt idx="10">
                  <c:v>13695859.981333945</c:v>
                </c:pt>
                <c:pt idx="11">
                  <c:v>15221497.934971724</c:v>
                </c:pt>
                <c:pt idx="12">
                  <c:v>15876098.136491068</c:v>
                </c:pt>
                <c:pt idx="13">
                  <c:v>14204209.568557248</c:v>
                </c:pt>
                <c:pt idx="14">
                  <c:v>14970746.061250696</c:v>
                </c:pt>
                <c:pt idx="15">
                  <c:v>13661721.548964011</c:v>
                </c:pt>
                <c:pt idx="16">
                  <c:v>13832325.931850111</c:v>
                </c:pt>
                <c:pt idx="17">
                  <c:v>14300227.366407461</c:v>
                </c:pt>
                <c:pt idx="18">
                  <c:v>16177296.527574699</c:v>
                </c:pt>
                <c:pt idx="19">
                  <c:v>15773031.65896995</c:v>
                </c:pt>
                <c:pt idx="20">
                  <c:v>13832835.731339237</c:v>
                </c:pt>
                <c:pt idx="21">
                  <c:v>13647092.814176416</c:v>
                </c:pt>
                <c:pt idx="22">
                  <c:v>13817220.471118826</c:v>
                </c:pt>
                <c:pt idx="23">
                  <c:v>15269529.188780528</c:v>
                </c:pt>
                <c:pt idx="24">
                  <c:v>15860662.164346231</c:v>
                </c:pt>
                <c:pt idx="25">
                  <c:v>14562111.196786001</c:v>
                </c:pt>
                <c:pt idx="26">
                  <c:v>14824008.258280223</c:v>
                </c:pt>
                <c:pt idx="27">
                  <c:v>13552106.7945663</c:v>
                </c:pt>
                <c:pt idx="28">
                  <c:v>13746435.266664244</c:v>
                </c:pt>
                <c:pt idx="29">
                  <c:v>14236681.831547892</c:v>
                </c:pt>
                <c:pt idx="30">
                  <c:v>16159730.148939656</c:v>
                </c:pt>
                <c:pt idx="31">
                  <c:v>15860991.219426079</c:v>
                </c:pt>
                <c:pt idx="32">
                  <c:v>13949500.438905654</c:v>
                </c:pt>
                <c:pt idx="33">
                  <c:v>13773528.085539078</c:v>
                </c:pt>
                <c:pt idx="34">
                  <c:v>13964565.797468226</c:v>
                </c:pt>
                <c:pt idx="35">
                  <c:v>15477653.232774209</c:v>
                </c:pt>
                <c:pt idx="36">
                  <c:v>16123327.434921261</c:v>
                </c:pt>
                <c:pt idx="37">
                  <c:v>14282842.393435294</c:v>
                </c:pt>
                <c:pt idx="38">
                  <c:v>15081852.403757185</c:v>
                </c:pt>
                <c:pt idx="39">
                  <c:v>13694017.728690812</c:v>
                </c:pt>
                <c:pt idx="40">
                  <c:v>13934209.567115262</c:v>
                </c:pt>
                <c:pt idx="41">
                  <c:v>14426766.843169581</c:v>
                </c:pt>
                <c:pt idx="42">
                  <c:v>16322025.31045166</c:v>
                </c:pt>
                <c:pt idx="43">
                  <c:v>15964097.881537938</c:v>
                </c:pt>
                <c:pt idx="44">
                  <c:v>14039390.696418092</c:v>
                </c:pt>
                <c:pt idx="45">
                  <c:v>13822757.316392926</c:v>
                </c:pt>
                <c:pt idx="46">
                  <c:v>14000114.43039011</c:v>
                </c:pt>
                <c:pt idx="47">
                  <c:v>15475372.845193723</c:v>
                </c:pt>
                <c:pt idx="48">
                  <c:v>16065326.985695018</c:v>
                </c:pt>
                <c:pt idx="49">
                  <c:v>14246415.314102124</c:v>
                </c:pt>
                <c:pt idx="50">
                  <c:v>15044679.632669894</c:v>
                </c:pt>
                <c:pt idx="51">
                  <c:v>13780125.300136719</c:v>
                </c:pt>
                <c:pt idx="52">
                  <c:v>13934298.576922437</c:v>
                </c:pt>
                <c:pt idx="53">
                  <c:v>14381475.556935931</c:v>
                </c:pt>
                <c:pt idx="54">
                  <c:v>16242444.672478791</c:v>
                </c:pt>
                <c:pt idx="55">
                  <c:v>15862493.857346794</c:v>
                </c:pt>
                <c:pt idx="56">
                  <c:v>13911549.871002661</c:v>
                </c:pt>
                <c:pt idx="57">
                  <c:v>13718582.509157469</c:v>
                </c:pt>
                <c:pt idx="58">
                  <c:v>13881068.691072552</c:v>
                </c:pt>
                <c:pt idx="59">
                  <c:v>15391025.047151938</c:v>
                </c:pt>
                <c:pt idx="60">
                  <c:v>15993408.85125293</c:v>
                </c:pt>
                <c:pt idx="61">
                  <c:v>14188355.583073681</c:v>
                </c:pt>
                <c:pt idx="62">
                  <c:v>15006224.397939224</c:v>
                </c:pt>
                <c:pt idx="63">
                  <c:v>13725846.427532097</c:v>
                </c:pt>
                <c:pt idx="64">
                  <c:v>13986885.932190537</c:v>
                </c:pt>
                <c:pt idx="65">
                  <c:v>14476701.107016403</c:v>
                </c:pt>
                <c:pt idx="66">
                  <c:v>16434010.439087149</c:v>
                </c:pt>
                <c:pt idx="67">
                  <c:v>16104744.353554437</c:v>
                </c:pt>
                <c:pt idx="68">
                  <c:v>14114384.706474721</c:v>
                </c:pt>
                <c:pt idx="69">
                  <c:v>13898749.829055442</c:v>
                </c:pt>
                <c:pt idx="70">
                  <c:v>13997880.949165102</c:v>
                </c:pt>
                <c:pt idx="71">
                  <c:v>15515781.942949686</c:v>
                </c:pt>
                <c:pt idx="72">
                  <c:v>16164791.896802675</c:v>
                </c:pt>
                <c:pt idx="73">
                  <c:v>14874399.347294072</c:v>
                </c:pt>
                <c:pt idx="74">
                  <c:v>15120636.548562601</c:v>
                </c:pt>
                <c:pt idx="75">
                  <c:v>13796737.453891804</c:v>
                </c:pt>
                <c:pt idx="76">
                  <c:v>14071638.888741516</c:v>
                </c:pt>
                <c:pt idx="77">
                  <c:v>14492325.065094348</c:v>
                </c:pt>
                <c:pt idx="78">
                  <c:v>16385925.267568596</c:v>
                </c:pt>
                <c:pt idx="79">
                  <c:v>15986474.782444168</c:v>
                </c:pt>
                <c:pt idx="80">
                  <c:v>14021654.465913078</c:v>
                </c:pt>
                <c:pt idx="81">
                  <c:v>13791071.493031843</c:v>
                </c:pt>
                <c:pt idx="82">
                  <c:v>13976772.602169983</c:v>
                </c:pt>
                <c:pt idx="83">
                  <c:v>15466858.637528295</c:v>
                </c:pt>
                <c:pt idx="84">
                  <c:v>16121709.482827485</c:v>
                </c:pt>
                <c:pt idx="85">
                  <c:v>14407828.600023914</c:v>
                </c:pt>
                <c:pt idx="86">
                  <c:v>15219437.032669438</c:v>
                </c:pt>
                <c:pt idx="87">
                  <c:v>13913322.516710211</c:v>
                </c:pt>
                <c:pt idx="88">
                  <c:v>14108454.354240334</c:v>
                </c:pt>
                <c:pt idx="89">
                  <c:v>14591784.11909279</c:v>
                </c:pt>
                <c:pt idx="90">
                  <c:v>16513553.378217081</c:v>
                </c:pt>
                <c:pt idx="91">
                  <c:v>16163508.030993447</c:v>
                </c:pt>
                <c:pt idx="92">
                  <c:v>14205670.211134592</c:v>
                </c:pt>
                <c:pt idx="93">
                  <c:v>14021442.245138478</c:v>
                </c:pt>
                <c:pt idx="94">
                  <c:v>14197676.664570641</c:v>
                </c:pt>
                <c:pt idx="95">
                  <c:v>15760357.812365711</c:v>
                </c:pt>
                <c:pt idx="96">
                  <c:v>16421898.398948688</c:v>
                </c:pt>
                <c:pt idx="97">
                  <c:v>14544510.87810453</c:v>
                </c:pt>
                <c:pt idx="98">
                  <c:v>15347682.382239407</c:v>
                </c:pt>
                <c:pt idx="99">
                  <c:v>13978396.536367571</c:v>
                </c:pt>
                <c:pt idx="100">
                  <c:v>14139518.83498626</c:v>
                </c:pt>
                <c:pt idx="101">
                  <c:v>14822790.245962864</c:v>
                </c:pt>
                <c:pt idx="102">
                  <c:v>16834532.541380335</c:v>
                </c:pt>
                <c:pt idx="103">
                  <c:v>16500277.222630519</c:v>
                </c:pt>
                <c:pt idx="104">
                  <c:v>14427249.283782389</c:v>
                </c:pt>
                <c:pt idx="105">
                  <c:v>14192882.576483211</c:v>
                </c:pt>
                <c:pt idx="106">
                  <c:v>14450224.894144645</c:v>
                </c:pt>
                <c:pt idx="107">
                  <c:v>16035526.239196349</c:v>
                </c:pt>
                <c:pt idx="108">
                  <c:v>16716857.868050819</c:v>
                </c:pt>
                <c:pt idx="109">
                  <c:v>14855767.29131593</c:v>
                </c:pt>
                <c:pt idx="110">
                  <c:v>15671902.128523875</c:v>
                </c:pt>
                <c:pt idx="111">
                  <c:v>14326395.547457537</c:v>
                </c:pt>
                <c:pt idx="112">
                  <c:v>14527457.976176813</c:v>
                </c:pt>
                <c:pt idx="113">
                  <c:v>15047313.954013119</c:v>
                </c:pt>
                <c:pt idx="114">
                  <c:v>17079455.546686839</c:v>
                </c:pt>
                <c:pt idx="115">
                  <c:v>16696789.087094089</c:v>
                </c:pt>
                <c:pt idx="116">
                  <c:v>14684030.641970735</c:v>
                </c:pt>
                <c:pt idx="117">
                  <c:v>14450770.033618357</c:v>
                </c:pt>
                <c:pt idx="118">
                  <c:v>14500762.579381321</c:v>
                </c:pt>
                <c:pt idx="119">
                  <c:v>16061587.818584828</c:v>
                </c:pt>
                <c:pt idx="120">
                  <c:v>16069815.71468306</c:v>
                </c:pt>
                <c:pt idx="121">
                  <c:v>14763126.524396729</c:v>
                </c:pt>
                <c:pt idx="122">
                  <c:v>15147745.275891587</c:v>
                </c:pt>
                <c:pt idx="123">
                  <c:v>12089998.462476276</c:v>
                </c:pt>
                <c:pt idx="124">
                  <c:v>12224851.42257729</c:v>
                </c:pt>
                <c:pt idx="125">
                  <c:v>12760305.019848546</c:v>
                </c:pt>
                <c:pt idx="126">
                  <c:v>15120061.453195795</c:v>
                </c:pt>
                <c:pt idx="127">
                  <c:v>14635108.190216625</c:v>
                </c:pt>
                <c:pt idx="128">
                  <c:v>12786302.561862402</c:v>
                </c:pt>
                <c:pt idx="129">
                  <c:v>12627888.707016172</c:v>
                </c:pt>
                <c:pt idx="130">
                  <c:v>12963570.669535132</c:v>
                </c:pt>
                <c:pt idx="131">
                  <c:v>14349139.908779258</c:v>
                </c:pt>
                <c:pt idx="132">
                  <c:v>16473820.136796888</c:v>
                </c:pt>
                <c:pt idx="133">
                  <c:v>14636576.474509032</c:v>
                </c:pt>
                <c:pt idx="134">
                  <c:v>15559258.506402489</c:v>
                </c:pt>
                <c:pt idx="135">
                  <c:v>14146578.545838337</c:v>
                </c:pt>
                <c:pt idx="136">
                  <c:v>14372406.61539432</c:v>
                </c:pt>
                <c:pt idx="137">
                  <c:v>14828695.761709809</c:v>
                </c:pt>
                <c:pt idx="138">
                  <c:v>17056764.637159754</c:v>
                </c:pt>
                <c:pt idx="139">
                  <c:v>16529673.465123806</c:v>
                </c:pt>
                <c:pt idx="140">
                  <c:v>14634414.475228669</c:v>
                </c:pt>
                <c:pt idx="141">
                  <c:v>14299994.197534328</c:v>
                </c:pt>
                <c:pt idx="142">
                  <c:v>14592345.865291819</c:v>
                </c:pt>
                <c:pt idx="143">
                  <c:v>15981713.87655114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C-4034-9DB4-3E7130FCA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127040"/>
        <c:axId val="179128576"/>
      </c:lineChart>
      <c:dateAx>
        <c:axId val="1791270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28576"/>
        <c:crosses val="autoZero"/>
        <c:auto val="1"/>
        <c:lblOffset val="100"/>
        <c:baseTimeUnit val="months"/>
      </c:dateAx>
      <c:valAx>
        <c:axId val="17912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2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Normalized Monthly Av Tr'!$D$1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Av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 Av Tr'!$D$2:$D$133</c:f>
              <c:numCache>
                <c:formatCode>_(* #,##0.00_);_(* \(#,##0.00\);_(* "-"??_);_(@_)</c:formatCode>
                <c:ptCount val="132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81657018.901304796</c:v>
                </c:pt>
                <c:pt idx="61">
                  <c:v>76315766.901304796</c:v>
                </c:pt>
                <c:pt idx="62">
                  <c:v>79384809.901304796</c:v>
                </c:pt>
                <c:pt idx="63">
                  <c:v>71921603.901304796</c:v>
                </c:pt>
                <c:pt idx="64">
                  <c:v>75614661.901304796</c:v>
                </c:pt>
                <c:pt idx="65">
                  <c:v>77512457.901304796</c:v>
                </c:pt>
                <c:pt idx="66">
                  <c:v>84109914.901304796</c:v>
                </c:pt>
                <c:pt idx="67">
                  <c:v>82970684.901304796</c:v>
                </c:pt>
                <c:pt idx="68">
                  <c:v>80471106.901304796</c:v>
                </c:pt>
                <c:pt idx="69">
                  <c:v>74766344.901304796</c:v>
                </c:pt>
                <c:pt idx="70">
                  <c:v>73580200.901304796</c:v>
                </c:pt>
                <c:pt idx="71">
                  <c:v>74354600.901304796</c:v>
                </c:pt>
                <c:pt idx="72">
                  <c:v>80877446.451951042</c:v>
                </c:pt>
                <c:pt idx="73">
                  <c:v>76696727.451951042</c:v>
                </c:pt>
                <c:pt idx="74">
                  <c:v>79053293.451951042</c:v>
                </c:pt>
                <c:pt idx="75">
                  <c:v>75326609.451951042</c:v>
                </c:pt>
                <c:pt idx="76">
                  <c:v>77298721.451951042</c:v>
                </c:pt>
                <c:pt idx="77">
                  <c:v>80715843.451951042</c:v>
                </c:pt>
                <c:pt idx="78">
                  <c:v>86828378.451951042</c:v>
                </c:pt>
                <c:pt idx="79">
                  <c:v>89984192.451951042</c:v>
                </c:pt>
                <c:pt idx="80">
                  <c:v>80657191.451951042</c:v>
                </c:pt>
                <c:pt idx="81">
                  <c:v>75966711.451951042</c:v>
                </c:pt>
                <c:pt idx="82">
                  <c:v>74431571.451951042</c:v>
                </c:pt>
                <c:pt idx="83">
                  <c:v>76796818.451951042</c:v>
                </c:pt>
                <c:pt idx="84">
                  <c:v>79778744.666458026</c:v>
                </c:pt>
                <c:pt idx="85">
                  <c:v>71619045.666458026</c:v>
                </c:pt>
                <c:pt idx="86">
                  <c:v>78853175.666458026</c:v>
                </c:pt>
                <c:pt idx="87">
                  <c:v>71496185.666458026</c:v>
                </c:pt>
                <c:pt idx="88">
                  <c:v>75455637.666458026</c:v>
                </c:pt>
                <c:pt idx="89">
                  <c:v>78632788.666458026</c:v>
                </c:pt>
                <c:pt idx="90">
                  <c:v>82422181.666458026</c:v>
                </c:pt>
                <c:pt idx="91">
                  <c:v>82320840.666458026</c:v>
                </c:pt>
                <c:pt idx="92">
                  <c:v>78267352.666458026</c:v>
                </c:pt>
                <c:pt idx="93">
                  <c:v>76411605.666458026</c:v>
                </c:pt>
                <c:pt idx="94">
                  <c:v>74842943.666458026</c:v>
                </c:pt>
                <c:pt idx="95">
                  <c:v>76074354.666458026</c:v>
                </c:pt>
                <c:pt idx="96">
                  <c:v>81501426.656842589</c:v>
                </c:pt>
                <c:pt idx="97">
                  <c:v>72389848.656842589</c:v>
                </c:pt>
                <c:pt idx="98">
                  <c:v>77808315.656842589</c:v>
                </c:pt>
                <c:pt idx="99">
                  <c:v>74246303.656842589</c:v>
                </c:pt>
                <c:pt idx="100">
                  <c:v>76803143.656842589</c:v>
                </c:pt>
                <c:pt idx="101">
                  <c:v>78416513.656842589</c:v>
                </c:pt>
                <c:pt idx="102">
                  <c:v>83770689.656842589</c:v>
                </c:pt>
                <c:pt idx="103">
                  <c:v>83927361.656842589</c:v>
                </c:pt>
                <c:pt idx="104">
                  <c:v>76396317.656842589</c:v>
                </c:pt>
                <c:pt idx="105">
                  <c:v>72584854.656842589</c:v>
                </c:pt>
                <c:pt idx="106">
                  <c:v>72301301.656842589</c:v>
                </c:pt>
                <c:pt idx="107">
                  <c:v>71622528.656842589</c:v>
                </c:pt>
                <c:pt idx="108">
                  <c:v>78801666.567807063</c:v>
                </c:pt>
                <c:pt idx="109">
                  <c:v>71331586.567807063</c:v>
                </c:pt>
                <c:pt idx="110">
                  <c:v>76137811.567807063</c:v>
                </c:pt>
                <c:pt idx="111">
                  <c:v>69883776.567807063</c:v>
                </c:pt>
                <c:pt idx="112">
                  <c:v>70924333.567807063</c:v>
                </c:pt>
                <c:pt idx="113">
                  <c:v>71942833.567807063</c:v>
                </c:pt>
                <c:pt idx="114">
                  <c:v>83258537.567807063</c:v>
                </c:pt>
                <c:pt idx="115">
                  <c:v>79859842.567807063</c:v>
                </c:pt>
                <c:pt idx="116">
                  <c:v>73220953.567807063</c:v>
                </c:pt>
                <c:pt idx="117">
                  <c:v>71051748.567807063</c:v>
                </c:pt>
                <c:pt idx="118">
                  <c:v>71481685.567807063</c:v>
                </c:pt>
                <c:pt idx="119">
                  <c:v>72324333.567807063</c:v>
                </c:pt>
                <c:pt idx="120">
                  <c:v>75739921.554761291</c:v>
                </c:pt>
                <c:pt idx="121">
                  <c:v>70677174.554761291</c:v>
                </c:pt>
                <c:pt idx="122">
                  <c:v>70423460.554761291</c:v>
                </c:pt>
                <c:pt idx="123">
                  <c:v>60626134.554761283</c:v>
                </c:pt>
                <c:pt idx="124">
                  <c:v>63498080.554761283</c:v>
                </c:pt>
                <c:pt idx="125">
                  <c:v>69985308.554761291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1F-45C4-A459-C13DA2C16453}"/>
            </c:ext>
          </c:extLst>
        </c:ser>
        <c:ser>
          <c:idx val="1"/>
          <c:order val="1"/>
          <c:tx>
            <c:strRef>
              <c:f>'GS&gt;50 Normalized Monthly Av Tr'!$T$1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Av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 Av Tr'!$T$2:$T$145</c:f>
              <c:numCache>
                <c:formatCode>_(* #,##0.0_);_(* \(#,##0.0\);_(* "-"??_);_(@_)</c:formatCode>
                <c:ptCount val="144"/>
                <c:pt idx="0">
                  <c:v>78348157.027163714</c:v>
                </c:pt>
                <c:pt idx="1">
                  <c:v>69776947.614269331</c:v>
                </c:pt>
                <c:pt idx="2">
                  <c:v>76442715.21955207</c:v>
                </c:pt>
                <c:pt idx="3">
                  <c:v>72400453.490071014</c:v>
                </c:pt>
                <c:pt idx="4">
                  <c:v>75076028.515352428</c:v>
                </c:pt>
                <c:pt idx="5">
                  <c:v>76097875.789825857</c:v>
                </c:pt>
                <c:pt idx="6">
                  <c:v>84201195.403959885</c:v>
                </c:pt>
                <c:pt idx="7">
                  <c:v>82974724.700234011</c:v>
                </c:pt>
                <c:pt idx="8">
                  <c:v>75470745.155782506</c:v>
                </c:pt>
                <c:pt idx="9">
                  <c:v>74484714.206341133</c:v>
                </c:pt>
                <c:pt idx="10">
                  <c:v>73168979.588497952</c:v>
                </c:pt>
                <c:pt idx="11">
                  <c:v>74671466.967519417</c:v>
                </c:pt>
                <c:pt idx="12">
                  <c:v>81846876.227189496</c:v>
                </c:pt>
                <c:pt idx="13">
                  <c:v>69824452.181615189</c:v>
                </c:pt>
                <c:pt idx="14">
                  <c:v>76263510.91403614</c:v>
                </c:pt>
                <c:pt idx="15">
                  <c:v>71508460.314548761</c:v>
                </c:pt>
                <c:pt idx="16">
                  <c:v>74153001.57867071</c:v>
                </c:pt>
                <c:pt idx="17">
                  <c:v>75310336.726476356</c:v>
                </c:pt>
                <c:pt idx="18">
                  <c:v>83318096.887688607</c:v>
                </c:pt>
                <c:pt idx="19">
                  <c:v>81860002.887124658</c:v>
                </c:pt>
                <c:pt idx="20">
                  <c:v>74391466.107960075</c:v>
                </c:pt>
                <c:pt idx="21">
                  <c:v>72914176.652241051</c:v>
                </c:pt>
                <c:pt idx="22">
                  <c:v>72135579.117756873</c:v>
                </c:pt>
                <c:pt idx="23">
                  <c:v>73478638.932191655</c:v>
                </c:pt>
                <c:pt idx="24">
                  <c:v>79330410.269753844</c:v>
                </c:pt>
                <c:pt idx="25">
                  <c:v>73171712.609509006</c:v>
                </c:pt>
                <c:pt idx="26">
                  <c:v>77075420.824953824</c:v>
                </c:pt>
                <c:pt idx="27">
                  <c:v>72180093.903677016</c:v>
                </c:pt>
                <c:pt idx="28">
                  <c:v>74847788.388714075</c:v>
                </c:pt>
                <c:pt idx="29">
                  <c:v>75883392.445745096</c:v>
                </c:pt>
                <c:pt idx="30">
                  <c:v>84244562.27549918</c:v>
                </c:pt>
                <c:pt idx="31">
                  <c:v>82678490.748255834</c:v>
                </c:pt>
                <c:pt idx="32">
                  <c:v>75028137.353828177</c:v>
                </c:pt>
                <c:pt idx="33">
                  <c:v>73513395.231338128</c:v>
                </c:pt>
                <c:pt idx="34">
                  <c:v>72292852.527515903</c:v>
                </c:pt>
                <c:pt idx="35">
                  <c:v>73626774.47641784</c:v>
                </c:pt>
                <c:pt idx="36">
                  <c:v>79212369.08006607</c:v>
                </c:pt>
                <c:pt idx="37">
                  <c:v>70678786.185700446</c:v>
                </c:pt>
                <c:pt idx="38">
                  <c:v>77176666.977780268</c:v>
                </c:pt>
                <c:pt idx="39">
                  <c:v>72402666.151263148</c:v>
                </c:pt>
                <c:pt idx="40">
                  <c:v>74928905.586951092</c:v>
                </c:pt>
                <c:pt idx="41">
                  <c:v>75837520.198822021</c:v>
                </c:pt>
                <c:pt idx="42">
                  <c:v>84314893.367560953</c:v>
                </c:pt>
                <c:pt idx="43">
                  <c:v>82903445.401940718</c:v>
                </c:pt>
                <c:pt idx="44">
                  <c:v>75275544.871287107</c:v>
                </c:pt>
                <c:pt idx="45">
                  <c:v>74095830.514737159</c:v>
                </c:pt>
                <c:pt idx="46">
                  <c:v>72798831.910944656</c:v>
                </c:pt>
                <c:pt idx="47">
                  <c:v>73909935.316794619</c:v>
                </c:pt>
                <c:pt idx="48">
                  <c:v>80830859.28328684</c:v>
                </c:pt>
                <c:pt idx="49">
                  <c:v>72052298.664005712</c:v>
                </c:pt>
                <c:pt idx="50">
                  <c:v>78521532.743431389</c:v>
                </c:pt>
                <c:pt idx="51">
                  <c:v>73449428.392930791</c:v>
                </c:pt>
                <c:pt idx="52">
                  <c:v>75862828.343807951</c:v>
                </c:pt>
                <c:pt idx="53">
                  <c:v>76816181.35332647</c:v>
                </c:pt>
                <c:pt idx="54">
                  <c:v>85182960.397646248</c:v>
                </c:pt>
                <c:pt idx="55">
                  <c:v>83675917.157999262</c:v>
                </c:pt>
                <c:pt idx="56">
                  <c:v>76581006.318975732</c:v>
                </c:pt>
                <c:pt idx="57">
                  <c:v>75308865.067163751</c:v>
                </c:pt>
                <c:pt idx="58">
                  <c:v>73987969.705714986</c:v>
                </c:pt>
                <c:pt idx="59">
                  <c:v>74972425.389428988</c:v>
                </c:pt>
                <c:pt idx="60">
                  <c:v>81729689.735831156</c:v>
                </c:pt>
                <c:pt idx="61">
                  <c:v>72785773.540875316</c:v>
                </c:pt>
                <c:pt idx="62">
                  <c:v>79556729.918177009</c:v>
                </c:pt>
                <c:pt idx="63">
                  <c:v>74354466.547150061</c:v>
                </c:pt>
                <c:pt idx="64">
                  <c:v>76948233.172052339</c:v>
                </c:pt>
                <c:pt idx="65">
                  <c:v>77865728.504170358</c:v>
                </c:pt>
                <c:pt idx="66">
                  <c:v>86369822.138634816</c:v>
                </c:pt>
                <c:pt idx="67">
                  <c:v>85011694.15584521</c:v>
                </c:pt>
                <c:pt idx="68">
                  <c:v>77061464.812975556</c:v>
                </c:pt>
                <c:pt idx="69">
                  <c:v>75279666.797489896</c:v>
                </c:pt>
                <c:pt idx="70">
                  <c:v>74100233.753852889</c:v>
                </c:pt>
                <c:pt idx="71">
                  <c:v>75310476.341838628</c:v>
                </c:pt>
                <c:pt idx="72">
                  <c:v>82020140.706855103</c:v>
                </c:pt>
                <c:pt idx="73">
                  <c:v>75874369.178070828</c:v>
                </c:pt>
                <c:pt idx="74">
                  <c:v>79917779.431341067</c:v>
                </c:pt>
                <c:pt idx="75">
                  <c:v>74911231.006765753</c:v>
                </c:pt>
                <c:pt idx="76">
                  <c:v>77524341.457539767</c:v>
                </c:pt>
                <c:pt idx="77">
                  <c:v>78371002.477446586</c:v>
                </c:pt>
                <c:pt idx="78">
                  <c:v>87010607.49388364</c:v>
                </c:pt>
                <c:pt idx="79">
                  <c:v>85476864.669282302</c:v>
                </c:pt>
                <c:pt idx="80">
                  <c:v>77486639.604623571</c:v>
                </c:pt>
                <c:pt idx="81">
                  <c:v>76214042.488438949</c:v>
                </c:pt>
                <c:pt idx="82">
                  <c:v>74800111.370613068</c:v>
                </c:pt>
                <c:pt idx="83">
                  <c:v>75874984.603095338</c:v>
                </c:pt>
                <c:pt idx="84">
                  <c:v>82896921.229718775</c:v>
                </c:pt>
                <c:pt idx="85">
                  <c:v>71333770.748496264</c:v>
                </c:pt>
                <c:pt idx="86">
                  <c:v>77829598.072902113</c:v>
                </c:pt>
                <c:pt idx="87">
                  <c:v>72900268.062044546</c:v>
                </c:pt>
                <c:pt idx="88">
                  <c:v>75216094.097819388</c:v>
                </c:pt>
                <c:pt idx="89">
                  <c:v>76466035.706775427</c:v>
                </c:pt>
                <c:pt idx="90">
                  <c:v>84773888.880457744</c:v>
                </c:pt>
                <c:pt idx="91">
                  <c:v>83372301.184344947</c:v>
                </c:pt>
                <c:pt idx="92">
                  <c:v>75609068.39245224</c:v>
                </c:pt>
                <c:pt idx="93">
                  <c:v>74253564.778085142</c:v>
                </c:pt>
                <c:pt idx="94">
                  <c:v>72941316.231060043</c:v>
                </c:pt>
                <c:pt idx="95">
                  <c:v>73999412.353197917</c:v>
                </c:pt>
                <c:pt idx="96">
                  <c:v>80466506.073887184</c:v>
                </c:pt>
                <c:pt idx="97">
                  <c:v>71883273.674843445</c:v>
                </c:pt>
                <c:pt idx="98">
                  <c:v>78666183.447271362</c:v>
                </c:pt>
                <c:pt idx="99">
                  <c:v>73544305.885206312</c:v>
                </c:pt>
                <c:pt idx="100">
                  <c:v>76259909.322586387</c:v>
                </c:pt>
                <c:pt idx="101">
                  <c:v>74297198.357169434</c:v>
                </c:pt>
                <c:pt idx="102">
                  <c:v>82354406.757905677</c:v>
                </c:pt>
                <c:pt idx="103">
                  <c:v>80915595.790919885</c:v>
                </c:pt>
                <c:pt idx="104">
                  <c:v>73769726.244741499</c:v>
                </c:pt>
                <c:pt idx="105">
                  <c:v>72236711.724709019</c:v>
                </c:pt>
                <c:pt idx="106">
                  <c:v>70886551.166408941</c:v>
                </c:pt>
                <c:pt idx="107">
                  <c:v>72066580.157643944</c:v>
                </c:pt>
                <c:pt idx="108">
                  <c:v>78172215.548060894</c:v>
                </c:pt>
                <c:pt idx="109">
                  <c:v>69550957.685681432</c:v>
                </c:pt>
                <c:pt idx="110">
                  <c:v>75811045.301913694</c:v>
                </c:pt>
                <c:pt idx="111">
                  <c:v>71087613.67555058</c:v>
                </c:pt>
                <c:pt idx="112">
                  <c:v>73868748.168139562</c:v>
                </c:pt>
                <c:pt idx="113">
                  <c:v>75171725.03168346</c:v>
                </c:pt>
                <c:pt idx="114">
                  <c:v>83327123.106586665</c:v>
                </c:pt>
                <c:pt idx="115">
                  <c:v>81953883.610204577</c:v>
                </c:pt>
                <c:pt idx="116">
                  <c:v>74255330.323264152</c:v>
                </c:pt>
                <c:pt idx="117">
                  <c:v>72785245.399607867</c:v>
                </c:pt>
                <c:pt idx="118">
                  <c:v>74340781.266280591</c:v>
                </c:pt>
                <c:pt idx="119">
                  <c:v>75570137.037562892</c:v>
                </c:pt>
                <c:pt idx="120">
                  <c:v>79425918.736090884</c:v>
                </c:pt>
                <c:pt idx="121">
                  <c:v>73355315.007842496</c:v>
                </c:pt>
                <c:pt idx="122">
                  <c:v>71535521.397503302</c:v>
                </c:pt>
                <c:pt idx="123">
                  <c:v>59541736.829294123</c:v>
                </c:pt>
                <c:pt idx="124">
                  <c:v>61598036.77602803</c:v>
                </c:pt>
                <c:pt idx="125">
                  <c:v>62643738.726884425</c:v>
                </c:pt>
                <c:pt idx="126">
                  <c:v>72401433.26609464</c:v>
                </c:pt>
                <c:pt idx="127">
                  <c:v>70455261.361962005</c:v>
                </c:pt>
                <c:pt idx="128">
                  <c:v>63651502.161653481</c:v>
                </c:pt>
                <c:pt idx="129">
                  <c:v>63350299.763930365</c:v>
                </c:pt>
                <c:pt idx="130">
                  <c:v>62490286.996349394</c:v>
                </c:pt>
                <c:pt idx="131">
                  <c:v>62724493.066695899</c:v>
                </c:pt>
                <c:pt idx="132">
                  <c:v>77119376.359481886</c:v>
                </c:pt>
                <c:pt idx="133">
                  <c:v>68735210.864430726</c:v>
                </c:pt>
                <c:pt idx="134">
                  <c:v>75134573.093863264</c:v>
                </c:pt>
                <c:pt idx="135">
                  <c:v>69996461.904988572</c:v>
                </c:pt>
                <c:pt idx="136">
                  <c:v>72556881.753722444</c:v>
                </c:pt>
                <c:pt idx="137">
                  <c:v>73210879.851156741</c:v>
                </c:pt>
                <c:pt idx="138">
                  <c:v>82107815.304031074</c:v>
                </c:pt>
                <c:pt idx="139">
                  <c:v>80033777.488878965</c:v>
                </c:pt>
                <c:pt idx="140">
                  <c:v>72958206.937082633</c:v>
                </c:pt>
                <c:pt idx="141">
                  <c:v>71099861.104841709</c:v>
                </c:pt>
                <c:pt idx="142">
                  <c:v>70019177.596512407</c:v>
                </c:pt>
                <c:pt idx="143">
                  <c:v>70422628.103687689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F-45C4-A459-C13DA2C16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233536"/>
        <c:axId val="179235072"/>
      </c:lineChart>
      <c:dateAx>
        <c:axId val="17923353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35072"/>
        <c:crosses val="autoZero"/>
        <c:auto val="1"/>
        <c:lblOffset val="100"/>
        <c:baseTimeUnit val="months"/>
      </c:dateAx>
      <c:valAx>
        <c:axId val="17923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3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Tr'!$C$5:$C$16</c:f>
              <c:numCache>
                <c:formatCode>#,##0</c:formatCode>
                <c:ptCount val="12"/>
                <c:pt idx="0">
                  <c:v>556896336</c:v>
                </c:pt>
                <c:pt idx="1">
                  <c:v>551353006</c:v>
                </c:pt>
                <c:pt idx="2">
                  <c:v>551839571</c:v>
                </c:pt>
                <c:pt idx="3">
                  <c:v>540087395</c:v>
                </c:pt>
                <c:pt idx="4">
                  <c:v>530303117</c:v>
                </c:pt>
                <c:pt idx="5">
                  <c:v>530999846</c:v>
                </c:pt>
                <c:pt idx="6">
                  <c:v>545123880</c:v>
                </c:pt>
                <c:pt idx="7">
                  <c:v>501428451</c:v>
                </c:pt>
                <c:pt idx="8">
                  <c:v>536801589</c:v>
                </c:pt>
                <c:pt idx="9">
                  <c:v>512580883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A-485E-A4B1-9CAA4C9EB97A}"/>
            </c:ext>
          </c:extLst>
        </c:ser>
        <c:ser>
          <c:idx val="1"/>
          <c:order val="1"/>
          <c:tx>
            <c:strRef>
              <c:f>'Normalized Annual Summary Tr'!$E$3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Tr'!$E$5:$E$16</c:f>
              <c:numCache>
                <c:formatCode>#,##0</c:formatCode>
                <c:ptCount val="12"/>
                <c:pt idx="0">
                  <c:v>556896336</c:v>
                </c:pt>
                <c:pt idx="1">
                  <c:v>552441915.71376777</c:v>
                </c:pt>
                <c:pt idx="2">
                  <c:v>554745009.76718867</c:v>
                </c:pt>
                <c:pt idx="3">
                  <c:v>544522483.65061712</c:v>
                </c:pt>
                <c:pt idx="4">
                  <c:v>537297947.86209393</c:v>
                </c:pt>
                <c:pt idx="5">
                  <c:v>541177794.60686231</c:v>
                </c:pt>
                <c:pt idx="6">
                  <c:v>560271575.81065547</c:v>
                </c:pt>
                <c:pt idx="7">
                  <c:v>530174948.1500712</c:v>
                </c:pt>
                <c:pt idx="8">
                  <c:v>573259355.65736198</c:v>
                </c:pt>
                <c:pt idx="9">
                  <c:v>550907613.72062242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A-485E-A4B1-9CAA4C9EB97A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Tr'!$G$5:$G$16</c:f>
              <c:numCache>
                <c:formatCode>#,##0</c:formatCode>
                <c:ptCount val="12"/>
                <c:pt idx="0">
                  <c:v>548717332.00524092</c:v>
                </c:pt>
                <c:pt idx="1">
                  <c:v>553723616.91967034</c:v>
                </c:pt>
                <c:pt idx="2">
                  <c:v>553358350.50354743</c:v>
                </c:pt>
                <c:pt idx="3">
                  <c:v>553153188.9104408</c:v>
                </c:pt>
                <c:pt idx="4">
                  <c:v>551625701.60963845</c:v>
                </c:pt>
                <c:pt idx="5">
                  <c:v>546663547.73507869</c:v>
                </c:pt>
                <c:pt idx="6">
                  <c:v>544915548.60520172</c:v>
                </c:pt>
                <c:pt idx="7">
                  <c:v>544335663.36682534</c:v>
                </c:pt>
                <c:pt idx="8">
                  <c:v>547440601.65432239</c:v>
                </c:pt>
                <c:pt idx="9">
                  <c:v>558400911.46908247</c:v>
                </c:pt>
                <c:pt idx="10">
                  <c:v>585538532.9382875</c:v>
                </c:pt>
                <c:pt idx="11">
                  <c:v>563694165.09772944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9A-485E-A4B1-9CAA4C9EB97A}"/>
            </c:ext>
          </c:extLst>
        </c:ser>
        <c:ser>
          <c:idx val="3"/>
          <c:order val="3"/>
          <c:tx>
            <c:strRef>
              <c:f>'Normalized Annual Summary Tr'!$I$3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Tr'!$I$5:$I$16</c:f>
              <c:numCache>
                <c:formatCode>#,##0</c:formatCode>
                <c:ptCount val="12"/>
                <c:pt idx="0">
                  <c:v>548717332.00524092</c:v>
                </c:pt>
                <c:pt idx="1">
                  <c:v>552634707.20590258</c:v>
                </c:pt>
                <c:pt idx="2">
                  <c:v>550452911.73635876</c:v>
                </c:pt>
                <c:pt idx="3">
                  <c:v>548718100.25982368</c:v>
                </c:pt>
                <c:pt idx="4">
                  <c:v>544630870.74754453</c:v>
                </c:pt>
                <c:pt idx="5">
                  <c:v>536485599.12821639</c:v>
                </c:pt>
                <c:pt idx="6">
                  <c:v>529767852.79454625</c:v>
                </c:pt>
                <c:pt idx="7">
                  <c:v>515589166.21675414</c:v>
                </c:pt>
                <c:pt idx="8">
                  <c:v>510982834.9969604</c:v>
                </c:pt>
                <c:pt idx="9">
                  <c:v>520074180.74845999</c:v>
                </c:pt>
                <c:pt idx="10">
                  <c:v>547587897.37126851</c:v>
                </c:pt>
                <c:pt idx="11">
                  <c:v>526202471.39512706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9A-485E-A4B1-9CAA4C9EB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06144"/>
        <c:axId val="178807936"/>
      </c:lineChart>
      <c:catAx>
        <c:axId val="1788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07936"/>
        <c:crosses val="autoZero"/>
        <c:auto val="1"/>
        <c:lblAlgn val="ctr"/>
        <c:lblOffset val="100"/>
        <c:noMultiLvlLbl val="0"/>
      </c:catAx>
      <c:valAx>
        <c:axId val="17880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0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Tr'!$L$5:$L$15</c:f>
              <c:numCache>
                <c:formatCode>#,##0</c:formatCode>
                <c:ptCount val="11"/>
                <c:pt idx="0">
                  <c:v>172200325</c:v>
                </c:pt>
                <c:pt idx="1">
                  <c:v>174484065</c:v>
                </c:pt>
                <c:pt idx="2">
                  <c:v>174704767</c:v>
                </c:pt>
                <c:pt idx="3">
                  <c:v>175467402</c:v>
                </c:pt>
                <c:pt idx="4">
                  <c:v>172644356</c:v>
                </c:pt>
                <c:pt idx="5">
                  <c:v>170245509</c:v>
                </c:pt>
                <c:pt idx="6">
                  <c:v>169905557</c:v>
                </c:pt>
                <c:pt idx="7">
                  <c:v>166894185</c:v>
                </c:pt>
                <c:pt idx="8">
                  <c:v>174257110</c:v>
                </c:pt>
                <c:pt idx="9">
                  <c:v>170703484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BF-470B-8451-4F61B459B1D1}"/>
            </c:ext>
          </c:extLst>
        </c:ser>
        <c:ser>
          <c:idx val="1"/>
          <c:order val="1"/>
          <c:tx>
            <c:strRef>
              <c:f>'Normalized Annual Summary Tr'!$N$3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Tr'!$N$5:$N$16</c:f>
              <c:numCache>
                <c:formatCode>#,##0</c:formatCode>
                <c:ptCount val="12"/>
                <c:pt idx="0">
                  <c:v>172200325</c:v>
                </c:pt>
                <c:pt idx="1">
                  <c:v>175038865.0192433</c:v>
                </c:pt>
                <c:pt idx="2">
                  <c:v>176077042.3798866</c:v>
                </c:pt>
                <c:pt idx="3">
                  <c:v>177641893.47213364</c:v>
                </c:pt>
                <c:pt idx="4">
                  <c:v>175728867.72974029</c:v>
                </c:pt>
                <c:pt idx="5">
                  <c:v>175764029.38907862</c:v>
                </c:pt>
                <c:pt idx="6">
                  <c:v>178338848.64757669</c:v>
                </c:pt>
                <c:pt idx="7">
                  <c:v>176566085.59560585</c:v>
                </c:pt>
                <c:pt idx="8">
                  <c:v>186384458.40807238</c:v>
                </c:pt>
                <c:pt idx="9">
                  <c:v>184866172.79294452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BF-470B-8451-4F61B459B1D1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Tr'!$P$5:$P$16</c:f>
              <c:numCache>
                <c:formatCode>#,##0</c:formatCode>
                <c:ptCount val="12"/>
                <c:pt idx="0">
                  <c:v>172696984.436553</c:v>
                </c:pt>
                <c:pt idx="1">
                  <c:v>175362335.00548026</c:v>
                </c:pt>
                <c:pt idx="2">
                  <c:v>175967974.43524376</c:v>
                </c:pt>
                <c:pt idx="3">
                  <c:v>177166774.85147384</c:v>
                </c:pt>
                <c:pt idx="4">
                  <c:v>176459486.01467234</c:v>
                </c:pt>
                <c:pt idx="5">
                  <c:v>177442974.5192914</c:v>
                </c:pt>
                <c:pt idx="6">
                  <c:v>178149286.44904298</c:v>
                </c:pt>
                <c:pt idx="7">
                  <c:v>179224744.4479841</c:v>
                </c:pt>
                <c:pt idx="8">
                  <c:v>181695490.03422678</c:v>
                </c:pt>
                <c:pt idx="9">
                  <c:v>184619090.47287428</c:v>
                </c:pt>
                <c:pt idx="10">
                  <c:v>165537913.91047886</c:v>
                </c:pt>
                <c:pt idx="11">
                  <c:v>183112242.55754042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BF-470B-8451-4F61B459B1D1}"/>
            </c:ext>
          </c:extLst>
        </c:ser>
        <c:ser>
          <c:idx val="3"/>
          <c:order val="3"/>
          <c:tx>
            <c:strRef>
              <c:f>'Normalized Annual Summary Tr'!$R$3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Tr'!$R$5:$R$16</c:f>
              <c:numCache>
                <c:formatCode>#,##0</c:formatCode>
                <c:ptCount val="12"/>
                <c:pt idx="0">
                  <c:v>172696984.436553</c:v>
                </c:pt>
                <c:pt idx="1">
                  <c:v>174807534.98623696</c:v>
                </c:pt>
                <c:pt idx="2">
                  <c:v>174595699.05535716</c:v>
                </c:pt>
                <c:pt idx="3">
                  <c:v>174992283.3793402</c:v>
                </c:pt>
                <c:pt idx="4">
                  <c:v>173374974.28493205</c:v>
                </c:pt>
                <c:pt idx="5">
                  <c:v>171924454.13021278</c:v>
                </c:pt>
                <c:pt idx="6">
                  <c:v>169715994.80146629</c:v>
                </c:pt>
                <c:pt idx="7">
                  <c:v>169552843.85237825</c:v>
                </c:pt>
                <c:pt idx="8">
                  <c:v>169568141.62615439</c:v>
                </c:pt>
                <c:pt idx="9">
                  <c:v>170456401.67992976</c:v>
                </c:pt>
                <c:pt idx="10">
                  <c:v>150890342.25486484</c:v>
                </c:pt>
                <c:pt idx="11">
                  <c:v>168947552.29392362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BF-470B-8451-4F61B459B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49664"/>
        <c:axId val="178851200"/>
      </c:lineChart>
      <c:catAx>
        <c:axId val="17884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51200"/>
        <c:crosses val="autoZero"/>
        <c:auto val="1"/>
        <c:lblAlgn val="ctr"/>
        <c:lblOffset val="100"/>
        <c:noMultiLvlLbl val="0"/>
      </c:catAx>
      <c:valAx>
        <c:axId val="178851200"/>
        <c:scaling>
          <c:orientation val="minMax"/>
          <c:min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4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685006509185803E-2"/>
          <c:y val="0.8509923345674506"/>
          <c:w val="0.9620622153021775"/>
          <c:h val="0.12251759920738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Tr'!$U$5:$U$15</c:f>
              <c:numCache>
                <c:formatCode>#,##0</c:formatCode>
                <c:ptCount val="11"/>
                <c:pt idx="0">
                  <c:v>906197008</c:v>
                </c:pt>
                <c:pt idx="1">
                  <c:v>908229110</c:v>
                </c:pt>
                <c:pt idx="2">
                  <c:v>903337846</c:v>
                </c:pt>
                <c:pt idx="3">
                  <c:v>899933878</c:v>
                </c:pt>
                <c:pt idx="4">
                  <c:v>901672321</c:v>
                </c:pt>
                <c:pt idx="5">
                  <c:v>907051642</c:v>
                </c:pt>
                <c:pt idx="6">
                  <c:v>920835908</c:v>
                </c:pt>
                <c:pt idx="7">
                  <c:v>885596225</c:v>
                </c:pt>
                <c:pt idx="8">
                  <c:v>874283086</c:v>
                </c:pt>
                <c:pt idx="9">
                  <c:v>837536595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D-4B4E-B754-C51C15B6B25E}"/>
            </c:ext>
          </c:extLst>
        </c:ser>
        <c:ser>
          <c:idx val="1"/>
          <c:order val="1"/>
          <c:tx>
            <c:strRef>
              <c:f>'Normalized Annual Summary Tr'!$W$3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Tr'!$W$5:$W$15</c:f>
              <c:numCache>
                <c:formatCode>#,##0</c:formatCode>
                <c:ptCount val="11"/>
                <c:pt idx="0">
                  <c:v>906197008</c:v>
                </c:pt>
                <c:pt idx="1">
                  <c:v>910448523.11322904</c:v>
                </c:pt>
                <c:pt idx="2">
                  <c:v>911276433.55605817</c:v>
                </c:pt>
                <c:pt idx="3">
                  <c:v>914608976.73929965</c:v>
                </c:pt>
                <c:pt idx="4">
                  <c:v>921825088.53771722</c:v>
                </c:pt>
                <c:pt idx="5">
                  <c:v>932659172.8156575</c:v>
                </c:pt>
                <c:pt idx="6">
                  <c:v>954633505.42341256</c:v>
                </c:pt>
                <c:pt idx="7">
                  <c:v>926174856.99749625</c:v>
                </c:pt>
                <c:pt idx="8">
                  <c:v>921768605.88211107</c:v>
                </c:pt>
                <c:pt idx="9">
                  <c:v>890219109.81368482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D-4B4E-B754-C51C15B6B25E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Tr'!$Y$5:$Y$16</c:f>
              <c:numCache>
                <c:formatCode>#,##0</c:formatCode>
                <c:ptCount val="12"/>
                <c:pt idx="0">
                  <c:v>913114003.67856932</c:v>
                </c:pt>
                <c:pt idx="1">
                  <c:v>907004598.52749944</c:v>
                </c:pt>
                <c:pt idx="2">
                  <c:v>913873031.05520797</c:v>
                </c:pt>
                <c:pt idx="3">
                  <c:v>913535395.56384826</c:v>
                </c:pt>
                <c:pt idx="4">
                  <c:v>927242272.81771791</c:v>
                </c:pt>
                <c:pt idx="5">
                  <c:v>936373979.4188931</c:v>
                </c:pt>
                <c:pt idx="6">
                  <c:v>945482114.48795593</c:v>
                </c:pt>
                <c:pt idx="7">
                  <c:v>921592239.73735452</c:v>
                </c:pt>
                <c:pt idx="8">
                  <c:v>907346948.60329318</c:v>
                </c:pt>
                <c:pt idx="9">
                  <c:v>905894806.15453625</c:v>
                </c:pt>
                <c:pt idx="10">
                  <c:v>803173544.09032917</c:v>
                </c:pt>
                <c:pt idx="11">
                  <c:v>883394850.36267817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1D-4B4E-B754-C51C15B6B25E}"/>
            </c:ext>
          </c:extLst>
        </c:ser>
        <c:ser>
          <c:idx val="3"/>
          <c:order val="3"/>
          <c:tx>
            <c:strRef>
              <c:f>'Normalized Annual Summary Tr'!$AA$3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Tr'!$AA$5:$AA$16</c:f>
              <c:numCache>
                <c:formatCode>#,##0</c:formatCode>
                <c:ptCount val="12"/>
                <c:pt idx="0">
                  <c:v>913114003.67856932</c:v>
                </c:pt>
                <c:pt idx="1">
                  <c:v>904785185.4142704</c:v>
                </c:pt>
                <c:pt idx="2">
                  <c:v>905934443.4991498</c:v>
                </c:pt>
                <c:pt idx="3">
                  <c:v>898860296.8245486</c:v>
                </c:pt>
                <c:pt idx="4">
                  <c:v>907089505.28000069</c:v>
                </c:pt>
                <c:pt idx="5">
                  <c:v>910766448.6032356</c:v>
                </c:pt>
                <c:pt idx="6">
                  <c:v>911684517.06454337</c:v>
                </c:pt>
                <c:pt idx="7">
                  <c:v>881013607.73985827</c:v>
                </c:pt>
                <c:pt idx="8">
                  <c:v>859861428.72118211</c:v>
                </c:pt>
                <c:pt idx="9">
                  <c:v>853212291.34085143</c:v>
                </c:pt>
                <c:pt idx="10">
                  <c:v>748463596.57305706</c:v>
                </c:pt>
                <c:pt idx="11">
                  <c:v>831282022.6115036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1D-4B4E-B754-C51C15B6B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89088"/>
        <c:axId val="178890624"/>
      </c:lineChart>
      <c:catAx>
        <c:axId val="17888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90624"/>
        <c:crosses val="autoZero"/>
        <c:auto val="1"/>
        <c:lblAlgn val="ctr"/>
        <c:lblOffset val="100"/>
        <c:noMultiLvlLbl val="0"/>
      </c:catAx>
      <c:valAx>
        <c:axId val="178890624"/>
        <c:scaling>
          <c:orientation val="minMax"/>
          <c:min val="600000000.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8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 Light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Tr'!$AD$5:$AD$15</c:f>
              <c:numCache>
                <c:formatCode>#,##0</c:formatCode>
                <c:ptCount val="11"/>
                <c:pt idx="0">
                  <c:v>9467387</c:v>
                </c:pt>
                <c:pt idx="1">
                  <c:v>9847280</c:v>
                </c:pt>
                <c:pt idx="2">
                  <c:v>9866380</c:v>
                </c:pt>
                <c:pt idx="3">
                  <c:v>9864267</c:v>
                </c:pt>
                <c:pt idx="4">
                  <c:v>9908447</c:v>
                </c:pt>
                <c:pt idx="5">
                  <c:v>9918681</c:v>
                </c:pt>
                <c:pt idx="6">
                  <c:v>9945876</c:v>
                </c:pt>
                <c:pt idx="7">
                  <c:v>11286654.700000001</c:v>
                </c:pt>
                <c:pt idx="8">
                  <c:v>6528022.6000000006</c:v>
                </c:pt>
                <c:pt idx="9">
                  <c:v>5537652.8999999994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2-44E4-9E36-4D14D3D1FB7F}"/>
            </c:ext>
          </c:extLst>
        </c:ser>
        <c:ser>
          <c:idx val="3"/>
          <c:order val="1"/>
          <c:tx>
            <c:strRef>
              <c:f>'Normalized Annual Summary Tr'!$AK$3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 Tr'!$AL$5:$AL$13,'Normalized Annual Summary Tr'!$AK$14:$AK$16)</c:f>
              <c:numCache>
                <c:formatCode>General</c:formatCode>
                <c:ptCount val="12"/>
                <c:pt idx="9" formatCode="#,##0">
                  <c:v>5537652.8999999994</c:v>
                </c:pt>
                <c:pt idx="10" formatCode="#,##0">
                  <c:v>5541713.5211686473</c:v>
                </c:pt>
                <c:pt idx="11" formatCode="#,##0">
                  <c:v>5569643.7573153349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2-44E4-9E36-4D14D3D1F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938624"/>
        <c:axId val="178940160"/>
      </c:lineChart>
      <c:catAx>
        <c:axId val="1789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40160"/>
        <c:crosses val="autoZero"/>
        <c:auto val="1"/>
        <c:lblAlgn val="ctr"/>
        <c:lblOffset val="100"/>
        <c:noMultiLvlLbl val="0"/>
      </c:catAx>
      <c:valAx>
        <c:axId val="17894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3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Tr'!$AH$3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Tr'!$AH$5:$AH$15</c:f>
              <c:numCache>
                <c:formatCode>#,##0</c:formatCode>
                <c:ptCount val="11"/>
                <c:pt idx="0">
                  <c:v>646.15715894484197</c:v>
                </c:pt>
                <c:pt idx="1">
                  <c:v>655.43663471778484</c:v>
                </c:pt>
                <c:pt idx="2">
                  <c:v>654.15355374823196</c:v>
                </c:pt>
                <c:pt idx="3">
                  <c:v>652.63961008529384</c:v>
                </c:pt>
                <c:pt idx="4">
                  <c:v>653.12835555262598</c:v>
                </c:pt>
                <c:pt idx="5">
                  <c:v>651.32000678548559</c:v>
                </c:pt>
                <c:pt idx="6">
                  <c:v>652.07456619607501</c:v>
                </c:pt>
                <c:pt idx="7">
                  <c:v>656.81184241154574</c:v>
                </c:pt>
                <c:pt idx="8">
                  <c:v>379.88958333333335</c:v>
                </c:pt>
                <c:pt idx="9">
                  <c:v>322.25633729050276</c:v>
                </c:pt>
                <c:pt idx="10">
                  <c:v>322.25633729050276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4-474A-A2BD-FE90D59CFF2A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 Tr'!$AL$5:$AL$14,'Normalized Annual Summary Tr'!$AH$15:$AH$16)</c:f>
              <c:numCache>
                <c:formatCode>General</c:formatCode>
                <c:ptCount val="12"/>
                <c:pt idx="10" formatCode="#,##0">
                  <c:v>322.25633729050276</c:v>
                </c:pt>
                <c:pt idx="11" formatCode="#,##0">
                  <c:v>322.25633729050276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4-474A-A2BD-FE90D59CF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966336"/>
        <c:axId val="179967872"/>
      </c:lineChart>
      <c:catAx>
        <c:axId val="17996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67872"/>
        <c:crosses val="autoZero"/>
        <c:auto val="1"/>
        <c:lblAlgn val="ctr"/>
        <c:lblOffset val="100"/>
        <c:noMultiLvlLbl val="0"/>
      </c:catAx>
      <c:valAx>
        <c:axId val="17996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6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Tr'!$AN$3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Tr'!$AN$5:$AN$16</c:f>
              <c:numCache>
                <c:formatCode>#,##0</c:formatCode>
                <c:ptCount val="12"/>
                <c:pt idx="0">
                  <c:v>3512551</c:v>
                </c:pt>
                <c:pt idx="1">
                  <c:v>3296779</c:v>
                </c:pt>
                <c:pt idx="2">
                  <c:v>3353868</c:v>
                </c:pt>
                <c:pt idx="3">
                  <c:v>3104444</c:v>
                </c:pt>
                <c:pt idx="4">
                  <c:v>3098633</c:v>
                </c:pt>
                <c:pt idx="5">
                  <c:v>3110148</c:v>
                </c:pt>
                <c:pt idx="6">
                  <c:v>3115033</c:v>
                </c:pt>
                <c:pt idx="7">
                  <c:v>3130244</c:v>
                </c:pt>
                <c:pt idx="8">
                  <c:v>3138478</c:v>
                </c:pt>
                <c:pt idx="9">
                  <c:v>3144191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88-4FEA-8E5E-BC6ED4ECAA51}"/>
            </c:ext>
          </c:extLst>
        </c:ser>
        <c:ser>
          <c:idx val="3"/>
          <c:order val="1"/>
          <c:tx>
            <c:strRef>
              <c:f>'Normalized Annual Summary Tr'!$AQ$3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 Tr'!$AR$5:$AR$13,'Normalized Annual Summary Tr'!$AQ$14:$AQ$16)</c:f>
              <c:numCache>
                <c:formatCode>General</c:formatCode>
                <c:ptCount val="12"/>
                <c:pt idx="9" formatCode="#,##0">
                  <c:v>3144191</c:v>
                </c:pt>
                <c:pt idx="10" formatCode="#,##0">
                  <c:v>3128398.0784571716</c:v>
                </c:pt>
                <c:pt idx="11" formatCode="#,##0">
                  <c:v>3103370.8938295147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88-4FEA-8E5E-BC6ED4ECA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007296"/>
        <c:axId val="180008832"/>
      </c:lineChart>
      <c:catAx>
        <c:axId val="18000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08832"/>
        <c:crosses val="autoZero"/>
        <c:auto val="1"/>
        <c:lblAlgn val="ctr"/>
        <c:lblOffset val="100"/>
        <c:noMultiLvlLbl val="0"/>
      </c:catAx>
      <c:valAx>
        <c:axId val="18000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0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Tr'!$AP$3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Tr'!$AP$5:$AP$14</c:f>
              <c:numCache>
                <c:formatCode>#,##0</c:formatCode>
                <c:ptCount val="10"/>
                <c:pt idx="0">
                  <c:v>5819.4963412950428</c:v>
                </c:pt>
                <c:pt idx="1">
                  <c:v>5459.7499309964114</c:v>
                </c:pt>
                <c:pt idx="2">
                  <c:v>5548.1687344913153</c:v>
                </c:pt>
                <c:pt idx="3">
                  <c:v>5459.9630660999555</c:v>
                </c:pt>
                <c:pt idx="4">
                  <c:v>5543.1717352415026</c:v>
                </c:pt>
                <c:pt idx="5">
                  <c:v>5586.2559497081274</c:v>
                </c:pt>
                <c:pt idx="6">
                  <c:v>5571.6792368460274</c:v>
                </c:pt>
                <c:pt idx="7">
                  <c:v>5570.6551979830938</c:v>
                </c:pt>
                <c:pt idx="8">
                  <c:v>5571.2627218934904</c:v>
                </c:pt>
                <c:pt idx="9">
                  <c:v>5599.6277827248441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B-4854-BCE9-334EA804AC11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 Tr'!$AL$5:$AL$13,'Normalized Annual Summary Tr'!$AP$14:$AP$16)</c:f>
              <c:numCache>
                <c:formatCode>General</c:formatCode>
                <c:ptCount val="12"/>
                <c:pt idx="9" formatCode="#,##0">
                  <c:v>5599.6277827248441</c:v>
                </c:pt>
                <c:pt idx="10" formatCode="#,##0">
                  <c:v>5599.6277827248441</c:v>
                </c:pt>
                <c:pt idx="11" formatCode="#,##0">
                  <c:v>5599.6277827248441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B-4854-BCE9-334EA804A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040064"/>
        <c:axId val="180041600"/>
      </c:lineChart>
      <c:catAx>
        <c:axId val="1800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41600"/>
        <c:crosses val="autoZero"/>
        <c:auto val="1"/>
        <c:lblAlgn val="ctr"/>
        <c:lblOffset val="100"/>
        <c:noMultiLvlLbl val="0"/>
      </c:catAx>
      <c:valAx>
        <c:axId val="18004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per Device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4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 Tr'!$E$3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Tr'!$B$5:$B$14,'kW Forecast Tr'!$B$19:$B$20)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Tr'!$E$5:$E$14</c:f>
              <c:numCache>
                <c:formatCode>0.000000</c:formatCode>
                <c:ptCount val="10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2.6173812934897922E-3</c:v>
                </c:pt>
                <c:pt idx="6">
                  <c:v>2.6177780200117911E-3</c:v>
                </c:pt>
                <c:pt idx="7">
                  <c:v>2.6693654887700092E-3</c:v>
                </c:pt>
                <c:pt idx="8">
                  <c:v>2.6919450206543283E-3</c:v>
                </c:pt>
                <c:pt idx="9">
                  <c:v>2.7168771055311319E-3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B-40A4-87E4-1C591D302797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Tr'!$B$5:$B$14,'kW Forecast Tr'!$B$19:$B$20)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Tr'!$G$5:$G$14,'kW Forecast Tr'!$F$19:$F$20)</c:f>
              <c:numCache>
                <c:formatCode>General</c:formatCode>
                <c:ptCount val="12"/>
                <c:pt idx="10" formatCode="_-* #,##0.000000_-;\-* #,##0.000000_-;_-* &quot;-&quot;??_-;_-@_-">
                  <c:v>2.7274652927573376E-3</c:v>
                </c:pt>
                <c:pt idx="11" formatCode="_-* #,##0.000000_-;\-* #,##0.000000_-;_-* &quot;-&quot;??_-;_-@_-">
                  <c:v>2.7474304350791623E-3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B-40A4-87E4-1C591D302797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 Tr'!$B$5:$B$14,'kW Forecast Tr'!$B$19:$B$20)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Tr'!$G$5:$G$14,'kW Forecast Tr'!$E$19:$E$20)</c:f>
              <c:numCache>
                <c:formatCode>General</c:formatCode>
                <c:ptCount val="12"/>
                <c:pt idx="10" formatCode="_-* #,##0.000000_-;\-* #,##0.000000_-;_-* &quot;-&quot;??_-;_-@_-">
                  <c:v>2.6612872659787824E-3</c:v>
                </c:pt>
                <c:pt idx="11" formatCode="_-* #,##0.000000_-;\-* #,##0.000000_-;_-* &quot;-&quot;??_-;_-@_-">
                  <c:v>2.6612872659787824E-3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3B-40A4-87E4-1C591D30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144000"/>
        <c:axId val="180145536"/>
      </c:lineChart>
      <c:catAx>
        <c:axId val="18014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45536"/>
        <c:crosses val="autoZero"/>
        <c:auto val="1"/>
        <c:lblAlgn val="ctr"/>
        <c:lblOffset val="100"/>
        <c:noMultiLvlLbl val="0"/>
      </c:catAx>
      <c:valAx>
        <c:axId val="18014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4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 Tr'!$K$3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Tr'!$H$5:$H$14,'kW Forecast Tr'!$H$19:$H$20)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Tr'!$K$5:$K$14</c:f>
              <c:numCache>
                <c:formatCode>0.000000</c:formatCode>
                <c:ptCount val="10"/>
                <c:pt idx="0">
                  <c:v>2.7902102237924785E-3</c:v>
                </c:pt>
                <c:pt idx="1">
                  <c:v>2.7757918938021466E-3</c:v>
                </c:pt>
                <c:pt idx="2">
                  <c:v>2.7828849081426013E-3</c:v>
                </c:pt>
                <c:pt idx="3">
                  <c:v>2.78784019126814E-3</c:v>
                </c:pt>
                <c:pt idx="4">
                  <c:v>2.7891353710626904E-3</c:v>
                </c:pt>
                <c:pt idx="5">
                  <c:v>2.788778064341418E-3</c:v>
                </c:pt>
                <c:pt idx="6">
                  <c:v>2.7798456365231176E-3</c:v>
                </c:pt>
                <c:pt idx="7">
                  <c:v>2.6980359379648604E-3</c:v>
                </c:pt>
                <c:pt idx="8">
                  <c:v>2.7881184112322154E-3</c:v>
                </c:pt>
                <c:pt idx="9">
                  <c:v>2.7892322395287727E-3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E-4FD7-8E5E-4B6F8FF28539}"/>
            </c:ext>
          </c:extLst>
        </c:ser>
        <c:ser>
          <c:idx val="1"/>
          <c:order val="1"/>
          <c:tx>
            <c:strRef>
              <c:f>'kW Forecast Tr'!$L$3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Tr'!$H$5:$H$14,'kW Forecast Tr'!$H$19:$H$20)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Tr'!$L$5:$L$14</c:f>
              <c:numCache>
                <c:formatCode>0.000000</c:formatCode>
                <c:ptCount val="10"/>
                <c:pt idx="2">
                  <c:v>2.7829623419124093E-3</c:v>
                </c:pt>
                <c:pt idx="3">
                  <c:v>2.782172331070963E-3</c:v>
                </c:pt>
                <c:pt idx="4">
                  <c:v>2.7866201568244771E-3</c:v>
                </c:pt>
                <c:pt idx="5">
                  <c:v>2.7885845422240831E-3</c:v>
                </c:pt>
                <c:pt idx="6">
                  <c:v>2.7859196906424091E-3</c:v>
                </c:pt>
                <c:pt idx="7">
                  <c:v>2.7843118504322678E-3</c:v>
                </c:pt>
                <c:pt idx="8">
                  <c:v>2.7839820238776663E-3</c:v>
                </c:pt>
                <c:pt idx="9">
                  <c:v>2.7886753253804943E-3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E-4FD7-8E5E-4B6F8FF28539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Tr'!$H$5:$H$14,'kW Forecast Tr'!$H$19:$H$20)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Tr'!$M$5:$M$14,'kW Forecast Tr'!$L$19:$L$20)</c:f>
              <c:numCache>
                <c:formatCode>0.000000</c:formatCode>
                <c:ptCount val="12"/>
                <c:pt idx="10" formatCode="_-* #,##0.000000_-;\-* #,##0.000000_-;_-* &quot;-&quot;??_-;_-@_-">
                  <c:v>2.7875169030215866E-3</c:v>
                </c:pt>
                <c:pt idx="11" formatCode="_-* #,##0.000000_-;\-* #,##0.000000_-;_-* &quot;-&quot;??_-;_-@_-">
                  <c:v>2.787986540849584E-3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E-4FD7-8E5E-4B6F8FF28539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 Tr'!$M$5:$M$14,'kW Forecast Tr'!$K$19:$K$20)</c:f>
              <c:numCache>
                <c:formatCode>0.000000</c:formatCode>
                <c:ptCount val="12"/>
                <c:pt idx="10" formatCode="_-* #,##0.000000_-;\-* #,##0.000000_-;_-* &quot;-&quot;??_-;_-@_-">
                  <c:v>2.7857596599659535E-3</c:v>
                </c:pt>
                <c:pt idx="11" formatCode="_-* #,##0.000000_-;\-* #,##0.000000_-;_-* &quot;-&quot;??_-;_-@_-">
                  <c:v>2.7857596599659535E-3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E-4FD7-8E5E-4B6F8FF28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191616"/>
        <c:axId val="180193152"/>
      </c:lineChart>
      <c:catAx>
        <c:axId val="1801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93152"/>
        <c:crosses val="autoZero"/>
        <c:auto val="1"/>
        <c:lblAlgn val="ctr"/>
        <c:lblOffset val="100"/>
        <c:noMultiLvlLbl val="0"/>
      </c:catAx>
      <c:valAx>
        <c:axId val="1801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128587</xdr:colOff>
      <xdr:row>123</xdr:row>
      <xdr:rowOff>47625</xdr:rowOff>
    </xdr:from>
    <xdr:to>
      <xdr:col>31</xdr:col>
      <xdr:colOff>185737</xdr:colOff>
      <xdr:row>140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182FF06-B730-40FE-A759-8412C6931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295275</xdr:colOff>
      <xdr:row>141</xdr:row>
      <xdr:rowOff>9525</xdr:rowOff>
    </xdr:from>
    <xdr:to>
      <xdr:col>31</xdr:col>
      <xdr:colOff>352425</xdr:colOff>
      <xdr:row>158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C43F0D0-B4ED-499A-896E-B8C006B48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219075</xdr:colOff>
      <xdr:row>159</xdr:row>
      <xdr:rowOff>114300</xdr:rowOff>
    </xdr:from>
    <xdr:to>
      <xdr:col>31</xdr:col>
      <xdr:colOff>276225</xdr:colOff>
      <xdr:row>176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B8B8257-E742-406A-B896-CC5DEDF51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233361</xdr:colOff>
      <xdr:row>2</xdr:row>
      <xdr:rowOff>133350</xdr:rowOff>
    </xdr:from>
    <xdr:to>
      <xdr:col>35</xdr:col>
      <xdr:colOff>409574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9C5335-E387-4EA7-94A6-7F0B39647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176211</xdr:colOff>
      <xdr:row>2</xdr:row>
      <xdr:rowOff>66675</xdr:rowOff>
    </xdr:from>
    <xdr:to>
      <xdr:col>35</xdr:col>
      <xdr:colOff>352424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A0542-330B-41E3-BBDD-1231783A3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528636</xdr:colOff>
      <xdr:row>1</xdr:row>
      <xdr:rowOff>57150</xdr:rowOff>
    </xdr:from>
    <xdr:to>
      <xdr:col>35</xdr:col>
      <xdr:colOff>171449</xdr:colOff>
      <xdr:row>26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3750A9-72AD-4F95-9416-A81CF6D56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17</xdr:row>
      <xdr:rowOff>19050</xdr:rowOff>
    </xdr:from>
    <xdr:to>
      <xdr:col>5</xdr:col>
      <xdr:colOff>1162050</xdr:colOff>
      <xdr:row>36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590AFF-BB6F-4DED-9880-DF110456E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171449</xdr:colOff>
      <xdr:row>17</xdr:row>
      <xdr:rowOff>1</xdr:rowOff>
    </xdr:from>
    <xdr:to>
      <xdr:col>11</xdr:col>
      <xdr:colOff>1038225</xdr:colOff>
      <xdr:row>36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0E956E-CA50-4E8E-9AC9-5C37805A2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47625</xdr:colOff>
      <xdr:row>17</xdr:row>
      <xdr:rowOff>0</xdr:rowOff>
    </xdr:from>
    <xdr:to>
      <xdr:col>17</xdr:col>
      <xdr:colOff>1257300</xdr:colOff>
      <xdr:row>36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C8B755-117E-4AC4-8DC7-99FA99E08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528636</xdr:colOff>
      <xdr:row>3</xdr:row>
      <xdr:rowOff>9525</xdr:rowOff>
    </xdr:from>
    <xdr:to>
      <xdr:col>35</xdr:col>
      <xdr:colOff>352424</xdr:colOff>
      <xdr:row>28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F9CC11-B6D9-4D70-863D-8AAC06517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138111</xdr:colOff>
      <xdr:row>2</xdr:row>
      <xdr:rowOff>0</xdr:rowOff>
    </xdr:from>
    <xdr:to>
      <xdr:col>33</xdr:col>
      <xdr:colOff>314324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4FA056-E3C1-4B9E-BDD3-ABE97F8A0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23811</xdr:colOff>
      <xdr:row>1</xdr:row>
      <xdr:rowOff>123825</xdr:rowOff>
    </xdr:from>
    <xdr:to>
      <xdr:col>34</xdr:col>
      <xdr:colOff>200024</xdr:colOff>
      <xdr:row>26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B3CE61-437C-44EB-9BA7-86F666E60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17</xdr:row>
      <xdr:rowOff>104775</xdr:rowOff>
    </xdr:from>
    <xdr:to>
      <xdr:col>8</xdr:col>
      <xdr:colOff>714374</xdr:colOff>
      <xdr:row>35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EC5470-2573-4812-8C56-A375D4855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214311</xdr:colOff>
      <xdr:row>17</xdr:row>
      <xdr:rowOff>66675</xdr:rowOff>
    </xdr:from>
    <xdr:to>
      <xdr:col>18</xdr:col>
      <xdr:colOff>200025</xdr:colOff>
      <xdr:row>35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07334A-4535-49F6-B963-9DF4E61F9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17</xdr:row>
      <xdr:rowOff>104775</xdr:rowOff>
    </xdr:from>
    <xdr:to>
      <xdr:col>26</xdr:col>
      <xdr:colOff>714374</xdr:colOff>
      <xdr:row>35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79CB86-EF05-4293-9BF9-C3CE5E30A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57150</xdr:colOff>
      <xdr:row>17</xdr:row>
      <xdr:rowOff>76200</xdr:rowOff>
    </xdr:from>
    <xdr:to>
      <xdr:col>36</xdr:col>
      <xdr:colOff>233363</xdr:colOff>
      <xdr:row>35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D7B650-B93B-4A6B-BC1A-C8DC8DAAC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266700</xdr:colOff>
      <xdr:row>36</xdr:row>
      <xdr:rowOff>114300</xdr:rowOff>
    </xdr:from>
    <xdr:to>
      <xdr:col>35</xdr:col>
      <xdr:colOff>285750</xdr:colOff>
      <xdr:row>53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D65ED44-DEA9-4369-A6E4-F18A7F779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0</xdr:colOff>
      <xdr:row>17</xdr:row>
      <xdr:rowOff>0</xdr:rowOff>
    </xdr:from>
    <xdr:to>
      <xdr:col>46</xdr:col>
      <xdr:colOff>42863</xdr:colOff>
      <xdr:row>34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4E4D4AA-714F-4FCE-BEC7-D02D6565B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390525</xdr:colOff>
      <xdr:row>36</xdr:row>
      <xdr:rowOff>85725</xdr:rowOff>
    </xdr:from>
    <xdr:to>
      <xdr:col>45</xdr:col>
      <xdr:colOff>123825</xdr:colOff>
      <xdr:row>53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7106142-F296-4EFA-ACBE-ABB7D55E1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27</xdr:row>
      <xdr:rowOff>128587</xdr:rowOff>
    </xdr:from>
    <xdr:to>
      <xdr:col>6</xdr:col>
      <xdr:colOff>395287</xdr:colOff>
      <xdr:row>44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64834-8FA9-40BB-B627-5873514A76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27</xdr:row>
      <xdr:rowOff>114300</xdr:rowOff>
    </xdr:from>
    <xdr:to>
      <xdr:col>14</xdr:col>
      <xdr:colOff>352425</xdr:colOff>
      <xdr:row>44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1B1688-285F-41BE-B46D-6BD238C81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36</xdr:row>
      <xdr:rowOff>128587</xdr:rowOff>
    </xdr:from>
    <xdr:to>
      <xdr:col>6</xdr:col>
      <xdr:colOff>395287</xdr:colOff>
      <xdr:row>53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D5ACD0-B008-4FED-9485-281759ECE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36</xdr:row>
      <xdr:rowOff>114300</xdr:rowOff>
    </xdr:from>
    <xdr:to>
      <xdr:col>14</xdr:col>
      <xdr:colOff>352425</xdr:colOff>
      <xdr:row>53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E99C93-317F-43A6-BFF7-D169D5EDA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528636</xdr:colOff>
      <xdr:row>3</xdr:row>
      <xdr:rowOff>9525</xdr:rowOff>
    </xdr:from>
    <xdr:to>
      <xdr:col>35</xdr:col>
      <xdr:colOff>352424</xdr:colOff>
      <xdr:row>28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43C8A0-55F6-404F-B72E-B9D492FF4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138111</xdr:colOff>
      <xdr:row>2</xdr:row>
      <xdr:rowOff>0</xdr:rowOff>
    </xdr:from>
    <xdr:to>
      <xdr:col>33</xdr:col>
      <xdr:colOff>314324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7045D1-1874-4902-A35C-AC4C98858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23811</xdr:colOff>
      <xdr:row>1</xdr:row>
      <xdr:rowOff>123825</xdr:rowOff>
    </xdr:from>
    <xdr:to>
      <xdr:col>34</xdr:col>
      <xdr:colOff>200024</xdr:colOff>
      <xdr:row>26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6FF5BD-362B-42E4-8584-B1ECEB485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17</xdr:row>
      <xdr:rowOff>104775</xdr:rowOff>
    </xdr:from>
    <xdr:to>
      <xdr:col>8</xdr:col>
      <xdr:colOff>714374</xdr:colOff>
      <xdr:row>35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579D3B-D8B4-440E-A960-7E79A5BCF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214311</xdr:colOff>
      <xdr:row>17</xdr:row>
      <xdr:rowOff>66675</xdr:rowOff>
    </xdr:from>
    <xdr:to>
      <xdr:col>18</xdr:col>
      <xdr:colOff>200025</xdr:colOff>
      <xdr:row>35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959E3E-068D-46CF-B1E3-C0EFF6BEB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17</xdr:row>
      <xdr:rowOff>104775</xdr:rowOff>
    </xdr:from>
    <xdr:to>
      <xdr:col>26</xdr:col>
      <xdr:colOff>714374</xdr:colOff>
      <xdr:row>35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9F3CE8-787B-4013-A319-AC341B1C9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57150</xdr:colOff>
      <xdr:row>17</xdr:row>
      <xdr:rowOff>76200</xdr:rowOff>
    </xdr:from>
    <xdr:to>
      <xdr:col>36</xdr:col>
      <xdr:colOff>233363</xdr:colOff>
      <xdr:row>35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4C53AC-5DC8-4216-AF4C-D5E11E262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266700</xdr:colOff>
      <xdr:row>36</xdr:row>
      <xdr:rowOff>114300</xdr:rowOff>
    </xdr:from>
    <xdr:to>
      <xdr:col>35</xdr:col>
      <xdr:colOff>285750</xdr:colOff>
      <xdr:row>53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AA4EC01-5574-47BF-A158-855D46224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0</xdr:colOff>
      <xdr:row>17</xdr:row>
      <xdr:rowOff>0</xdr:rowOff>
    </xdr:from>
    <xdr:to>
      <xdr:col>46</xdr:col>
      <xdr:colOff>42863</xdr:colOff>
      <xdr:row>34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01D8DD5-6C60-4B37-95BB-CFABBAB13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0</xdr:colOff>
      <xdr:row>37</xdr:row>
      <xdr:rowOff>0</xdr:rowOff>
    </xdr:from>
    <xdr:to>
      <xdr:col>44</xdr:col>
      <xdr:colOff>266700</xdr:colOff>
      <xdr:row>53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1C29133-84D9-449C-8567-444E9DDA7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27</xdr:row>
      <xdr:rowOff>128587</xdr:rowOff>
    </xdr:from>
    <xdr:to>
      <xdr:col>6</xdr:col>
      <xdr:colOff>395287</xdr:colOff>
      <xdr:row>44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86793C-0AAF-45C5-928A-E2AEFA4AD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27</xdr:row>
      <xdr:rowOff>114300</xdr:rowOff>
    </xdr:from>
    <xdr:to>
      <xdr:col>14</xdr:col>
      <xdr:colOff>352425</xdr:colOff>
      <xdr:row>44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85ACB7-288B-4FE9-8F78-50B3E4854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79998168889431442"/>
    <pageSetUpPr fitToPage="1"/>
  </sheetPr>
  <dimension ref="A1:BT129"/>
  <sheetViews>
    <sheetView workbookViewId="0">
      <pane xSplit="1" ySplit="1" topLeftCell="B8" activePane="bottomRight" state="frozen"/>
      <selection pane="topRight"/>
      <selection pane="bottomLeft"/>
      <selection pane="bottomRight" activeCell="I106" sqref="I106"/>
    </sheetView>
  </sheetViews>
  <sheetFormatPr defaultColWidth="8.83203125" defaultRowHeight="12.75" x14ac:dyDescent="0.2"/>
  <cols>
    <col min="1" max="1" width="11.83203125" style="1" bestFit="1" customWidth="1"/>
    <col min="2" max="2" width="10.33203125" style="1" customWidth="1"/>
    <col min="3" max="3" width="19.1640625" style="2" bestFit="1" customWidth="1"/>
    <col min="4" max="5" width="19.1640625" style="2" customWidth="1"/>
    <col min="6" max="6" width="17.83203125" style="5" bestFit="1" customWidth="1"/>
    <col min="7" max="8" width="17.5" style="5" bestFit="1" customWidth="1"/>
    <col min="9" max="9" width="17.83203125" style="1" bestFit="1" customWidth="1"/>
    <col min="10" max="10" width="17.83203125" style="1" customWidth="1"/>
    <col min="11" max="11" width="18.1640625" style="5" bestFit="1" customWidth="1"/>
    <col min="12" max="13" width="18.1640625" style="5" customWidth="1"/>
    <col min="14" max="14" width="16.83203125" style="5" customWidth="1"/>
    <col min="15" max="15" width="18.1640625" style="5" bestFit="1" customWidth="1"/>
    <col min="16" max="16" width="19.5" style="5" bestFit="1" customWidth="1"/>
    <col min="17" max="17" width="18.33203125" style="5" customWidth="1"/>
    <col min="18" max="18" width="20" style="5" bestFit="1" customWidth="1"/>
    <col min="19" max="19" width="12.33203125" style="5" bestFit="1" customWidth="1"/>
    <col min="20" max="20" width="15.5" style="1" bestFit="1" customWidth="1"/>
    <col min="21" max="21" width="18.33203125" style="1" bestFit="1" customWidth="1"/>
    <col min="22" max="28" width="8.83203125" style="37"/>
    <col min="29" max="43" width="8.83203125" style="38"/>
    <col min="44" max="61" width="8.83203125" style="1"/>
    <col min="62" max="62" width="10.6640625" style="1" customWidth="1"/>
    <col min="63" max="63" width="8.83203125" style="1"/>
    <col min="64" max="64" width="12.83203125" style="175" customWidth="1"/>
    <col min="65" max="65" width="10.83203125" style="1" bestFit="1" customWidth="1"/>
    <col min="66" max="66" width="8.83203125" style="1"/>
    <col min="67" max="67" width="12" style="175" bestFit="1" customWidth="1"/>
    <col min="68" max="68" width="12" style="1" bestFit="1" customWidth="1"/>
    <col min="69" max="70" width="10.83203125" style="1" bestFit="1" customWidth="1"/>
    <col min="71" max="72" width="14" style="1" bestFit="1" customWidth="1"/>
    <col min="73" max="16384" width="8.83203125" style="1"/>
  </cols>
  <sheetData>
    <row r="1" spans="1:72" x14ac:dyDescent="0.2">
      <c r="A1" s="1" t="s">
        <v>16</v>
      </c>
      <c r="B1" s="1" t="s">
        <v>0</v>
      </c>
      <c r="C1" s="2" t="s">
        <v>1</v>
      </c>
      <c r="D1" s="2" t="s">
        <v>47</v>
      </c>
      <c r="E1" s="2" t="s">
        <v>49</v>
      </c>
      <c r="F1" s="5" t="s">
        <v>9</v>
      </c>
      <c r="G1" s="8" t="s">
        <v>2</v>
      </c>
      <c r="H1" s="8" t="s">
        <v>10</v>
      </c>
      <c r="I1" s="2" t="s">
        <v>3</v>
      </c>
      <c r="J1" s="2" t="s">
        <v>48</v>
      </c>
      <c r="K1" s="8" t="s">
        <v>4</v>
      </c>
      <c r="L1" s="8" t="s">
        <v>50</v>
      </c>
      <c r="M1" s="8" t="s">
        <v>51</v>
      </c>
      <c r="N1" s="8" t="s">
        <v>5</v>
      </c>
      <c r="O1" s="8" t="s">
        <v>11</v>
      </c>
      <c r="P1" s="8" t="s">
        <v>6</v>
      </c>
      <c r="Q1" s="8" t="s">
        <v>7</v>
      </c>
      <c r="R1" s="8" t="s">
        <v>13</v>
      </c>
      <c r="S1" s="8" t="s">
        <v>8</v>
      </c>
      <c r="T1" s="2" t="s">
        <v>12</v>
      </c>
      <c r="U1" s="1" t="s">
        <v>14</v>
      </c>
      <c r="V1" s="37" t="str">
        <f>'Economic (2020 Adj.)'!C1</f>
        <v>GDP</v>
      </c>
      <c r="W1" s="37" t="str">
        <f>'Economic (2020 Adj.)'!D1</f>
        <v>Ont_FTEAdj</v>
      </c>
      <c r="X1" s="37" t="str">
        <f>'Economic (2020 Adj.)'!F1</f>
        <v>Tor_FTEAdj</v>
      </c>
      <c r="Y1" s="37" t="str">
        <f>'Economic (2020 Adj.)'!H1</f>
        <v>Ham_FTEAdj</v>
      </c>
      <c r="Z1" s="37" t="str">
        <f>'Economic (2020 Adj.)'!E1</f>
        <v>Ont_FTE</v>
      </c>
      <c r="AA1" s="37" t="str">
        <f>'Economic (2020 Adj.)'!G1</f>
        <v>Tor_FTE</v>
      </c>
      <c r="AB1" s="37" t="str">
        <f>'Economic (2020 Adj.)'!I1</f>
        <v>Ham_FTE</v>
      </c>
      <c r="AC1" s="38" t="str">
        <f>Weather!D1</f>
        <v>MeanTemp</v>
      </c>
      <c r="AD1" s="38" t="str">
        <f>Weather!E1</f>
        <v>HDD20</v>
      </c>
      <c r="AE1" s="38" t="str">
        <f>Weather!F1</f>
        <v>CDD20</v>
      </c>
      <c r="AF1" s="38" t="str">
        <f>Weather!G1</f>
        <v>HDD18</v>
      </c>
      <c r="AG1" s="38" t="str">
        <f>Weather!H1</f>
        <v>CDD18</v>
      </c>
      <c r="AH1" s="38" t="str">
        <f>Weather!I1</f>
        <v>HDD16</v>
      </c>
      <c r="AI1" s="38" t="str">
        <f>Weather!J1</f>
        <v>CDD16</v>
      </c>
      <c r="AJ1" s="38" t="str">
        <f>Weather!K1</f>
        <v>HDD14</v>
      </c>
      <c r="AK1" s="38" t="str">
        <f>Weather!L1</f>
        <v>CDD14</v>
      </c>
      <c r="AL1" s="38" t="str">
        <f>Weather!M1</f>
        <v>HDD12</v>
      </c>
      <c r="AM1" s="38" t="str">
        <f>Weather!N1</f>
        <v>CDD12</v>
      </c>
      <c r="AN1" s="38" t="str">
        <f>Weather!O1</f>
        <v>HDD10</v>
      </c>
      <c r="AO1" s="38" t="str">
        <f>Weather!P1</f>
        <v>CDD10</v>
      </c>
      <c r="AP1" s="38" t="str">
        <f>Weather!Q1</f>
        <v>HDD8</v>
      </c>
      <c r="AQ1" s="38" t="str">
        <f>Weather!R1</f>
        <v>CDD8</v>
      </c>
      <c r="AR1" s="40" t="s">
        <v>54</v>
      </c>
      <c r="AS1" s="40" t="s">
        <v>55</v>
      </c>
      <c r="AT1" s="40" t="s">
        <v>56</v>
      </c>
      <c r="AU1" s="40" t="s">
        <v>57</v>
      </c>
      <c r="AV1" s="40" t="s">
        <v>58</v>
      </c>
      <c r="AW1" s="40" t="s">
        <v>59</v>
      </c>
      <c r="AX1" s="40" t="s">
        <v>60</v>
      </c>
      <c r="AY1" s="40" t="s">
        <v>61</v>
      </c>
      <c r="AZ1" s="40" t="s">
        <v>62</v>
      </c>
      <c r="BA1" s="40" t="s">
        <v>63</v>
      </c>
      <c r="BB1" s="40" t="s">
        <v>64</v>
      </c>
      <c r="BC1" s="40" t="s">
        <v>65</v>
      </c>
      <c r="BD1" s="40" t="s">
        <v>66</v>
      </c>
      <c r="BE1" s="40" t="s">
        <v>67</v>
      </c>
      <c r="BF1" s="40" t="s">
        <v>68</v>
      </c>
      <c r="BG1" s="1" t="s">
        <v>69</v>
      </c>
      <c r="BH1" s="40" t="s">
        <v>70</v>
      </c>
      <c r="BI1" s="40" t="s">
        <v>71</v>
      </c>
      <c r="BJ1" s="1" t="s">
        <v>200</v>
      </c>
      <c r="BK1" s="1" t="s">
        <v>201</v>
      </c>
      <c r="BL1" s="175" t="s">
        <v>208</v>
      </c>
      <c r="BM1" s="1" t="s">
        <v>202</v>
      </c>
      <c r="BN1" s="175" t="s">
        <v>203</v>
      </c>
      <c r="BO1" s="175" t="s">
        <v>209</v>
      </c>
      <c r="BP1" s="175" t="s">
        <v>204</v>
      </c>
      <c r="BQ1" s="175" t="s">
        <v>205</v>
      </c>
      <c r="BR1" s="175" t="s">
        <v>206</v>
      </c>
      <c r="BS1" s="1" t="s">
        <v>210</v>
      </c>
      <c r="BT1" s="175" t="s">
        <v>211</v>
      </c>
    </row>
    <row r="2" spans="1:72" x14ac:dyDescent="0.2">
      <c r="A2" s="3">
        <v>40179</v>
      </c>
      <c r="B2" s="4">
        <f t="shared" ref="B2:B41" si="0">YEAR(A2)</f>
        <v>2010</v>
      </c>
      <c r="C2" s="2">
        <v>49397907</v>
      </c>
      <c r="D2" s="2">
        <f>VLOOKUP(B2,CDM!$I$5:$N$15,2,FALSE)/12</f>
        <v>0</v>
      </c>
      <c r="E2" s="2">
        <f t="shared" ref="E2:E54" si="1">C2+D2</f>
        <v>49397907</v>
      </c>
      <c r="F2" s="7">
        <v>57642</v>
      </c>
      <c r="G2" s="5">
        <v>15762767</v>
      </c>
      <c r="H2" s="7">
        <v>4982</v>
      </c>
      <c r="I2" s="2">
        <f>VLOOKUP(B2,CDM!$I$5:$N$15,3,FALSE)/12</f>
        <v>0</v>
      </c>
      <c r="J2" s="2">
        <f t="shared" ref="J2:J44" si="2">G2+I2</f>
        <v>15762767</v>
      </c>
      <c r="K2" s="5">
        <v>77865432</v>
      </c>
      <c r="L2" s="2">
        <f>VLOOKUP(B2,CDM!$I$5:$N$15,4,FALSE)/12</f>
        <v>0</v>
      </c>
      <c r="M2" s="87">
        <f t="shared" ref="M2:M54" si="3">K2+L2</f>
        <v>77865432</v>
      </c>
      <c r="N2" s="5">
        <v>193851</v>
      </c>
      <c r="O2" s="7">
        <v>979</v>
      </c>
      <c r="P2" s="5">
        <v>975753</v>
      </c>
      <c r="Q2" s="5">
        <v>2155</v>
      </c>
      <c r="R2" s="7">
        <v>14457</v>
      </c>
      <c r="S2" s="5">
        <v>292706</v>
      </c>
      <c r="T2" s="1">
        <v>0</v>
      </c>
      <c r="U2" s="1">
        <v>603</v>
      </c>
      <c r="V2" s="37">
        <f>'Economic (2020 Adj.)'!C14</f>
        <v>609770.30000000005</v>
      </c>
      <c r="W2" s="37">
        <f>'Economic (2020 Adj.)'!D14</f>
        <v>6466.9</v>
      </c>
      <c r="X2" s="37">
        <f>'Economic (2020 Adj.)'!F14</f>
        <v>2836.8</v>
      </c>
      <c r="Y2" s="37">
        <f>'Economic (2020 Adj.)'!H14</f>
        <v>368.4</v>
      </c>
      <c r="Z2" s="37">
        <f>'Economic (2020 Adj.)'!E14</f>
        <v>6434.5</v>
      </c>
      <c r="AA2" s="37">
        <f>'Economic (2020 Adj.)'!G14</f>
        <v>2831.9</v>
      </c>
      <c r="AB2" s="37">
        <f>'Economic (2020 Adj.)'!I14</f>
        <v>365.5</v>
      </c>
      <c r="AC2" s="39">
        <f>Weather!D134</f>
        <v>-3.5870967741935478</v>
      </c>
      <c r="AD2" s="39">
        <f>Weather!E134</f>
        <v>731.2</v>
      </c>
      <c r="AE2" s="39">
        <f>Weather!F134</f>
        <v>0</v>
      </c>
      <c r="AF2" s="39">
        <f>Weather!G134</f>
        <v>669.2</v>
      </c>
      <c r="AG2" s="39">
        <f>Weather!H134</f>
        <v>0</v>
      </c>
      <c r="AH2" s="39">
        <f>Weather!I134</f>
        <v>607.20000000000005</v>
      </c>
      <c r="AI2" s="39">
        <f>Weather!J134</f>
        <v>0</v>
      </c>
      <c r="AJ2" s="39">
        <f>Weather!K134</f>
        <v>545.20000000000005</v>
      </c>
      <c r="AK2" s="39">
        <f>Weather!L134</f>
        <v>0</v>
      </c>
      <c r="AL2" s="39">
        <f>Weather!M134</f>
        <v>483.20000000000005</v>
      </c>
      <c r="AM2" s="39">
        <f>Weather!N134</f>
        <v>0</v>
      </c>
      <c r="AN2" s="39">
        <f>Weather!O134</f>
        <v>421.2</v>
      </c>
      <c r="AO2" s="39">
        <f>Weather!P134</f>
        <v>0</v>
      </c>
      <c r="AP2" s="39">
        <f>Weather!Q134</f>
        <v>359.19999999999993</v>
      </c>
      <c r="AQ2" s="39">
        <f>Weather!R134</f>
        <v>0</v>
      </c>
      <c r="AR2">
        <v>1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 s="1">
        <v>1</v>
      </c>
      <c r="BH2">
        <v>31</v>
      </c>
      <c r="BI2">
        <v>20</v>
      </c>
      <c r="BJ2" s="160">
        <f>E2/F2</f>
        <v>856.97767253044651</v>
      </c>
      <c r="BK2" s="160">
        <f>BJ2/BH2</f>
        <v>27.644441049369242</v>
      </c>
      <c r="BL2" s="159">
        <f>E2/BH2</f>
        <v>1593480.8709677418</v>
      </c>
      <c r="BM2" s="160">
        <f>J2/H2</f>
        <v>3163.9435969490164</v>
      </c>
      <c r="BN2" s="160">
        <f>BM2/BH2</f>
        <v>102.06269667577472</v>
      </c>
      <c r="BO2" s="160">
        <f>J2/BH2</f>
        <v>508476.3548387097</v>
      </c>
      <c r="BP2" s="160">
        <f>M2/O2</f>
        <v>79535.681307456587</v>
      </c>
      <c r="BQ2" s="160">
        <f>BP2/BH2</f>
        <v>2565.6671389502126</v>
      </c>
      <c r="BR2" s="160">
        <f>BP2/BI2</f>
        <v>3976.7840653728294</v>
      </c>
      <c r="BS2" s="160">
        <f>M2/BH2</f>
        <v>2511788.1290322579</v>
      </c>
      <c r="BT2" s="160">
        <f>M2/BI2</f>
        <v>3893271.6</v>
      </c>
    </row>
    <row r="3" spans="1:72" x14ac:dyDescent="0.2">
      <c r="A3" s="3">
        <v>40210</v>
      </c>
      <c r="B3" s="4">
        <f t="shared" si="0"/>
        <v>2010</v>
      </c>
      <c r="C3" s="2">
        <v>40768686</v>
      </c>
      <c r="D3" s="2">
        <f>VLOOKUP(B3,CDM!$I$5:$N$15,2,FALSE)/12</f>
        <v>0</v>
      </c>
      <c r="E3" s="2">
        <f t="shared" si="1"/>
        <v>40768686</v>
      </c>
      <c r="F3" s="7">
        <v>57677</v>
      </c>
      <c r="G3" s="5">
        <v>14456043</v>
      </c>
      <c r="H3" s="7">
        <v>4991</v>
      </c>
      <c r="I3" s="2">
        <f>VLOOKUP(B3,CDM!$I$5:$N$15,3,FALSE)/12</f>
        <v>0</v>
      </c>
      <c r="J3" s="2">
        <f t="shared" si="2"/>
        <v>14456043</v>
      </c>
      <c r="K3" s="5">
        <v>70892677</v>
      </c>
      <c r="L3" s="2">
        <f>VLOOKUP(B3,CDM!$I$5:$N$15,4,FALSE)/12</f>
        <v>0</v>
      </c>
      <c r="M3" s="87">
        <f t="shared" si="3"/>
        <v>70892677</v>
      </c>
      <c r="N3" s="5">
        <v>190226</v>
      </c>
      <c r="O3" s="7">
        <v>978</v>
      </c>
      <c r="P3" s="5">
        <v>824273</v>
      </c>
      <c r="Q3" s="5">
        <v>2184</v>
      </c>
      <c r="R3" s="7">
        <v>14457</v>
      </c>
      <c r="S3" s="5">
        <v>291806</v>
      </c>
      <c r="T3" s="1">
        <v>0</v>
      </c>
      <c r="U3" s="1">
        <v>604</v>
      </c>
      <c r="V3" s="37">
        <f>'Economic (2020 Adj.)'!C15</f>
        <v>609770.30000000005</v>
      </c>
      <c r="W3" s="37">
        <f>'Economic (2020 Adj.)'!D15</f>
        <v>6471</v>
      </c>
      <c r="X3" s="37">
        <f>'Economic (2020 Adj.)'!F15</f>
        <v>2842.3</v>
      </c>
      <c r="Y3" s="37">
        <f>'Economic (2020 Adj.)'!H15</f>
        <v>366.3</v>
      </c>
      <c r="Z3" s="37">
        <f>'Economic (2020 Adj.)'!E15</f>
        <v>6404.1</v>
      </c>
      <c r="AA3" s="37">
        <f>'Economic (2020 Adj.)'!G15</f>
        <v>2825.6</v>
      </c>
      <c r="AB3" s="37">
        <f>'Economic (2020 Adj.)'!I15</f>
        <v>360.3</v>
      </c>
      <c r="AC3" s="39">
        <f>Weather!D135</f>
        <v>-2.0214285714285714</v>
      </c>
      <c r="AD3" s="39">
        <f>Weather!E135</f>
        <v>616.6</v>
      </c>
      <c r="AE3" s="39">
        <f>Weather!F135</f>
        <v>0</v>
      </c>
      <c r="AF3" s="39">
        <f>Weather!G135</f>
        <v>560.60000000000014</v>
      </c>
      <c r="AG3" s="39">
        <f>Weather!H135</f>
        <v>0</v>
      </c>
      <c r="AH3" s="39">
        <f>Weather!I135</f>
        <v>504.6</v>
      </c>
      <c r="AI3" s="39">
        <f>Weather!J135</f>
        <v>0</v>
      </c>
      <c r="AJ3" s="39">
        <f>Weather!K135</f>
        <v>448.6</v>
      </c>
      <c r="AK3" s="39">
        <f>Weather!L135</f>
        <v>0</v>
      </c>
      <c r="AL3" s="39">
        <f>Weather!M135</f>
        <v>392.59999999999997</v>
      </c>
      <c r="AM3" s="39">
        <f>Weather!N135</f>
        <v>0</v>
      </c>
      <c r="AN3" s="39">
        <f>Weather!O135</f>
        <v>336.6</v>
      </c>
      <c r="AO3" s="39">
        <f>Weather!P135</f>
        <v>0</v>
      </c>
      <c r="AP3" s="39">
        <f>Weather!Q135</f>
        <v>280.59999999999997</v>
      </c>
      <c r="AQ3" s="39">
        <f>Weather!R135</f>
        <v>0</v>
      </c>
      <c r="AR3">
        <v>0</v>
      </c>
      <c r="AS3">
        <v>1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 s="1">
        <f t="shared" ref="BG3:BG55" si="4">1+BG2</f>
        <v>2</v>
      </c>
      <c r="BH3">
        <v>28</v>
      </c>
      <c r="BI3">
        <v>19</v>
      </c>
      <c r="BJ3" s="160">
        <f t="shared" ref="BJ3:BJ66" si="5">E3/F3</f>
        <v>706.84477347989662</v>
      </c>
      <c r="BK3" s="160">
        <f t="shared" ref="BK3:BK66" si="6">BJ3/BH3</f>
        <v>25.244456195710594</v>
      </c>
      <c r="BL3" s="159">
        <f t="shared" ref="BL3:BL66" si="7">E3/BH3</f>
        <v>1456024.5</v>
      </c>
      <c r="BM3" s="160">
        <f t="shared" ref="BM3:BM66" si="8">J3/H3</f>
        <v>2896.422159887798</v>
      </c>
      <c r="BN3" s="160">
        <f t="shared" ref="BN3:BN66" si="9">BM3/BH3</f>
        <v>103.44364856742136</v>
      </c>
      <c r="BO3" s="160">
        <f t="shared" ref="BO3:BO66" si="10">J3/BH3</f>
        <v>516287.25</v>
      </c>
      <c r="BP3" s="160">
        <f t="shared" ref="BP3:BP66" si="11">M3/O3</f>
        <v>72487.399795501027</v>
      </c>
      <c r="BQ3" s="160">
        <f t="shared" ref="BQ3:BQ66" si="12">BP3/BH3</f>
        <v>2588.8357069821795</v>
      </c>
      <c r="BR3" s="160">
        <f t="shared" ref="BR3:BR66" si="13">BP3/BI3</f>
        <v>3815.1263050263697</v>
      </c>
      <c r="BS3" s="160">
        <f t="shared" ref="BS3:BS66" si="14">M3/BH3</f>
        <v>2531881.3214285714</v>
      </c>
      <c r="BT3" s="160">
        <f t="shared" ref="BT3:BT66" si="15">M3/BI3</f>
        <v>3731193.5263157897</v>
      </c>
    </row>
    <row r="4" spans="1:72" x14ac:dyDescent="0.2">
      <c r="A4" s="3">
        <v>40238</v>
      </c>
      <c r="B4" s="4">
        <f t="shared" si="0"/>
        <v>2010</v>
      </c>
      <c r="C4" s="2">
        <v>40910014</v>
      </c>
      <c r="D4" s="2">
        <f>VLOOKUP(B4,CDM!$I$5:$N$15,2,FALSE)/12</f>
        <v>0</v>
      </c>
      <c r="E4" s="2">
        <f t="shared" si="1"/>
        <v>40910014</v>
      </c>
      <c r="F4" s="5">
        <v>57709</v>
      </c>
      <c r="G4" s="5">
        <v>14266604</v>
      </c>
      <c r="H4" s="5">
        <v>4993</v>
      </c>
      <c r="I4" s="2">
        <f>VLOOKUP(B4,CDM!$I$5:$N$15,3,FALSE)/12</f>
        <v>0</v>
      </c>
      <c r="J4" s="2">
        <f t="shared" si="2"/>
        <v>14266604</v>
      </c>
      <c r="K4" s="5">
        <v>76083324</v>
      </c>
      <c r="L4" s="2">
        <f>VLOOKUP(B4,CDM!$I$5:$N$15,4,FALSE)/12</f>
        <v>0</v>
      </c>
      <c r="M4" s="87">
        <f t="shared" si="3"/>
        <v>76083324</v>
      </c>
      <c r="N4" s="5">
        <v>199292</v>
      </c>
      <c r="O4" s="5">
        <v>983</v>
      </c>
      <c r="P4" s="5">
        <v>823304</v>
      </c>
      <c r="Q4" s="5">
        <v>2202</v>
      </c>
      <c r="R4" s="5">
        <v>14599</v>
      </c>
      <c r="S4" s="5">
        <v>293979</v>
      </c>
      <c r="T4" s="1">
        <v>0</v>
      </c>
      <c r="U4" s="1">
        <v>605</v>
      </c>
      <c r="V4" s="37">
        <f>'Economic (2020 Adj.)'!C16</f>
        <v>609770.30000000005</v>
      </c>
      <c r="W4" s="37">
        <f>'Economic (2020 Adj.)'!D16</f>
        <v>6477.5</v>
      </c>
      <c r="X4" s="37">
        <f>'Economic (2020 Adj.)'!F16</f>
        <v>2849.8</v>
      </c>
      <c r="Y4" s="37">
        <f>'Economic (2020 Adj.)'!H16</f>
        <v>367.5</v>
      </c>
      <c r="Z4" s="37">
        <f>'Economic (2020 Adj.)'!E16</f>
        <v>6377.2</v>
      </c>
      <c r="AA4" s="37">
        <f>'Economic (2020 Adj.)'!G16</f>
        <v>2813.8</v>
      </c>
      <c r="AB4" s="37">
        <f>'Economic (2020 Adj.)'!I16</f>
        <v>359.4</v>
      </c>
      <c r="AC4" s="39">
        <f>Weather!D136</f>
        <v>4.5032258064516126</v>
      </c>
      <c r="AD4" s="39">
        <f>Weather!E136</f>
        <v>480.40000000000003</v>
      </c>
      <c r="AE4" s="39">
        <f>Weather!F136</f>
        <v>0</v>
      </c>
      <c r="AF4" s="39">
        <f>Weather!G136</f>
        <v>418.40000000000009</v>
      </c>
      <c r="AG4" s="39">
        <f>Weather!H136</f>
        <v>0</v>
      </c>
      <c r="AH4" s="39">
        <f>Weather!I136</f>
        <v>356.40000000000009</v>
      </c>
      <c r="AI4" s="39">
        <f>Weather!J136</f>
        <v>0</v>
      </c>
      <c r="AJ4" s="39">
        <f>Weather!K136</f>
        <v>294.40000000000003</v>
      </c>
      <c r="AK4" s="39">
        <f>Weather!L136</f>
        <v>0</v>
      </c>
      <c r="AL4" s="39">
        <f>Weather!M136</f>
        <v>232.39999999999995</v>
      </c>
      <c r="AM4" s="39">
        <f>Weather!N136</f>
        <v>0</v>
      </c>
      <c r="AN4" s="39">
        <f>Weather!O136</f>
        <v>172.69999999999996</v>
      </c>
      <c r="AO4" s="39">
        <f>Weather!P136</f>
        <v>2.3000000000000007</v>
      </c>
      <c r="AP4" s="39">
        <f>Weather!Q136</f>
        <v>118.89999999999998</v>
      </c>
      <c r="AQ4" s="39">
        <f>Weather!R136</f>
        <v>10.5</v>
      </c>
      <c r="AR4">
        <v>0</v>
      </c>
      <c r="AS4">
        <v>0</v>
      </c>
      <c r="AT4">
        <v>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1</v>
      </c>
      <c r="BE4">
        <v>0</v>
      </c>
      <c r="BF4">
        <v>1</v>
      </c>
      <c r="BG4" s="1">
        <f t="shared" si="4"/>
        <v>3</v>
      </c>
      <c r="BH4">
        <v>31</v>
      </c>
      <c r="BI4">
        <v>23</v>
      </c>
      <c r="BJ4" s="160">
        <f t="shared" si="5"/>
        <v>708.90180041241399</v>
      </c>
      <c r="BK4" s="160">
        <f t="shared" si="6"/>
        <v>22.867800013303675</v>
      </c>
      <c r="BL4" s="159">
        <f t="shared" si="7"/>
        <v>1319677.8709677418</v>
      </c>
      <c r="BM4" s="160">
        <f t="shared" si="8"/>
        <v>2857.3210494692571</v>
      </c>
      <c r="BN4" s="160">
        <f t="shared" si="9"/>
        <v>92.171646757072807</v>
      </c>
      <c r="BO4" s="160">
        <f t="shared" si="10"/>
        <v>460213.03225806454</v>
      </c>
      <c r="BP4" s="160">
        <f t="shared" si="11"/>
        <v>77399.108850457778</v>
      </c>
      <c r="BQ4" s="160">
        <f t="shared" si="12"/>
        <v>2496.7454467889606</v>
      </c>
      <c r="BR4" s="160">
        <f t="shared" si="13"/>
        <v>3365.1786456720774</v>
      </c>
      <c r="BS4" s="160">
        <f t="shared" si="14"/>
        <v>2454300.7741935486</v>
      </c>
      <c r="BT4" s="160">
        <f t="shared" si="15"/>
        <v>3307970.6086956523</v>
      </c>
    </row>
    <row r="5" spans="1:72" x14ac:dyDescent="0.2">
      <c r="A5" s="3">
        <v>40269</v>
      </c>
      <c r="B5" s="4">
        <f t="shared" si="0"/>
        <v>2010</v>
      </c>
      <c r="C5" s="2">
        <v>36681881</v>
      </c>
      <c r="D5" s="2">
        <f>VLOOKUP(B5,CDM!$I$5:$N$15,2,FALSE)/12</f>
        <v>0</v>
      </c>
      <c r="E5" s="2">
        <f t="shared" si="1"/>
        <v>36681881</v>
      </c>
      <c r="F5" s="7">
        <v>57751</v>
      </c>
      <c r="G5" s="5">
        <v>12709245</v>
      </c>
      <c r="H5" s="7">
        <v>4962</v>
      </c>
      <c r="I5" s="2">
        <f>VLOOKUP(B5,CDM!$I$5:$N$15,3,FALSE)/12</f>
        <v>0</v>
      </c>
      <c r="J5" s="2">
        <f t="shared" si="2"/>
        <v>12709245</v>
      </c>
      <c r="K5" s="5">
        <v>70016664</v>
      </c>
      <c r="L5" s="2">
        <f>VLOOKUP(B5,CDM!$I$5:$N$15,4,FALSE)/12</f>
        <v>0</v>
      </c>
      <c r="M5" s="87">
        <f t="shared" si="3"/>
        <v>70016664</v>
      </c>
      <c r="N5" s="5">
        <v>181890</v>
      </c>
      <c r="O5" s="7">
        <v>994</v>
      </c>
      <c r="P5" s="5">
        <v>698785</v>
      </c>
      <c r="Q5" s="5">
        <v>2202</v>
      </c>
      <c r="R5" s="7">
        <v>14701</v>
      </c>
      <c r="S5" s="5">
        <v>291851</v>
      </c>
      <c r="T5" s="1">
        <v>0</v>
      </c>
      <c r="U5" s="1">
        <v>606</v>
      </c>
      <c r="V5" s="37">
        <f>'Economic (2020 Adj.)'!C17</f>
        <v>609770.30000000005</v>
      </c>
      <c r="W5" s="37">
        <f>'Economic (2020 Adj.)'!D17</f>
        <v>6485</v>
      </c>
      <c r="X5" s="37">
        <f>'Economic (2020 Adj.)'!F17</f>
        <v>2844.4</v>
      </c>
      <c r="Y5" s="37">
        <f>'Economic (2020 Adj.)'!H17</f>
        <v>364.7</v>
      </c>
      <c r="Z5" s="37">
        <f>'Economic (2020 Adj.)'!E17</f>
        <v>6401.7</v>
      </c>
      <c r="AA5" s="37">
        <f>'Economic (2020 Adj.)'!G17</f>
        <v>2815.5</v>
      </c>
      <c r="AB5" s="37">
        <f>'Economic (2020 Adj.)'!I17</f>
        <v>358.4</v>
      </c>
      <c r="AC5" s="39">
        <f>Weather!D137</f>
        <v>9.7033333333333349</v>
      </c>
      <c r="AD5" s="39">
        <f>Weather!E137</f>
        <v>308.89999999999998</v>
      </c>
      <c r="AE5" s="39">
        <f>Weather!F137</f>
        <v>0</v>
      </c>
      <c r="AF5" s="39">
        <f>Weather!G137</f>
        <v>248.9</v>
      </c>
      <c r="AG5" s="39">
        <f>Weather!H137</f>
        <v>0</v>
      </c>
      <c r="AH5" s="39">
        <f>Weather!I137</f>
        <v>188.90000000000003</v>
      </c>
      <c r="AI5" s="39">
        <f>Weather!J137</f>
        <v>0</v>
      </c>
      <c r="AJ5" s="39">
        <f>Weather!K137</f>
        <v>130.30000000000001</v>
      </c>
      <c r="AK5" s="39">
        <f>Weather!L137</f>
        <v>1.4000000000000004</v>
      </c>
      <c r="AL5" s="39">
        <f>Weather!M137</f>
        <v>78.500000000000014</v>
      </c>
      <c r="AM5" s="39">
        <f>Weather!N137</f>
        <v>9.6</v>
      </c>
      <c r="AN5" s="39">
        <f>Weather!O137</f>
        <v>39.800000000000004</v>
      </c>
      <c r="AO5" s="39">
        <f>Weather!P137</f>
        <v>30.900000000000006</v>
      </c>
      <c r="AP5" s="39">
        <f>Weather!Q137</f>
        <v>11.4</v>
      </c>
      <c r="AQ5" s="39">
        <f>Weather!R137</f>
        <v>62.500000000000007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1</v>
      </c>
      <c r="BE5">
        <v>0</v>
      </c>
      <c r="BF5">
        <v>1</v>
      </c>
      <c r="BG5" s="1">
        <f t="shared" si="4"/>
        <v>4</v>
      </c>
      <c r="BH5">
        <v>30</v>
      </c>
      <c r="BI5">
        <v>20</v>
      </c>
      <c r="BJ5" s="160">
        <f t="shared" si="5"/>
        <v>635.1730879118976</v>
      </c>
      <c r="BK5" s="160">
        <f t="shared" si="6"/>
        <v>21.172436263729921</v>
      </c>
      <c r="BL5" s="159">
        <f t="shared" si="7"/>
        <v>1222729.3666666667</v>
      </c>
      <c r="BM5" s="160">
        <f t="shared" si="8"/>
        <v>2561.3149939540508</v>
      </c>
      <c r="BN5" s="160">
        <f t="shared" si="9"/>
        <v>85.377166465135033</v>
      </c>
      <c r="BO5" s="160">
        <f t="shared" si="10"/>
        <v>423641.5</v>
      </c>
      <c r="BP5" s="160">
        <f t="shared" si="11"/>
        <v>70439.299798792752</v>
      </c>
      <c r="BQ5" s="160">
        <f t="shared" si="12"/>
        <v>2347.9766599597583</v>
      </c>
      <c r="BR5" s="160">
        <f t="shared" si="13"/>
        <v>3521.9649899396377</v>
      </c>
      <c r="BS5" s="160">
        <f t="shared" si="14"/>
        <v>2333888.7999999998</v>
      </c>
      <c r="BT5" s="160">
        <f t="shared" si="15"/>
        <v>3500833.2</v>
      </c>
    </row>
    <row r="6" spans="1:72" x14ac:dyDescent="0.2">
      <c r="A6" s="3">
        <v>40299</v>
      </c>
      <c r="B6" s="4">
        <f t="shared" si="0"/>
        <v>2010</v>
      </c>
      <c r="C6" s="2">
        <v>44687288</v>
      </c>
      <c r="D6" s="2">
        <f>VLOOKUP(B6,CDM!$I$5:$N$15,2,FALSE)/12</f>
        <v>0</v>
      </c>
      <c r="E6" s="2">
        <f t="shared" si="1"/>
        <v>44687288</v>
      </c>
      <c r="F6" s="7">
        <v>57814</v>
      </c>
      <c r="G6" s="5">
        <v>13617876</v>
      </c>
      <c r="H6" s="7">
        <v>4969</v>
      </c>
      <c r="I6" s="2">
        <f>VLOOKUP(B6,CDM!$I$5:$N$15,3,FALSE)/12</f>
        <v>0</v>
      </c>
      <c r="J6" s="2">
        <f t="shared" si="2"/>
        <v>13617876</v>
      </c>
      <c r="K6" s="5">
        <v>75214102</v>
      </c>
      <c r="L6" s="2">
        <f>VLOOKUP(B6,CDM!$I$5:$N$15,4,FALSE)/12</f>
        <v>0</v>
      </c>
      <c r="M6" s="87">
        <f t="shared" si="3"/>
        <v>75214102</v>
      </c>
      <c r="N6" s="5">
        <v>191949</v>
      </c>
      <c r="O6" s="7">
        <v>996</v>
      </c>
      <c r="P6" s="5">
        <v>635554</v>
      </c>
      <c r="Q6" s="5">
        <v>2202</v>
      </c>
      <c r="R6" s="7">
        <v>14701</v>
      </c>
      <c r="S6" s="5">
        <v>292854</v>
      </c>
      <c r="T6" s="1">
        <v>0</v>
      </c>
      <c r="U6" s="1">
        <v>605</v>
      </c>
      <c r="V6" s="37">
        <f>'Economic (2020 Adj.)'!C18</f>
        <v>609770.30000000005</v>
      </c>
      <c r="W6" s="37">
        <f>'Economic (2020 Adj.)'!D18</f>
        <v>6506.8</v>
      </c>
      <c r="X6" s="37">
        <f>'Economic (2020 Adj.)'!F18</f>
        <v>2847.5</v>
      </c>
      <c r="Y6" s="37">
        <f>'Economic (2020 Adj.)'!H18</f>
        <v>364.3</v>
      </c>
      <c r="Z6" s="37">
        <f>'Economic (2020 Adj.)'!E18</f>
        <v>6468.9</v>
      </c>
      <c r="AA6" s="37">
        <f>'Economic (2020 Adj.)'!G18</f>
        <v>2831.7</v>
      </c>
      <c r="AB6" s="37">
        <f>'Economic (2020 Adj.)'!I18</f>
        <v>362.4</v>
      </c>
      <c r="AC6" s="39">
        <f>Weather!D138</f>
        <v>14.548387096774196</v>
      </c>
      <c r="AD6" s="39">
        <f>Weather!E138</f>
        <v>178.60000000000002</v>
      </c>
      <c r="AE6" s="39">
        <f>Weather!F138</f>
        <v>9.600000000000005</v>
      </c>
      <c r="AF6" s="39">
        <f>Weather!G138</f>
        <v>131.80000000000001</v>
      </c>
      <c r="AG6" s="39">
        <f>Weather!H138</f>
        <v>24.800000000000004</v>
      </c>
      <c r="AH6" s="39">
        <f>Weather!I138</f>
        <v>91.8</v>
      </c>
      <c r="AI6" s="39">
        <f>Weather!J138</f>
        <v>46.8</v>
      </c>
      <c r="AJ6" s="39">
        <f>Weather!K138</f>
        <v>59.900000000000006</v>
      </c>
      <c r="AK6" s="39">
        <f>Weather!L138</f>
        <v>76.900000000000006</v>
      </c>
      <c r="AL6" s="39">
        <f>Weather!M138</f>
        <v>36.5</v>
      </c>
      <c r="AM6" s="39">
        <f>Weather!N138</f>
        <v>115.5</v>
      </c>
      <c r="AN6" s="39">
        <f>Weather!O138</f>
        <v>20</v>
      </c>
      <c r="AO6" s="39">
        <f>Weather!P138</f>
        <v>161</v>
      </c>
      <c r="AP6" s="39">
        <f>Weather!Q138</f>
        <v>6.0000000000000009</v>
      </c>
      <c r="AQ6" s="39">
        <f>Weather!R138</f>
        <v>209</v>
      </c>
      <c r="AR6">
        <v>0</v>
      </c>
      <c r="AS6">
        <v>0</v>
      </c>
      <c r="AT6">
        <v>0</v>
      </c>
      <c r="AU6">
        <v>0</v>
      </c>
      <c r="AV6">
        <v>1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1</v>
      </c>
      <c r="BE6">
        <v>0</v>
      </c>
      <c r="BF6">
        <v>1</v>
      </c>
      <c r="BG6" s="1">
        <f t="shared" si="4"/>
        <v>5</v>
      </c>
      <c r="BH6">
        <v>31</v>
      </c>
      <c r="BI6">
        <v>20</v>
      </c>
      <c r="BJ6" s="160">
        <f t="shared" si="5"/>
        <v>772.94925104645938</v>
      </c>
      <c r="BK6" s="160">
        <f t="shared" si="6"/>
        <v>24.933846807950303</v>
      </c>
      <c r="BL6" s="159">
        <f t="shared" si="7"/>
        <v>1441525.4193548388</v>
      </c>
      <c r="BM6" s="160">
        <f t="shared" si="8"/>
        <v>2740.5667136244715</v>
      </c>
      <c r="BN6" s="160">
        <f t="shared" si="9"/>
        <v>88.405377858853925</v>
      </c>
      <c r="BO6" s="160">
        <f t="shared" si="10"/>
        <v>439286.32258064515</v>
      </c>
      <c r="BP6" s="160">
        <f t="shared" si="11"/>
        <v>75516.166666666672</v>
      </c>
      <c r="BQ6" s="160">
        <f t="shared" si="12"/>
        <v>2436.005376344086</v>
      </c>
      <c r="BR6" s="160">
        <f t="shared" si="13"/>
        <v>3775.8083333333334</v>
      </c>
      <c r="BS6" s="160">
        <f t="shared" si="14"/>
        <v>2426261.3548387098</v>
      </c>
      <c r="BT6" s="160">
        <f t="shared" si="15"/>
        <v>3760705.1</v>
      </c>
    </row>
    <row r="7" spans="1:72" x14ac:dyDescent="0.2">
      <c r="A7" s="3">
        <v>40330</v>
      </c>
      <c r="B7" s="4">
        <f t="shared" si="0"/>
        <v>2010</v>
      </c>
      <c r="C7" s="2">
        <v>51533466</v>
      </c>
      <c r="D7" s="2">
        <f>VLOOKUP(B7,CDM!$I$5:$N$15,2,FALSE)/12</f>
        <v>0</v>
      </c>
      <c r="E7" s="2">
        <f t="shared" si="1"/>
        <v>51533466</v>
      </c>
      <c r="F7" s="5">
        <v>57809</v>
      </c>
      <c r="G7" s="5">
        <v>14352297</v>
      </c>
      <c r="H7" s="5">
        <v>4976</v>
      </c>
      <c r="I7" s="2">
        <f>VLOOKUP(B7,CDM!$I$5:$N$15,3,FALSE)/12</f>
        <v>0</v>
      </c>
      <c r="J7" s="2">
        <f t="shared" si="2"/>
        <v>14352297</v>
      </c>
      <c r="K7" s="5">
        <v>78113215</v>
      </c>
      <c r="L7" s="2">
        <f>VLOOKUP(B7,CDM!$I$5:$N$15,4,FALSE)/12</f>
        <v>0</v>
      </c>
      <c r="M7" s="87">
        <f t="shared" si="3"/>
        <v>78113215</v>
      </c>
      <c r="N7" s="5">
        <v>218312</v>
      </c>
      <c r="O7" s="5">
        <v>997</v>
      </c>
      <c r="P7" s="5">
        <v>571953</v>
      </c>
      <c r="Q7" s="5">
        <v>2202</v>
      </c>
      <c r="R7" s="5">
        <v>14701</v>
      </c>
      <c r="S7" s="5">
        <v>292127</v>
      </c>
      <c r="T7" s="1">
        <v>0</v>
      </c>
      <c r="U7" s="1">
        <v>588</v>
      </c>
      <c r="V7" s="37">
        <f>'Economic (2020 Adj.)'!C19</f>
        <v>609770.30000000005</v>
      </c>
      <c r="W7" s="37">
        <f>'Economic (2020 Adj.)'!D19</f>
        <v>6540.8</v>
      </c>
      <c r="X7" s="37">
        <f>'Economic (2020 Adj.)'!F19</f>
        <v>2859.9</v>
      </c>
      <c r="Y7" s="37">
        <f>'Economic (2020 Adj.)'!H19</f>
        <v>367.2</v>
      </c>
      <c r="Z7" s="37">
        <f>'Economic (2020 Adj.)'!E19</f>
        <v>6578.9</v>
      </c>
      <c r="AA7" s="37">
        <f>'Economic (2020 Adj.)'!G19</f>
        <v>2867.7</v>
      </c>
      <c r="AB7" s="37">
        <f>'Economic (2020 Adj.)'!I19</f>
        <v>370.1</v>
      </c>
      <c r="AC7" s="39">
        <f>Weather!D139</f>
        <v>19.37</v>
      </c>
      <c r="AD7" s="39">
        <f>Weather!E139</f>
        <v>47.6</v>
      </c>
      <c r="AE7" s="39">
        <f>Weather!F139</f>
        <v>28.699999999999996</v>
      </c>
      <c r="AF7" s="39">
        <f>Weather!G139</f>
        <v>20.300000000000004</v>
      </c>
      <c r="AG7" s="39">
        <f>Weather!H139</f>
        <v>61.399999999999991</v>
      </c>
      <c r="AH7" s="39">
        <f>Weather!I139</f>
        <v>3.9000000000000004</v>
      </c>
      <c r="AI7" s="39">
        <f>Weather!J139</f>
        <v>105</v>
      </c>
      <c r="AJ7" s="39">
        <f>Weather!K139</f>
        <v>0</v>
      </c>
      <c r="AK7" s="39">
        <f>Weather!L139</f>
        <v>161.1</v>
      </c>
      <c r="AL7" s="39">
        <f>Weather!M139</f>
        <v>0</v>
      </c>
      <c r="AM7" s="39">
        <f>Weather!N139</f>
        <v>221.10000000000002</v>
      </c>
      <c r="AN7" s="39">
        <f>Weather!O139</f>
        <v>0</v>
      </c>
      <c r="AO7" s="39">
        <f>Weather!P139</f>
        <v>281.09999999999997</v>
      </c>
      <c r="AP7" s="39">
        <f>Weather!Q139</f>
        <v>0</v>
      </c>
      <c r="AQ7" s="39">
        <f>Weather!R139</f>
        <v>341.09999999999997</v>
      </c>
      <c r="AR7">
        <v>0</v>
      </c>
      <c r="AS7">
        <v>0</v>
      </c>
      <c r="AT7">
        <v>0</v>
      </c>
      <c r="AU7">
        <v>0</v>
      </c>
      <c r="AV7">
        <v>0</v>
      </c>
      <c r="AW7">
        <v>1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 s="1">
        <f t="shared" si="4"/>
        <v>6</v>
      </c>
      <c r="BH7">
        <v>30</v>
      </c>
      <c r="BI7">
        <v>22</v>
      </c>
      <c r="BJ7" s="160">
        <f t="shared" si="5"/>
        <v>891.44365064263354</v>
      </c>
      <c r="BK7" s="160">
        <f t="shared" si="6"/>
        <v>29.71478835475445</v>
      </c>
      <c r="BL7" s="159">
        <f t="shared" si="7"/>
        <v>1717782.2</v>
      </c>
      <c r="BM7" s="160">
        <f t="shared" si="8"/>
        <v>2884.3040594855306</v>
      </c>
      <c r="BN7" s="160">
        <f t="shared" si="9"/>
        <v>96.143468649517686</v>
      </c>
      <c r="BO7" s="160">
        <f t="shared" si="10"/>
        <v>478409.9</v>
      </c>
      <c r="BP7" s="160">
        <f t="shared" si="11"/>
        <v>78348.259779338012</v>
      </c>
      <c r="BQ7" s="160">
        <f t="shared" si="12"/>
        <v>2611.6086593112673</v>
      </c>
      <c r="BR7" s="160">
        <f t="shared" si="13"/>
        <v>3561.284535424455</v>
      </c>
      <c r="BS7" s="160">
        <f t="shared" si="14"/>
        <v>2603773.8333333335</v>
      </c>
      <c r="BT7" s="160">
        <f t="shared" si="15"/>
        <v>3550600.6818181816</v>
      </c>
    </row>
    <row r="8" spans="1:72" x14ac:dyDescent="0.2">
      <c r="A8" s="3">
        <v>40360</v>
      </c>
      <c r="B8" s="4">
        <f t="shared" si="0"/>
        <v>2010</v>
      </c>
      <c r="C8" s="2">
        <v>61497459</v>
      </c>
      <c r="D8" s="2">
        <f>VLOOKUP(B8,CDM!$I$5:$N$15,2,FALSE)/12</f>
        <v>0</v>
      </c>
      <c r="E8" s="2">
        <f t="shared" si="1"/>
        <v>61497459</v>
      </c>
      <c r="F8" s="7">
        <v>57987</v>
      </c>
      <c r="G8" s="5">
        <v>16022256</v>
      </c>
      <c r="H8" s="7">
        <v>4982</v>
      </c>
      <c r="I8" s="2">
        <f>VLOOKUP(B8,CDM!$I$5:$N$15,3,FALSE)/12</f>
        <v>0</v>
      </c>
      <c r="J8" s="2">
        <f t="shared" si="2"/>
        <v>16022256</v>
      </c>
      <c r="K8" s="5">
        <v>83811408</v>
      </c>
      <c r="L8" s="2">
        <f>VLOOKUP(B8,CDM!$I$5:$N$15,4,FALSE)/12</f>
        <v>0</v>
      </c>
      <c r="M8" s="87">
        <f t="shared" si="3"/>
        <v>83811408</v>
      </c>
      <c r="N8" s="5">
        <v>209550</v>
      </c>
      <c r="O8" s="7">
        <v>995</v>
      </c>
      <c r="P8" s="5">
        <v>612762</v>
      </c>
      <c r="Q8" s="5">
        <v>2202</v>
      </c>
      <c r="R8" s="7">
        <v>14701</v>
      </c>
      <c r="S8" s="5">
        <v>292850</v>
      </c>
      <c r="T8" s="1">
        <v>0</v>
      </c>
      <c r="U8" s="1">
        <v>611</v>
      </c>
      <c r="V8" s="37">
        <f>'Economic (2020 Adj.)'!C20</f>
        <v>609770.30000000005</v>
      </c>
      <c r="W8" s="37">
        <f>'Economic (2020 Adj.)'!D20</f>
        <v>6561</v>
      </c>
      <c r="X8" s="37">
        <f>'Economic (2020 Adj.)'!F20</f>
        <v>2878.7</v>
      </c>
      <c r="Y8" s="37">
        <f>'Economic (2020 Adj.)'!H20</f>
        <v>372.2</v>
      </c>
      <c r="Z8" s="37">
        <f>'Economic (2020 Adj.)'!E20</f>
        <v>6640.9</v>
      </c>
      <c r="AA8" s="37">
        <f>'Economic (2020 Adj.)'!G20</f>
        <v>2899.6</v>
      </c>
      <c r="AB8" s="37">
        <f>'Economic (2020 Adj.)'!I20</f>
        <v>375.7</v>
      </c>
      <c r="AC8" s="39">
        <f>Weather!D140</f>
        <v>23.412903225806449</v>
      </c>
      <c r="AD8" s="39">
        <f>Weather!E140</f>
        <v>6.2000000000000028</v>
      </c>
      <c r="AE8" s="39">
        <f>Weather!F140</f>
        <v>112</v>
      </c>
      <c r="AF8" s="39">
        <f>Weather!G140</f>
        <v>0.60000000000000142</v>
      </c>
      <c r="AG8" s="39">
        <f>Weather!H140</f>
        <v>168.40000000000003</v>
      </c>
      <c r="AH8" s="39">
        <f>Weather!I140</f>
        <v>0</v>
      </c>
      <c r="AI8" s="39">
        <f>Weather!J140</f>
        <v>229.8</v>
      </c>
      <c r="AJ8" s="39">
        <f>Weather!K140</f>
        <v>0</v>
      </c>
      <c r="AK8" s="39">
        <f>Weather!L140</f>
        <v>291.7999999999999</v>
      </c>
      <c r="AL8" s="39">
        <f>Weather!M140</f>
        <v>0</v>
      </c>
      <c r="AM8" s="39">
        <f>Weather!N140</f>
        <v>353.7999999999999</v>
      </c>
      <c r="AN8" s="39">
        <f>Weather!O140</f>
        <v>0</v>
      </c>
      <c r="AO8" s="39">
        <f>Weather!P140</f>
        <v>415.7999999999999</v>
      </c>
      <c r="AP8" s="39">
        <f>Weather!Q140</f>
        <v>0</v>
      </c>
      <c r="AQ8" s="39">
        <f>Weather!R140</f>
        <v>477.7999999999999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1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 s="1">
        <f t="shared" si="4"/>
        <v>7</v>
      </c>
      <c r="BH8">
        <v>31</v>
      </c>
      <c r="BI8">
        <v>21</v>
      </c>
      <c r="BJ8" s="160">
        <f t="shared" si="5"/>
        <v>1060.5387241968028</v>
      </c>
      <c r="BK8" s="160">
        <f t="shared" si="6"/>
        <v>34.210926586993637</v>
      </c>
      <c r="BL8" s="159">
        <f t="shared" si="7"/>
        <v>1983789</v>
      </c>
      <c r="BM8" s="160">
        <f t="shared" si="8"/>
        <v>3216.0289040545968</v>
      </c>
      <c r="BN8" s="160">
        <f t="shared" si="9"/>
        <v>103.74286787272892</v>
      </c>
      <c r="BO8" s="160">
        <f t="shared" si="10"/>
        <v>516846.96774193546</v>
      </c>
      <c r="BP8" s="160">
        <f t="shared" si="11"/>
        <v>84232.570854271355</v>
      </c>
      <c r="BQ8" s="160">
        <f t="shared" si="12"/>
        <v>2717.1797049764955</v>
      </c>
      <c r="BR8" s="160">
        <f t="shared" si="13"/>
        <v>4011.0748025843504</v>
      </c>
      <c r="BS8" s="160">
        <f t="shared" si="14"/>
        <v>2703593.8064516131</v>
      </c>
      <c r="BT8" s="160">
        <f t="shared" si="15"/>
        <v>3991019.4285714286</v>
      </c>
    </row>
    <row r="9" spans="1:72" x14ac:dyDescent="0.2">
      <c r="A9" s="3">
        <v>40391</v>
      </c>
      <c r="B9" s="4">
        <f t="shared" si="0"/>
        <v>2010</v>
      </c>
      <c r="C9" s="2">
        <v>57219511</v>
      </c>
      <c r="D9" s="2">
        <f>VLOOKUP(B9,CDM!$I$5:$N$15,2,FALSE)/12</f>
        <v>0</v>
      </c>
      <c r="E9" s="2">
        <f t="shared" si="1"/>
        <v>57219511</v>
      </c>
      <c r="F9" s="7">
        <v>58018</v>
      </c>
      <c r="G9" s="5">
        <v>15750964</v>
      </c>
      <c r="H9" s="7">
        <v>4983</v>
      </c>
      <c r="I9" s="2">
        <f>VLOOKUP(B9,CDM!$I$5:$N$15,3,FALSE)/12</f>
        <v>0</v>
      </c>
      <c r="J9" s="2">
        <f t="shared" si="2"/>
        <v>15750964</v>
      </c>
      <c r="K9" s="5">
        <v>83014987</v>
      </c>
      <c r="L9" s="2">
        <f>VLOOKUP(B9,CDM!$I$5:$N$15,4,FALSE)/12</f>
        <v>0</v>
      </c>
      <c r="M9" s="87">
        <f t="shared" si="3"/>
        <v>83014987</v>
      </c>
      <c r="N9" s="5">
        <v>213330</v>
      </c>
      <c r="O9" s="7">
        <v>998</v>
      </c>
      <c r="P9" s="5">
        <v>688288</v>
      </c>
      <c r="Q9" s="5">
        <v>2202</v>
      </c>
      <c r="R9" s="7">
        <v>14701</v>
      </c>
      <c r="S9" s="5">
        <v>292538</v>
      </c>
      <c r="T9" s="1">
        <v>0</v>
      </c>
      <c r="U9" s="1">
        <v>605</v>
      </c>
      <c r="V9" s="37">
        <f>'Economic (2020 Adj.)'!C21</f>
        <v>609770.30000000005</v>
      </c>
      <c r="W9" s="37">
        <f>'Economic (2020 Adj.)'!D21</f>
        <v>6568.9</v>
      </c>
      <c r="X9" s="37">
        <f>'Economic (2020 Adj.)'!F21</f>
        <v>2895.3</v>
      </c>
      <c r="Y9" s="37">
        <f>'Economic (2020 Adj.)'!H21</f>
        <v>377</v>
      </c>
      <c r="Z9" s="37">
        <f>'Economic (2020 Adj.)'!E21</f>
        <v>6662.6</v>
      </c>
      <c r="AA9" s="37">
        <f>'Economic (2020 Adj.)'!G21</f>
        <v>2928.4</v>
      </c>
      <c r="AB9" s="37">
        <f>'Economic (2020 Adj.)'!I21</f>
        <v>379.1</v>
      </c>
      <c r="AC9" s="39">
        <f>Weather!D141</f>
        <v>22.700000000000003</v>
      </c>
      <c r="AD9" s="39">
        <f>Weather!E141</f>
        <v>6.1000000000000014</v>
      </c>
      <c r="AE9" s="39">
        <f>Weather!F141</f>
        <v>89.800000000000011</v>
      </c>
      <c r="AF9" s="39">
        <f>Weather!G141</f>
        <v>0</v>
      </c>
      <c r="AG9" s="39">
        <f>Weather!H141</f>
        <v>145.69999999999996</v>
      </c>
      <c r="AH9" s="39">
        <f>Weather!I141</f>
        <v>0</v>
      </c>
      <c r="AI9" s="39">
        <f>Weather!J141</f>
        <v>207.7</v>
      </c>
      <c r="AJ9" s="39">
        <f>Weather!K141</f>
        <v>0</v>
      </c>
      <c r="AK9" s="39">
        <f>Weather!L141</f>
        <v>269.7</v>
      </c>
      <c r="AL9" s="39">
        <f>Weather!M141</f>
        <v>0</v>
      </c>
      <c r="AM9" s="39">
        <f>Weather!N141</f>
        <v>331.7</v>
      </c>
      <c r="AN9" s="39">
        <f>Weather!O141</f>
        <v>0</v>
      </c>
      <c r="AO9" s="39">
        <f>Weather!P141</f>
        <v>393.70000000000005</v>
      </c>
      <c r="AP9" s="39">
        <f>Weather!Q141</f>
        <v>0</v>
      </c>
      <c r="AQ9" s="39">
        <f>Weather!R141</f>
        <v>455.7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1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 s="1">
        <f t="shared" si="4"/>
        <v>8</v>
      </c>
      <c r="BH9">
        <v>31</v>
      </c>
      <c r="BI9">
        <v>21</v>
      </c>
      <c r="BJ9" s="160">
        <f t="shared" si="5"/>
        <v>986.23721948360856</v>
      </c>
      <c r="BK9" s="160">
        <f t="shared" si="6"/>
        <v>31.814103854309952</v>
      </c>
      <c r="BL9" s="159">
        <f t="shared" si="7"/>
        <v>1845790.6774193549</v>
      </c>
      <c r="BM9" s="160">
        <f t="shared" si="8"/>
        <v>3160.9399959863536</v>
      </c>
      <c r="BN9" s="160">
        <f t="shared" si="9"/>
        <v>101.96580632214044</v>
      </c>
      <c r="BO9" s="160">
        <f t="shared" si="10"/>
        <v>508095.61290322582</v>
      </c>
      <c r="BP9" s="160">
        <f t="shared" si="11"/>
        <v>83181.349699398794</v>
      </c>
      <c r="BQ9" s="160">
        <f t="shared" si="12"/>
        <v>2683.2693451418968</v>
      </c>
      <c r="BR9" s="160">
        <f t="shared" si="13"/>
        <v>3961.0166523523235</v>
      </c>
      <c r="BS9" s="160">
        <f t="shared" si="14"/>
        <v>2677902.8064516131</v>
      </c>
      <c r="BT9" s="160">
        <f t="shared" si="15"/>
        <v>3953094.6190476189</v>
      </c>
    </row>
    <row r="10" spans="1:72" x14ac:dyDescent="0.2">
      <c r="A10" s="3">
        <v>40422</v>
      </c>
      <c r="B10" s="4">
        <f t="shared" si="0"/>
        <v>2010</v>
      </c>
      <c r="C10" s="2">
        <v>45833578</v>
      </c>
      <c r="D10" s="2">
        <f>VLOOKUP(B10,CDM!$I$5:$N$15,2,FALSE)/12</f>
        <v>0</v>
      </c>
      <c r="E10" s="2">
        <f t="shared" si="1"/>
        <v>45833578</v>
      </c>
      <c r="F10" s="5">
        <v>58071</v>
      </c>
      <c r="G10" s="5">
        <v>13403453</v>
      </c>
      <c r="H10" s="5">
        <v>4981</v>
      </c>
      <c r="I10" s="2">
        <f>VLOOKUP(B10,CDM!$I$5:$N$15,3,FALSE)/12</f>
        <v>0</v>
      </c>
      <c r="J10" s="2">
        <f t="shared" si="2"/>
        <v>13403453</v>
      </c>
      <c r="K10" s="5">
        <v>73574953</v>
      </c>
      <c r="L10" s="2">
        <f>VLOOKUP(B10,CDM!$I$5:$N$15,4,FALSE)/12</f>
        <v>0</v>
      </c>
      <c r="M10" s="87">
        <f t="shared" si="3"/>
        <v>73574953</v>
      </c>
      <c r="N10" s="5">
        <v>223610</v>
      </c>
      <c r="O10" s="5">
        <v>1000</v>
      </c>
      <c r="P10" s="5">
        <v>759741</v>
      </c>
      <c r="Q10" s="5">
        <v>2202</v>
      </c>
      <c r="R10" s="5">
        <v>14701</v>
      </c>
      <c r="S10" s="5">
        <v>292222</v>
      </c>
      <c r="T10" s="1">
        <v>0</v>
      </c>
      <c r="U10" s="1">
        <v>605</v>
      </c>
      <c r="V10" s="37">
        <f>'Economic (2020 Adj.)'!C22</f>
        <v>609770.30000000005</v>
      </c>
      <c r="W10" s="37">
        <f>'Economic (2020 Adj.)'!D22</f>
        <v>6556</v>
      </c>
      <c r="X10" s="37">
        <f>'Economic (2020 Adj.)'!F22</f>
        <v>2891.8</v>
      </c>
      <c r="Y10" s="37">
        <f>'Economic (2020 Adj.)'!H22</f>
        <v>377.3</v>
      </c>
      <c r="Z10" s="37">
        <f>'Economic (2020 Adj.)'!E22</f>
        <v>6611.2</v>
      </c>
      <c r="AA10" s="37">
        <f>'Economic (2020 Adj.)'!G22</f>
        <v>2912</v>
      </c>
      <c r="AB10" s="37">
        <f>'Economic (2020 Adj.)'!I22</f>
        <v>376.7</v>
      </c>
      <c r="AC10" s="39">
        <f>Weather!D142</f>
        <v>16.953333333333333</v>
      </c>
      <c r="AD10" s="39">
        <f>Weather!E142</f>
        <v>113.9</v>
      </c>
      <c r="AE10" s="39">
        <f>Weather!F142</f>
        <v>22.5</v>
      </c>
      <c r="AF10" s="39">
        <f>Weather!G142</f>
        <v>67.499999999999986</v>
      </c>
      <c r="AG10" s="39">
        <f>Weather!H142</f>
        <v>36.1</v>
      </c>
      <c r="AH10" s="39">
        <f>Weather!I142</f>
        <v>28.200000000000003</v>
      </c>
      <c r="AI10" s="39">
        <f>Weather!J142</f>
        <v>56.8</v>
      </c>
      <c r="AJ10" s="39">
        <f>Weather!K142</f>
        <v>5.7999999999999989</v>
      </c>
      <c r="AK10" s="39">
        <f>Weather!L142</f>
        <v>94.4</v>
      </c>
      <c r="AL10" s="39">
        <f>Weather!M142</f>
        <v>9.9999999999999645E-2</v>
      </c>
      <c r="AM10" s="39">
        <f>Weather!N142</f>
        <v>148.70000000000002</v>
      </c>
      <c r="AN10" s="39">
        <f>Weather!O142</f>
        <v>0</v>
      </c>
      <c r="AO10" s="39">
        <f>Weather!P142</f>
        <v>208.60000000000002</v>
      </c>
      <c r="AP10" s="39">
        <f>Weather!Q142</f>
        <v>0</v>
      </c>
      <c r="AQ10" s="39">
        <f>Weather!R142</f>
        <v>268.59999999999997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1</v>
      </c>
      <c r="BA10">
        <v>0</v>
      </c>
      <c r="BB10">
        <v>0</v>
      </c>
      <c r="BC10">
        <v>0</v>
      </c>
      <c r="BD10">
        <v>0</v>
      </c>
      <c r="BE10">
        <v>1</v>
      </c>
      <c r="BF10">
        <v>1</v>
      </c>
      <c r="BG10" s="1">
        <f t="shared" si="4"/>
        <v>9</v>
      </c>
      <c r="BH10">
        <v>30</v>
      </c>
      <c r="BI10">
        <v>21</v>
      </c>
      <c r="BJ10" s="160">
        <f t="shared" si="5"/>
        <v>789.26793063663445</v>
      </c>
      <c r="BK10" s="160">
        <f t="shared" si="6"/>
        <v>26.308931021221149</v>
      </c>
      <c r="BL10" s="159">
        <f t="shared" si="7"/>
        <v>1527785.9333333333</v>
      </c>
      <c r="BM10" s="160">
        <f t="shared" si="8"/>
        <v>2690.9160811082111</v>
      </c>
      <c r="BN10" s="160">
        <f t="shared" si="9"/>
        <v>89.697202703607033</v>
      </c>
      <c r="BO10" s="160">
        <f t="shared" si="10"/>
        <v>446781.76666666666</v>
      </c>
      <c r="BP10" s="160">
        <f t="shared" si="11"/>
        <v>73574.952999999994</v>
      </c>
      <c r="BQ10" s="160">
        <f t="shared" si="12"/>
        <v>2452.4984333333332</v>
      </c>
      <c r="BR10" s="160">
        <f t="shared" si="13"/>
        <v>3503.5691904761902</v>
      </c>
      <c r="BS10" s="160">
        <f t="shared" si="14"/>
        <v>2452498.4333333331</v>
      </c>
      <c r="BT10" s="160">
        <f t="shared" si="15"/>
        <v>3503569.1904761903</v>
      </c>
    </row>
    <row r="11" spans="1:72" x14ac:dyDescent="0.2">
      <c r="A11" s="3">
        <v>40452</v>
      </c>
      <c r="B11" s="4">
        <f t="shared" si="0"/>
        <v>2010</v>
      </c>
      <c r="C11" s="2">
        <v>41340554</v>
      </c>
      <c r="D11" s="2">
        <f>VLOOKUP(B11,CDM!$I$5:$N$15,2,FALSE)/12</f>
        <v>0</v>
      </c>
      <c r="E11" s="2">
        <f t="shared" si="1"/>
        <v>41340554</v>
      </c>
      <c r="F11" s="7">
        <v>58121</v>
      </c>
      <c r="G11" s="5">
        <v>13142565</v>
      </c>
      <c r="H11" s="7">
        <v>4981</v>
      </c>
      <c r="I11" s="2">
        <f>VLOOKUP(B11,CDM!$I$5:$N$15,3,FALSE)/12</f>
        <v>0</v>
      </c>
      <c r="J11" s="2">
        <f t="shared" si="2"/>
        <v>13142565</v>
      </c>
      <c r="K11" s="5">
        <v>71065323</v>
      </c>
      <c r="L11" s="2">
        <f>VLOOKUP(B11,CDM!$I$5:$N$15,4,FALSE)/12</f>
        <v>0</v>
      </c>
      <c r="M11" s="87">
        <f t="shared" si="3"/>
        <v>71065323</v>
      </c>
      <c r="N11" s="5">
        <v>210107</v>
      </c>
      <c r="O11" s="7">
        <v>1006</v>
      </c>
      <c r="P11" s="5">
        <v>885728</v>
      </c>
      <c r="Q11" s="5">
        <v>2202</v>
      </c>
      <c r="R11" s="7">
        <v>14701</v>
      </c>
      <c r="S11" s="5">
        <v>292554</v>
      </c>
      <c r="T11" s="1">
        <v>0</v>
      </c>
      <c r="U11" s="1">
        <v>605</v>
      </c>
      <c r="V11" s="37">
        <f>'Economic (2020 Adj.)'!C23</f>
        <v>609770.30000000005</v>
      </c>
      <c r="W11" s="37">
        <f>'Economic (2020 Adj.)'!D23</f>
        <v>6551.6</v>
      </c>
      <c r="X11" s="37">
        <f>'Economic (2020 Adj.)'!F23</f>
        <v>2893.7</v>
      </c>
      <c r="Y11" s="37">
        <f>'Economic (2020 Adj.)'!H23</f>
        <v>373.6</v>
      </c>
      <c r="Z11" s="37">
        <f>'Economic (2020 Adj.)'!E23</f>
        <v>6587.1</v>
      </c>
      <c r="AA11" s="37">
        <f>'Economic (2020 Adj.)'!G23</f>
        <v>2907.8</v>
      </c>
      <c r="AB11" s="37">
        <f>'Economic (2020 Adj.)'!I23</f>
        <v>372.9</v>
      </c>
      <c r="AC11" s="39">
        <f>Weather!D143</f>
        <v>11.558064516129031</v>
      </c>
      <c r="AD11" s="39">
        <f>Weather!E143</f>
        <v>261.7</v>
      </c>
      <c r="AE11" s="39">
        <f>Weather!F143</f>
        <v>0</v>
      </c>
      <c r="AF11" s="39">
        <f>Weather!G143</f>
        <v>199.9</v>
      </c>
      <c r="AG11" s="39">
        <f>Weather!H143</f>
        <v>0.19999999999999929</v>
      </c>
      <c r="AH11" s="39">
        <f>Weather!I143</f>
        <v>141.1</v>
      </c>
      <c r="AI11" s="39">
        <f>Weather!J143</f>
        <v>3.4000000000000021</v>
      </c>
      <c r="AJ11" s="39">
        <f>Weather!K143</f>
        <v>89.199999999999989</v>
      </c>
      <c r="AK11" s="39">
        <f>Weather!L143</f>
        <v>13.500000000000002</v>
      </c>
      <c r="AL11" s="39">
        <f>Weather!M143</f>
        <v>44.2</v>
      </c>
      <c r="AM11" s="39">
        <f>Weather!N143</f>
        <v>30.5</v>
      </c>
      <c r="AN11" s="39">
        <f>Weather!O143</f>
        <v>16</v>
      </c>
      <c r="AO11" s="39">
        <f>Weather!P143</f>
        <v>64.3</v>
      </c>
      <c r="AP11" s="39">
        <f>Weather!Q143</f>
        <v>5.8999999999999995</v>
      </c>
      <c r="AQ11" s="39">
        <f>Weather!R143</f>
        <v>116.20000000000002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1</v>
      </c>
      <c r="BB11">
        <v>0</v>
      </c>
      <c r="BC11">
        <v>0</v>
      </c>
      <c r="BD11">
        <v>0</v>
      </c>
      <c r="BE11">
        <v>1</v>
      </c>
      <c r="BF11">
        <v>1</v>
      </c>
      <c r="BG11" s="1">
        <f t="shared" si="4"/>
        <v>10</v>
      </c>
      <c r="BH11">
        <v>31</v>
      </c>
      <c r="BI11">
        <v>20</v>
      </c>
      <c r="BJ11" s="160">
        <f t="shared" si="5"/>
        <v>711.28428623045022</v>
      </c>
      <c r="BK11" s="160">
        <f t="shared" si="6"/>
        <v>22.944654394530652</v>
      </c>
      <c r="BL11" s="159">
        <f t="shared" si="7"/>
        <v>1333566.2580645161</v>
      </c>
      <c r="BM11" s="160">
        <f t="shared" si="8"/>
        <v>2638.5394499096565</v>
      </c>
      <c r="BN11" s="160">
        <f t="shared" si="9"/>
        <v>85.114175803537307</v>
      </c>
      <c r="BO11" s="160">
        <f t="shared" si="10"/>
        <v>423953.70967741933</v>
      </c>
      <c r="BP11" s="160">
        <f t="shared" si="11"/>
        <v>70641.474155069576</v>
      </c>
      <c r="BQ11" s="160">
        <f t="shared" si="12"/>
        <v>2278.757230808696</v>
      </c>
      <c r="BR11" s="160">
        <f t="shared" si="13"/>
        <v>3532.0737077534786</v>
      </c>
      <c r="BS11" s="160">
        <f t="shared" si="14"/>
        <v>2292429.7741935486</v>
      </c>
      <c r="BT11" s="160">
        <f t="shared" si="15"/>
        <v>3553266.15</v>
      </c>
    </row>
    <row r="12" spans="1:72" x14ac:dyDescent="0.2">
      <c r="A12" s="3">
        <v>40483</v>
      </c>
      <c r="B12" s="4">
        <f t="shared" si="0"/>
        <v>2010</v>
      </c>
      <c r="C12" s="2">
        <v>39815993</v>
      </c>
      <c r="D12" s="2">
        <f>VLOOKUP(B12,CDM!$I$5:$N$15,2,FALSE)/12</f>
        <v>0</v>
      </c>
      <c r="E12" s="2">
        <f t="shared" si="1"/>
        <v>39815993</v>
      </c>
      <c r="F12" s="7">
        <v>58162</v>
      </c>
      <c r="G12" s="5">
        <v>13574075</v>
      </c>
      <c r="H12" s="7">
        <v>5023</v>
      </c>
      <c r="I12" s="2">
        <f>VLOOKUP(B12,CDM!$I$5:$N$15,3,FALSE)/12</f>
        <v>0</v>
      </c>
      <c r="J12" s="2">
        <f t="shared" si="2"/>
        <v>13574075</v>
      </c>
      <c r="K12" s="5">
        <v>71655511</v>
      </c>
      <c r="L12" s="2">
        <f>VLOOKUP(B12,CDM!$I$5:$N$15,4,FALSE)/12</f>
        <v>0</v>
      </c>
      <c r="M12" s="87">
        <f t="shared" si="3"/>
        <v>71655511</v>
      </c>
      <c r="N12" s="5">
        <v>196628</v>
      </c>
      <c r="O12" s="7">
        <v>1007</v>
      </c>
      <c r="P12" s="5">
        <v>943199</v>
      </c>
      <c r="Q12" s="5">
        <v>2202</v>
      </c>
      <c r="R12" s="7">
        <v>14701</v>
      </c>
      <c r="S12" s="5">
        <v>292222</v>
      </c>
      <c r="T12" s="1">
        <v>0</v>
      </c>
      <c r="U12" s="1">
        <v>605</v>
      </c>
      <c r="V12" s="37">
        <f>'Economic (2020 Adj.)'!C24</f>
        <v>609770.30000000005</v>
      </c>
      <c r="W12" s="37">
        <f>'Economic (2020 Adj.)'!D24</f>
        <v>6555.7</v>
      </c>
      <c r="X12" s="37">
        <f>'Economic (2020 Adj.)'!F24</f>
        <v>2893.6</v>
      </c>
      <c r="Y12" s="37">
        <f>'Economic (2020 Adj.)'!H24</f>
        <v>372.3</v>
      </c>
      <c r="Z12" s="37">
        <f>'Economic (2020 Adj.)'!E24</f>
        <v>6566.6</v>
      </c>
      <c r="AA12" s="37">
        <f>'Economic (2020 Adj.)'!G24</f>
        <v>2895.2</v>
      </c>
      <c r="AB12" s="37">
        <f>'Economic (2020 Adj.)'!I24</f>
        <v>371.5</v>
      </c>
      <c r="AC12" s="39">
        <f>Weather!D144</f>
        <v>5.2633333333333336</v>
      </c>
      <c r="AD12" s="39">
        <f>Weather!E144</f>
        <v>442.09999999999997</v>
      </c>
      <c r="AE12" s="39">
        <f>Weather!F144</f>
        <v>0</v>
      </c>
      <c r="AF12" s="39">
        <f>Weather!G144</f>
        <v>382.09999999999997</v>
      </c>
      <c r="AG12" s="39">
        <f>Weather!H144</f>
        <v>0</v>
      </c>
      <c r="AH12" s="39">
        <f>Weather!I144</f>
        <v>322.09999999999997</v>
      </c>
      <c r="AI12" s="39">
        <f>Weather!J144</f>
        <v>0</v>
      </c>
      <c r="AJ12" s="39">
        <f>Weather!K144</f>
        <v>262.10000000000002</v>
      </c>
      <c r="AK12" s="39">
        <f>Weather!L144</f>
        <v>0</v>
      </c>
      <c r="AL12" s="39">
        <f>Weather!M144</f>
        <v>202.7</v>
      </c>
      <c r="AM12" s="39">
        <f>Weather!N144</f>
        <v>0.59999999999999964</v>
      </c>
      <c r="AN12" s="39">
        <f>Weather!O144</f>
        <v>144.99999999999997</v>
      </c>
      <c r="AO12" s="39">
        <f>Weather!P144</f>
        <v>2.9000000000000004</v>
      </c>
      <c r="AP12" s="39">
        <f>Weather!Q144</f>
        <v>91</v>
      </c>
      <c r="AQ12" s="39">
        <f>Weather!R144</f>
        <v>8.9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1</v>
      </c>
      <c r="BC12">
        <v>0</v>
      </c>
      <c r="BD12">
        <v>0</v>
      </c>
      <c r="BE12">
        <v>1</v>
      </c>
      <c r="BF12">
        <v>1</v>
      </c>
      <c r="BG12" s="1">
        <f t="shared" si="4"/>
        <v>11</v>
      </c>
      <c r="BH12">
        <v>30</v>
      </c>
      <c r="BI12">
        <v>22</v>
      </c>
      <c r="BJ12" s="160">
        <f t="shared" si="5"/>
        <v>684.57056153502288</v>
      </c>
      <c r="BK12" s="160">
        <f t="shared" si="6"/>
        <v>22.819018717834094</v>
      </c>
      <c r="BL12" s="159">
        <f t="shared" si="7"/>
        <v>1327199.7666666666</v>
      </c>
      <c r="BM12" s="160">
        <f t="shared" si="8"/>
        <v>2702.3840334461479</v>
      </c>
      <c r="BN12" s="160">
        <f t="shared" si="9"/>
        <v>90.07946778153827</v>
      </c>
      <c r="BO12" s="160">
        <f t="shared" si="10"/>
        <v>452469.16666666669</v>
      </c>
      <c r="BP12" s="160">
        <f t="shared" si="11"/>
        <v>71157.40913604766</v>
      </c>
      <c r="BQ12" s="160">
        <f t="shared" si="12"/>
        <v>2371.9136378682551</v>
      </c>
      <c r="BR12" s="160">
        <f t="shared" si="13"/>
        <v>3234.4276880021662</v>
      </c>
      <c r="BS12" s="160">
        <f t="shared" si="14"/>
        <v>2388517.0333333332</v>
      </c>
      <c r="BT12" s="160">
        <f t="shared" si="15"/>
        <v>3257068.6818181816</v>
      </c>
    </row>
    <row r="13" spans="1:72" x14ac:dyDescent="0.2">
      <c r="A13" s="3">
        <v>40513</v>
      </c>
      <c r="B13" s="4">
        <f t="shared" si="0"/>
        <v>2010</v>
      </c>
      <c r="C13" s="2">
        <v>47209999</v>
      </c>
      <c r="D13" s="2">
        <f>VLOOKUP(B13,CDM!$I$5:$N$15,2,FALSE)/12</f>
        <v>0</v>
      </c>
      <c r="E13" s="2">
        <f t="shared" si="1"/>
        <v>47209999</v>
      </c>
      <c r="F13" s="5">
        <v>58247</v>
      </c>
      <c r="G13" s="5">
        <v>15142180</v>
      </c>
      <c r="H13" s="5">
        <v>5036</v>
      </c>
      <c r="I13" s="2">
        <f>VLOOKUP(B13,CDM!$I$5:$N$15,3,FALSE)/12</f>
        <v>0</v>
      </c>
      <c r="J13" s="2">
        <f t="shared" si="2"/>
        <v>15142180</v>
      </c>
      <c r="K13" s="5">
        <v>74889412</v>
      </c>
      <c r="L13" s="2">
        <f>VLOOKUP(B13,CDM!$I$5:$N$15,4,FALSE)/12</f>
        <v>0</v>
      </c>
      <c r="M13" s="87">
        <f t="shared" si="3"/>
        <v>74889412</v>
      </c>
      <c r="N13" s="5">
        <v>174261</v>
      </c>
      <c r="O13" s="5">
        <v>1013</v>
      </c>
      <c r="P13" s="5">
        <v>1048047</v>
      </c>
      <c r="Q13" s="5">
        <v>2259</v>
      </c>
      <c r="R13" s="5">
        <v>14701</v>
      </c>
      <c r="S13" s="5">
        <v>294842</v>
      </c>
      <c r="T13" s="1">
        <v>0</v>
      </c>
      <c r="U13" s="1">
        <v>601</v>
      </c>
      <c r="V13" s="37">
        <f>'Economic (2020 Adj.)'!C25</f>
        <v>609770.30000000005</v>
      </c>
      <c r="W13" s="37">
        <f>'Economic (2020 Adj.)'!D25</f>
        <v>6578.3</v>
      </c>
      <c r="X13" s="37">
        <f>'Economic (2020 Adj.)'!F25</f>
        <v>2918.5</v>
      </c>
      <c r="Y13" s="37">
        <f>'Economic (2020 Adj.)'!H25</f>
        <v>370.9</v>
      </c>
      <c r="Z13" s="37">
        <f>'Economic (2020 Adj.)'!E25</f>
        <v>6584.1</v>
      </c>
      <c r="AA13" s="37">
        <f>'Economic (2020 Adj.)'!G25</f>
        <v>2927.8</v>
      </c>
      <c r="AB13" s="37">
        <f>'Economic (2020 Adj.)'!I25</f>
        <v>370.2</v>
      </c>
      <c r="AC13" s="39">
        <f>Weather!D145</f>
        <v>-2.4387096774193551</v>
      </c>
      <c r="AD13" s="39">
        <f>Weather!E145</f>
        <v>695.6</v>
      </c>
      <c r="AE13" s="39">
        <f>Weather!F145</f>
        <v>0</v>
      </c>
      <c r="AF13" s="39">
        <f>Weather!G145</f>
        <v>633.6</v>
      </c>
      <c r="AG13" s="39">
        <f>Weather!H145</f>
        <v>0</v>
      </c>
      <c r="AH13" s="39">
        <f>Weather!I145</f>
        <v>571.6</v>
      </c>
      <c r="AI13" s="39">
        <f>Weather!J145</f>
        <v>0</v>
      </c>
      <c r="AJ13" s="39">
        <f>Weather!K145</f>
        <v>509.6</v>
      </c>
      <c r="AK13" s="39">
        <f>Weather!L145</f>
        <v>0</v>
      </c>
      <c r="AL13" s="39">
        <f>Weather!M145</f>
        <v>447.59999999999997</v>
      </c>
      <c r="AM13" s="39">
        <f>Weather!N145</f>
        <v>0</v>
      </c>
      <c r="AN13" s="39">
        <f>Weather!O145</f>
        <v>385.59999999999997</v>
      </c>
      <c r="AO13" s="39">
        <f>Weather!P145</f>
        <v>0</v>
      </c>
      <c r="AP13" s="39">
        <f>Weather!Q145</f>
        <v>323.89999999999998</v>
      </c>
      <c r="AQ13" s="39">
        <f>Weather!R145</f>
        <v>0.30000000000000071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1</v>
      </c>
      <c r="BD13">
        <v>0</v>
      </c>
      <c r="BE13">
        <v>0</v>
      </c>
      <c r="BF13">
        <v>0</v>
      </c>
      <c r="BG13" s="1">
        <f t="shared" si="4"/>
        <v>12</v>
      </c>
      <c r="BH13">
        <v>31</v>
      </c>
      <c r="BI13">
        <v>21</v>
      </c>
      <c r="BJ13" s="160">
        <f t="shared" si="5"/>
        <v>810.51382903840545</v>
      </c>
      <c r="BK13" s="160">
        <f t="shared" si="6"/>
        <v>26.145607388335659</v>
      </c>
      <c r="BL13" s="159">
        <f t="shared" si="7"/>
        <v>1522903.1935483871</v>
      </c>
      <c r="BM13" s="160">
        <f t="shared" si="8"/>
        <v>3006.7871326449563</v>
      </c>
      <c r="BN13" s="160">
        <f t="shared" si="9"/>
        <v>96.993133311127622</v>
      </c>
      <c r="BO13" s="160">
        <f t="shared" si="10"/>
        <v>488457.41935483873</v>
      </c>
      <c r="BP13" s="160">
        <f t="shared" si="11"/>
        <v>73928.343534057261</v>
      </c>
      <c r="BQ13" s="160">
        <f t="shared" si="12"/>
        <v>2384.7852752921699</v>
      </c>
      <c r="BR13" s="160">
        <f t="shared" si="13"/>
        <v>3520.3973111455839</v>
      </c>
      <c r="BS13" s="160">
        <f t="shared" si="14"/>
        <v>2415787.4838709678</v>
      </c>
      <c r="BT13" s="160">
        <f t="shared" si="15"/>
        <v>3566162.4761904762</v>
      </c>
    </row>
    <row r="14" spans="1:72" x14ac:dyDescent="0.2">
      <c r="A14" s="3">
        <v>40544</v>
      </c>
      <c r="B14" s="4">
        <f t="shared" si="0"/>
        <v>2011</v>
      </c>
      <c r="C14" s="2">
        <v>49366174</v>
      </c>
      <c r="D14" s="2">
        <f>VLOOKUP(B14,CDM!$I$5:$N$15,2,FALSE)/12</f>
        <v>90742.476147318026</v>
      </c>
      <c r="E14" s="2">
        <f t="shared" si="1"/>
        <v>49456916.476147316</v>
      </c>
      <c r="F14" s="7">
        <v>58273</v>
      </c>
      <c r="G14" s="5">
        <v>15948894</v>
      </c>
      <c r="H14" s="7">
        <v>5045</v>
      </c>
      <c r="I14" s="2">
        <f>VLOOKUP(B14,CDM!$I$5:$N$15,3,FALSE)/12</f>
        <v>46233.334936942432</v>
      </c>
      <c r="J14" s="2">
        <f t="shared" si="2"/>
        <v>15995127.334936943</v>
      </c>
      <c r="K14" s="5">
        <v>79314255</v>
      </c>
      <c r="L14" s="2">
        <f>VLOOKUP(B14,CDM!$I$5:$N$15,4,FALSE)/12</f>
        <v>184951.0927690852</v>
      </c>
      <c r="M14" s="87">
        <f t="shared" si="3"/>
        <v>79499206.092769086</v>
      </c>
      <c r="N14" s="5">
        <v>192635</v>
      </c>
      <c r="O14" s="7">
        <v>1021</v>
      </c>
      <c r="P14" s="5">
        <v>1026582</v>
      </c>
      <c r="Q14" s="5">
        <v>2268</v>
      </c>
      <c r="R14" s="7">
        <v>14927</v>
      </c>
      <c r="S14" s="5">
        <v>292859</v>
      </c>
      <c r="T14" s="1">
        <v>0</v>
      </c>
      <c r="U14" s="1">
        <v>604</v>
      </c>
      <c r="V14" s="37">
        <f>'Economic (2020 Adj.)'!C26</f>
        <v>625936.9</v>
      </c>
      <c r="W14" s="37">
        <f>'Economic (2020 Adj.)'!D26</f>
        <v>6606.3</v>
      </c>
      <c r="X14" s="37">
        <f>'Economic (2020 Adj.)'!F26</f>
        <v>2938.5</v>
      </c>
      <c r="Y14" s="37">
        <f>'Economic (2020 Adj.)'!H26</f>
        <v>372.1</v>
      </c>
      <c r="Z14" s="37">
        <f>'Economic (2020 Adj.)'!E26</f>
        <v>6571.2</v>
      </c>
      <c r="AA14" s="37">
        <f>'Economic (2020 Adj.)'!G26</f>
        <v>2934.1</v>
      </c>
      <c r="AB14" s="37">
        <f>'Economic (2020 Adj.)'!I26</f>
        <v>369.4</v>
      </c>
      <c r="AC14" s="39">
        <f>Weather!D146</f>
        <v>-5.4419354838709673</v>
      </c>
      <c r="AD14" s="39">
        <f>Weather!E146</f>
        <v>788.69999999999993</v>
      </c>
      <c r="AE14" s="39">
        <f>Weather!F146</f>
        <v>0</v>
      </c>
      <c r="AF14" s="39">
        <f>Weather!G146</f>
        <v>726.69999999999993</v>
      </c>
      <c r="AG14" s="39">
        <f>Weather!H146</f>
        <v>0</v>
      </c>
      <c r="AH14" s="39">
        <f>Weather!I146</f>
        <v>664.69999999999993</v>
      </c>
      <c r="AI14" s="39">
        <f>Weather!J146</f>
        <v>0</v>
      </c>
      <c r="AJ14" s="39">
        <f>Weather!K146</f>
        <v>602.69999999999993</v>
      </c>
      <c r="AK14" s="39">
        <f>Weather!L146</f>
        <v>0</v>
      </c>
      <c r="AL14" s="39">
        <f>Weather!M146</f>
        <v>540.69999999999993</v>
      </c>
      <c r="AM14" s="39">
        <f>Weather!N146</f>
        <v>0</v>
      </c>
      <c r="AN14" s="39">
        <f>Weather!O146</f>
        <v>478.69999999999993</v>
      </c>
      <c r="AO14" s="39">
        <f>Weather!P146</f>
        <v>0</v>
      </c>
      <c r="AP14" s="39">
        <f>Weather!Q146</f>
        <v>416.69999999999993</v>
      </c>
      <c r="AQ14" s="39">
        <f>Weather!R146</f>
        <v>0</v>
      </c>
      <c r="AR14">
        <v>1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 s="1">
        <f t="shared" si="4"/>
        <v>13</v>
      </c>
      <c r="BH14">
        <v>31</v>
      </c>
      <c r="BI14">
        <v>20</v>
      </c>
      <c r="BJ14" s="160">
        <f t="shared" si="5"/>
        <v>848.71066319131182</v>
      </c>
      <c r="BK14" s="160">
        <f t="shared" si="6"/>
        <v>27.377763328751993</v>
      </c>
      <c r="BL14" s="159">
        <f t="shared" si="7"/>
        <v>1595384.4024563651</v>
      </c>
      <c r="BM14" s="160">
        <f t="shared" si="8"/>
        <v>3170.4910475593542</v>
      </c>
      <c r="BN14" s="160">
        <f t="shared" si="9"/>
        <v>102.27390475997917</v>
      </c>
      <c r="BO14" s="160">
        <f t="shared" si="10"/>
        <v>515971.84951409494</v>
      </c>
      <c r="BP14" s="160">
        <f t="shared" si="11"/>
        <v>77864.060815640638</v>
      </c>
      <c r="BQ14" s="160">
        <f t="shared" si="12"/>
        <v>2511.7438972787304</v>
      </c>
      <c r="BR14" s="160">
        <f t="shared" si="13"/>
        <v>3893.2030407820321</v>
      </c>
      <c r="BS14" s="160">
        <f t="shared" si="14"/>
        <v>2564490.5191215836</v>
      </c>
      <c r="BT14" s="160">
        <f t="shared" si="15"/>
        <v>3974960.3046384542</v>
      </c>
    </row>
    <row r="15" spans="1:72" x14ac:dyDescent="0.2">
      <c r="A15" s="3">
        <v>40575</v>
      </c>
      <c r="B15" s="4">
        <f t="shared" si="0"/>
        <v>2011</v>
      </c>
      <c r="C15" s="2">
        <v>41646640</v>
      </c>
      <c r="D15" s="2">
        <f>VLOOKUP(B15,CDM!$I$5:$N$15,2,FALSE)/12</f>
        <v>90742.476147318026</v>
      </c>
      <c r="E15" s="2">
        <f t="shared" si="1"/>
        <v>41737382.476147316</v>
      </c>
      <c r="F15" s="7">
        <v>58299</v>
      </c>
      <c r="G15" s="5">
        <v>14508851</v>
      </c>
      <c r="H15" s="7">
        <v>5089</v>
      </c>
      <c r="I15" s="2">
        <f>VLOOKUP(B15,CDM!$I$5:$N$15,3,FALSE)/12</f>
        <v>46233.334936942432</v>
      </c>
      <c r="J15" s="2">
        <f t="shared" si="2"/>
        <v>14555084.334936943</v>
      </c>
      <c r="K15" s="5">
        <v>71604165</v>
      </c>
      <c r="L15" s="2">
        <f>VLOOKUP(B15,CDM!$I$5:$N$15,4,FALSE)/12</f>
        <v>184951.0927690852</v>
      </c>
      <c r="M15" s="87">
        <f t="shared" si="3"/>
        <v>71789116.092769086</v>
      </c>
      <c r="N15" s="5">
        <v>189352</v>
      </c>
      <c r="O15" s="7">
        <v>977</v>
      </c>
      <c r="P15" s="5">
        <v>858134</v>
      </c>
      <c r="Q15" s="5">
        <v>2277</v>
      </c>
      <c r="R15" s="7">
        <v>14976</v>
      </c>
      <c r="S15" s="5">
        <v>276643</v>
      </c>
      <c r="T15" s="1">
        <v>0</v>
      </c>
      <c r="U15" s="1">
        <v>604</v>
      </c>
      <c r="V15" s="37">
        <f>'Economic (2020 Adj.)'!C27</f>
        <v>625936.9</v>
      </c>
      <c r="W15" s="37">
        <f>'Economic (2020 Adj.)'!D27</f>
        <v>6619.5</v>
      </c>
      <c r="X15" s="37">
        <f>'Economic (2020 Adj.)'!F27</f>
        <v>2947.4</v>
      </c>
      <c r="Y15" s="37">
        <f>'Economic (2020 Adj.)'!H27</f>
        <v>369.6</v>
      </c>
      <c r="Z15" s="37">
        <f>'Economic (2020 Adj.)'!E27</f>
        <v>6548.1</v>
      </c>
      <c r="AA15" s="37">
        <f>'Economic (2020 Adj.)'!G27</f>
        <v>2929.4</v>
      </c>
      <c r="AB15" s="37">
        <f>'Economic (2020 Adj.)'!I27</f>
        <v>365.4</v>
      </c>
      <c r="AC15" s="39">
        <f>Weather!D147</f>
        <v>-3.6142857142857139</v>
      </c>
      <c r="AD15" s="39">
        <f>Weather!E147</f>
        <v>661.20000000000016</v>
      </c>
      <c r="AE15" s="39">
        <f>Weather!F147</f>
        <v>0</v>
      </c>
      <c r="AF15" s="39">
        <f>Weather!G147</f>
        <v>605.20000000000016</v>
      </c>
      <c r="AG15" s="39">
        <f>Weather!H147</f>
        <v>0</v>
      </c>
      <c r="AH15" s="39">
        <f>Weather!I147</f>
        <v>549.20000000000016</v>
      </c>
      <c r="AI15" s="39">
        <f>Weather!J147</f>
        <v>0</v>
      </c>
      <c r="AJ15" s="39">
        <f>Weather!K147</f>
        <v>493.20000000000005</v>
      </c>
      <c r="AK15" s="39">
        <f>Weather!L147</f>
        <v>0</v>
      </c>
      <c r="AL15" s="39">
        <f>Weather!M147</f>
        <v>437.20000000000005</v>
      </c>
      <c r="AM15" s="39">
        <f>Weather!N147</f>
        <v>0</v>
      </c>
      <c r="AN15" s="39">
        <f>Weather!O147</f>
        <v>381.20000000000005</v>
      </c>
      <c r="AO15" s="39">
        <f>Weather!P147</f>
        <v>0</v>
      </c>
      <c r="AP15" s="39">
        <f>Weather!Q147</f>
        <v>325.20000000000005</v>
      </c>
      <c r="AQ15" s="39">
        <f>Weather!R147</f>
        <v>0</v>
      </c>
      <c r="AR15">
        <v>0</v>
      </c>
      <c r="AS15">
        <v>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 s="1">
        <f t="shared" si="4"/>
        <v>14</v>
      </c>
      <c r="BH15">
        <v>28</v>
      </c>
      <c r="BI15">
        <v>19</v>
      </c>
      <c r="BJ15" s="160">
        <f t="shared" si="5"/>
        <v>715.91935498288683</v>
      </c>
      <c r="BK15" s="160">
        <f t="shared" si="6"/>
        <v>25.568548392245958</v>
      </c>
      <c r="BL15" s="159">
        <f t="shared" si="7"/>
        <v>1490620.8027195469</v>
      </c>
      <c r="BM15" s="160">
        <f t="shared" si="8"/>
        <v>2860.1069630451843</v>
      </c>
      <c r="BN15" s="160">
        <f t="shared" si="9"/>
        <v>102.14667725161372</v>
      </c>
      <c r="BO15" s="160">
        <f t="shared" si="10"/>
        <v>519824.44053346227</v>
      </c>
      <c r="BP15" s="160">
        <f t="shared" si="11"/>
        <v>73479.136225966315</v>
      </c>
      <c r="BQ15" s="160">
        <f t="shared" si="12"/>
        <v>2624.2548652130827</v>
      </c>
      <c r="BR15" s="160">
        <f t="shared" si="13"/>
        <v>3867.3229592613848</v>
      </c>
      <c r="BS15" s="160">
        <f t="shared" si="14"/>
        <v>2563897.0033131815</v>
      </c>
      <c r="BT15" s="160">
        <f t="shared" si="15"/>
        <v>3778374.5311983731</v>
      </c>
    </row>
    <row r="16" spans="1:72" x14ac:dyDescent="0.2">
      <c r="A16" s="3">
        <v>40603</v>
      </c>
      <c r="B16" s="4">
        <f t="shared" si="0"/>
        <v>2011</v>
      </c>
      <c r="C16" s="2">
        <v>42432747</v>
      </c>
      <c r="D16" s="2">
        <f>VLOOKUP(B16,CDM!$I$5:$N$15,2,FALSE)/12</f>
        <v>90742.476147318026</v>
      </c>
      <c r="E16" s="2">
        <f t="shared" si="1"/>
        <v>42523489.476147316</v>
      </c>
      <c r="F16" s="5">
        <v>58318</v>
      </c>
      <c r="G16" s="5">
        <v>15118512</v>
      </c>
      <c r="H16" s="5">
        <v>5088</v>
      </c>
      <c r="I16" s="2">
        <f>VLOOKUP(B16,CDM!$I$5:$N$15,3,FALSE)/12</f>
        <v>46233.334936942432</v>
      </c>
      <c r="J16" s="2">
        <f t="shared" si="2"/>
        <v>15164745.334936943</v>
      </c>
      <c r="K16" s="5">
        <v>79168308</v>
      </c>
      <c r="L16" s="2">
        <f>VLOOKUP(B16,CDM!$I$5:$N$15,4,FALSE)/12</f>
        <v>184951.0927690852</v>
      </c>
      <c r="M16" s="87">
        <f t="shared" si="3"/>
        <v>79353259.092769086</v>
      </c>
      <c r="N16" s="5">
        <v>199423</v>
      </c>
      <c r="O16" s="5">
        <v>979</v>
      </c>
      <c r="P16" s="5">
        <v>851260</v>
      </c>
      <c r="Q16" s="5">
        <v>2277</v>
      </c>
      <c r="R16" s="5">
        <v>15036</v>
      </c>
      <c r="S16" s="5">
        <v>278717</v>
      </c>
      <c r="T16" s="1">
        <v>0</v>
      </c>
      <c r="U16" s="1">
        <v>599</v>
      </c>
      <c r="V16" s="37">
        <f>'Economic (2020 Adj.)'!C28</f>
        <v>625936.9</v>
      </c>
      <c r="W16" s="37">
        <f>'Economic (2020 Adj.)'!D28</f>
        <v>6628.6</v>
      </c>
      <c r="X16" s="37">
        <f>'Economic (2020 Adj.)'!F28</f>
        <v>2938.7</v>
      </c>
      <c r="Y16" s="37">
        <f>'Economic (2020 Adj.)'!H28</f>
        <v>369.8</v>
      </c>
      <c r="Z16" s="37">
        <f>'Economic (2020 Adj.)'!E28</f>
        <v>6523.7</v>
      </c>
      <c r="AA16" s="37">
        <f>'Economic (2020 Adj.)'!G28</f>
        <v>2901.9</v>
      </c>
      <c r="AB16" s="37">
        <f>'Economic (2020 Adj.)'!I28</f>
        <v>363.6</v>
      </c>
      <c r="AC16" s="39">
        <f>Weather!D148</f>
        <v>0.40322580645161288</v>
      </c>
      <c r="AD16" s="39">
        <f>Weather!E148</f>
        <v>607.50000000000011</v>
      </c>
      <c r="AE16" s="39">
        <f>Weather!F148</f>
        <v>0</v>
      </c>
      <c r="AF16" s="39">
        <f>Weather!G148</f>
        <v>545.50000000000011</v>
      </c>
      <c r="AG16" s="39">
        <f>Weather!H148</f>
        <v>0</v>
      </c>
      <c r="AH16" s="39">
        <f>Weather!I148</f>
        <v>483.50000000000006</v>
      </c>
      <c r="AI16" s="39">
        <f>Weather!J148</f>
        <v>0</v>
      </c>
      <c r="AJ16" s="39">
        <f>Weather!K148</f>
        <v>421.50000000000006</v>
      </c>
      <c r="AK16" s="39">
        <f>Weather!L148</f>
        <v>0</v>
      </c>
      <c r="AL16" s="39">
        <f>Weather!M148</f>
        <v>359.50000000000006</v>
      </c>
      <c r="AM16" s="39">
        <f>Weather!N148</f>
        <v>0</v>
      </c>
      <c r="AN16" s="39">
        <f>Weather!O148</f>
        <v>297.50000000000006</v>
      </c>
      <c r="AO16" s="39">
        <f>Weather!P148</f>
        <v>0</v>
      </c>
      <c r="AP16" s="39">
        <f>Weather!Q148</f>
        <v>237.79999999999993</v>
      </c>
      <c r="AQ16" s="39">
        <f>Weather!R148</f>
        <v>2.2999999999999989</v>
      </c>
      <c r="AR16">
        <v>0</v>
      </c>
      <c r="AS16">
        <v>0</v>
      </c>
      <c r="AT16">
        <v>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1</v>
      </c>
      <c r="BE16">
        <v>0</v>
      </c>
      <c r="BF16">
        <v>1</v>
      </c>
      <c r="BG16" s="1">
        <f t="shared" si="4"/>
        <v>15</v>
      </c>
      <c r="BH16">
        <v>31</v>
      </c>
      <c r="BI16">
        <v>23</v>
      </c>
      <c r="BJ16" s="160">
        <f t="shared" si="5"/>
        <v>729.16577173681048</v>
      </c>
      <c r="BK16" s="160">
        <f t="shared" si="6"/>
        <v>23.521476507639047</v>
      </c>
      <c r="BL16" s="159">
        <f t="shared" si="7"/>
        <v>1371725.466972494</v>
      </c>
      <c r="BM16" s="160">
        <f t="shared" si="8"/>
        <v>2980.4924007344621</v>
      </c>
      <c r="BN16" s="160">
        <f t="shared" si="9"/>
        <v>96.144916152724576</v>
      </c>
      <c r="BO16" s="160">
        <f t="shared" si="10"/>
        <v>489185.3333850627</v>
      </c>
      <c r="BP16" s="160">
        <f t="shared" si="11"/>
        <v>81055.422975249327</v>
      </c>
      <c r="BQ16" s="160">
        <f t="shared" si="12"/>
        <v>2614.6910637177202</v>
      </c>
      <c r="BR16" s="160">
        <f t="shared" si="13"/>
        <v>3524.1488250108405</v>
      </c>
      <c r="BS16" s="160">
        <f t="shared" si="14"/>
        <v>2559782.551379648</v>
      </c>
      <c r="BT16" s="160">
        <f t="shared" si="15"/>
        <v>3450141.6996856122</v>
      </c>
    </row>
    <row r="17" spans="1:72" x14ac:dyDescent="0.2">
      <c r="A17" s="3">
        <v>40634</v>
      </c>
      <c r="B17" s="4">
        <f t="shared" si="0"/>
        <v>2011</v>
      </c>
      <c r="C17" s="2">
        <v>38424019</v>
      </c>
      <c r="D17" s="2">
        <f>VLOOKUP(B17,CDM!$I$5:$N$15,2,FALSE)/12</f>
        <v>90742.476147318026</v>
      </c>
      <c r="E17" s="2">
        <f t="shared" si="1"/>
        <v>38514761.476147316</v>
      </c>
      <c r="F17" s="7">
        <v>58345</v>
      </c>
      <c r="G17" s="5">
        <v>13472398</v>
      </c>
      <c r="H17" s="7">
        <v>5085</v>
      </c>
      <c r="I17" s="2">
        <f>VLOOKUP(B17,CDM!$I$5:$N$15,3,FALSE)/12</f>
        <v>46233.334936942432</v>
      </c>
      <c r="J17" s="2">
        <f t="shared" si="2"/>
        <v>13518631.334936943</v>
      </c>
      <c r="K17" s="5">
        <v>71394821</v>
      </c>
      <c r="L17" s="2">
        <f>VLOOKUP(B17,CDM!$I$5:$N$15,4,FALSE)/12</f>
        <v>184951.0927690852</v>
      </c>
      <c r="M17" s="87">
        <f t="shared" si="3"/>
        <v>71579772.092769086</v>
      </c>
      <c r="N17" s="5">
        <v>177390</v>
      </c>
      <c r="O17" s="7">
        <v>980</v>
      </c>
      <c r="P17" s="5">
        <v>722513</v>
      </c>
      <c r="Q17" s="5">
        <v>2277</v>
      </c>
      <c r="R17" s="7">
        <v>15036</v>
      </c>
      <c r="S17" s="5">
        <v>276431</v>
      </c>
      <c r="T17" s="1">
        <v>0</v>
      </c>
      <c r="U17" s="1">
        <v>599</v>
      </c>
      <c r="V17" s="37">
        <f>'Economic (2020 Adj.)'!C29</f>
        <v>625936.9</v>
      </c>
      <c r="W17" s="37">
        <f>'Economic (2020 Adj.)'!D29</f>
        <v>6635.5</v>
      </c>
      <c r="X17" s="37">
        <f>'Economic (2020 Adj.)'!F29</f>
        <v>2929.9</v>
      </c>
      <c r="Y17" s="37">
        <f>'Economic (2020 Adj.)'!H29</f>
        <v>372</v>
      </c>
      <c r="Z17" s="37">
        <f>'Economic (2020 Adj.)'!E29</f>
        <v>6550</v>
      </c>
      <c r="AA17" s="37">
        <f>'Economic (2020 Adj.)'!G29</f>
        <v>2898.7</v>
      </c>
      <c r="AB17" s="37">
        <f>'Economic (2020 Adj.)'!I29</f>
        <v>367.1</v>
      </c>
      <c r="AC17" s="39">
        <f>Weather!D149</f>
        <v>6.1433333333333335</v>
      </c>
      <c r="AD17" s="39">
        <f>Weather!E149</f>
        <v>415.70000000000005</v>
      </c>
      <c r="AE17" s="39">
        <f>Weather!F149</f>
        <v>0</v>
      </c>
      <c r="AF17" s="39">
        <f>Weather!G149</f>
        <v>355.7</v>
      </c>
      <c r="AG17" s="39">
        <f>Weather!H149</f>
        <v>0</v>
      </c>
      <c r="AH17" s="39">
        <f>Weather!I149</f>
        <v>295.7</v>
      </c>
      <c r="AI17" s="39">
        <f>Weather!J149</f>
        <v>0</v>
      </c>
      <c r="AJ17" s="39">
        <f>Weather!K149</f>
        <v>235.69999999999996</v>
      </c>
      <c r="AK17" s="39">
        <f>Weather!L149</f>
        <v>0</v>
      </c>
      <c r="AL17" s="39">
        <f>Weather!M149</f>
        <v>177.5</v>
      </c>
      <c r="AM17" s="39">
        <f>Weather!N149</f>
        <v>1.8000000000000007</v>
      </c>
      <c r="AN17" s="39">
        <f>Weather!O149</f>
        <v>125.80000000000001</v>
      </c>
      <c r="AO17" s="39">
        <f>Weather!P149</f>
        <v>10.100000000000001</v>
      </c>
      <c r="AP17" s="39">
        <f>Weather!Q149</f>
        <v>75.8</v>
      </c>
      <c r="AQ17" s="39">
        <f>Weather!R149</f>
        <v>20.100000000000001</v>
      </c>
      <c r="AR17">
        <v>0</v>
      </c>
      <c r="AS17">
        <v>0</v>
      </c>
      <c r="AT17">
        <v>0</v>
      </c>
      <c r="AU17">
        <v>1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1</v>
      </c>
      <c r="BE17">
        <v>0</v>
      </c>
      <c r="BF17">
        <v>1</v>
      </c>
      <c r="BG17" s="1">
        <f t="shared" si="4"/>
        <v>16</v>
      </c>
      <c r="BH17">
        <v>30</v>
      </c>
      <c r="BI17">
        <v>19</v>
      </c>
      <c r="BJ17" s="160">
        <f t="shared" si="5"/>
        <v>660.12102967087696</v>
      </c>
      <c r="BK17" s="160">
        <f t="shared" si="6"/>
        <v>22.004034322362564</v>
      </c>
      <c r="BL17" s="159">
        <f t="shared" si="7"/>
        <v>1283825.3825382439</v>
      </c>
      <c r="BM17" s="160">
        <f t="shared" si="8"/>
        <v>2658.5312359758</v>
      </c>
      <c r="BN17" s="160">
        <f t="shared" si="9"/>
        <v>88.617707865859998</v>
      </c>
      <c r="BO17" s="160">
        <f t="shared" si="10"/>
        <v>450621.04449789808</v>
      </c>
      <c r="BP17" s="160">
        <f t="shared" si="11"/>
        <v>73040.583768131721</v>
      </c>
      <c r="BQ17" s="160">
        <f t="shared" si="12"/>
        <v>2434.6861256043908</v>
      </c>
      <c r="BR17" s="160">
        <f t="shared" si="13"/>
        <v>3844.241250954301</v>
      </c>
      <c r="BS17" s="160">
        <f t="shared" si="14"/>
        <v>2385992.4030923028</v>
      </c>
      <c r="BT17" s="160">
        <f t="shared" si="15"/>
        <v>3767356.4259352149</v>
      </c>
    </row>
    <row r="18" spans="1:72" x14ac:dyDescent="0.2">
      <c r="A18" s="3">
        <v>40664</v>
      </c>
      <c r="B18" s="4">
        <f t="shared" si="0"/>
        <v>2011</v>
      </c>
      <c r="C18" s="2">
        <v>42408613</v>
      </c>
      <c r="D18" s="2">
        <f>VLOOKUP(B18,CDM!$I$5:$N$15,2,FALSE)/12</f>
        <v>90742.476147318026</v>
      </c>
      <c r="E18" s="2">
        <f t="shared" si="1"/>
        <v>42499355.476147316</v>
      </c>
      <c r="F18" s="7">
        <v>58385</v>
      </c>
      <c r="G18" s="5">
        <v>13580628</v>
      </c>
      <c r="H18" s="7">
        <v>5078</v>
      </c>
      <c r="I18" s="2">
        <f>VLOOKUP(B18,CDM!$I$5:$N$15,3,FALSE)/12</f>
        <v>46233.334936942432</v>
      </c>
      <c r="J18" s="2">
        <f t="shared" si="2"/>
        <v>13626861.334936943</v>
      </c>
      <c r="K18" s="5">
        <v>74077734</v>
      </c>
      <c r="L18" s="2">
        <f>VLOOKUP(B18,CDM!$I$5:$N$15,4,FALSE)/12</f>
        <v>184951.0927690852</v>
      </c>
      <c r="M18" s="87">
        <f t="shared" si="3"/>
        <v>74262685.092769086</v>
      </c>
      <c r="N18" s="5">
        <v>196574</v>
      </c>
      <c r="O18" s="7">
        <v>982</v>
      </c>
      <c r="P18" s="5">
        <v>657139</v>
      </c>
      <c r="Q18" s="5">
        <v>2277</v>
      </c>
      <c r="R18" s="7">
        <v>15036</v>
      </c>
      <c r="S18" s="5">
        <v>271003</v>
      </c>
      <c r="T18" s="1">
        <v>0</v>
      </c>
      <c r="U18" s="1">
        <v>600</v>
      </c>
      <c r="V18" s="37">
        <f>'Economic (2020 Adj.)'!C30</f>
        <v>625936.9</v>
      </c>
      <c r="W18" s="37">
        <f>'Economic (2020 Adj.)'!D30</f>
        <v>6645.8</v>
      </c>
      <c r="X18" s="37">
        <f>'Economic (2020 Adj.)'!F30</f>
        <v>2930.2</v>
      </c>
      <c r="Y18" s="37">
        <f>'Economic (2020 Adj.)'!H30</f>
        <v>375</v>
      </c>
      <c r="Z18" s="37">
        <f>'Economic (2020 Adj.)'!E30</f>
        <v>6612</v>
      </c>
      <c r="AA18" s="37">
        <f>'Economic (2020 Adj.)'!G30</f>
        <v>2912</v>
      </c>
      <c r="AB18" s="37">
        <f>'Economic (2020 Adj.)'!I30</f>
        <v>374.6</v>
      </c>
      <c r="AC18" s="39">
        <f>Weather!D150</f>
        <v>11.96774193548387</v>
      </c>
      <c r="AD18" s="39">
        <f>Weather!E150</f>
        <v>251.70000000000002</v>
      </c>
      <c r="AE18" s="39">
        <f>Weather!F150</f>
        <v>2.6999999999999993</v>
      </c>
      <c r="AF18" s="39">
        <f>Weather!G150</f>
        <v>191.7</v>
      </c>
      <c r="AG18" s="39">
        <f>Weather!H150</f>
        <v>4.6999999999999993</v>
      </c>
      <c r="AH18" s="39">
        <f>Weather!I150</f>
        <v>134.79999999999998</v>
      </c>
      <c r="AI18" s="39">
        <f>Weather!J150</f>
        <v>9.8000000000000007</v>
      </c>
      <c r="AJ18" s="39">
        <f>Weather!K150</f>
        <v>85.7</v>
      </c>
      <c r="AK18" s="39">
        <f>Weather!L150</f>
        <v>22.700000000000003</v>
      </c>
      <c r="AL18" s="39">
        <f>Weather!M150</f>
        <v>42.399999999999991</v>
      </c>
      <c r="AM18" s="39">
        <f>Weather!N150</f>
        <v>41.399999999999991</v>
      </c>
      <c r="AN18" s="39">
        <f>Weather!O150</f>
        <v>12.799999999999999</v>
      </c>
      <c r="AO18" s="39">
        <f>Weather!P150</f>
        <v>73.8</v>
      </c>
      <c r="AP18" s="39">
        <f>Weather!Q150</f>
        <v>3.3</v>
      </c>
      <c r="AQ18" s="39">
        <f>Weather!R150</f>
        <v>126.30000000000001</v>
      </c>
      <c r="AR18">
        <v>0</v>
      </c>
      <c r="AS18">
        <v>0</v>
      </c>
      <c r="AT18">
        <v>0</v>
      </c>
      <c r="AU18">
        <v>0</v>
      </c>
      <c r="AV18">
        <v>1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1</v>
      </c>
      <c r="BE18">
        <v>0</v>
      </c>
      <c r="BF18">
        <v>1</v>
      </c>
      <c r="BG18" s="1">
        <f t="shared" si="4"/>
        <v>17</v>
      </c>
      <c r="BH18">
        <v>31</v>
      </c>
      <c r="BI18">
        <v>21</v>
      </c>
      <c r="BJ18" s="160">
        <f t="shared" si="5"/>
        <v>727.91565429729064</v>
      </c>
      <c r="BK18" s="160">
        <f t="shared" si="6"/>
        <v>23.481150138622279</v>
      </c>
      <c r="BL18" s="159">
        <f t="shared" si="7"/>
        <v>1370946.9508434618</v>
      </c>
      <c r="BM18" s="160">
        <f t="shared" si="8"/>
        <v>2683.5095184988072</v>
      </c>
      <c r="BN18" s="160">
        <f t="shared" si="9"/>
        <v>86.564823177380873</v>
      </c>
      <c r="BO18" s="160">
        <f t="shared" si="10"/>
        <v>439576.17209474009</v>
      </c>
      <c r="BP18" s="160">
        <f t="shared" si="11"/>
        <v>75623.915573084611</v>
      </c>
      <c r="BQ18" s="160">
        <f t="shared" si="12"/>
        <v>2439.4811475188585</v>
      </c>
      <c r="BR18" s="160">
        <f t="shared" si="13"/>
        <v>3601.1388368135531</v>
      </c>
      <c r="BS18" s="160">
        <f t="shared" si="14"/>
        <v>2395570.4868635191</v>
      </c>
      <c r="BT18" s="160">
        <f t="shared" si="15"/>
        <v>3536318.3377509089</v>
      </c>
    </row>
    <row r="19" spans="1:72" x14ac:dyDescent="0.2">
      <c r="A19" s="3">
        <v>40695</v>
      </c>
      <c r="B19" s="4">
        <f t="shared" si="0"/>
        <v>2011</v>
      </c>
      <c r="C19" s="2">
        <v>49689088</v>
      </c>
      <c r="D19" s="2">
        <f>VLOOKUP(B19,CDM!$I$5:$N$15,2,FALSE)/12</f>
        <v>90742.476147318026</v>
      </c>
      <c r="E19" s="2">
        <f t="shared" si="1"/>
        <v>49779830.476147316</v>
      </c>
      <c r="F19" s="5">
        <v>58495</v>
      </c>
      <c r="G19" s="5">
        <v>14441555</v>
      </c>
      <c r="H19" s="5">
        <v>5082</v>
      </c>
      <c r="I19" s="2">
        <f>VLOOKUP(B19,CDM!$I$5:$N$15,3,FALSE)/12</f>
        <v>46233.334936942432</v>
      </c>
      <c r="J19" s="2">
        <f t="shared" si="2"/>
        <v>14487788.334936943</v>
      </c>
      <c r="K19" s="5">
        <v>76932742</v>
      </c>
      <c r="L19" s="2">
        <f>VLOOKUP(B19,CDM!$I$5:$N$15,4,FALSE)/12</f>
        <v>184951.0927690852</v>
      </c>
      <c r="M19" s="87">
        <f t="shared" si="3"/>
        <v>77117693.092769086</v>
      </c>
      <c r="N19" s="5">
        <v>200273</v>
      </c>
      <c r="O19" s="5">
        <v>985</v>
      </c>
      <c r="P19" s="5">
        <v>591348</v>
      </c>
      <c r="Q19" s="5">
        <v>2277</v>
      </c>
      <c r="R19" s="5">
        <v>15036</v>
      </c>
      <c r="S19" s="5">
        <v>270213</v>
      </c>
      <c r="T19" s="1">
        <v>0</v>
      </c>
      <c r="U19" s="1">
        <v>605</v>
      </c>
      <c r="V19" s="37">
        <f>'Economic (2020 Adj.)'!C31</f>
        <v>625936.9</v>
      </c>
      <c r="W19" s="37">
        <f>'Economic (2020 Adj.)'!D31</f>
        <v>6662</v>
      </c>
      <c r="X19" s="37">
        <f>'Economic (2020 Adj.)'!F31</f>
        <v>2934.9</v>
      </c>
      <c r="Y19" s="37">
        <f>'Economic (2020 Adj.)'!H31</f>
        <v>375.2</v>
      </c>
      <c r="Z19" s="37">
        <f>'Economic (2020 Adj.)'!E31</f>
        <v>6706.8</v>
      </c>
      <c r="AA19" s="37">
        <f>'Economic (2020 Adj.)'!G31</f>
        <v>2941</v>
      </c>
      <c r="AB19" s="37">
        <f>'Economic (2020 Adj.)'!I31</f>
        <v>379.2</v>
      </c>
      <c r="AC19" s="39">
        <f>Weather!D151</f>
        <v>18.653333333333332</v>
      </c>
      <c r="AD19" s="39">
        <f>Weather!E151</f>
        <v>53.199999999999989</v>
      </c>
      <c r="AE19" s="39">
        <f>Weather!F151</f>
        <v>12.799999999999997</v>
      </c>
      <c r="AF19" s="39">
        <f>Weather!G151</f>
        <v>22.4</v>
      </c>
      <c r="AG19" s="39">
        <f>Weather!H151</f>
        <v>42</v>
      </c>
      <c r="AH19" s="39">
        <f>Weather!I151</f>
        <v>6.8000000000000025</v>
      </c>
      <c r="AI19" s="39">
        <f>Weather!J151</f>
        <v>86.4</v>
      </c>
      <c r="AJ19" s="39">
        <f>Weather!K151</f>
        <v>0.30000000000000071</v>
      </c>
      <c r="AK19" s="39">
        <f>Weather!L151</f>
        <v>139.9</v>
      </c>
      <c r="AL19" s="39">
        <f>Weather!M151</f>
        <v>0</v>
      </c>
      <c r="AM19" s="39">
        <f>Weather!N151</f>
        <v>199.60000000000002</v>
      </c>
      <c r="AN19" s="39">
        <f>Weather!O151</f>
        <v>0</v>
      </c>
      <c r="AO19" s="39">
        <f>Weather!P151</f>
        <v>259.60000000000002</v>
      </c>
      <c r="AP19" s="39">
        <f>Weather!Q151</f>
        <v>0</v>
      </c>
      <c r="AQ19" s="39">
        <f>Weather!R151</f>
        <v>319.60000000000002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1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 s="1">
        <f t="shared" si="4"/>
        <v>18</v>
      </c>
      <c r="BH19">
        <v>30</v>
      </c>
      <c r="BI19">
        <v>22</v>
      </c>
      <c r="BJ19" s="160">
        <f t="shared" si="5"/>
        <v>851.01000899474002</v>
      </c>
      <c r="BK19" s="160">
        <f t="shared" si="6"/>
        <v>28.367000299824667</v>
      </c>
      <c r="BL19" s="159">
        <f t="shared" si="7"/>
        <v>1659327.6825382439</v>
      </c>
      <c r="BM19" s="160">
        <f t="shared" si="8"/>
        <v>2850.8044736200204</v>
      </c>
      <c r="BN19" s="160">
        <f t="shared" si="9"/>
        <v>95.026815787334016</v>
      </c>
      <c r="BO19" s="160">
        <f t="shared" si="10"/>
        <v>482926.27783123142</v>
      </c>
      <c r="BP19" s="160">
        <f t="shared" si="11"/>
        <v>78292.074205856945</v>
      </c>
      <c r="BQ19" s="160">
        <f t="shared" si="12"/>
        <v>2609.7358068618983</v>
      </c>
      <c r="BR19" s="160">
        <f t="shared" si="13"/>
        <v>3558.7306457207701</v>
      </c>
      <c r="BS19" s="160">
        <f t="shared" si="14"/>
        <v>2570589.7697589695</v>
      </c>
      <c r="BT19" s="160">
        <f t="shared" si="15"/>
        <v>3505349.6860349583</v>
      </c>
    </row>
    <row r="20" spans="1:72" x14ac:dyDescent="0.2">
      <c r="A20" s="3">
        <v>40725</v>
      </c>
      <c r="B20" s="4">
        <f t="shared" si="0"/>
        <v>2011</v>
      </c>
      <c r="C20" s="2">
        <v>61625002</v>
      </c>
      <c r="D20" s="2">
        <f>VLOOKUP(B20,CDM!$I$5:$N$15,2,FALSE)/12</f>
        <v>90742.476147318026</v>
      </c>
      <c r="E20" s="2">
        <f t="shared" si="1"/>
        <v>61715744.476147316</v>
      </c>
      <c r="F20" s="7">
        <v>58515</v>
      </c>
      <c r="G20" s="5">
        <v>16563549</v>
      </c>
      <c r="H20" s="7">
        <v>5096</v>
      </c>
      <c r="I20" s="2">
        <f>VLOOKUP(B20,CDM!$I$5:$N$15,3,FALSE)/12</f>
        <v>46233.334936942432</v>
      </c>
      <c r="J20" s="2">
        <f t="shared" si="2"/>
        <v>16609782.334936943</v>
      </c>
      <c r="K20" s="5">
        <v>84466569</v>
      </c>
      <c r="L20" s="2">
        <f>VLOOKUP(B20,CDM!$I$5:$N$15,4,FALSE)/12</f>
        <v>184951.0927690852</v>
      </c>
      <c r="M20" s="87">
        <f t="shared" si="3"/>
        <v>84651520.092769086</v>
      </c>
      <c r="N20" s="5">
        <v>214167</v>
      </c>
      <c r="O20" s="7">
        <v>983</v>
      </c>
      <c r="P20" s="5">
        <v>634718</v>
      </c>
      <c r="Q20" s="5">
        <v>2277</v>
      </c>
      <c r="R20" s="7">
        <v>15036</v>
      </c>
      <c r="S20" s="5">
        <v>271583</v>
      </c>
      <c r="T20" s="1">
        <v>0</v>
      </c>
      <c r="U20" s="1">
        <v>605</v>
      </c>
      <c r="V20" s="37">
        <f>'Economic (2020 Adj.)'!C32</f>
        <v>625936.9</v>
      </c>
      <c r="W20" s="37">
        <f>'Economic (2020 Adj.)'!D32</f>
        <v>6665.8</v>
      </c>
      <c r="X20" s="37">
        <f>'Economic (2020 Adj.)'!F32</f>
        <v>2928.1</v>
      </c>
      <c r="Y20" s="37">
        <f>'Economic (2020 Adj.)'!H32</f>
        <v>375.3</v>
      </c>
      <c r="Z20" s="37">
        <f>'Economic (2020 Adj.)'!E32</f>
        <v>6755.3</v>
      </c>
      <c r="AA20" s="37">
        <f>'Economic (2020 Adj.)'!G32</f>
        <v>2949.3</v>
      </c>
      <c r="AB20" s="37">
        <f>'Economic (2020 Adj.)'!I32</f>
        <v>379.4</v>
      </c>
      <c r="AC20" s="39">
        <f>Weather!D152</f>
        <v>24.125806451612902</v>
      </c>
      <c r="AD20" s="39">
        <f>Weather!E152</f>
        <v>2.5999999999999979</v>
      </c>
      <c r="AE20" s="39">
        <f>Weather!F152</f>
        <v>130.49999999999997</v>
      </c>
      <c r="AF20" s="39">
        <f>Weather!G152</f>
        <v>0</v>
      </c>
      <c r="AG20" s="39">
        <f>Weather!H152</f>
        <v>189.90000000000003</v>
      </c>
      <c r="AH20" s="39">
        <f>Weather!I152</f>
        <v>0</v>
      </c>
      <c r="AI20" s="39">
        <f>Weather!J152</f>
        <v>251.9</v>
      </c>
      <c r="AJ20" s="39">
        <f>Weather!K152</f>
        <v>0</v>
      </c>
      <c r="AK20" s="39">
        <f>Weather!L152</f>
        <v>313.90000000000003</v>
      </c>
      <c r="AL20" s="39">
        <f>Weather!M152</f>
        <v>0</v>
      </c>
      <c r="AM20" s="39">
        <f>Weather!N152</f>
        <v>375.90000000000003</v>
      </c>
      <c r="AN20" s="39">
        <f>Weather!O152</f>
        <v>0</v>
      </c>
      <c r="AO20" s="39">
        <f>Weather!P152</f>
        <v>437.90000000000003</v>
      </c>
      <c r="AP20" s="39">
        <f>Weather!Q152</f>
        <v>0</v>
      </c>
      <c r="AQ20" s="39">
        <f>Weather!R152</f>
        <v>499.90000000000003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1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 s="1">
        <f t="shared" si="4"/>
        <v>19</v>
      </c>
      <c r="BH20">
        <v>31</v>
      </c>
      <c r="BI20">
        <v>20</v>
      </c>
      <c r="BJ20" s="160">
        <f t="shared" si="5"/>
        <v>1054.6995552618528</v>
      </c>
      <c r="BK20" s="160">
        <f t="shared" si="6"/>
        <v>34.022566298769441</v>
      </c>
      <c r="BL20" s="159">
        <f t="shared" si="7"/>
        <v>1990830.466972494</v>
      </c>
      <c r="BM20" s="160">
        <f t="shared" si="8"/>
        <v>3259.3764393518336</v>
      </c>
      <c r="BN20" s="160">
        <f t="shared" si="9"/>
        <v>105.14117546296238</v>
      </c>
      <c r="BO20" s="160">
        <f t="shared" si="10"/>
        <v>535799.43015925621</v>
      </c>
      <c r="BP20" s="160">
        <f t="shared" si="11"/>
        <v>86115.483309022471</v>
      </c>
      <c r="BQ20" s="160">
        <f t="shared" si="12"/>
        <v>2777.9188164200796</v>
      </c>
      <c r="BR20" s="160">
        <f t="shared" si="13"/>
        <v>4305.7741654511237</v>
      </c>
      <c r="BS20" s="160">
        <f t="shared" si="14"/>
        <v>2730694.1965409382</v>
      </c>
      <c r="BT20" s="160">
        <f t="shared" si="15"/>
        <v>4232576.0046384539</v>
      </c>
    </row>
    <row r="21" spans="1:72" x14ac:dyDescent="0.2">
      <c r="A21" s="3">
        <v>40756</v>
      </c>
      <c r="B21" s="4">
        <f t="shared" si="0"/>
        <v>2011</v>
      </c>
      <c r="C21" s="2">
        <v>56052529</v>
      </c>
      <c r="D21" s="2">
        <f>VLOOKUP(B21,CDM!$I$5:$N$15,2,FALSE)/12</f>
        <v>90742.476147318026</v>
      </c>
      <c r="E21" s="2">
        <f t="shared" si="1"/>
        <v>56143271.476147316</v>
      </c>
      <c r="F21" s="7">
        <v>58526</v>
      </c>
      <c r="G21" s="5">
        <v>15817066</v>
      </c>
      <c r="H21" s="7">
        <v>5089</v>
      </c>
      <c r="I21" s="2">
        <f>VLOOKUP(B21,CDM!$I$5:$N$15,3,FALSE)/12</f>
        <v>46233.334936942432</v>
      </c>
      <c r="J21" s="2">
        <f t="shared" si="2"/>
        <v>15863299.334936943</v>
      </c>
      <c r="K21" s="5">
        <v>82014098</v>
      </c>
      <c r="L21" s="2">
        <f>VLOOKUP(B21,CDM!$I$5:$N$15,4,FALSE)/12</f>
        <v>184951.0927690852</v>
      </c>
      <c r="M21" s="87">
        <f t="shared" si="3"/>
        <v>82199049.092769086</v>
      </c>
      <c r="N21" s="5">
        <v>238830</v>
      </c>
      <c r="O21" s="7">
        <v>983</v>
      </c>
      <c r="P21" s="5">
        <v>758824</v>
      </c>
      <c r="Q21" s="5">
        <v>2276</v>
      </c>
      <c r="R21" s="7">
        <v>15041</v>
      </c>
      <c r="S21" s="5">
        <v>271317</v>
      </c>
      <c r="T21" s="1">
        <v>0</v>
      </c>
      <c r="U21" s="1">
        <v>606</v>
      </c>
      <c r="V21" s="37">
        <f>'Economic (2020 Adj.)'!C33</f>
        <v>625936.9</v>
      </c>
      <c r="W21" s="37">
        <f>'Economic (2020 Adj.)'!D33</f>
        <v>6677.5</v>
      </c>
      <c r="X21" s="37">
        <f>'Economic (2020 Adj.)'!F33</f>
        <v>2922.7</v>
      </c>
      <c r="Y21" s="37">
        <f>'Economic (2020 Adj.)'!H33</f>
        <v>371.4</v>
      </c>
      <c r="Z21" s="37">
        <f>'Economic (2020 Adj.)'!E33</f>
        <v>6778</v>
      </c>
      <c r="AA21" s="37">
        <f>'Economic (2020 Adj.)'!G33</f>
        <v>2957.5</v>
      </c>
      <c r="AB21" s="37">
        <f>'Economic (2020 Adj.)'!I33</f>
        <v>372.8</v>
      </c>
      <c r="AC21" s="39">
        <f>Weather!D153</f>
        <v>21.819354838709678</v>
      </c>
      <c r="AD21" s="39">
        <f>Weather!E153</f>
        <v>7.0999999999999979</v>
      </c>
      <c r="AE21" s="39">
        <f>Weather!F153</f>
        <v>63.5</v>
      </c>
      <c r="AF21" s="39">
        <f>Weather!G153</f>
        <v>0</v>
      </c>
      <c r="AG21" s="39">
        <f>Weather!H153</f>
        <v>118.4</v>
      </c>
      <c r="AH21" s="39">
        <f>Weather!I153</f>
        <v>0</v>
      </c>
      <c r="AI21" s="39">
        <f>Weather!J153</f>
        <v>180.40000000000003</v>
      </c>
      <c r="AJ21" s="39">
        <f>Weather!K153</f>
        <v>0</v>
      </c>
      <c r="AK21" s="39">
        <f>Weather!L153</f>
        <v>242.40000000000003</v>
      </c>
      <c r="AL21" s="39">
        <f>Weather!M153</f>
        <v>0</v>
      </c>
      <c r="AM21" s="39">
        <f>Weather!N153</f>
        <v>304.39999999999998</v>
      </c>
      <c r="AN21" s="39">
        <f>Weather!O153</f>
        <v>0</v>
      </c>
      <c r="AO21" s="39">
        <f>Weather!P153</f>
        <v>366.40000000000003</v>
      </c>
      <c r="AP21" s="39">
        <f>Weather!Q153</f>
        <v>0</v>
      </c>
      <c r="AQ21" s="39">
        <f>Weather!R153</f>
        <v>428.4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1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 s="1">
        <f t="shared" si="4"/>
        <v>20</v>
      </c>
      <c r="BH21">
        <v>31</v>
      </c>
      <c r="BI21">
        <v>22</v>
      </c>
      <c r="BJ21" s="160">
        <f t="shared" si="5"/>
        <v>959.28769224186374</v>
      </c>
      <c r="BK21" s="160">
        <f t="shared" si="6"/>
        <v>30.944764265866571</v>
      </c>
      <c r="BL21" s="159">
        <f t="shared" si="7"/>
        <v>1811073.2734241069</v>
      </c>
      <c r="BM21" s="160">
        <f t="shared" si="8"/>
        <v>3117.1741668180275</v>
      </c>
      <c r="BN21" s="160">
        <f t="shared" si="9"/>
        <v>100.55400538122669</v>
      </c>
      <c r="BO21" s="160">
        <f t="shared" si="10"/>
        <v>511719.3333850627</v>
      </c>
      <c r="BP21" s="160">
        <f t="shared" si="11"/>
        <v>83620.599280538241</v>
      </c>
      <c r="BQ21" s="160">
        <f t="shared" si="12"/>
        <v>2697.4386864689754</v>
      </c>
      <c r="BR21" s="160">
        <f t="shared" si="13"/>
        <v>3800.9363309335563</v>
      </c>
      <c r="BS21" s="160">
        <f t="shared" si="14"/>
        <v>2651582.2287990027</v>
      </c>
      <c r="BT21" s="160">
        <f t="shared" si="15"/>
        <v>3736320.4133076859</v>
      </c>
    </row>
    <row r="22" spans="1:72" x14ac:dyDescent="0.2">
      <c r="A22" s="3">
        <v>40787</v>
      </c>
      <c r="B22" s="4">
        <f t="shared" si="0"/>
        <v>2011</v>
      </c>
      <c r="C22" s="2">
        <v>44303045</v>
      </c>
      <c r="D22" s="2">
        <f>VLOOKUP(B22,CDM!$I$5:$N$15,2,FALSE)/12</f>
        <v>90742.476147318026</v>
      </c>
      <c r="E22" s="2">
        <f t="shared" si="1"/>
        <v>44393787.476147316</v>
      </c>
      <c r="F22" s="5">
        <v>58615</v>
      </c>
      <c r="G22" s="5">
        <v>13485911</v>
      </c>
      <c r="H22" s="5">
        <v>5088</v>
      </c>
      <c r="I22" s="2">
        <f>VLOOKUP(B22,CDM!$I$5:$N$15,3,FALSE)/12</f>
        <v>46233.334936942432</v>
      </c>
      <c r="J22" s="2">
        <f t="shared" si="2"/>
        <v>13532144.334936943</v>
      </c>
      <c r="K22" s="5">
        <v>74299994</v>
      </c>
      <c r="L22" s="2">
        <f>VLOOKUP(B22,CDM!$I$5:$N$15,4,FALSE)/12</f>
        <v>184951.0927690852</v>
      </c>
      <c r="M22" s="87">
        <f t="shared" si="3"/>
        <v>74484945.092769086</v>
      </c>
      <c r="N22" s="5">
        <v>200230</v>
      </c>
      <c r="O22" s="5">
        <v>984</v>
      </c>
      <c r="P22" s="5">
        <v>788049</v>
      </c>
      <c r="Q22" s="5">
        <v>2277</v>
      </c>
      <c r="R22" s="5">
        <v>15041</v>
      </c>
      <c r="S22" s="5">
        <v>271024</v>
      </c>
      <c r="T22" s="1">
        <v>0</v>
      </c>
      <c r="U22" s="1">
        <v>606</v>
      </c>
      <c r="V22" s="37">
        <f>'Economic (2020 Adj.)'!C34</f>
        <v>625936.9</v>
      </c>
      <c r="W22" s="37">
        <f>'Economic (2020 Adj.)'!D34</f>
        <v>6674.4</v>
      </c>
      <c r="X22" s="37">
        <f>'Economic (2020 Adj.)'!F34</f>
        <v>2918.3</v>
      </c>
      <c r="Y22" s="37">
        <f>'Economic (2020 Adj.)'!H34</f>
        <v>372.6</v>
      </c>
      <c r="Z22" s="37">
        <f>'Economic (2020 Adj.)'!E34</f>
        <v>6734.6</v>
      </c>
      <c r="AA22" s="37">
        <f>'Economic (2020 Adj.)'!G34</f>
        <v>2940.6</v>
      </c>
      <c r="AB22" s="37">
        <f>'Economic (2020 Adj.)'!I34</f>
        <v>371.1</v>
      </c>
      <c r="AC22" s="39">
        <f>Weather!D154</f>
        <v>17.616666666666667</v>
      </c>
      <c r="AD22" s="39">
        <f>Weather!E154</f>
        <v>83.1</v>
      </c>
      <c r="AE22" s="39">
        <f>Weather!F154</f>
        <v>11.600000000000001</v>
      </c>
      <c r="AF22" s="39">
        <f>Weather!G154</f>
        <v>41.600000000000016</v>
      </c>
      <c r="AG22" s="39">
        <f>Weather!H154</f>
        <v>30.1</v>
      </c>
      <c r="AH22" s="39">
        <f>Weather!I154</f>
        <v>16.5</v>
      </c>
      <c r="AI22" s="39">
        <f>Weather!J154</f>
        <v>65</v>
      </c>
      <c r="AJ22" s="39">
        <f>Weather!K154</f>
        <v>5.6999999999999993</v>
      </c>
      <c r="AK22" s="39">
        <f>Weather!L154</f>
        <v>114.19999999999996</v>
      </c>
      <c r="AL22" s="39">
        <f>Weather!M154</f>
        <v>0.40000000000000036</v>
      </c>
      <c r="AM22" s="39">
        <f>Weather!N154</f>
        <v>168.9</v>
      </c>
      <c r="AN22" s="39">
        <f>Weather!O154</f>
        <v>0</v>
      </c>
      <c r="AO22" s="39">
        <f>Weather!P154</f>
        <v>228.5</v>
      </c>
      <c r="AP22" s="39">
        <f>Weather!Q154</f>
        <v>0</v>
      </c>
      <c r="AQ22" s="39">
        <f>Weather!R154</f>
        <v>288.5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1</v>
      </c>
      <c r="BA22">
        <v>0</v>
      </c>
      <c r="BB22">
        <v>0</v>
      </c>
      <c r="BC22">
        <v>0</v>
      </c>
      <c r="BD22">
        <v>0</v>
      </c>
      <c r="BE22">
        <v>1</v>
      </c>
      <c r="BF22">
        <v>1</v>
      </c>
      <c r="BG22" s="1">
        <f t="shared" si="4"/>
        <v>21</v>
      </c>
      <c r="BH22">
        <v>30</v>
      </c>
      <c r="BI22">
        <v>21</v>
      </c>
      <c r="BJ22" s="160">
        <f t="shared" si="5"/>
        <v>757.37929670131052</v>
      </c>
      <c r="BK22" s="160">
        <f t="shared" si="6"/>
        <v>25.24597655671035</v>
      </c>
      <c r="BL22" s="159">
        <f t="shared" si="7"/>
        <v>1479792.9158715771</v>
      </c>
      <c r="BM22" s="160">
        <f t="shared" si="8"/>
        <v>2659.6195626841477</v>
      </c>
      <c r="BN22" s="160">
        <f t="shared" si="9"/>
        <v>88.653985422804922</v>
      </c>
      <c r="BO22" s="160">
        <f t="shared" si="10"/>
        <v>451071.47783123143</v>
      </c>
      <c r="BP22" s="160">
        <f t="shared" si="11"/>
        <v>75696.082411350697</v>
      </c>
      <c r="BQ22" s="160">
        <f t="shared" si="12"/>
        <v>2523.2027470450234</v>
      </c>
      <c r="BR22" s="160">
        <f t="shared" si="13"/>
        <v>3604.5753529214617</v>
      </c>
      <c r="BS22" s="160">
        <f t="shared" si="14"/>
        <v>2482831.5030923029</v>
      </c>
      <c r="BT22" s="160">
        <f t="shared" si="15"/>
        <v>3546902.1472747186</v>
      </c>
    </row>
    <row r="23" spans="1:72" x14ac:dyDescent="0.2">
      <c r="A23" s="3">
        <v>40817</v>
      </c>
      <c r="B23" s="4">
        <f t="shared" si="0"/>
        <v>2011</v>
      </c>
      <c r="C23" s="2">
        <v>41882054</v>
      </c>
      <c r="D23" s="2">
        <f>VLOOKUP(B23,CDM!$I$5:$N$15,2,FALSE)/12</f>
        <v>90742.476147318026</v>
      </c>
      <c r="E23" s="2">
        <f t="shared" si="1"/>
        <v>41972796.476147316</v>
      </c>
      <c r="F23" s="7">
        <v>58637</v>
      </c>
      <c r="G23" s="5">
        <v>13233997</v>
      </c>
      <c r="H23" s="7">
        <v>5102</v>
      </c>
      <c r="I23" s="2">
        <f>VLOOKUP(B23,CDM!$I$5:$N$15,3,FALSE)/12</f>
        <v>46233.334936942432</v>
      </c>
      <c r="J23" s="2">
        <f t="shared" si="2"/>
        <v>13280230.334936943</v>
      </c>
      <c r="K23" s="5">
        <v>71946177</v>
      </c>
      <c r="L23" s="2">
        <f>VLOOKUP(B23,CDM!$I$5:$N$15,4,FALSE)/12</f>
        <v>184951.0927690852</v>
      </c>
      <c r="M23" s="87">
        <f t="shared" si="3"/>
        <v>72131128.092769086</v>
      </c>
      <c r="N23" s="5">
        <v>204528</v>
      </c>
      <c r="O23" s="7">
        <v>983</v>
      </c>
      <c r="P23" s="5">
        <v>918269</v>
      </c>
      <c r="Q23" s="5">
        <v>2277</v>
      </c>
      <c r="R23" s="7">
        <v>15041</v>
      </c>
      <c r="S23" s="5">
        <v>271610</v>
      </c>
      <c r="T23" s="1">
        <v>0</v>
      </c>
      <c r="U23" s="1">
        <v>606</v>
      </c>
      <c r="V23" s="37">
        <f>'Economic (2020 Adj.)'!C35</f>
        <v>625936.9</v>
      </c>
      <c r="W23" s="37">
        <f>'Economic (2020 Adj.)'!D35</f>
        <v>6668.1</v>
      </c>
      <c r="X23" s="37">
        <f>'Economic (2020 Adj.)'!F35</f>
        <v>2912.1</v>
      </c>
      <c r="Y23" s="37">
        <f>'Economic (2020 Adj.)'!H35</f>
        <v>374.6</v>
      </c>
      <c r="Z23" s="37">
        <f>'Economic (2020 Adj.)'!E35</f>
        <v>6702.2</v>
      </c>
      <c r="AA23" s="37">
        <f>'Economic (2020 Adj.)'!G35</f>
        <v>2925.9</v>
      </c>
      <c r="AB23" s="37">
        <f>'Economic (2020 Adj.)'!I35</f>
        <v>373.4</v>
      </c>
      <c r="AC23" s="39">
        <f>Weather!D155</f>
        <v>11.587096774193549</v>
      </c>
      <c r="AD23" s="39">
        <f>Weather!E155</f>
        <v>261.7</v>
      </c>
      <c r="AE23" s="39">
        <f>Weather!F155</f>
        <v>0.89999999999999858</v>
      </c>
      <c r="AF23" s="39">
        <f>Weather!G155</f>
        <v>203.49999999999997</v>
      </c>
      <c r="AG23" s="39">
        <f>Weather!H155</f>
        <v>4.6999999999999993</v>
      </c>
      <c r="AH23" s="39">
        <f>Weather!I155</f>
        <v>148.4</v>
      </c>
      <c r="AI23" s="39">
        <f>Weather!J155</f>
        <v>11.599999999999998</v>
      </c>
      <c r="AJ23" s="39">
        <f>Weather!K155</f>
        <v>102.2</v>
      </c>
      <c r="AK23" s="39">
        <f>Weather!L155</f>
        <v>27.4</v>
      </c>
      <c r="AL23" s="39">
        <f>Weather!M155</f>
        <v>61.1</v>
      </c>
      <c r="AM23" s="39">
        <f>Weather!N155</f>
        <v>48.300000000000004</v>
      </c>
      <c r="AN23" s="39">
        <f>Weather!O155</f>
        <v>30.6</v>
      </c>
      <c r="AO23" s="39">
        <f>Weather!P155</f>
        <v>79.800000000000011</v>
      </c>
      <c r="AP23" s="39">
        <f>Weather!Q155</f>
        <v>13.2</v>
      </c>
      <c r="AQ23" s="39">
        <f>Weather!R155</f>
        <v>124.40000000000002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1</v>
      </c>
      <c r="BB23">
        <v>0</v>
      </c>
      <c r="BC23">
        <v>0</v>
      </c>
      <c r="BD23">
        <v>0</v>
      </c>
      <c r="BE23">
        <v>1</v>
      </c>
      <c r="BF23">
        <v>1</v>
      </c>
      <c r="BG23" s="1">
        <f t="shared" si="4"/>
        <v>22</v>
      </c>
      <c r="BH23">
        <v>31</v>
      </c>
      <c r="BI23">
        <v>20</v>
      </c>
      <c r="BJ23" s="160">
        <f t="shared" si="5"/>
        <v>715.80736524971121</v>
      </c>
      <c r="BK23" s="160">
        <f t="shared" si="6"/>
        <v>23.090560169345522</v>
      </c>
      <c r="BL23" s="159">
        <f t="shared" si="7"/>
        <v>1353961.1766499134</v>
      </c>
      <c r="BM23" s="160">
        <f t="shared" si="8"/>
        <v>2602.9459692153946</v>
      </c>
      <c r="BN23" s="160">
        <f t="shared" si="9"/>
        <v>83.965999006948209</v>
      </c>
      <c r="BO23" s="160">
        <f t="shared" si="10"/>
        <v>428394.52693344979</v>
      </c>
      <c r="BP23" s="160">
        <f t="shared" si="11"/>
        <v>73378.563675248311</v>
      </c>
      <c r="BQ23" s="160">
        <f t="shared" si="12"/>
        <v>2367.0504411370425</v>
      </c>
      <c r="BR23" s="160">
        <f t="shared" si="13"/>
        <v>3668.9281837624158</v>
      </c>
      <c r="BS23" s="160">
        <f t="shared" si="14"/>
        <v>2326810.5836377125</v>
      </c>
      <c r="BT23" s="160">
        <f t="shared" si="15"/>
        <v>3606556.4046384543</v>
      </c>
    </row>
    <row r="24" spans="1:72" x14ac:dyDescent="0.2">
      <c r="A24" s="3">
        <v>40848</v>
      </c>
      <c r="B24" s="4">
        <f t="shared" si="0"/>
        <v>2011</v>
      </c>
      <c r="C24" s="2">
        <v>39806546</v>
      </c>
      <c r="D24" s="2">
        <f>VLOOKUP(B24,CDM!$I$5:$N$15,2,FALSE)/12</f>
        <v>90742.476147318026</v>
      </c>
      <c r="E24" s="2">
        <f t="shared" si="1"/>
        <v>39897288.476147316</v>
      </c>
      <c r="F24" s="7">
        <v>58706</v>
      </c>
      <c r="G24" s="5">
        <v>13536526</v>
      </c>
      <c r="H24" s="7">
        <v>5122</v>
      </c>
      <c r="I24" s="2">
        <f>VLOOKUP(B24,CDM!$I$5:$N$15,3,FALSE)/12</f>
        <v>46233.334936942432</v>
      </c>
      <c r="J24" s="2">
        <f t="shared" si="2"/>
        <v>13582759.334936943</v>
      </c>
      <c r="K24" s="5">
        <v>70880320</v>
      </c>
      <c r="L24" s="2">
        <f>VLOOKUP(B24,CDM!$I$5:$N$15,4,FALSE)/12</f>
        <v>184951.0927690852</v>
      </c>
      <c r="M24" s="87">
        <f t="shared" si="3"/>
        <v>71065271.092769086</v>
      </c>
      <c r="N24" s="5">
        <v>208328</v>
      </c>
      <c r="O24" s="7">
        <v>991</v>
      </c>
      <c r="P24" s="5">
        <v>981306</v>
      </c>
      <c r="Q24" s="5">
        <v>2287</v>
      </c>
      <c r="R24" s="7">
        <v>15041</v>
      </c>
      <c r="S24" s="5">
        <v>271024</v>
      </c>
      <c r="T24" s="1">
        <v>0</v>
      </c>
      <c r="U24" s="1">
        <v>606</v>
      </c>
      <c r="V24" s="37">
        <f>'Economic (2020 Adj.)'!C36</f>
        <v>625936.9</v>
      </c>
      <c r="W24" s="37">
        <f>'Economic (2020 Adj.)'!D36</f>
        <v>6662.8</v>
      </c>
      <c r="X24" s="37">
        <f>'Economic (2020 Adj.)'!F36</f>
        <v>2908.5</v>
      </c>
      <c r="Y24" s="37">
        <f>'Economic (2020 Adj.)'!H36</f>
        <v>383.7</v>
      </c>
      <c r="Z24" s="37">
        <f>'Economic (2020 Adj.)'!E36</f>
        <v>6669.4</v>
      </c>
      <c r="AA24" s="37">
        <f>'Economic (2020 Adj.)'!G36</f>
        <v>2909.9</v>
      </c>
      <c r="AB24" s="37">
        <f>'Economic (2020 Adj.)'!I36</f>
        <v>381.7</v>
      </c>
      <c r="AC24" s="39">
        <f>Weather!D156</f>
        <v>8.0533333333333328</v>
      </c>
      <c r="AD24" s="39">
        <f>Weather!E156</f>
        <v>358.40000000000003</v>
      </c>
      <c r="AE24" s="39">
        <f>Weather!F156</f>
        <v>0</v>
      </c>
      <c r="AF24" s="39">
        <f>Weather!G156</f>
        <v>298.39999999999998</v>
      </c>
      <c r="AG24" s="39">
        <f>Weather!H156</f>
        <v>0</v>
      </c>
      <c r="AH24" s="39">
        <f>Weather!I156</f>
        <v>238.39999999999998</v>
      </c>
      <c r="AI24" s="39">
        <f>Weather!J156</f>
        <v>0</v>
      </c>
      <c r="AJ24" s="39">
        <f>Weather!K156</f>
        <v>179.4</v>
      </c>
      <c r="AK24" s="39">
        <f>Weather!L156</f>
        <v>0.99999999999999822</v>
      </c>
      <c r="AL24" s="39">
        <f>Weather!M156</f>
        <v>127.09999999999998</v>
      </c>
      <c r="AM24" s="39">
        <f>Weather!N156</f>
        <v>8.6999999999999975</v>
      </c>
      <c r="AN24" s="39">
        <f>Weather!O156</f>
        <v>81.999999999999986</v>
      </c>
      <c r="AO24" s="39">
        <f>Weather!P156</f>
        <v>23.599999999999998</v>
      </c>
      <c r="AP24" s="39">
        <f>Weather!Q156</f>
        <v>49.999999999999993</v>
      </c>
      <c r="AQ24" s="39">
        <f>Weather!R156</f>
        <v>51.599999999999994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1</v>
      </c>
      <c r="BC24">
        <v>0</v>
      </c>
      <c r="BD24">
        <v>0</v>
      </c>
      <c r="BE24">
        <v>1</v>
      </c>
      <c r="BF24">
        <v>1</v>
      </c>
      <c r="BG24" s="1">
        <f t="shared" si="4"/>
        <v>23</v>
      </c>
      <c r="BH24">
        <v>30</v>
      </c>
      <c r="BI24">
        <v>22</v>
      </c>
      <c r="BJ24" s="160">
        <f t="shared" si="5"/>
        <v>679.61176840778307</v>
      </c>
      <c r="BK24" s="160">
        <f t="shared" si="6"/>
        <v>22.653725613592769</v>
      </c>
      <c r="BL24" s="159">
        <f t="shared" si="7"/>
        <v>1329909.6158715773</v>
      </c>
      <c r="BM24" s="160">
        <f t="shared" si="8"/>
        <v>2651.8468049466892</v>
      </c>
      <c r="BN24" s="160">
        <f t="shared" si="9"/>
        <v>88.39489349822297</v>
      </c>
      <c r="BO24" s="160">
        <f t="shared" si="10"/>
        <v>452758.64449789812</v>
      </c>
      <c r="BP24" s="160">
        <f t="shared" si="11"/>
        <v>71710.667096638834</v>
      </c>
      <c r="BQ24" s="160">
        <f t="shared" si="12"/>
        <v>2390.3555698879613</v>
      </c>
      <c r="BR24" s="160">
        <f t="shared" si="13"/>
        <v>3259.5757771199469</v>
      </c>
      <c r="BS24" s="160">
        <f t="shared" si="14"/>
        <v>2368842.3697589696</v>
      </c>
      <c r="BT24" s="160">
        <f t="shared" si="15"/>
        <v>3230239.5951258675</v>
      </c>
    </row>
    <row r="25" spans="1:72" x14ac:dyDescent="0.2">
      <c r="A25" s="3">
        <v>40878</v>
      </c>
      <c r="B25" s="4">
        <f t="shared" si="0"/>
        <v>2011</v>
      </c>
      <c r="C25" s="2">
        <v>43716549</v>
      </c>
      <c r="D25" s="2">
        <f>VLOOKUP(B25,CDM!$I$5:$N$15,2,FALSE)/12</f>
        <v>90742.476147318026</v>
      </c>
      <c r="E25" s="2">
        <f t="shared" si="1"/>
        <v>43807291.476147316</v>
      </c>
      <c r="F25" s="5">
        <v>58745</v>
      </c>
      <c r="G25" s="5">
        <v>14776178</v>
      </c>
      <c r="H25" s="5">
        <v>5123</v>
      </c>
      <c r="I25" s="2">
        <f>VLOOKUP(B25,CDM!$I$5:$N$15,3,FALSE)/12</f>
        <v>46233.334936942432</v>
      </c>
      <c r="J25" s="2">
        <f t="shared" si="2"/>
        <v>14822411.334936943</v>
      </c>
      <c r="K25" s="5">
        <v>72129927</v>
      </c>
      <c r="L25" s="2">
        <f>VLOOKUP(B25,CDM!$I$5:$N$15,4,FALSE)/12</f>
        <v>184951.0927690852</v>
      </c>
      <c r="M25" s="87">
        <f t="shared" si="3"/>
        <v>72314878.092769086</v>
      </c>
      <c r="N25" s="5">
        <v>175026</v>
      </c>
      <c r="O25" s="5">
        <v>995</v>
      </c>
      <c r="P25" s="5">
        <v>1059138</v>
      </c>
      <c r="Q25" s="5">
        <v>2287</v>
      </c>
      <c r="R25" s="5">
        <v>15041</v>
      </c>
      <c r="S25" s="5">
        <v>274355</v>
      </c>
      <c r="T25" s="1">
        <v>0</v>
      </c>
      <c r="U25" s="1">
        <v>606</v>
      </c>
      <c r="V25" s="37">
        <f>'Economic (2020 Adj.)'!C37</f>
        <v>625936.9</v>
      </c>
      <c r="W25" s="37">
        <f>'Economic (2020 Adj.)'!D37</f>
        <v>6667.5</v>
      </c>
      <c r="X25" s="37">
        <f>'Economic (2020 Adj.)'!F37</f>
        <v>2903</v>
      </c>
      <c r="Y25" s="37">
        <f>'Economic (2020 Adj.)'!H37</f>
        <v>387.6</v>
      </c>
      <c r="Z25" s="37">
        <f>'Economic (2020 Adj.)'!E37</f>
        <v>6668.3</v>
      </c>
      <c r="AA25" s="37">
        <f>'Economic (2020 Adj.)'!G37</f>
        <v>2910.1</v>
      </c>
      <c r="AB25" s="37">
        <f>'Economic (2020 Adj.)'!I37</f>
        <v>386.4</v>
      </c>
      <c r="AC25" s="39">
        <f>Weather!D157</f>
        <v>2.4741935483870963</v>
      </c>
      <c r="AD25" s="39">
        <f>Weather!E157</f>
        <v>543.29999999999995</v>
      </c>
      <c r="AE25" s="39">
        <f>Weather!F157</f>
        <v>0</v>
      </c>
      <c r="AF25" s="39">
        <f>Weather!G157</f>
        <v>481.2999999999999</v>
      </c>
      <c r="AG25" s="39">
        <f>Weather!H157</f>
        <v>0</v>
      </c>
      <c r="AH25" s="39">
        <f>Weather!I157</f>
        <v>419.29999999999995</v>
      </c>
      <c r="AI25" s="39">
        <f>Weather!J157</f>
        <v>0</v>
      </c>
      <c r="AJ25" s="39">
        <f>Weather!K157</f>
        <v>357.29999999999995</v>
      </c>
      <c r="AK25" s="39">
        <f>Weather!L157</f>
        <v>0</v>
      </c>
      <c r="AL25" s="39">
        <f>Weather!M157</f>
        <v>295.3</v>
      </c>
      <c r="AM25" s="39">
        <f>Weather!N157</f>
        <v>0</v>
      </c>
      <c r="AN25" s="39">
        <f>Weather!O157</f>
        <v>233.4</v>
      </c>
      <c r="AO25" s="39">
        <f>Weather!P157</f>
        <v>9.9999999999999645E-2</v>
      </c>
      <c r="AP25" s="39">
        <f>Weather!Q157</f>
        <v>173.9</v>
      </c>
      <c r="AQ25" s="39">
        <f>Weather!R157</f>
        <v>2.5999999999999996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1</v>
      </c>
      <c r="BD25">
        <v>0</v>
      </c>
      <c r="BE25">
        <v>0</v>
      </c>
      <c r="BF25">
        <v>0</v>
      </c>
      <c r="BG25" s="1">
        <f t="shared" si="4"/>
        <v>24</v>
      </c>
      <c r="BH25">
        <v>31</v>
      </c>
      <c r="BI25">
        <v>20</v>
      </c>
      <c r="BJ25" s="160">
        <f t="shared" si="5"/>
        <v>745.71949061447469</v>
      </c>
      <c r="BK25" s="160">
        <f t="shared" si="6"/>
        <v>24.055467439176603</v>
      </c>
      <c r="BL25" s="159">
        <f t="shared" si="7"/>
        <v>1413138.4347144295</v>
      </c>
      <c r="BM25" s="160">
        <f t="shared" si="8"/>
        <v>2893.3069168332895</v>
      </c>
      <c r="BN25" s="160">
        <f t="shared" si="9"/>
        <v>93.332481188170632</v>
      </c>
      <c r="BO25" s="160">
        <f t="shared" si="10"/>
        <v>478142.30112699815</v>
      </c>
      <c r="BP25" s="160">
        <f t="shared" si="11"/>
        <v>72678.269439968935</v>
      </c>
      <c r="BQ25" s="160">
        <f t="shared" si="12"/>
        <v>2344.4603045151271</v>
      </c>
      <c r="BR25" s="160">
        <f t="shared" si="13"/>
        <v>3633.9134719984468</v>
      </c>
      <c r="BS25" s="160">
        <f t="shared" si="14"/>
        <v>2332738.0029925513</v>
      </c>
      <c r="BT25" s="160">
        <f t="shared" si="15"/>
        <v>3615743.9046384543</v>
      </c>
    </row>
    <row r="26" spans="1:72" x14ac:dyDescent="0.2">
      <c r="A26" s="3">
        <v>40909</v>
      </c>
      <c r="B26" s="4">
        <f t="shared" si="0"/>
        <v>2012</v>
      </c>
      <c r="C26" s="2">
        <v>46828561</v>
      </c>
      <c r="D26" s="2">
        <f>VLOOKUP(B26,CDM!$I$5:$N$15,2,FALSE)/12</f>
        <v>242119.89726572137</v>
      </c>
      <c r="E26" s="2">
        <f t="shared" si="1"/>
        <v>47070680.897265725</v>
      </c>
      <c r="F26" s="7">
        <v>58846</v>
      </c>
      <c r="G26" s="5">
        <v>15377774</v>
      </c>
      <c r="H26" s="7">
        <v>5121</v>
      </c>
      <c r="I26" s="2">
        <f>VLOOKUP(B26,CDM!$I$5:$N$15,3,FALSE)/12</f>
        <v>114356.28165721649</v>
      </c>
      <c r="J26" s="2">
        <f t="shared" si="2"/>
        <v>15492130.281657217</v>
      </c>
      <c r="K26" s="5">
        <v>77199795</v>
      </c>
      <c r="L26" s="2">
        <f>VLOOKUP(B26,CDM!$I$5:$N$15,4,FALSE)/12</f>
        <v>661548.96300485171</v>
      </c>
      <c r="M26" s="87">
        <f t="shared" si="3"/>
        <v>77861343.963004857</v>
      </c>
      <c r="N26" s="5">
        <v>208709</v>
      </c>
      <c r="O26" s="7">
        <v>996</v>
      </c>
      <c r="P26" s="5">
        <v>1035847</v>
      </c>
      <c r="Q26" s="5">
        <v>2287</v>
      </c>
      <c r="R26" s="7">
        <v>15041</v>
      </c>
      <c r="S26" s="5">
        <v>372128</v>
      </c>
      <c r="T26" s="1">
        <v>0</v>
      </c>
      <c r="U26" s="1">
        <v>609</v>
      </c>
      <c r="V26" s="37">
        <f>'Economic (2020 Adj.)'!C38</f>
        <v>634944.30000000005</v>
      </c>
      <c r="W26" s="37">
        <f>'Economic (2020 Adj.)'!D38</f>
        <v>6673.6</v>
      </c>
      <c r="X26" s="37">
        <f>'Economic (2020 Adj.)'!F38</f>
        <v>2903.3</v>
      </c>
      <c r="Y26" s="37">
        <f>'Economic (2020 Adj.)'!H38</f>
        <v>390.1</v>
      </c>
      <c r="Z26" s="37">
        <f>'Economic (2020 Adj.)'!E38</f>
        <v>6635.9</v>
      </c>
      <c r="AA26" s="37">
        <f>'Economic (2020 Adj.)'!G38</f>
        <v>2898.2</v>
      </c>
      <c r="AB26" s="37">
        <f>'Economic (2020 Adj.)'!I38</f>
        <v>387.2</v>
      </c>
      <c r="AC26" s="39">
        <f>Weather!D158</f>
        <v>-0.34516129032258075</v>
      </c>
      <c r="AD26" s="39">
        <f>Weather!E158</f>
        <v>630.70000000000005</v>
      </c>
      <c r="AE26" s="39">
        <f>Weather!F158</f>
        <v>0</v>
      </c>
      <c r="AF26" s="39">
        <f>Weather!G158</f>
        <v>568.69999999999982</v>
      </c>
      <c r="AG26" s="39">
        <f>Weather!H158</f>
        <v>0</v>
      </c>
      <c r="AH26" s="39">
        <f>Weather!I158</f>
        <v>506.70000000000005</v>
      </c>
      <c r="AI26" s="39">
        <f>Weather!J158</f>
        <v>0</v>
      </c>
      <c r="AJ26" s="39">
        <f>Weather!K158</f>
        <v>444.70000000000005</v>
      </c>
      <c r="AK26" s="39">
        <f>Weather!L158</f>
        <v>0</v>
      </c>
      <c r="AL26" s="39">
        <f>Weather!M158</f>
        <v>382.7000000000001</v>
      </c>
      <c r="AM26" s="39">
        <f>Weather!N158</f>
        <v>0</v>
      </c>
      <c r="AN26" s="39">
        <f>Weather!O158</f>
        <v>320.70000000000005</v>
      </c>
      <c r="AO26" s="39">
        <f>Weather!P158</f>
        <v>0</v>
      </c>
      <c r="AP26" s="39">
        <f>Weather!Q158</f>
        <v>258.7</v>
      </c>
      <c r="AQ26" s="39">
        <f>Weather!R158</f>
        <v>0</v>
      </c>
      <c r="AR26">
        <v>1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 s="1">
        <f t="shared" si="4"/>
        <v>25</v>
      </c>
      <c r="BH26">
        <v>31</v>
      </c>
      <c r="BI26">
        <v>21</v>
      </c>
      <c r="BJ26" s="160">
        <f t="shared" si="5"/>
        <v>799.89601497579656</v>
      </c>
      <c r="BK26" s="160">
        <f t="shared" si="6"/>
        <v>25.80309725728376</v>
      </c>
      <c r="BL26" s="159">
        <f t="shared" si="7"/>
        <v>1518409.0612021203</v>
      </c>
      <c r="BM26" s="160">
        <f t="shared" si="8"/>
        <v>3025.2158331687592</v>
      </c>
      <c r="BN26" s="160">
        <f t="shared" si="9"/>
        <v>97.587607521572878</v>
      </c>
      <c r="BO26" s="160">
        <f t="shared" si="10"/>
        <v>499746.13811797474</v>
      </c>
      <c r="BP26" s="160">
        <f t="shared" si="11"/>
        <v>78174.040123498853</v>
      </c>
      <c r="BQ26" s="160">
        <f t="shared" si="12"/>
        <v>2521.7432297902856</v>
      </c>
      <c r="BR26" s="160">
        <f t="shared" si="13"/>
        <v>3722.5733392142311</v>
      </c>
      <c r="BS26" s="160">
        <f t="shared" si="14"/>
        <v>2511656.2568711243</v>
      </c>
      <c r="BT26" s="160">
        <f t="shared" si="15"/>
        <v>3707683.0458573741</v>
      </c>
    </row>
    <row r="27" spans="1:72" x14ac:dyDescent="0.2">
      <c r="A27" s="3">
        <v>40940</v>
      </c>
      <c r="B27" s="4">
        <f t="shared" si="0"/>
        <v>2012</v>
      </c>
      <c r="C27" s="2">
        <v>40144723</v>
      </c>
      <c r="D27" s="2">
        <f>VLOOKUP(B27,CDM!$I$5:$N$15,2,FALSE)/12</f>
        <v>242119.89726572137</v>
      </c>
      <c r="E27" s="2">
        <f t="shared" si="1"/>
        <v>40386842.897265725</v>
      </c>
      <c r="F27" s="7">
        <v>58886</v>
      </c>
      <c r="G27" s="5">
        <v>14331621</v>
      </c>
      <c r="H27" s="7">
        <v>5127</v>
      </c>
      <c r="I27" s="2">
        <f>VLOOKUP(B27,CDM!$I$5:$N$15,3,FALSE)/12</f>
        <v>114356.28165721649</v>
      </c>
      <c r="J27" s="2">
        <f t="shared" si="2"/>
        <v>14445977.281657217</v>
      </c>
      <c r="K27" s="5">
        <v>72250757</v>
      </c>
      <c r="L27" s="2">
        <f>VLOOKUP(B27,CDM!$I$5:$N$15,4,FALSE)/12</f>
        <v>661548.96300485171</v>
      </c>
      <c r="M27" s="87">
        <f t="shared" si="3"/>
        <v>72912305.963004857</v>
      </c>
      <c r="N27" s="5">
        <v>186053</v>
      </c>
      <c r="O27" s="7">
        <v>995</v>
      </c>
      <c r="P27" s="5">
        <v>893228</v>
      </c>
      <c r="Q27" s="5">
        <v>2287</v>
      </c>
      <c r="R27" s="7">
        <v>15041</v>
      </c>
      <c r="S27" s="5">
        <v>271088</v>
      </c>
      <c r="T27" s="1">
        <v>0</v>
      </c>
      <c r="U27" s="1">
        <v>607</v>
      </c>
      <c r="V27" s="37">
        <f>'Economic (2020 Adj.)'!C39</f>
        <v>634944.30000000005</v>
      </c>
      <c r="W27" s="37">
        <f>'Economic (2020 Adj.)'!D39</f>
        <v>6670.7</v>
      </c>
      <c r="X27" s="37">
        <f>'Economic (2020 Adj.)'!F39</f>
        <v>2901.2</v>
      </c>
      <c r="Y27" s="37">
        <f>'Economic (2020 Adj.)'!H39</f>
        <v>388.4</v>
      </c>
      <c r="Z27" s="37">
        <f>'Economic (2020 Adj.)'!E39</f>
        <v>6598</v>
      </c>
      <c r="AA27" s="37">
        <f>'Economic (2020 Adj.)'!G39</f>
        <v>2881</v>
      </c>
      <c r="AB27" s="37">
        <f>'Economic (2020 Adj.)'!I39</f>
        <v>385.8</v>
      </c>
      <c r="AC27" s="39">
        <f>Weather!D159</f>
        <v>0.84827586206896544</v>
      </c>
      <c r="AD27" s="39">
        <f>Weather!E159</f>
        <v>555.39999999999986</v>
      </c>
      <c r="AE27" s="39">
        <f>Weather!F159</f>
        <v>0</v>
      </c>
      <c r="AF27" s="39">
        <f>Weather!G159</f>
        <v>497.39999999999992</v>
      </c>
      <c r="AG27" s="39">
        <f>Weather!H159</f>
        <v>0</v>
      </c>
      <c r="AH27" s="39">
        <f>Weather!I159</f>
        <v>439.4</v>
      </c>
      <c r="AI27" s="39">
        <f>Weather!J159</f>
        <v>0</v>
      </c>
      <c r="AJ27" s="39">
        <f>Weather!K159</f>
        <v>381.4</v>
      </c>
      <c r="AK27" s="39">
        <f>Weather!L159</f>
        <v>0</v>
      </c>
      <c r="AL27" s="39">
        <f>Weather!M159</f>
        <v>323.39999999999998</v>
      </c>
      <c r="AM27" s="39">
        <f>Weather!N159</f>
        <v>0</v>
      </c>
      <c r="AN27" s="39">
        <f>Weather!O159</f>
        <v>265.40000000000003</v>
      </c>
      <c r="AO27" s="39">
        <f>Weather!P159</f>
        <v>0</v>
      </c>
      <c r="AP27" s="39">
        <f>Weather!Q159</f>
        <v>207.40000000000006</v>
      </c>
      <c r="AQ27" s="39">
        <f>Weather!R159</f>
        <v>0</v>
      </c>
      <c r="AR27">
        <v>0</v>
      </c>
      <c r="AS27">
        <v>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 s="1">
        <f t="shared" si="4"/>
        <v>26</v>
      </c>
      <c r="BH27">
        <v>29</v>
      </c>
      <c r="BI27">
        <v>20</v>
      </c>
      <c r="BJ27" s="160">
        <f t="shared" si="5"/>
        <v>685.84795872135521</v>
      </c>
      <c r="BK27" s="160">
        <f t="shared" si="6"/>
        <v>23.649929611081212</v>
      </c>
      <c r="BL27" s="159">
        <f t="shared" si="7"/>
        <v>1392649.7550781285</v>
      </c>
      <c r="BM27" s="160">
        <f t="shared" si="8"/>
        <v>2817.6277124355797</v>
      </c>
      <c r="BN27" s="160">
        <f t="shared" si="9"/>
        <v>97.159576290882057</v>
      </c>
      <c r="BO27" s="160">
        <f t="shared" si="10"/>
        <v>498137.14764335233</v>
      </c>
      <c r="BP27" s="160">
        <f t="shared" si="11"/>
        <v>73278.699460306394</v>
      </c>
      <c r="BQ27" s="160">
        <f t="shared" si="12"/>
        <v>2526.8517055278066</v>
      </c>
      <c r="BR27" s="160">
        <f t="shared" si="13"/>
        <v>3663.9349730153199</v>
      </c>
      <c r="BS27" s="160">
        <f t="shared" si="14"/>
        <v>2514217.4470001673</v>
      </c>
      <c r="BT27" s="160">
        <f t="shared" si="15"/>
        <v>3645615.2981502428</v>
      </c>
    </row>
    <row r="28" spans="1:72" x14ac:dyDescent="0.2">
      <c r="A28" s="3">
        <v>40969</v>
      </c>
      <c r="B28" s="4">
        <f t="shared" si="0"/>
        <v>2012</v>
      </c>
      <c r="C28" s="2">
        <v>38792419</v>
      </c>
      <c r="D28" s="2">
        <f>VLOOKUP(B28,CDM!$I$5:$N$15,2,FALSE)/12</f>
        <v>242119.89726572137</v>
      </c>
      <c r="E28" s="2">
        <f t="shared" si="1"/>
        <v>39034538.897265725</v>
      </c>
      <c r="F28" s="5">
        <v>58950</v>
      </c>
      <c r="G28" s="5">
        <v>14211977</v>
      </c>
      <c r="H28" s="5">
        <v>5122</v>
      </c>
      <c r="I28" s="2">
        <f>VLOOKUP(B28,CDM!$I$5:$N$15,3,FALSE)/12</f>
        <v>114356.28165721649</v>
      </c>
      <c r="J28" s="2">
        <f t="shared" si="2"/>
        <v>14326333.281657217</v>
      </c>
      <c r="K28" s="5">
        <v>74228247</v>
      </c>
      <c r="L28" s="2">
        <f>VLOOKUP(B28,CDM!$I$5:$N$15,4,FALSE)/12</f>
        <v>661548.96300485171</v>
      </c>
      <c r="M28" s="87">
        <f t="shared" si="3"/>
        <v>74889795.963004857</v>
      </c>
      <c r="N28" s="5">
        <v>180847</v>
      </c>
      <c r="O28" s="5">
        <v>996</v>
      </c>
      <c r="P28" s="5">
        <v>852724</v>
      </c>
      <c r="Q28" s="5">
        <v>2287</v>
      </c>
      <c r="R28" s="5">
        <v>15041</v>
      </c>
      <c r="S28" s="5">
        <v>272285</v>
      </c>
      <c r="T28" s="1">
        <v>0</v>
      </c>
      <c r="U28" s="1">
        <v>605</v>
      </c>
      <c r="V28" s="37">
        <f>'Economic (2020 Adj.)'!C40</f>
        <v>634944.30000000005</v>
      </c>
      <c r="W28" s="37">
        <f>'Economic (2020 Adj.)'!D40</f>
        <v>6674</v>
      </c>
      <c r="X28" s="37">
        <f>'Economic (2020 Adj.)'!F40</f>
        <v>2907.4</v>
      </c>
      <c r="Y28" s="37">
        <f>'Economic (2020 Adj.)'!H40</f>
        <v>385</v>
      </c>
      <c r="Z28" s="37">
        <f>'Economic (2020 Adj.)'!E40</f>
        <v>6569.8</v>
      </c>
      <c r="AA28" s="37">
        <f>'Economic (2020 Adj.)'!G40</f>
        <v>2869.6</v>
      </c>
      <c r="AB28" s="37">
        <f>'Economic (2020 Adj.)'!I40</f>
        <v>380.7</v>
      </c>
      <c r="AC28" s="39">
        <f>Weather!D160</f>
        <v>6.112903225806452</v>
      </c>
      <c r="AD28" s="39">
        <f>Weather!E160</f>
        <v>430.49999999999994</v>
      </c>
      <c r="AE28" s="39">
        <f>Weather!F160</f>
        <v>0</v>
      </c>
      <c r="AF28" s="39">
        <f>Weather!G160</f>
        <v>368.49999999999994</v>
      </c>
      <c r="AG28" s="39">
        <f>Weather!H160</f>
        <v>0</v>
      </c>
      <c r="AH28" s="39">
        <f>Weather!I160</f>
        <v>306.5</v>
      </c>
      <c r="AI28" s="39">
        <f>Weather!J160</f>
        <v>0</v>
      </c>
      <c r="AJ28" s="39">
        <f>Weather!K160</f>
        <v>244.8</v>
      </c>
      <c r="AK28" s="39">
        <f>Weather!L160</f>
        <v>0.30000000000000071</v>
      </c>
      <c r="AL28" s="39">
        <f>Weather!M160</f>
        <v>184.89999999999998</v>
      </c>
      <c r="AM28" s="39">
        <f>Weather!N160</f>
        <v>2.4000000000000004</v>
      </c>
      <c r="AN28" s="39">
        <f>Weather!O160</f>
        <v>132.9</v>
      </c>
      <c r="AO28" s="39">
        <f>Weather!P160</f>
        <v>12.4</v>
      </c>
      <c r="AP28" s="39">
        <f>Weather!Q160</f>
        <v>93.1</v>
      </c>
      <c r="AQ28" s="39">
        <f>Weather!R160</f>
        <v>34.6</v>
      </c>
      <c r="AR28">
        <v>0</v>
      </c>
      <c r="AS28">
        <v>0</v>
      </c>
      <c r="AT28">
        <v>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1</v>
      </c>
      <c r="BE28">
        <v>0</v>
      </c>
      <c r="BF28">
        <v>1</v>
      </c>
      <c r="BG28" s="1">
        <f t="shared" si="4"/>
        <v>27</v>
      </c>
      <c r="BH28">
        <v>31</v>
      </c>
      <c r="BI28">
        <v>22</v>
      </c>
      <c r="BJ28" s="160">
        <f t="shared" si="5"/>
        <v>662.16350970764586</v>
      </c>
      <c r="BK28" s="160">
        <f t="shared" si="6"/>
        <v>21.360113216375673</v>
      </c>
      <c r="BL28" s="159">
        <f t="shared" si="7"/>
        <v>1259178.674105346</v>
      </c>
      <c r="BM28" s="160">
        <f t="shared" si="8"/>
        <v>2797.0193833770436</v>
      </c>
      <c r="BN28" s="160">
        <f t="shared" si="9"/>
        <v>90.226431721840115</v>
      </c>
      <c r="BO28" s="160">
        <f t="shared" si="10"/>
        <v>462139.78327926504</v>
      </c>
      <c r="BP28" s="160">
        <f t="shared" si="11"/>
        <v>75190.558195788006</v>
      </c>
      <c r="BQ28" s="160">
        <f t="shared" si="12"/>
        <v>2425.5018772834842</v>
      </c>
      <c r="BR28" s="160">
        <f t="shared" si="13"/>
        <v>3417.7526452630914</v>
      </c>
      <c r="BS28" s="160">
        <f t="shared" si="14"/>
        <v>2415799.8697743504</v>
      </c>
      <c r="BT28" s="160">
        <f t="shared" si="15"/>
        <v>3404081.6346820388</v>
      </c>
    </row>
    <row r="29" spans="1:72" x14ac:dyDescent="0.2">
      <c r="A29" s="3">
        <v>41000</v>
      </c>
      <c r="B29" s="4">
        <f t="shared" si="0"/>
        <v>2012</v>
      </c>
      <c r="C29" s="2">
        <v>37716766</v>
      </c>
      <c r="D29" s="2">
        <f>VLOOKUP(B29,CDM!$I$5:$N$15,2,FALSE)/12</f>
        <v>242119.89726572137</v>
      </c>
      <c r="E29" s="2">
        <f t="shared" si="1"/>
        <v>37958885.897265725</v>
      </c>
      <c r="F29" s="7">
        <v>59035</v>
      </c>
      <c r="G29" s="5">
        <v>13069683</v>
      </c>
      <c r="H29" s="7">
        <v>5123</v>
      </c>
      <c r="I29" s="2">
        <f>VLOOKUP(B29,CDM!$I$5:$N$15,3,FALSE)/12</f>
        <v>114356.28165721649</v>
      </c>
      <c r="J29" s="2">
        <f t="shared" si="2"/>
        <v>13184039.281657217</v>
      </c>
      <c r="K29" s="5">
        <v>69239673</v>
      </c>
      <c r="L29" s="2">
        <f>VLOOKUP(B29,CDM!$I$5:$N$15,4,FALSE)/12</f>
        <v>661548.96300485171</v>
      </c>
      <c r="M29" s="87">
        <f t="shared" si="3"/>
        <v>69901221.963004857</v>
      </c>
      <c r="N29" s="5">
        <v>191354</v>
      </c>
      <c r="O29" s="7">
        <v>996</v>
      </c>
      <c r="P29" s="5">
        <v>723442</v>
      </c>
      <c r="Q29" s="5">
        <v>2287</v>
      </c>
      <c r="R29" s="7">
        <v>15095</v>
      </c>
      <c r="S29" s="5">
        <v>270583</v>
      </c>
      <c r="T29" s="1">
        <v>0</v>
      </c>
      <c r="U29" s="1">
        <v>605</v>
      </c>
      <c r="V29" s="37">
        <f>'Economic (2020 Adj.)'!C41</f>
        <v>634944.30000000005</v>
      </c>
      <c r="W29" s="37">
        <f>'Economic (2020 Adj.)'!D41</f>
        <v>6685.8</v>
      </c>
      <c r="X29" s="37">
        <f>'Economic (2020 Adj.)'!F41</f>
        <v>2912.5</v>
      </c>
      <c r="Y29" s="37">
        <f>'Economic (2020 Adj.)'!H41</f>
        <v>382.5</v>
      </c>
      <c r="Z29" s="37">
        <f>'Economic (2020 Adj.)'!E41</f>
        <v>6603.3</v>
      </c>
      <c r="AA29" s="37">
        <f>'Economic (2020 Adj.)'!G41</f>
        <v>2883</v>
      </c>
      <c r="AB29" s="37">
        <f>'Economic (2020 Adj.)'!I41</f>
        <v>378.9</v>
      </c>
      <c r="AC29" s="39">
        <f>Weather!D161</f>
        <v>7.86</v>
      </c>
      <c r="AD29" s="39">
        <f>Weather!E161</f>
        <v>364.2</v>
      </c>
      <c r="AE29" s="39">
        <f>Weather!F161</f>
        <v>0</v>
      </c>
      <c r="AF29" s="39">
        <f>Weather!G161</f>
        <v>304.2</v>
      </c>
      <c r="AG29" s="39">
        <f>Weather!H161</f>
        <v>0</v>
      </c>
      <c r="AH29" s="39">
        <f>Weather!I161</f>
        <v>244.20000000000002</v>
      </c>
      <c r="AI29" s="39">
        <f>Weather!J161</f>
        <v>0</v>
      </c>
      <c r="AJ29" s="39">
        <f>Weather!K161</f>
        <v>186.6</v>
      </c>
      <c r="AK29" s="39">
        <f>Weather!L161</f>
        <v>2.4000000000000004</v>
      </c>
      <c r="AL29" s="39">
        <f>Weather!M161</f>
        <v>134.19999999999999</v>
      </c>
      <c r="AM29" s="39">
        <f>Weather!N161</f>
        <v>10</v>
      </c>
      <c r="AN29" s="39">
        <f>Weather!O161</f>
        <v>83.5</v>
      </c>
      <c r="AO29" s="39">
        <f>Weather!P161</f>
        <v>19.3</v>
      </c>
      <c r="AP29" s="39">
        <f>Weather!Q161</f>
        <v>38</v>
      </c>
      <c r="AQ29" s="39">
        <f>Weather!R161</f>
        <v>33.799999999999997</v>
      </c>
      <c r="AR29">
        <v>0</v>
      </c>
      <c r="AS29">
        <v>0</v>
      </c>
      <c r="AT29">
        <v>0</v>
      </c>
      <c r="AU29">
        <v>1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1</v>
      </c>
      <c r="BE29">
        <v>0</v>
      </c>
      <c r="BF29">
        <v>1</v>
      </c>
      <c r="BG29" s="1">
        <f t="shared" si="4"/>
        <v>28</v>
      </c>
      <c r="BH29">
        <v>30</v>
      </c>
      <c r="BI29">
        <v>19</v>
      </c>
      <c r="BJ29" s="160">
        <f t="shared" si="5"/>
        <v>642.98951295444613</v>
      </c>
      <c r="BK29" s="160">
        <f t="shared" si="6"/>
        <v>21.432983765148204</v>
      </c>
      <c r="BL29" s="159">
        <f t="shared" si="7"/>
        <v>1265296.1965755241</v>
      </c>
      <c r="BM29" s="160">
        <f t="shared" si="8"/>
        <v>2573.499762181772</v>
      </c>
      <c r="BN29" s="160">
        <f t="shared" si="9"/>
        <v>85.783325406059063</v>
      </c>
      <c r="BO29" s="160">
        <f t="shared" si="10"/>
        <v>439467.97605524055</v>
      </c>
      <c r="BP29" s="160">
        <f t="shared" si="11"/>
        <v>70181.949762053075</v>
      </c>
      <c r="BQ29" s="160">
        <f t="shared" si="12"/>
        <v>2339.3983254017689</v>
      </c>
      <c r="BR29" s="160">
        <f t="shared" si="13"/>
        <v>3693.7868295817407</v>
      </c>
      <c r="BS29" s="160">
        <f t="shared" si="14"/>
        <v>2330040.7321001617</v>
      </c>
      <c r="BT29" s="160">
        <f t="shared" si="15"/>
        <v>3679011.6822634134</v>
      </c>
    </row>
    <row r="30" spans="1:72" x14ac:dyDescent="0.2">
      <c r="A30" s="3">
        <v>41030</v>
      </c>
      <c r="B30" s="4">
        <f t="shared" si="0"/>
        <v>2012</v>
      </c>
      <c r="C30" s="2">
        <v>42865233</v>
      </c>
      <c r="D30" s="2">
        <f>VLOOKUP(B30,CDM!$I$5:$N$15,2,FALSE)/12</f>
        <v>242119.89726572137</v>
      </c>
      <c r="E30" s="2">
        <f t="shared" si="1"/>
        <v>43107352.897265725</v>
      </c>
      <c r="F30" s="7">
        <v>59072</v>
      </c>
      <c r="G30" s="5">
        <v>13868621</v>
      </c>
      <c r="H30" s="7">
        <v>5123</v>
      </c>
      <c r="I30" s="2">
        <f>VLOOKUP(B30,CDM!$I$5:$N$15,3,FALSE)/12</f>
        <v>114356.28165721649</v>
      </c>
      <c r="J30" s="2">
        <f t="shared" si="2"/>
        <v>13982977.281657217</v>
      </c>
      <c r="K30" s="5">
        <v>75036444</v>
      </c>
      <c r="L30" s="2">
        <f>VLOOKUP(B30,CDM!$I$5:$N$15,4,FALSE)/12</f>
        <v>661548.96300485171</v>
      </c>
      <c r="M30" s="87">
        <f t="shared" si="3"/>
        <v>75697992.963004857</v>
      </c>
      <c r="N30" s="5">
        <v>200873</v>
      </c>
      <c r="O30" s="7">
        <v>998</v>
      </c>
      <c r="P30" s="5">
        <v>658589</v>
      </c>
      <c r="Q30" s="5">
        <v>2287</v>
      </c>
      <c r="R30" s="7">
        <v>15095</v>
      </c>
      <c r="S30" s="5">
        <v>271142</v>
      </c>
      <c r="T30" s="1">
        <v>0</v>
      </c>
      <c r="U30" s="1">
        <v>604</v>
      </c>
      <c r="V30" s="37">
        <f>'Economic (2020 Adj.)'!C42</f>
        <v>634944.30000000005</v>
      </c>
      <c r="W30" s="37">
        <f>'Economic (2020 Adj.)'!D42</f>
        <v>6690.1</v>
      </c>
      <c r="X30" s="37">
        <f>'Economic (2020 Adj.)'!F42</f>
        <v>2917.9</v>
      </c>
      <c r="Y30" s="37">
        <f>'Economic (2020 Adj.)'!H42</f>
        <v>376.3</v>
      </c>
      <c r="Z30" s="37">
        <f>'Economic (2020 Adj.)'!E42</f>
        <v>6658.1</v>
      </c>
      <c r="AA30" s="37">
        <f>'Economic (2020 Adj.)'!G42</f>
        <v>2902.3</v>
      </c>
      <c r="AB30" s="37">
        <f>'Economic (2020 Adj.)'!I42</f>
        <v>375.1</v>
      </c>
      <c r="AC30" s="39">
        <f>Weather!D162</f>
        <v>15.490322580645163</v>
      </c>
      <c r="AD30" s="39">
        <f>Weather!E162</f>
        <v>152.00000000000003</v>
      </c>
      <c r="AE30" s="39">
        <f>Weather!F162</f>
        <v>12.2</v>
      </c>
      <c r="AF30" s="39">
        <f>Weather!G162</f>
        <v>100.99999999999999</v>
      </c>
      <c r="AG30" s="39">
        <f>Weather!H162</f>
        <v>23.2</v>
      </c>
      <c r="AH30" s="39">
        <f>Weather!I162</f>
        <v>62</v>
      </c>
      <c r="AI30" s="39">
        <f>Weather!J162</f>
        <v>46.2</v>
      </c>
      <c r="AJ30" s="39">
        <f>Weather!K162</f>
        <v>31.1</v>
      </c>
      <c r="AK30" s="39">
        <f>Weather!L162</f>
        <v>77.3</v>
      </c>
      <c r="AL30" s="39">
        <f>Weather!M162</f>
        <v>11.399999999999997</v>
      </c>
      <c r="AM30" s="39">
        <f>Weather!N162</f>
        <v>119.6</v>
      </c>
      <c r="AN30" s="39">
        <f>Weather!O162</f>
        <v>1.8999999999999986</v>
      </c>
      <c r="AO30" s="39">
        <f>Weather!P162</f>
        <v>172.10000000000002</v>
      </c>
      <c r="AP30" s="39">
        <f>Weather!Q162</f>
        <v>0</v>
      </c>
      <c r="AQ30" s="39">
        <f>Weather!R162</f>
        <v>232.2</v>
      </c>
      <c r="AR30">
        <v>0</v>
      </c>
      <c r="AS30">
        <v>0</v>
      </c>
      <c r="AT30">
        <v>0</v>
      </c>
      <c r="AU30">
        <v>0</v>
      </c>
      <c r="AV30">
        <v>1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1</v>
      </c>
      <c r="BE30">
        <v>0</v>
      </c>
      <c r="BF30">
        <v>1</v>
      </c>
      <c r="BG30" s="1">
        <f t="shared" si="4"/>
        <v>29</v>
      </c>
      <c r="BH30">
        <v>31</v>
      </c>
      <c r="BI30">
        <v>22</v>
      </c>
      <c r="BJ30" s="160">
        <f t="shared" si="5"/>
        <v>729.74256665197936</v>
      </c>
      <c r="BK30" s="160">
        <f t="shared" si="6"/>
        <v>23.540082795225139</v>
      </c>
      <c r="BL30" s="159">
        <f t="shared" si="7"/>
        <v>1390559.7708795394</v>
      </c>
      <c r="BM30" s="160">
        <f t="shared" si="8"/>
        <v>2729.4509626502472</v>
      </c>
      <c r="BN30" s="160">
        <f t="shared" si="9"/>
        <v>88.046805246782171</v>
      </c>
      <c r="BO30" s="160">
        <f t="shared" si="10"/>
        <v>451063.78327926504</v>
      </c>
      <c r="BP30" s="160">
        <f t="shared" si="11"/>
        <v>75849.692347700257</v>
      </c>
      <c r="BQ30" s="160">
        <f t="shared" si="12"/>
        <v>2446.7642692806535</v>
      </c>
      <c r="BR30" s="160">
        <f t="shared" si="13"/>
        <v>3447.7132885318297</v>
      </c>
      <c r="BS30" s="160">
        <f t="shared" si="14"/>
        <v>2441870.740742092</v>
      </c>
      <c r="BT30" s="160">
        <f t="shared" si="15"/>
        <v>3440817.8619547663</v>
      </c>
    </row>
    <row r="31" spans="1:72" x14ac:dyDescent="0.2">
      <c r="A31" s="3">
        <v>41061</v>
      </c>
      <c r="B31" s="4">
        <f t="shared" si="0"/>
        <v>2012</v>
      </c>
      <c r="C31" s="2">
        <v>52997688</v>
      </c>
      <c r="D31" s="2">
        <f>VLOOKUP(B31,CDM!$I$5:$N$15,2,FALSE)/12</f>
        <v>242119.89726572137</v>
      </c>
      <c r="E31" s="2">
        <f t="shared" si="1"/>
        <v>53239807.897265725</v>
      </c>
      <c r="F31" s="5">
        <v>59132</v>
      </c>
      <c r="G31" s="5">
        <v>14868354</v>
      </c>
      <c r="H31" s="5">
        <v>5127</v>
      </c>
      <c r="I31" s="2">
        <f>VLOOKUP(B31,CDM!$I$5:$N$15,3,FALSE)/12</f>
        <v>114356.28165721649</v>
      </c>
      <c r="J31" s="2">
        <f t="shared" si="2"/>
        <v>14982710.281657217</v>
      </c>
      <c r="K31" s="5">
        <v>77981189</v>
      </c>
      <c r="L31" s="2">
        <f>VLOOKUP(B31,CDM!$I$5:$N$15,4,FALSE)/12</f>
        <v>661548.96300485171</v>
      </c>
      <c r="M31" s="87">
        <f t="shared" si="3"/>
        <v>78642737.963004857</v>
      </c>
      <c r="N31" s="5">
        <v>208434</v>
      </c>
      <c r="O31" s="5">
        <v>999</v>
      </c>
      <c r="P31" s="5">
        <v>593850</v>
      </c>
      <c r="Q31" s="5">
        <v>2287</v>
      </c>
      <c r="R31" s="5">
        <v>15095</v>
      </c>
      <c r="S31" s="5">
        <v>270556</v>
      </c>
      <c r="T31" s="1">
        <v>0</v>
      </c>
      <c r="U31" s="1">
        <v>604</v>
      </c>
      <c r="V31" s="37">
        <f>'Economic (2020 Adj.)'!C43</f>
        <v>634944.30000000005</v>
      </c>
      <c r="W31" s="37">
        <f>'Economic (2020 Adj.)'!D43</f>
        <v>6693.3</v>
      </c>
      <c r="X31" s="37">
        <f>'Economic (2020 Adj.)'!F43</f>
        <v>2928.6</v>
      </c>
      <c r="Y31" s="37">
        <f>'Economic (2020 Adj.)'!H43</f>
        <v>371.5</v>
      </c>
      <c r="Z31" s="37">
        <f>'Economic (2020 Adj.)'!E43</f>
        <v>6737.2</v>
      </c>
      <c r="AA31" s="37">
        <f>'Economic (2020 Adj.)'!G43</f>
        <v>2937.8</v>
      </c>
      <c r="AB31" s="37">
        <f>'Economic (2020 Adj.)'!I43</f>
        <v>373.8</v>
      </c>
      <c r="AC31" s="39">
        <f>Weather!D163</f>
        <v>20.633333333333333</v>
      </c>
      <c r="AD31" s="39">
        <f>Weather!E163</f>
        <v>44.199999999999996</v>
      </c>
      <c r="AE31" s="39">
        <f>Weather!F163</f>
        <v>63.20000000000001</v>
      </c>
      <c r="AF31" s="39">
        <f>Weather!G163</f>
        <v>22.7</v>
      </c>
      <c r="AG31" s="39">
        <f>Weather!H163</f>
        <v>101.69999999999999</v>
      </c>
      <c r="AH31" s="39">
        <f>Weather!I163</f>
        <v>8</v>
      </c>
      <c r="AI31" s="39">
        <f>Weather!J163</f>
        <v>147</v>
      </c>
      <c r="AJ31" s="39">
        <f>Weather!K163</f>
        <v>1.0999999999999996</v>
      </c>
      <c r="AK31" s="39">
        <f>Weather!L163</f>
        <v>200.09999999999997</v>
      </c>
      <c r="AL31" s="39">
        <f>Weather!M163</f>
        <v>0</v>
      </c>
      <c r="AM31" s="39">
        <f>Weather!N163</f>
        <v>259</v>
      </c>
      <c r="AN31" s="39">
        <f>Weather!O163</f>
        <v>0</v>
      </c>
      <c r="AO31" s="39">
        <f>Weather!P163</f>
        <v>319</v>
      </c>
      <c r="AP31" s="39">
        <f>Weather!Q163</f>
        <v>0</v>
      </c>
      <c r="AQ31" s="39">
        <f>Weather!R163</f>
        <v>379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1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 s="1">
        <f t="shared" si="4"/>
        <v>30</v>
      </c>
      <c r="BH31">
        <v>30</v>
      </c>
      <c r="BI31">
        <v>21</v>
      </c>
      <c r="BJ31" s="160">
        <f t="shared" si="5"/>
        <v>900.3552712112853</v>
      </c>
      <c r="BK31" s="160">
        <f t="shared" si="6"/>
        <v>30.011842373709509</v>
      </c>
      <c r="BL31" s="159">
        <f t="shared" si="7"/>
        <v>1774660.2632421909</v>
      </c>
      <c r="BM31" s="160">
        <f t="shared" si="8"/>
        <v>2922.3152490066741</v>
      </c>
      <c r="BN31" s="160">
        <f t="shared" si="9"/>
        <v>97.410508300222475</v>
      </c>
      <c r="BO31" s="160">
        <f t="shared" si="10"/>
        <v>499423.67605524056</v>
      </c>
      <c r="BP31" s="160">
        <f t="shared" si="11"/>
        <v>78721.459422427288</v>
      </c>
      <c r="BQ31" s="160">
        <f t="shared" si="12"/>
        <v>2624.0486474142431</v>
      </c>
      <c r="BR31" s="160">
        <f t="shared" si="13"/>
        <v>3748.6409248774899</v>
      </c>
      <c r="BS31" s="160">
        <f t="shared" si="14"/>
        <v>2621424.5987668284</v>
      </c>
      <c r="BT31" s="160">
        <f t="shared" si="15"/>
        <v>3744892.2839526124</v>
      </c>
    </row>
    <row r="32" spans="1:72" x14ac:dyDescent="0.2">
      <c r="A32" s="3">
        <v>41091</v>
      </c>
      <c r="B32" s="4">
        <f t="shared" si="0"/>
        <v>2012</v>
      </c>
      <c r="C32" s="2">
        <v>63233816</v>
      </c>
      <c r="D32" s="2">
        <f>VLOOKUP(B32,CDM!$I$5:$N$15,2,FALSE)/12</f>
        <v>242119.89726572137</v>
      </c>
      <c r="E32" s="2">
        <f t="shared" si="1"/>
        <v>63475935.897265725</v>
      </c>
      <c r="F32" s="7">
        <v>59180</v>
      </c>
      <c r="G32" s="5">
        <v>16622947</v>
      </c>
      <c r="H32" s="7">
        <v>5135</v>
      </c>
      <c r="I32" s="2">
        <f>VLOOKUP(B32,CDM!$I$5:$N$15,3,FALSE)/12</f>
        <v>114356.28165721649</v>
      </c>
      <c r="J32" s="2">
        <f t="shared" si="2"/>
        <v>16737303.281657217</v>
      </c>
      <c r="K32" s="5">
        <v>84647767</v>
      </c>
      <c r="L32" s="2">
        <f>VLOOKUP(B32,CDM!$I$5:$N$15,4,FALSE)/12</f>
        <v>661548.96300485171</v>
      </c>
      <c r="M32" s="87">
        <f t="shared" si="3"/>
        <v>85309315.963004857</v>
      </c>
      <c r="N32" s="5">
        <v>214820</v>
      </c>
      <c r="O32" s="7">
        <v>1000</v>
      </c>
      <c r="P32" s="5">
        <v>638139</v>
      </c>
      <c r="Q32" s="5">
        <v>2289</v>
      </c>
      <c r="R32" s="7">
        <v>15095</v>
      </c>
      <c r="S32" s="5">
        <v>271142</v>
      </c>
      <c r="T32" s="1">
        <v>0</v>
      </c>
      <c r="U32" s="1">
        <v>604</v>
      </c>
      <c r="V32" s="37">
        <f>'Economic (2020 Adj.)'!C44</f>
        <v>634944.30000000005</v>
      </c>
      <c r="W32" s="37">
        <f>'Economic (2020 Adj.)'!D44</f>
        <v>6694.6</v>
      </c>
      <c r="X32" s="37">
        <f>'Economic (2020 Adj.)'!F44</f>
        <v>2949.2</v>
      </c>
      <c r="Y32" s="37">
        <f>'Economic (2020 Adj.)'!H44</f>
        <v>368.7</v>
      </c>
      <c r="Z32" s="37">
        <f>'Economic (2020 Adj.)'!E44</f>
        <v>6778.6</v>
      </c>
      <c r="AA32" s="37">
        <f>'Economic (2020 Adj.)'!G44</f>
        <v>2965.9</v>
      </c>
      <c r="AB32" s="37">
        <f>'Economic (2020 Adj.)'!I44</f>
        <v>372.6</v>
      </c>
      <c r="AC32" s="39">
        <f>Weather!D164</f>
        <v>24.2258064516129</v>
      </c>
      <c r="AD32" s="39">
        <f>Weather!E164</f>
        <v>0</v>
      </c>
      <c r="AE32" s="39">
        <f>Weather!F164</f>
        <v>131</v>
      </c>
      <c r="AF32" s="39">
        <f>Weather!G164</f>
        <v>0</v>
      </c>
      <c r="AG32" s="39">
        <f>Weather!H164</f>
        <v>193</v>
      </c>
      <c r="AH32" s="39">
        <f>Weather!I164</f>
        <v>0</v>
      </c>
      <c r="AI32" s="39">
        <f>Weather!J164</f>
        <v>255</v>
      </c>
      <c r="AJ32" s="39">
        <f>Weather!K164</f>
        <v>0</v>
      </c>
      <c r="AK32" s="39">
        <f>Weather!L164</f>
        <v>317</v>
      </c>
      <c r="AL32" s="39">
        <f>Weather!M164</f>
        <v>0</v>
      </c>
      <c r="AM32" s="39">
        <f>Weather!N164</f>
        <v>379</v>
      </c>
      <c r="AN32" s="39">
        <f>Weather!O164</f>
        <v>0</v>
      </c>
      <c r="AO32" s="39">
        <f>Weather!P164</f>
        <v>441</v>
      </c>
      <c r="AP32" s="39">
        <f>Weather!Q164</f>
        <v>0</v>
      </c>
      <c r="AQ32" s="39">
        <f>Weather!R164</f>
        <v>503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1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 s="1">
        <f t="shared" si="4"/>
        <v>31</v>
      </c>
      <c r="BH32">
        <v>31</v>
      </c>
      <c r="BI32">
        <v>21</v>
      </c>
      <c r="BJ32" s="160">
        <f t="shared" si="5"/>
        <v>1072.5910087405496</v>
      </c>
      <c r="BK32" s="160">
        <f t="shared" si="6"/>
        <v>34.599709959372568</v>
      </c>
      <c r="BL32" s="159">
        <f t="shared" si="7"/>
        <v>2047610.8353956686</v>
      </c>
      <c r="BM32" s="160">
        <f t="shared" si="8"/>
        <v>3259.4553615690784</v>
      </c>
      <c r="BN32" s="160">
        <f t="shared" si="9"/>
        <v>105.14372134093801</v>
      </c>
      <c r="BO32" s="160">
        <f t="shared" si="10"/>
        <v>539913.00908571668</v>
      </c>
      <c r="BP32" s="160">
        <f t="shared" si="11"/>
        <v>85309.315963004861</v>
      </c>
      <c r="BQ32" s="160">
        <f t="shared" si="12"/>
        <v>2751.9134181614472</v>
      </c>
      <c r="BR32" s="160">
        <f t="shared" si="13"/>
        <v>4062.3483791907079</v>
      </c>
      <c r="BS32" s="160">
        <f t="shared" si="14"/>
        <v>2751913.4181614472</v>
      </c>
      <c r="BT32" s="160">
        <f t="shared" si="15"/>
        <v>4062348.3791907076</v>
      </c>
    </row>
    <row r="33" spans="1:72" x14ac:dyDescent="0.2">
      <c r="A33" s="3">
        <v>41122</v>
      </c>
      <c r="B33" s="4">
        <f t="shared" si="0"/>
        <v>2012</v>
      </c>
      <c r="C33" s="2">
        <v>57288251</v>
      </c>
      <c r="D33" s="2">
        <f>VLOOKUP(B33,CDM!$I$5:$N$15,2,FALSE)/12</f>
        <v>242119.89726572137</v>
      </c>
      <c r="E33" s="2">
        <f t="shared" si="1"/>
        <v>57530370.897265725</v>
      </c>
      <c r="F33" s="7">
        <v>59175</v>
      </c>
      <c r="G33" s="5">
        <v>15780828</v>
      </c>
      <c r="H33" s="7">
        <v>5147</v>
      </c>
      <c r="I33" s="2">
        <f>VLOOKUP(B33,CDM!$I$5:$N$15,3,FALSE)/12</f>
        <v>114356.28165721649</v>
      </c>
      <c r="J33" s="2">
        <f t="shared" si="2"/>
        <v>15895184.281657217</v>
      </c>
      <c r="K33" s="5">
        <v>81855567</v>
      </c>
      <c r="L33" s="2">
        <f>VLOOKUP(B33,CDM!$I$5:$N$15,4,FALSE)/12</f>
        <v>661548.96300485171</v>
      </c>
      <c r="M33" s="87">
        <f t="shared" si="3"/>
        <v>82517115.963004857</v>
      </c>
      <c r="N33" s="5">
        <v>226247</v>
      </c>
      <c r="O33" s="7">
        <v>999</v>
      </c>
      <c r="P33" s="5">
        <v>717791</v>
      </c>
      <c r="Q33" s="5">
        <v>2289</v>
      </c>
      <c r="R33" s="7">
        <v>15096</v>
      </c>
      <c r="S33" s="5">
        <v>270450</v>
      </c>
      <c r="T33" s="1">
        <v>0</v>
      </c>
      <c r="U33" s="1">
        <v>604</v>
      </c>
      <c r="V33" s="37">
        <f>'Economic (2020 Adj.)'!C45</f>
        <v>634944.30000000005</v>
      </c>
      <c r="W33" s="37">
        <f>'Economic (2020 Adj.)'!D45</f>
        <v>6703.3</v>
      </c>
      <c r="X33" s="37">
        <f>'Economic (2020 Adj.)'!F45</f>
        <v>2968.4</v>
      </c>
      <c r="Y33" s="37">
        <f>'Economic (2020 Adj.)'!H45</f>
        <v>371.3</v>
      </c>
      <c r="Z33" s="37">
        <f>'Economic (2020 Adj.)'!E45</f>
        <v>6797.9</v>
      </c>
      <c r="AA33" s="37">
        <f>'Economic (2020 Adj.)'!G45</f>
        <v>2997.9</v>
      </c>
      <c r="AB33" s="37">
        <f>'Economic (2020 Adj.)'!I45</f>
        <v>374.1</v>
      </c>
      <c r="AC33" s="39">
        <f>Weather!D165</f>
        <v>22.219354838709677</v>
      </c>
      <c r="AD33" s="39">
        <f>Weather!E165</f>
        <v>2.7000000000000028</v>
      </c>
      <c r="AE33" s="39">
        <f>Weather!F165</f>
        <v>71.5</v>
      </c>
      <c r="AF33" s="39">
        <f>Weather!G165</f>
        <v>0</v>
      </c>
      <c r="AG33" s="39">
        <f>Weather!H165</f>
        <v>130.80000000000001</v>
      </c>
      <c r="AH33" s="39">
        <f>Weather!I165</f>
        <v>0</v>
      </c>
      <c r="AI33" s="39">
        <f>Weather!J165</f>
        <v>192.8</v>
      </c>
      <c r="AJ33" s="39">
        <f>Weather!K165</f>
        <v>0</v>
      </c>
      <c r="AK33" s="39">
        <f>Weather!L165</f>
        <v>254.8</v>
      </c>
      <c r="AL33" s="39">
        <f>Weather!M165</f>
        <v>0</v>
      </c>
      <c r="AM33" s="39">
        <f>Weather!N165</f>
        <v>316.8</v>
      </c>
      <c r="AN33" s="39">
        <f>Weather!O165</f>
        <v>0</v>
      </c>
      <c r="AO33" s="39">
        <f>Weather!P165</f>
        <v>378.8</v>
      </c>
      <c r="AP33" s="39">
        <f>Weather!Q165</f>
        <v>0</v>
      </c>
      <c r="AQ33" s="39">
        <f>Weather!R165</f>
        <v>440.80000000000007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1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 s="1">
        <f t="shared" si="4"/>
        <v>32</v>
      </c>
      <c r="BH33">
        <v>31</v>
      </c>
      <c r="BI33">
        <v>22</v>
      </c>
      <c r="BJ33" s="160">
        <f t="shared" si="5"/>
        <v>972.20736624023198</v>
      </c>
      <c r="BK33" s="160">
        <f t="shared" si="6"/>
        <v>31.361527943233291</v>
      </c>
      <c r="BL33" s="159">
        <f t="shared" si="7"/>
        <v>1855818.4160408298</v>
      </c>
      <c r="BM33" s="160">
        <f t="shared" si="8"/>
        <v>3088.2425260651285</v>
      </c>
      <c r="BN33" s="160">
        <f t="shared" si="9"/>
        <v>99.620726647262202</v>
      </c>
      <c r="BO33" s="160">
        <f t="shared" si="10"/>
        <v>512747.88005345862</v>
      </c>
      <c r="BP33" s="160">
        <f t="shared" si="11"/>
        <v>82599.71567868354</v>
      </c>
      <c r="BQ33" s="160">
        <f t="shared" si="12"/>
        <v>2664.5069573768883</v>
      </c>
      <c r="BR33" s="160">
        <f t="shared" si="13"/>
        <v>3754.532530849252</v>
      </c>
      <c r="BS33" s="160">
        <f t="shared" si="14"/>
        <v>2661842.4504195116</v>
      </c>
      <c r="BT33" s="160">
        <f t="shared" si="15"/>
        <v>3750777.9983184026</v>
      </c>
    </row>
    <row r="34" spans="1:72" x14ac:dyDescent="0.2">
      <c r="A34" s="3">
        <v>41153</v>
      </c>
      <c r="B34" s="4">
        <f t="shared" si="0"/>
        <v>2012</v>
      </c>
      <c r="C34" s="2">
        <v>46380786</v>
      </c>
      <c r="D34" s="2">
        <f>VLOOKUP(B34,CDM!$I$5:$N$15,2,FALSE)/12</f>
        <v>242119.89726572137</v>
      </c>
      <c r="E34" s="2">
        <f t="shared" si="1"/>
        <v>46622905.897265725</v>
      </c>
      <c r="F34" s="5">
        <v>59185</v>
      </c>
      <c r="G34" s="5">
        <v>14057851</v>
      </c>
      <c r="H34" s="5">
        <v>5148</v>
      </c>
      <c r="I34" s="2">
        <f>VLOOKUP(B34,CDM!$I$5:$N$15,3,FALSE)/12</f>
        <v>114356.28165721649</v>
      </c>
      <c r="J34" s="2">
        <f t="shared" si="2"/>
        <v>14172207.281657217</v>
      </c>
      <c r="K34" s="5">
        <v>74012181</v>
      </c>
      <c r="L34" s="2">
        <f>VLOOKUP(B34,CDM!$I$5:$N$15,4,FALSE)/12</f>
        <v>661548.96300485171</v>
      </c>
      <c r="M34" s="87">
        <f t="shared" si="3"/>
        <v>74673729.963004857</v>
      </c>
      <c r="N34" s="5">
        <v>209543</v>
      </c>
      <c r="O34" s="5">
        <v>999</v>
      </c>
      <c r="P34" s="5">
        <v>792296</v>
      </c>
      <c r="Q34" s="5">
        <v>2289</v>
      </c>
      <c r="R34" s="5">
        <v>15096</v>
      </c>
      <c r="S34" s="5">
        <v>270145</v>
      </c>
      <c r="T34" s="1">
        <v>0</v>
      </c>
      <c r="U34" s="1">
        <v>603</v>
      </c>
      <c r="V34" s="37">
        <f>'Economic (2020 Adj.)'!C46</f>
        <v>634944.30000000005</v>
      </c>
      <c r="W34" s="37">
        <f>'Economic (2020 Adj.)'!D46</f>
        <v>6707.4</v>
      </c>
      <c r="X34" s="37">
        <f>'Economic (2020 Adj.)'!F46</f>
        <v>2985.6</v>
      </c>
      <c r="Y34" s="37">
        <f>'Economic (2020 Adj.)'!H46</f>
        <v>376.3</v>
      </c>
      <c r="Z34" s="37">
        <f>'Economic (2020 Adj.)'!E46</f>
        <v>6763.1</v>
      </c>
      <c r="AA34" s="37">
        <f>'Economic (2020 Adj.)'!G46</f>
        <v>3001.5</v>
      </c>
      <c r="AB34" s="37">
        <f>'Economic (2020 Adj.)'!I46</f>
        <v>376.1</v>
      </c>
      <c r="AC34" s="39">
        <f>Weather!D166</f>
        <v>17.386666666666663</v>
      </c>
      <c r="AD34" s="39">
        <f>Weather!E166</f>
        <v>97.299999999999983</v>
      </c>
      <c r="AE34" s="39">
        <f>Weather!F166</f>
        <v>18.900000000000002</v>
      </c>
      <c r="AF34" s="39">
        <f>Weather!G166</f>
        <v>58.400000000000006</v>
      </c>
      <c r="AG34" s="39">
        <f>Weather!H166</f>
        <v>40</v>
      </c>
      <c r="AH34" s="39">
        <f>Weather!I166</f>
        <v>28.299999999999997</v>
      </c>
      <c r="AI34" s="39">
        <f>Weather!J166</f>
        <v>69.900000000000006</v>
      </c>
      <c r="AJ34" s="39">
        <f>Weather!K166</f>
        <v>11.3</v>
      </c>
      <c r="AK34" s="39">
        <f>Weather!L166</f>
        <v>112.89999999999999</v>
      </c>
      <c r="AL34" s="39">
        <f>Weather!M166</f>
        <v>0.90000000000000036</v>
      </c>
      <c r="AM34" s="39">
        <f>Weather!N166</f>
        <v>162.5</v>
      </c>
      <c r="AN34" s="39">
        <f>Weather!O166</f>
        <v>0</v>
      </c>
      <c r="AO34" s="39">
        <f>Weather!P166</f>
        <v>221.6</v>
      </c>
      <c r="AP34" s="39">
        <f>Weather!Q166</f>
        <v>0</v>
      </c>
      <c r="AQ34" s="39">
        <f>Weather!R166</f>
        <v>281.59999999999997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1</v>
      </c>
      <c r="BA34">
        <v>0</v>
      </c>
      <c r="BB34">
        <v>0</v>
      </c>
      <c r="BC34">
        <v>0</v>
      </c>
      <c r="BD34">
        <v>0</v>
      </c>
      <c r="BE34">
        <v>1</v>
      </c>
      <c r="BF34">
        <v>1</v>
      </c>
      <c r="BG34" s="1">
        <f t="shared" si="4"/>
        <v>33</v>
      </c>
      <c r="BH34">
        <v>30</v>
      </c>
      <c r="BI34">
        <v>19</v>
      </c>
      <c r="BJ34" s="160">
        <f t="shared" si="5"/>
        <v>787.74868458673188</v>
      </c>
      <c r="BK34" s="160">
        <f t="shared" si="6"/>
        <v>26.258289486224395</v>
      </c>
      <c r="BL34" s="159">
        <f t="shared" si="7"/>
        <v>1554096.8632421908</v>
      </c>
      <c r="BM34" s="160">
        <f t="shared" si="8"/>
        <v>2752.954017415932</v>
      </c>
      <c r="BN34" s="160">
        <f t="shared" si="9"/>
        <v>91.765133913864403</v>
      </c>
      <c r="BO34" s="160">
        <f t="shared" si="10"/>
        <v>472406.9093885739</v>
      </c>
      <c r="BP34" s="160">
        <f t="shared" si="11"/>
        <v>74748.478441446307</v>
      </c>
      <c r="BQ34" s="160">
        <f t="shared" si="12"/>
        <v>2491.6159480482102</v>
      </c>
      <c r="BR34" s="160">
        <f t="shared" si="13"/>
        <v>3934.1304442866476</v>
      </c>
      <c r="BS34" s="160">
        <f t="shared" si="14"/>
        <v>2489124.3321001618</v>
      </c>
      <c r="BT34" s="160">
        <f t="shared" si="15"/>
        <v>3930196.3138423609</v>
      </c>
    </row>
    <row r="35" spans="1:72" x14ac:dyDescent="0.2">
      <c r="A35" s="3">
        <v>41183</v>
      </c>
      <c r="B35" s="4">
        <f t="shared" si="0"/>
        <v>2012</v>
      </c>
      <c r="C35" s="2">
        <v>41744479</v>
      </c>
      <c r="D35" s="2">
        <f>VLOOKUP(B35,CDM!$I$5:$N$15,2,FALSE)/12</f>
        <v>242119.89726572137</v>
      </c>
      <c r="E35" s="2">
        <f t="shared" si="1"/>
        <v>41986598.897265725</v>
      </c>
      <c r="F35" s="7">
        <v>59026</v>
      </c>
      <c r="G35" s="5">
        <v>13542230</v>
      </c>
      <c r="H35" s="7">
        <v>5150</v>
      </c>
      <c r="I35" s="2">
        <f>VLOOKUP(B35,CDM!$I$5:$N$15,3,FALSE)/12</f>
        <v>114356.28165721649</v>
      </c>
      <c r="J35" s="2">
        <f t="shared" si="2"/>
        <v>13656586.281657217</v>
      </c>
      <c r="K35" s="5">
        <v>72712948</v>
      </c>
      <c r="L35" s="2">
        <f>VLOOKUP(B35,CDM!$I$5:$N$15,4,FALSE)/12</f>
        <v>661548.96300485171</v>
      </c>
      <c r="M35" s="87">
        <f t="shared" si="3"/>
        <v>73374496.963004857</v>
      </c>
      <c r="N35" s="5">
        <v>222776</v>
      </c>
      <c r="O35" s="7">
        <v>998</v>
      </c>
      <c r="P35" s="5">
        <v>919844</v>
      </c>
      <c r="Q35" s="5">
        <v>2289</v>
      </c>
      <c r="R35" s="7">
        <v>15096</v>
      </c>
      <c r="S35" s="5">
        <v>270729</v>
      </c>
      <c r="T35" s="1">
        <v>0</v>
      </c>
      <c r="U35" s="1">
        <v>603</v>
      </c>
      <c r="V35" s="37">
        <f>'Economic (2020 Adj.)'!C47</f>
        <v>634944.30000000005</v>
      </c>
      <c r="W35" s="37">
        <f>'Economic (2020 Adj.)'!D47</f>
        <v>6710</v>
      </c>
      <c r="X35" s="37">
        <f>'Economic (2020 Adj.)'!F47</f>
        <v>3002.1</v>
      </c>
      <c r="Y35" s="37">
        <f>'Economic (2020 Adj.)'!H47</f>
        <v>377.5</v>
      </c>
      <c r="Z35" s="37">
        <f>'Economic (2020 Adj.)'!E47</f>
        <v>6740.9</v>
      </c>
      <c r="AA35" s="37">
        <f>'Economic (2020 Adj.)'!G47</f>
        <v>3012.7</v>
      </c>
      <c r="AB35" s="37">
        <f>'Economic (2020 Adj.)'!I47</f>
        <v>375.9</v>
      </c>
      <c r="AC35" s="39">
        <f>Weather!D167</f>
        <v>10.816129032258065</v>
      </c>
      <c r="AD35" s="39">
        <f>Weather!E167</f>
        <v>284.69999999999993</v>
      </c>
      <c r="AE35" s="39">
        <f>Weather!F167</f>
        <v>0</v>
      </c>
      <c r="AF35" s="39">
        <f>Weather!G167</f>
        <v>223.20000000000002</v>
      </c>
      <c r="AG35" s="39">
        <f>Weather!H167</f>
        <v>0.5</v>
      </c>
      <c r="AH35" s="39">
        <f>Weather!I167</f>
        <v>164.50000000000003</v>
      </c>
      <c r="AI35" s="39">
        <f>Weather!J167</f>
        <v>3.8000000000000007</v>
      </c>
      <c r="AJ35" s="39">
        <f>Weather!K167</f>
        <v>110.60000000000001</v>
      </c>
      <c r="AK35" s="39">
        <f>Weather!L167</f>
        <v>11.9</v>
      </c>
      <c r="AL35" s="39">
        <f>Weather!M167</f>
        <v>66.599999999999994</v>
      </c>
      <c r="AM35" s="39">
        <f>Weather!N167</f>
        <v>29.900000000000006</v>
      </c>
      <c r="AN35" s="39">
        <f>Weather!O167</f>
        <v>29.7</v>
      </c>
      <c r="AO35" s="39">
        <f>Weather!P167</f>
        <v>55</v>
      </c>
      <c r="AP35" s="39">
        <f>Weather!Q167</f>
        <v>9.1999999999999993</v>
      </c>
      <c r="AQ35" s="39">
        <f>Weather!R167</f>
        <v>96.5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1</v>
      </c>
      <c r="BB35">
        <v>0</v>
      </c>
      <c r="BC35">
        <v>0</v>
      </c>
      <c r="BD35">
        <v>0</v>
      </c>
      <c r="BE35">
        <v>1</v>
      </c>
      <c r="BF35">
        <v>1</v>
      </c>
      <c r="BG35" s="1">
        <f t="shared" si="4"/>
        <v>34</v>
      </c>
      <c r="BH35">
        <v>31</v>
      </c>
      <c r="BI35">
        <v>22</v>
      </c>
      <c r="BJ35" s="160">
        <f t="shared" si="5"/>
        <v>711.32380471767908</v>
      </c>
      <c r="BK35" s="160">
        <f t="shared" si="6"/>
        <v>22.945929184441262</v>
      </c>
      <c r="BL35" s="159">
        <f t="shared" si="7"/>
        <v>1354406.4160408298</v>
      </c>
      <c r="BM35" s="160">
        <f t="shared" si="8"/>
        <v>2651.7643265353818</v>
      </c>
      <c r="BN35" s="160">
        <f t="shared" si="9"/>
        <v>85.540784726947805</v>
      </c>
      <c r="BO35" s="160">
        <f t="shared" si="10"/>
        <v>440535.04134378122</v>
      </c>
      <c r="BP35" s="160">
        <f t="shared" si="11"/>
        <v>73521.540043091038</v>
      </c>
      <c r="BQ35" s="160">
        <f t="shared" si="12"/>
        <v>2371.6625820351946</v>
      </c>
      <c r="BR35" s="160">
        <f t="shared" si="13"/>
        <v>3341.8881837768654</v>
      </c>
      <c r="BS35" s="160">
        <f t="shared" si="14"/>
        <v>2366919.2568711243</v>
      </c>
      <c r="BT35" s="160">
        <f t="shared" si="15"/>
        <v>3335204.4074093117</v>
      </c>
    </row>
    <row r="36" spans="1:72" x14ac:dyDescent="0.2">
      <c r="A36" s="3">
        <v>41214</v>
      </c>
      <c r="B36" s="4">
        <f t="shared" si="0"/>
        <v>2012</v>
      </c>
      <c r="C36" s="2">
        <v>39247878</v>
      </c>
      <c r="D36" s="2">
        <f>VLOOKUP(B36,CDM!$I$5:$N$15,2,FALSE)/12</f>
        <v>242119.89726572137</v>
      </c>
      <c r="E36" s="2">
        <f t="shared" si="1"/>
        <v>39489997.897265725</v>
      </c>
      <c r="F36" s="7">
        <v>59073</v>
      </c>
      <c r="G36" s="5">
        <v>14045765</v>
      </c>
      <c r="H36" s="7">
        <v>5162</v>
      </c>
      <c r="I36" s="2">
        <f>VLOOKUP(B36,CDM!$I$5:$N$15,3,FALSE)/12</f>
        <v>114356.28165721649</v>
      </c>
      <c r="J36" s="2">
        <f t="shared" si="2"/>
        <v>14160121.281657217</v>
      </c>
      <c r="K36" s="5">
        <v>72147206</v>
      </c>
      <c r="L36" s="2">
        <f>VLOOKUP(B36,CDM!$I$5:$N$15,4,FALSE)/12</f>
        <v>661548.96300485171</v>
      </c>
      <c r="M36" s="87">
        <f t="shared" si="3"/>
        <v>72808754.963004857</v>
      </c>
      <c r="N36" s="5">
        <v>204520</v>
      </c>
      <c r="O36" s="7">
        <v>1000</v>
      </c>
      <c r="P36" s="5">
        <v>979610</v>
      </c>
      <c r="Q36" s="5">
        <v>2289</v>
      </c>
      <c r="R36" s="7">
        <v>15096</v>
      </c>
      <c r="S36" s="5">
        <v>270145</v>
      </c>
      <c r="T36" s="1">
        <v>0</v>
      </c>
      <c r="U36" s="1">
        <v>603</v>
      </c>
      <c r="V36" s="37">
        <f>'Economic (2020 Adj.)'!C48</f>
        <v>634944.30000000005</v>
      </c>
      <c r="W36" s="37">
        <f>'Economic (2020 Adj.)'!D48</f>
        <v>6722.4</v>
      </c>
      <c r="X36" s="37">
        <f>'Economic (2020 Adj.)'!F48</f>
        <v>3019.5</v>
      </c>
      <c r="Y36" s="37">
        <f>'Economic (2020 Adj.)'!H48</f>
        <v>377.9</v>
      </c>
      <c r="Z36" s="37">
        <f>'Economic (2020 Adj.)'!E48</f>
        <v>6727.4</v>
      </c>
      <c r="AA36" s="37">
        <f>'Economic (2020 Adj.)'!G48</f>
        <v>3019</v>
      </c>
      <c r="AB36" s="37">
        <f>'Economic (2020 Adj.)'!I48</f>
        <v>373.6</v>
      </c>
      <c r="AC36" s="39">
        <f>Weather!D168</f>
        <v>4.8366666666666669</v>
      </c>
      <c r="AD36" s="39">
        <f>Weather!E168</f>
        <v>454.90000000000003</v>
      </c>
      <c r="AE36" s="39">
        <f>Weather!F168</f>
        <v>0</v>
      </c>
      <c r="AF36" s="39">
        <f>Weather!G168</f>
        <v>394.9</v>
      </c>
      <c r="AG36" s="39">
        <f>Weather!H168</f>
        <v>0</v>
      </c>
      <c r="AH36" s="39">
        <f>Weather!I168</f>
        <v>334.90000000000003</v>
      </c>
      <c r="AI36" s="39">
        <f>Weather!J168</f>
        <v>0</v>
      </c>
      <c r="AJ36" s="39">
        <f>Weather!K168</f>
        <v>274.90000000000009</v>
      </c>
      <c r="AK36" s="39">
        <f>Weather!L168</f>
        <v>0</v>
      </c>
      <c r="AL36" s="39">
        <f>Weather!M168</f>
        <v>216.80000000000004</v>
      </c>
      <c r="AM36" s="39">
        <f>Weather!N168</f>
        <v>1.9000000000000004</v>
      </c>
      <c r="AN36" s="39">
        <f>Weather!O168</f>
        <v>161</v>
      </c>
      <c r="AO36" s="39">
        <f>Weather!P168</f>
        <v>6.1</v>
      </c>
      <c r="AP36" s="39">
        <f>Weather!Q168</f>
        <v>107</v>
      </c>
      <c r="AQ36" s="39">
        <f>Weather!R168</f>
        <v>12.1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1</v>
      </c>
      <c r="BC36">
        <v>0</v>
      </c>
      <c r="BD36">
        <v>0</v>
      </c>
      <c r="BE36">
        <v>1</v>
      </c>
      <c r="BF36">
        <v>1</v>
      </c>
      <c r="BG36" s="1">
        <f t="shared" si="4"/>
        <v>35</v>
      </c>
      <c r="BH36">
        <v>30</v>
      </c>
      <c r="BI36">
        <v>22</v>
      </c>
      <c r="BJ36" s="160">
        <f t="shared" si="5"/>
        <v>668.49487747813259</v>
      </c>
      <c r="BK36" s="160">
        <f t="shared" si="6"/>
        <v>22.283162582604419</v>
      </c>
      <c r="BL36" s="159">
        <f t="shared" si="7"/>
        <v>1316333.2632421909</v>
      </c>
      <c r="BM36" s="160">
        <f t="shared" si="8"/>
        <v>2743.1463157026765</v>
      </c>
      <c r="BN36" s="160">
        <f t="shared" si="9"/>
        <v>91.438210523422555</v>
      </c>
      <c r="BO36" s="160">
        <f t="shared" si="10"/>
        <v>472004.04272190726</v>
      </c>
      <c r="BP36" s="160">
        <f t="shared" si="11"/>
        <v>72808.75496300486</v>
      </c>
      <c r="BQ36" s="160">
        <f t="shared" si="12"/>
        <v>2426.9584987668286</v>
      </c>
      <c r="BR36" s="160">
        <f t="shared" si="13"/>
        <v>3309.4888619547664</v>
      </c>
      <c r="BS36" s="160">
        <f t="shared" si="14"/>
        <v>2426958.4987668288</v>
      </c>
      <c r="BT36" s="160">
        <f t="shared" si="15"/>
        <v>3309488.8619547663</v>
      </c>
    </row>
    <row r="37" spans="1:72" x14ac:dyDescent="0.2">
      <c r="A37" s="3">
        <v>41244</v>
      </c>
      <c r="B37" s="4">
        <f t="shared" si="0"/>
        <v>2012</v>
      </c>
      <c r="C37" s="2">
        <v>44598971</v>
      </c>
      <c r="D37" s="2">
        <f>VLOOKUP(B37,CDM!$I$5:$N$15,2,FALSE)/12</f>
        <v>242119.89726572137</v>
      </c>
      <c r="E37" s="2">
        <f t="shared" si="1"/>
        <v>44841090.897265725</v>
      </c>
      <c r="F37" s="5">
        <v>59257</v>
      </c>
      <c r="G37" s="5">
        <v>14927116</v>
      </c>
      <c r="H37" s="5">
        <v>5168</v>
      </c>
      <c r="I37" s="2">
        <f>VLOOKUP(B37,CDM!$I$5:$N$15,3,FALSE)/12</f>
        <v>114356.28165721649</v>
      </c>
      <c r="J37" s="2">
        <f t="shared" si="2"/>
        <v>15041472.281657217</v>
      </c>
      <c r="K37" s="5">
        <v>72026072</v>
      </c>
      <c r="L37" s="2">
        <f>VLOOKUP(B37,CDM!$I$5:$N$15,4,FALSE)/12</f>
        <v>661548.96300485171</v>
      </c>
      <c r="M37" s="87">
        <f t="shared" si="3"/>
        <v>72687620.963004857</v>
      </c>
      <c r="N37" s="5">
        <v>168867</v>
      </c>
      <c r="O37" s="5">
        <v>1004</v>
      </c>
      <c r="P37" s="5">
        <v>1061020</v>
      </c>
      <c r="Q37" s="5">
        <v>2290</v>
      </c>
      <c r="R37" s="5">
        <v>15105</v>
      </c>
      <c r="S37" s="5">
        <v>273475</v>
      </c>
      <c r="T37" s="1">
        <v>0</v>
      </c>
      <c r="U37" s="1">
        <v>603</v>
      </c>
      <c r="V37" s="37">
        <f>'Economic (2020 Adj.)'!C49</f>
        <v>634944.30000000005</v>
      </c>
      <c r="W37" s="37">
        <f>'Economic (2020 Adj.)'!D49</f>
        <v>6740.6</v>
      </c>
      <c r="X37" s="37">
        <f>'Economic (2020 Adj.)'!F49</f>
        <v>3030.3</v>
      </c>
      <c r="Y37" s="37">
        <f>'Economic (2020 Adj.)'!H49</f>
        <v>378.6</v>
      </c>
      <c r="Z37" s="37">
        <f>'Economic (2020 Adj.)'!E49</f>
        <v>6740.2</v>
      </c>
      <c r="AA37" s="37">
        <f>'Economic (2020 Adj.)'!G49</f>
        <v>3033.6</v>
      </c>
      <c r="AB37" s="37">
        <f>'Economic (2020 Adj.)'!I49</f>
        <v>375.8</v>
      </c>
      <c r="AC37" s="39">
        <f>Weather!D169</f>
        <v>2.5354838709677421</v>
      </c>
      <c r="AD37" s="39">
        <f>Weather!E169</f>
        <v>541.40000000000009</v>
      </c>
      <c r="AE37" s="39">
        <f>Weather!F169</f>
        <v>0</v>
      </c>
      <c r="AF37" s="39">
        <f>Weather!G169</f>
        <v>479.4</v>
      </c>
      <c r="AG37" s="39">
        <f>Weather!H169</f>
        <v>0</v>
      </c>
      <c r="AH37" s="39">
        <f>Weather!I169</f>
        <v>417.40000000000003</v>
      </c>
      <c r="AI37" s="39">
        <f>Weather!J169</f>
        <v>0</v>
      </c>
      <c r="AJ37" s="39">
        <f>Weather!K169</f>
        <v>355.4</v>
      </c>
      <c r="AK37" s="39">
        <f>Weather!L169</f>
        <v>0</v>
      </c>
      <c r="AL37" s="39">
        <f>Weather!M169</f>
        <v>293.39999999999998</v>
      </c>
      <c r="AM37" s="39">
        <f>Weather!N169</f>
        <v>0</v>
      </c>
      <c r="AN37" s="39">
        <f>Weather!O169</f>
        <v>233.29999999999998</v>
      </c>
      <c r="AO37" s="39">
        <f>Weather!P169</f>
        <v>1.9000000000000004</v>
      </c>
      <c r="AP37" s="39">
        <f>Weather!Q169</f>
        <v>173.79999999999998</v>
      </c>
      <c r="AQ37" s="39">
        <f>Weather!R169</f>
        <v>4.4000000000000004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1</v>
      </c>
      <c r="BD37">
        <v>0</v>
      </c>
      <c r="BE37">
        <v>0</v>
      </c>
      <c r="BF37">
        <v>0</v>
      </c>
      <c r="BG37" s="1">
        <f t="shared" si="4"/>
        <v>36</v>
      </c>
      <c r="BH37">
        <v>31</v>
      </c>
      <c r="BI37">
        <v>19</v>
      </c>
      <c r="BJ37" s="160">
        <f t="shared" si="5"/>
        <v>756.72225892748077</v>
      </c>
      <c r="BK37" s="160">
        <f t="shared" si="6"/>
        <v>24.410395449273572</v>
      </c>
      <c r="BL37" s="159">
        <f t="shared" si="7"/>
        <v>1446486.8031376039</v>
      </c>
      <c r="BM37" s="160">
        <f t="shared" si="8"/>
        <v>2910.5016024878514</v>
      </c>
      <c r="BN37" s="160">
        <f t="shared" si="9"/>
        <v>93.887148467350045</v>
      </c>
      <c r="BO37" s="160">
        <f t="shared" si="10"/>
        <v>485208.78327926504</v>
      </c>
      <c r="BP37" s="160">
        <f t="shared" si="11"/>
        <v>72398.028847614405</v>
      </c>
      <c r="BQ37" s="160">
        <f t="shared" si="12"/>
        <v>2335.4202854069163</v>
      </c>
      <c r="BR37" s="160">
        <f t="shared" si="13"/>
        <v>3810.422570927074</v>
      </c>
      <c r="BS37" s="160">
        <f t="shared" si="14"/>
        <v>2344761.9665485439</v>
      </c>
      <c r="BT37" s="160">
        <f t="shared" si="15"/>
        <v>3825664.261210782</v>
      </c>
    </row>
    <row r="38" spans="1:72" x14ac:dyDescent="0.2">
      <c r="A38" s="3">
        <v>41275</v>
      </c>
      <c r="B38" s="4">
        <f t="shared" si="0"/>
        <v>2013</v>
      </c>
      <c r="C38" s="2">
        <v>47625731</v>
      </c>
      <c r="D38" s="2">
        <f>VLOOKUP(B38,CDM!$I$5:$N$15,2,FALSE)/12</f>
        <v>369590.720884763</v>
      </c>
      <c r="E38" s="2">
        <f t="shared" si="1"/>
        <v>47995321.720884763</v>
      </c>
      <c r="F38" s="7">
        <v>59206</v>
      </c>
      <c r="G38" s="5">
        <v>15656809</v>
      </c>
      <c r="H38" s="7">
        <v>5177</v>
      </c>
      <c r="I38" s="2">
        <f>VLOOKUP(B38,CDM!$I$5:$N$15,3,FALSE)/12</f>
        <v>181207.62267780254</v>
      </c>
      <c r="J38" s="2">
        <f t="shared" si="2"/>
        <v>15838016.622677803</v>
      </c>
      <c r="K38" s="5">
        <v>78054141</v>
      </c>
      <c r="L38" s="2">
        <f>VLOOKUP(B38,CDM!$I$5:$N$15,4,FALSE)/12</f>
        <v>1222924.8949416389</v>
      </c>
      <c r="M38" s="87">
        <f t="shared" si="3"/>
        <v>79277065.894941643</v>
      </c>
      <c r="N38" s="5">
        <v>204487</v>
      </c>
      <c r="O38" s="7">
        <v>1001</v>
      </c>
      <c r="P38" s="5">
        <v>1038014</v>
      </c>
      <c r="Q38" s="5">
        <v>2290</v>
      </c>
      <c r="R38" s="7">
        <v>15105</v>
      </c>
      <c r="S38" s="5">
        <v>260443</v>
      </c>
      <c r="T38" s="1">
        <v>25</v>
      </c>
      <c r="U38" s="1">
        <v>586</v>
      </c>
      <c r="V38" s="37">
        <f>'Economic (2020 Adj.)'!C50</f>
        <v>643937</v>
      </c>
      <c r="W38" s="37">
        <f>'Economic (2020 Adj.)'!D50</f>
        <v>6758.8</v>
      </c>
      <c r="X38" s="37">
        <f>'Economic (2020 Adj.)'!F50</f>
        <v>3038</v>
      </c>
      <c r="Y38" s="37">
        <f>'Economic (2020 Adj.)'!H50</f>
        <v>380.4</v>
      </c>
      <c r="Z38" s="37">
        <f>'Economic (2020 Adj.)'!E50</f>
        <v>6721.7</v>
      </c>
      <c r="AA38" s="37">
        <f>'Economic (2020 Adj.)'!G50</f>
        <v>3030.3</v>
      </c>
      <c r="AB38" s="37">
        <f>'Economic (2020 Adj.)'!I50</f>
        <v>378.6</v>
      </c>
      <c r="AC38" s="39">
        <f>Weather!D170</f>
        <v>-0.74838709677419368</v>
      </c>
      <c r="AD38" s="39">
        <f>Weather!E170</f>
        <v>643.20000000000005</v>
      </c>
      <c r="AE38" s="39">
        <f>Weather!F170</f>
        <v>0</v>
      </c>
      <c r="AF38" s="39">
        <f>Weather!G170</f>
        <v>581.20000000000005</v>
      </c>
      <c r="AG38" s="39">
        <f>Weather!H170</f>
        <v>0</v>
      </c>
      <c r="AH38" s="39">
        <f>Weather!I170</f>
        <v>519.20000000000005</v>
      </c>
      <c r="AI38" s="39">
        <f>Weather!J170</f>
        <v>0</v>
      </c>
      <c r="AJ38" s="39">
        <f>Weather!K170</f>
        <v>457.2</v>
      </c>
      <c r="AK38" s="39">
        <f>Weather!L170</f>
        <v>0</v>
      </c>
      <c r="AL38" s="39">
        <f>Weather!M170</f>
        <v>395.20000000000005</v>
      </c>
      <c r="AM38" s="39">
        <f>Weather!N170</f>
        <v>0</v>
      </c>
      <c r="AN38" s="39">
        <f>Weather!O170</f>
        <v>334.3</v>
      </c>
      <c r="AO38" s="39">
        <f>Weather!P170</f>
        <v>1.0999999999999996</v>
      </c>
      <c r="AP38" s="39">
        <f>Weather!Q170</f>
        <v>277.60000000000002</v>
      </c>
      <c r="AQ38" s="39">
        <f>Weather!R170</f>
        <v>6.4</v>
      </c>
      <c r="AR38">
        <v>1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 s="1">
        <f t="shared" si="4"/>
        <v>37</v>
      </c>
      <c r="BH38">
        <v>31</v>
      </c>
      <c r="BI38">
        <v>22</v>
      </c>
      <c r="BJ38" s="160">
        <f t="shared" si="5"/>
        <v>810.64962539075032</v>
      </c>
      <c r="BK38" s="160">
        <f t="shared" si="6"/>
        <v>26.149987915830657</v>
      </c>
      <c r="BL38" s="159">
        <f t="shared" si="7"/>
        <v>1548236.1845446697</v>
      </c>
      <c r="BM38" s="160">
        <f t="shared" si="8"/>
        <v>3059.303964202782</v>
      </c>
      <c r="BN38" s="160">
        <f t="shared" si="9"/>
        <v>98.68722465170265</v>
      </c>
      <c r="BO38" s="160">
        <f t="shared" si="10"/>
        <v>510903.76202186459</v>
      </c>
      <c r="BP38" s="160">
        <f t="shared" si="11"/>
        <v>79197.86802691473</v>
      </c>
      <c r="BQ38" s="160">
        <f t="shared" si="12"/>
        <v>2554.7699363520883</v>
      </c>
      <c r="BR38" s="160">
        <f t="shared" si="13"/>
        <v>3599.9030921324879</v>
      </c>
      <c r="BS38" s="160">
        <f t="shared" si="14"/>
        <v>2557324.7062884402</v>
      </c>
      <c r="BT38" s="160">
        <f t="shared" si="15"/>
        <v>3603502.9952246202</v>
      </c>
    </row>
    <row r="39" spans="1:72" x14ac:dyDescent="0.2">
      <c r="A39" s="3">
        <v>41306</v>
      </c>
      <c r="B39" s="4">
        <f t="shared" si="0"/>
        <v>2013</v>
      </c>
      <c r="C39" s="2">
        <v>40795122</v>
      </c>
      <c r="D39" s="2">
        <f>VLOOKUP(B39,CDM!$I$5:$N$15,2,FALSE)/12</f>
        <v>369590.720884763</v>
      </c>
      <c r="E39" s="2">
        <f t="shared" si="1"/>
        <v>41164712.720884763</v>
      </c>
      <c r="F39" s="5">
        <v>59219</v>
      </c>
      <c r="G39" s="5">
        <v>14404989</v>
      </c>
      <c r="H39" s="5">
        <v>5175</v>
      </c>
      <c r="I39" s="2">
        <f>VLOOKUP(B39,CDM!$I$5:$N$15,3,FALSE)/12</f>
        <v>181207.62267780254</v>
      </c>
      <c r="J39" s="2">
        <f t="shared" si="2"/>
        <v>14586196.622677803</v>
      </c>
      <c r="K39" s="5">
        <v>71543300</v>
      </c>
      <c r="L39" s="2">
        <f>VLOOKUP(B39,CDM!$I$5:$N$15,4,FALSE)/12</f>
        <v>1222924.8949416389</v>
      </c>
      <c r="M39" s="87">
        <f t="shared" si="3"/>
        <v>72766224.894941643</v>
      </c>
      <c r="N39" s="5">
        <v>183323</v>
      </c>
      <c r="O39" s="5">
        <v>1002</v>
      </c>
      <c r="P39" s="5">
        <v>867491</v>
      </c>
      <c r="Q39" s="5">
        <v>2290</v>
      </c>
      <c r="R39" s="7">
        <v>15105</v>
      </c>
      <c r="S39" s="5">
        <v>259344</v>
      </c>
      <c r="T39" s="1">
        <v>25</v>
      </c>
      <c r="U39" s="1">
        <v>586</v>
      </c>
      <c r="V39" s="37">
        <f>'Economic (2020 Adj.)'!C51</f>
        <v>643937</v>
      </c>
      <c r="W39" s="37">
        <f>'Economic (2020 Adj.)'!D51</f>
        <v>6775.5</v>
      </c>
      <c r="X39" s="37">
        <f>'Economic (2020 Adj.)'!F51</f>
        <v>3041.7</v>
      </c>
      <c r="Y39" s="37">
        <f>'Economic (2020 Adj.)'!H51</f>
        <v>381.8</v>
      </c>
      <c r="Z39" s="37">
        <f>'Economic (2020 Adj.)'!E51</f>
        <v>6702</v>
      </c>
      <c r="AA39" s="37">
        <f>'Economic (2020 Adj.)'!G51</f>
        <v>3018.2</v>
      </c>
      <c r="AB39" s="37">
        <f>'Economic (2020 Adj.)'!I51</f>
        <v>382.7</v>
      </c>
      <c r="AC39" s="39">
        <f>Weather!D171</f>
        <v>-2.9821428571428572</v>
      </c>
      <c r="AD39" s="39">
        <f>Weather!E171</f>
        <v>643.49999999999989</v>
      </c>
      <c r="AE39" s="39">
        <f>Weather!F171</f>
        <v>0</v>
      </c>
      <c r="AF39" s="39">
        <f>Weather!G171</f>
        <v>587.49999999999989</v>
      </c>
      <c r="AG39" s="39">
        <f>Weather!H171</f>
        <v>0</v>
      </c>
      <c r="AH39" s="39">
        <f>Weather!I171</f>
        <v>531.5</v>
      </c>
      <c r="AI39" s="39">
        <f>Weather!J171</f>
        <v>0</v>
      </c>
      <c r="AJ39" s="39">
        <f>Weather!K171</f>
        <v>475.5</v>
      </c>
      <c r="AK39" s="39">
        <f>Weather!L171</f>
        <v>0</v>
      </c>
      <c r="AL39" s="39">
        <f>Weather!M171</f>
        <v>419.5</v>
      </c>
      <c r="AM39" s="39">
        <f>Weather!N171</f>
        <v>0</v>
      </c>
      <c r="AN39" s="39">
        <f>Weather!O171</f>
        <v>363.5</v>
      </c>
      <c r="AO39" s="39">
        <f>Weather!P171</f>
        <v>0</v>
      </c>
      <c r="AP39" s="39">
        <f>Weather!Q171</f>
        <v>307.50000000000006</v>
      </c>
      <c r="AQ39" s="39">
        <f>Weather!R171</f>
        <v>0</v>
      </c>
      <c r="AR39">
        <v>0</v>
      </c>
      <c r="AS39">
        <v>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 s="1">
        <f t="shared" si="4"/>
        <v>38</v>
      </c>
      <c r="BH39">
        <v>28</v>
      </c>
      <c r="BI39">
        <v>19</v>
      </c>
      <c r="BJ39" s="160">
        <f t="shared" si="5"/>
        <v>695.12677892035936</v>
      </c>
      <c r="BK39" s="160">
        <f t="shared" si="6"/>
        <v>24.825956390012834</v>
      </c>
      <c r="BL39" s="159">
        <f t="shared" si="7"/>
        <v>1470168.3114601702</v>
      </c>
      <c r="BM39" s="160">
        <f t="shared" si="8"/>
        <v>2818.5887193580297</v>
      </c>
      <c r="BN39" s="160">
        <f t="shared" si="9"/>
        <v>100.66388283421534</v>
      </c>
      <c r="BO39" s="160">
        <f t="shared" si="10"/>
        <v>520935.59366706439</v>
      </c>
      <c r="BP39" s="160">
        <f t="shared" si="11"/>
        <v>72620.982929083475</v>
      </c>
      <c r="BQ39" s="160">
        <f t="shared" si="12"/>
        <v>2593.6065331815525</v>
      </c>
      <c r="BR39" s="160">
        <f t="shared" si="13"/>
        <v>3822.1569962675512</v>
      </c>
      <c r="BS39" s="160">
        <f t="shared" si="14"/>
        <v>2598793.746247916</v>
      </c>
      <c r="BT39" s="160">
        <f t="shared" si="15"/>
        <v>3829801.3102600863</v>
      </c>
    </row>
    <row r="40" spans="1:72" x14ac:dyDescent="0.2">
      <c r="A40" s="3">
        <v>41334</v>
      </c>
      <c r="B40" s="4">
        <f t="shared" si="0"/>
        <v>2013</v>
      </c>
      <c r="C40" s="2">
        <v>42065457</v>
      </c>
      <c r="D40" s="2">
        <f>VLOOKUP(B40,CDM!$I$5:$N$15,2,FALSE)/12</f>
        <v>369590.720884763</v>
      </c>
      <c r="E40" s="2">
        <f t="shared" si="1"/>
        <v>42435047.720884763</v>
      </c>
      <c r="F40" s="7">
        <v>59221</v>
      </c>
      <c r="G40" s="5">
        <v>15191000</v>
      </c>
      <c r="H40" s="7">
        <v>5178</v>
      </c>
      <c r="I40" s="2">
        <f>VLOOKUP(B40,CDM!$I$5:$N$15,3,FALSE)/12</f>
        <v>181207.62267780254</v>
      </c>
      <c r="J40" s="2">
        <f t="shared" si="2"/>
        <v>15372207.622677803</v>
      </c>
      <c r="K40" s="5">
        <v>75672079</v>
      </c>
      <c r="L40" s="2">
        <f>VLOOKUP(B40,CDM!$I$5:$N$15,4,FALSE)/12</f>
        <v>1222924.8949416389</v>
      </c>
      <c r="M40" s="87">
        <f t="shared" si="3"/>
        <v>76895003.894941643</v>
      </c>
      <c r="N40" s="5">
        <v>197492</v>
      </c>
      <c r="O40" s="7">
        <v>1004</v>
      </c>
      <c r="P40" s="5">
        <v>856916</v>
      </c>
      <c r="Q40" s="5">
        <v>2290</v>
      </c>
      <c r="R40" s="5">
        <v>15105</v>
      </c>
      <c r="S40" s="5">
        <v>261170</v>
      </c>
      <c r="T40" s="1">
        <v>25</v>
      </c>
      <c r="U40" s="1">
        <v>586</v>
      </c>
      <c r="V40" s="37">
        <f>'Economic (2020 Adj.)'!C52</f>
        <v>643937</v>
      </c>
      <c r="W40" s="37">
        <f>'Economic (2020 Adj.)'!D52</f>
        <v>6781.1</v>
      </c>
      <c r="X40" s="37">
        <f>'Economic (2020 Adj.)'!F52</f>
        <v>3045.3</v>
      </c>
      <c r="Y40" s="37">
        <f>'Economic (2020 Adj.)'!H52</f>
        <v>380.1</v>
      </c>
      <c r="Z40" s="37">
        <f>'Economic (2020 Adj.)'!E52</f>
        <v>6675.8</v>
      </c>
      <c r="AA40" s="37">
        <f>'Economic (2020 Adj.)'!G52</f>
        <v>3007</v>
      </c>
      <c r="AB40" s="37">
        <f>'Economic (2020 Adj.)'!I52</f>
        <v>379.3</v>
      </c>
      <c r="AC40" s="39">
        <f>Weather!D172</f>
        <v>1.1193548387096774</v>
      </c>
      <c r="AD40" s="39">
        <f>Weather!E172</f>
        <v>585.30000000000007</v>
      </c>
      <c r="AE40" s="39">
        <f>Weather!F172</f>
        <v>0</v>
      </c>
      <c r="AF40" s="39">
        <f>Weather!G172</f>
        <v>523.30000000000007</v>
      </c>
      <c r="AG40" s="39">
        <f>Weather!H172</f>
        <v>0</v>
      </c>
      <c r="AH40" s="39">
        <f>Weather!I172</f>
        <v>461.30000000000007</v>
      </c>
      <c r="AI40" s="39">
        <f>Weather!J172</f>
        <v>0</v>
      </c>
      <c r="AJ40" s="39">
        <f>Weather!K172</f>
        <v>399.30000000000007</v>
      </c>
      <c r="AK40" s="39">
        <f>Weather!L172</f>
        <v>0</v>
      </c>
      <c r="AL40" s="39">
        <f>Weather!M172</f>
        <v>337.3</v>
      </c>
      <c r="AM40" s="39">
        <f>Weather!N172</f>
        <v>0</v>
      </c>
      <c r="AN40" s="39">
        <f>Weather!O172</f>
        <v>275.29999999999995</v>
      </c>
      <c r="AO40" s="39">
        <f>Weather!P172</f>
        <v>0</v>
      </c>
      <c r="AP40" s="39">
        <f>Weather!Q172</f>
        <v>214.7</v>
      </c>
      <c r="AQ40" s="39">
        <f>Weather!R172</f>
        <v>1.4000000000000004</v>
      </c>
      <c r="AR40">
        <v>0</v>
      </c>
      <c r="AS40">
        <v>0</v>
      </c>
      <c r="AT40">
        <v>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1</v>
      </c>
      <c r="BE40">
        <v>0</v>
      </c>
      <c r="BF40">
        <v>1</v>
      </c>
      <c r="BG40" s="1">
        <f t="shared" si="4"/>
        <v>39</v>
      </c>
      <c r="BH40">
        <v>31</v>
      </c>
      <c r="BI40">
        <v>19</v>
      </c>
      <c r="BJ40" s="160">
        <f t="shared" si="5"/>
        <v>716.55405550201385</v>
      </c>
      <c r="BK40" s="160">
        <f t="shared" si="6"/>
        <v>23.114646951677866</v>
      </c>
      <c r="BL40" s="159">
        <f t="shared" si="7"/>
        <v>1368872.507125315</v>
      </c>
      <c r="BM40" s="160">
        <f t="shared" si="8"/>
        <v>2968.7538861872931</v>
      </c>
      <c r="BN40" s="160">
        <f t="shared" si="9"/>
        <v>95.766254393138482</v>
      </c>
      <c r="BO40" s="160">
        <f t="shared" si="10"/>
        <v>495877.66524767107</v>
      </c>
      <c r="BP40" s="160">
        <f t="shared" si="11"/>
        <v>76588.649297750642</v>
      </c>
      <c r="BQ40" s="160">
        <f t="shared" si="12"/>
        <v>2470.6015902500208</v>
      </c>
      <c r="BR40" s="160">
        <f t="shared" si="13"/>
        <v>4030.981541986876</v>
      </c>
      <c r="BS40" s="160">
        <f t="shared" si="14"/>
        <v>2480483.9966110205</v>
      </c>
      <c r="BT40" s="160">
        <f t="shared" si="15"/>
        <v>4047105.4681548234</v>
      </c>
    </row>
    <row r="41" spans="1:72" x14ac:dyDescent="0.2">
      <c r="A41" s="3">
        <v>41365</v>
      </c>
      <c r="B41" s="4">
        <f t="shared" si="0"/>
        <v>2013</v>
      </c>
      <c r="C41" s="2">
        <v>38200971</v>
      </c>
      <c r="D41" s="2">
        <f>VLOOKUP(B41,CDM!$I$5:$N$15,2,FALSE)/12</f>
        <v>369590.720884763</v>
      </c>
      <c r="E41" s="2">
        <f t="shared" si="1"/>
        <v>38570561.720884763</v>
      </c>
      <c r="F41" s="7">
        <v>59208</v>
      </c>
      <c r="G41" s="5">
        <v>13739432</v>
      </c>
      <c r="H41" s="7">
        <v>5137</v>
      </c>
      <c r="I41" s="2">
        <f>VLOOKUP(B41,CDM!$I$5:$N$15,3,FALSE)/12</f>
        <v>181207.62267780254</v>
      </c>
      <c r="J41" s="2">
        <f t="shared" si="2"/>
        <v>13920639.622677803</v>
      </c>
      <c r="K41" s="5">
        <v>71263039</v>
      </c>
      <c r="L41" s="2">
        <f>VLOOKUP(B41,CDM!$I$5:$N$15,4,FALSE)/12</f>
        <v>1222924.8949416389</v>
      </c>
      <c r="M41" s="87">
        <f t="shared" si="3"/>
        <v>72485963.894941643</v>
      </c>
      <c r="N41" s="5">
        <v>194894</v>
      </c>
      <c r="O41" s="7">
        <v>1006</v>
      </c>
      <c r="P41" s="5">
        <v>727535</v>
      </c>
      <c r="Q41" s="5">
        <v>2290</v>
      </c>
      <c r="R41" s="7">
        <v>15105</v>
      </c>
      <c r="S41" s="5">
        <v>258493</v>
      </c>
      <c r="T41" s="1">
        <v>25</v>
      </c>
      <c r="U41" s="1">
        <v>580</v>
      </c>
      <c r="V41" s="37">
        <f>'Economic (2020 Adj.)'!C53</f>
        <v>643937</v>
      </c>
      <c r="W41" s="37">
        <f>'Economic (2020 Adj.)'!D53</f>
        <v>6788.9</v>
      </c>
      <c r="X41" s="37">
        <f>'Economic (2020 Adj.)'!F53</f>
        <v>3057</v>
      </c>
      <c r="Y41" s="37">
        <f>'Economic (2020 Adj.)'!H53</f>
        <v>377.1</v>
      </c>
      <c r="Z41" s="37">
        <f>'Economic (2020 Adj.)'!E53</f>
        <v>6703.7</v>
      </c>
      <c r="AA41" s="37">
        <f>'Economic (2020 Adj.)'!G53</f>
        <v>3026.3</v>
      </c>
      <c r="AB41" s="37">
        <f>'Economic (2020 Adj.)'!I53</f>
        <v>375.4</v>
      </c>
      <c r="AC41" s="39">
        <f>Weather!D173</f>
        <v>6.0466666666666669</v>
      </c>
      <c r="AD41" s="39">
        <f>Weather!E173</f>
        <v>418.59999999999985</v>
      </c>
      <c r="AE41" s="39">
        <f>Weather!F173</f>
        <v>0</v>
      </c>
      <c r="AF41" s="39">
        <f>Weather!G173</f>
        <v>358.59999999999985</v>
      </c>
      <c r="AG41" s="39">
        <f>Weather!H173</f>
        <v>0</v>
      </c>
      <c r="AH41" s="39">
        <f>Weather!I173</f>
        <v>298.59999999999991</v>
      </c>
      <c r="AI41" s="39">
        <f>Weather!J173</f>
        <v>0</v>
      </c>
      <c r="AJ41" s="39">
        <f>Weather!K173</f>
        <v>240.19999999999993</v>
      </c>
      <c r="AK41" s="39">
        <f>Weather!L173</f>
        <v>1.5999999999999996</v>
      </c>
      <c r="AL41" s="39">
        <f>Weather!M173</f>
        <v>182.99999999999997</v>
      </c>
      <c r="AM41" s="39">
        <f>Weather!N173</f>
        <v>4.4000000000000004</v>
      </c>
      <c r="AN41" s="39">
        <f>Weather!O173</f>
        <v>129.40000000000003</v>
      </c>
      <c r="AO41" s="39">
        <f>Weather!P173</f>
        <v>10.8</v>
      </c>
      <c r="AP41" s="39">
        <f>Weather!Q173</f>
        <v>84.200000000000017</v>
      </c>
      <c r="AQ41" s="39">
        <f>Weather!R173</f>
        <v>25.600000000000005</v>
      </c>
      <c r="AR41">
        <v>0</v>
      </c>
      <c r="AS41">
        <v>0</v>
      </c>
      <c r="AT41">
        <v>0</v>
      </c>
      <c r="AU41">
        <v>1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1</v>
      </c>
      <c r="BE41">
        <v>0</v>
      </c>
      <c r="BF41">
        <v>1</v>
      </c>
      <c r="BG41" s="1">
        <f t="shared" si="4"/>
        <v>40</v>
      </c>
      <c r="BH41">
        <v>30</v>
      </c>
      <c r="BI41">
        <v>22</v>
      </c>
      <c r="BJ41" s="160">
        <f t="shared" si="5"/>
        <v>651.44172613303544</v>
      </c>
      <c r="BK41" s="160">
        <f t="shared" si="6"/>
        <v>21.714724204434514</v>
      </c>
      <c r="BL41" s="159">
        <f t="shared" si="7"/>
        <v>1285685.3906961589</v>
      </c>
      <c r="BM41" s="160">
        <f t="shared" si="8"/>
        <v>2709.8772868751807</v>
      </c>
      <c r="BN41" s="160">
        <f t="shared" si="9"/>
        <v>90.329242895839357</v>
      </c>
      <c r="BO41" s="160">
        <f t="shared" si="10"/>
        <v>464021.32075592678</v>
      </c>
      <c r="BP41" s="160">
        <f t="shared" si="11"/>
        <v>72053.642042685533</v>
      </c>
      <c r="BQ41" s="160">
        <f t="shared" si="12"/>
        <v>2401.7880680895178</v>
      </c>
      <c r="BR41" s="160">
        <f t="shared" si="13"/>
        <v>3275.1655473947972</v>
      </c>
      <c r="BS41" s="160">
        <f t="shared" si="14"/>
        <v>2416198.7964980546</v>
      </c>
      <c r="BT41" s="160">
        <f t="shared" si="15"/>
        <v>3294816.5406791656</v>
      </c>
    </row>
    <row r="42" spans="1:72" x14ac:dyDescent="0.2">
      <c r="A42" s="3">
        <v>41395</v>
      </c>
      <c r="B42" s="4">
        <f t="shared" ref="B42:B105" si="16">YEAR(A42)</f>
        <v>2013</v>
      </c>
      <c r="C42" s="2">
        <v>41031626</v>
      </c>
      <c r="D42" s="2">
        <f>VLOOKUP(B42,CDM!$I$5:$N$15,2,FALSE)/12</f>
        <v>369590.720884763</v>
      </c>
      <c r="E42" s="2">
        <f t="shared" si="1"/>
        <v>41401216.720884763</v>
      </c>
      <c r="F42" s="5">
        <v>59245</v>
      </c>
      <c r="G42" s="5">
        <v>13706323</v>
      </c>
      <c r="H42" s="5">
        <v>5144</v>
      </c>
      <c r="I42" s="2">
        <f>VLOOKUP(B42,CDM!$I$5:$N$15,3,FALSE)/12</f>
        <v>181207.62267780254</v>
      </c>
      <c r="J42" s="2">
        <f t="shared" si="2"/>
        <v>13887530.622677803</v>
      </c>
      <c r="K42" s="5">
        <v>73289948</v>
      </c>
      <c r="L42" s="2">
        <f>VLOOKUP(B42,CDM!$I$5:$N$15,4,FALSE)/12</f>
        <v>1222924.8949416389</v>
      </c>
      <c r="M42" s="87">
        <f t="shared" si="3"/>
        <v>74512872.894941643</v>
      </c>
      <c r="N42" s="5">
        <v>190791</v>
      </c>
      <c r="O42" s="5">
        <v>1006</v>
      </c>
      <c r="P42" s="5">
        <v>662105</v>
      </c>
      <c r="Q42" s="5">
        <v>2290</v>
      </c>
      <c r="R42" s="7">
        <v>15105</v>
      </c>
      <c r="S42" s="5">
        <v>258920</v>
      </c>
      <c r="T42" s="1">
        <v>25</v>
      </c>
      <c r="U42" s="1">
        <v>580</v>
      </c>
      <c r="V42" s="37">
        <f>'Economic (2020 Adj.)'!C54</f>
        <v>643937</v>
      </c>
      <c r="W42" s="37">
        <f>'Economic (2020 Adj.)'!D54</f>
        <v>6801.1</v>
      </c>
      <c r="X42" s="37">
        <f>'Economic (2020 Adj.)'!F54</f>
        <v>3073.7</v>
      </c>
      <c r="Y42" s="37">
        <f>'Economic (2020 Adj.)'!H54</f>
        <v>378.2</v>
      </c>
      <c r="Z42" s="37">
        <f>'Economic (2020 Adj.)'!E54</f>
        <v>6770.3</v>
      </c>
      <c r="AA42" s="37">
        <f>'Economic (2020 Adj.)'!G54</f>
        <v>3059.1</v>
      </c>
      <c r="AB42" s="37">
        <f>'Economic (2020 Adj.)'!I54</f>
        <v>376.4</v>
      </c>
      <c r="AC42" s="39">
        <f>Weather!D174</f>
        <v>13.312903225806453</v>
      </c>
      <c r="AD42" s="39">
        <f>Weather!E174</f>
        <v>216.00000000000003</v>
      </c>
      <c r="AE42" s="39">
        <f>Weather!F174</f>
        <v>8.6999999999999993</v>
      </c>
      <c r="AF42" s="39">
        <f>Weather!G174</f>
        <v>161.5</v>
      </c>
      <c r="AG42" s="39">
        <f>Weather!H174</f>
        <v>16.2</v>
      </c>
      <c r="AH42" s="39">
        <f>Weather!I174</f>
        <v>109.9</v>
      </c>
      <c r="AI42" s="39">
        <f>Weather!J174</f>
        <v>26.599999999999998</v>
      </c>
      <c r="AJ42" s="39">
        <f>Weather!K174</f>
        <v>64.599999999999994</v>
      </c>
      <c r="AK42" s="39">
        <f>Weather!L174</f>
        <v>43.3</v>
      </c>
      <c r="AL42" s="39">
        <f>Weather!M174</f>
        <v>28.200000000000003</v>
      </c>
      <c r="AM42" s="39">
        <f>Weather!N174</f>
        <v>68.899999999999991</v>
      </c>
      <c r="AN42" s="39">
        <f>Weather!O174</f>
        <v>10.700000000000001</v>
      </c>
      <c r="AO42" s="39">
        <f>Weather!P174</f>
        <v>113.39999999999999</v>
      </c>
      <c r="AP42" s="39">
        <f>Weather!Q174</f>
        <v>3.5</v>
      </c>
      <c r="AQ42" s="39">
        <f>Weather!R174</f>
        <v>168.2</v>
      </c>
      <c r="AR42">
        <v>0</v>
      </c>
      <c r="AS42">
        <v>0</v>
      </c>
      <c r="AT42">
        <v>0</v>
      </c>
      <c r="AU42">
        <v>0</v>
      </c>
      <c r="AV42">
        <v>1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1</v>
      </c>
      <c r="BE42">
        <v>0</v>
      </c>
      <c r="BF42">
        <v>1</v>
      </c>
      <c r="BG42" s="1">
        <f t="shared" si="4"/>
        <v>41</v>
      </c>
      <c r="BH42">
        <v>31</v>
      </c>
      <c r="BI42">
        <v>22</v>
      </c>
      <c r="BJ42" s="160">
        <f t="shared" si="5"/>
        <v>698.81368420769286</v>
      </c>
      <c r="BK42" s="160">
        <f t="shared" si="6"/>
        <v>22.542376909925576</v>
      </c>
      <c r="BL42" s="159">
        <f t="shared" si="7"/>
        <v>1335523.1200285407</v>
      </c>
      <c r="BM42" s="160">
        <f t="shared" si="8"/>
        <v>2699.7532314692462</v>
      </c>
      <c r="BN42" s="160">
        <f t="shared" si="9"/>
        <v>87.088813918362774</v>
      </c>
      <c r="BO42" s="160">
        <f t="shared" si="10"/>
        <v>447984.85879605816</v>
      </c>
      <c r="BP42" s="160">
        <f t="shared" si="11"/>
        <v>74068.462122208395</v>
      </c>
      <c r="BQ42" s="160">
        <f t="shared" si="12"/>
        <v>2389.3052297486579</v>
      </c>
      <c r="BR42" s="160">
        <f t="shared" si="13"/>
        <v>3366.7482782821999</v>
      </c>
      <c r="BS42" s="160">
        <f t="shared" si="14"/>
        <v>2403641.06112715</v>
      </c>
      <c r="BT42" s="160">
        <f t="shared" si="15"/>
        <v>3386948.7679518927</v>
      </c>
    </row>
    <row r="43" spans="1:72" x14ac:dyDescent="0.2">
      <c r="A43" s="3">
        <v>41426</v>
      </c>
      <c r="B43" s="4">
        <f t="shared" si="16"/>
        <v>2013</v>
      </c>
      <c r="C43" s="2">
        <v>47475901</v>
      </c>
      <c r="D43" s="2">
        <f>VLOOKUP(B43,CDM!$I$5:$N$15,2,FALSE)/12</f>
        <v>369590.720884763</v>
      </c>
      <c r="E43" s="2">
        <f t="shared" si="1"/>
        <v>47845491.720884763</v>
      </c>
      <c r="F43" s="7">
        <v>59259</v>
      </c>
      <c r="G43" s="5">
        <v>14242326</v>
      </c>
      <c r="H43" s="7">
        <v>5144</v>
      </c>
      <c r="I43" s="2">
        <f>VLOOKUP(B43,CDM!$I$5:$N$15,3,FALSE)/12</f>
        <v>181207.62267780254</v>
      </c>
      <c r="J43" s="2">
        <f t="shared" si="2"/>
        <v>14423533.622677803</v>
      </c>
      <c r="K43" s="5">
        <v>75046589</v>
      </c>
      <c r="L43" s="2">
        <f>VLOOKUP(B43,CDM!$I$5:$N$15,4,FALSE)/12</f>
        <v>1222924.8949416389</v>
      </c>
      <c r="M43" s="87">
        <f t="shared" si="3"/>
        <v>76269513.894941643</v>
      </c>
      <c r="N43" s="5">
        <v>202400</v>
      </c>
      <c r="O43" s="7">
        <v>1005</v>
      </c>
      <c r="P43" s="5">
        <v>595876</v>
      </c>
      <c r="Q43" s="5">
        <v>2290</v>
      </c>
      <c r="R43" s="5">
        <v>15106</v>
      </c>
      <c r="S43" s="5">
        <v>256683</v>
      </c>
      <c r="T43" s="1">
        <v>25</v>
      </c>
      <c r="U43" s="1">
        <v>580</v>
      </c>
      <c r="V43" s="37">
        <f>'Economic (2020 Adj.)'!C55</f>
        <v>643937</v>
      </c>
      <c r="W43" s="37">
        <f>'Economic (2020 Adj.)'!D55</f>
        <v>6815.2</v>
      </c>
      <c r="X43" s="37">
        <f>'Economic (2020 Adj.)'!F55</f>
        <v>3092.4</v>
      </c>
      <c r="Y43" s="37">
        <f>'Economic (2020 Adj.)'!H55</f>
        <v>376.8</v>
      </c>
      <c r="Z43" s="37">
        <f>'Economic (2020 Adj.)'!E55</f>
        <v>6861.8</v>
      </c>
      <c r="AA43" s="37">
        <f>'Economic (2020 Adj.)'!G55</f>
        <v>3103.8</v>
      </c>
      <c r="AB43" s="37">
        <f>'Economic (2020 Adj.)'!I55</f>
        <v>378.6</v>
      </c>
      <c r="AC43" s="39">
        <f>Weather!D175</f>
        <v>18.400000000000002</v>
      </c>
      <c r="AD43" s="39">
        <f>Weather!E175</f>
        <v>79.400000000000006</v>
      </c>
      <c r="AE43" s="39">
        <f>Weather!F175</f>
        <v>31.400000000000002</v>
      </c>
      <c r="AF43" s="39">
        <f>Weather!G175</f>
        <v>43.599999999999994</v>
      </c>
      <c r="AG43" s="39">
        <f>Weather!H175</f>
        <v>55.6</v>
      </c>
      <c r="AH43" s="39">
        <f>Weather!I175</f>
        <v>17.8</v>
      </c>
      <c r="AI43" s="39">
        <f>Weather!J175</f>
        <v>89.800000000000011</v>
      </c>
      <c r="AJ43" s="39">
        <f>Weather!K175</f>
        <v>5.5999999999999979</v>
      </c>
      <c r="AK43" s="39">
        <f>Weather!L175</f>
        <v>137.6</v>
      </c>
      <c r="AL43" s="39">
        <f>Weather!M175</f>
        <v>9.9999999999999645E-2</v>
      </c>
      <c r="AM43" s="39">
        <f>Weather!N175</f>
        <v>192.10000000000002</v>
      </c>
      <c r="AN43" s="39">
        <f>Weather!O175</f>
        <v>0</v>
      </c>
      <c r="AO43" s="39">
        <f>Weather!P175</f>
        <v>252.00000000000003</v>
      </c>
      <c r="AP43" s="39">
        <f>Weather!Q175</f>
        <v>0</v>
      </c>
      <c r="AQ43" s="39">
        <f>Weather!R175</f>
        <v>312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1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 s="1">
        <f t="shared" si="4"/>
        <v>42</v>
      </c>
      <c r="BH43">
        <v>30</v>
      </c>
      <c r="BI43">
        <v>20</v>
      </c>
      <c r="BJ43" s="160">
        <f t="shared" si="5"/>
        <v>807.39620514832791</v>
      </c>
      <c r="BK43" s="160">
        <f t="shared" si="6"/>
        <v>26.913206838277596</v>
      </c>
      <c r="BL43" s="159">
        <f t="shared" si="7"/>
        <v>1594849.7240294921</v>
      </c>
      <c r="BM43" s="160">
        <f t="shared" si="8"/>
        <v>2803.9528815470067</v>
      </c>
      <c r="BN43" s="160">
        <f t="shared" si="9"/>
        <v>93.465096051566888</v>
      </c>
      <c r="BO43" s="160">
        <f t="shared" si="10"/>
        <v>480784.45408926008</v>
      </c>
      <c r="BP43" s="160">
        <f t="shared" si="11"/>
        <v>75890.063577056368</v>
      </c>
      <c r="BQ43" s="160">
        <f t="shared" si="12"/>
        <v>2529.6687859018789</v>
      </c>
      <c r="BR43" s="160">
        <f t="shared" si="13"/>
        <v>3794.5031788528186</v>
      </c>
      <c r="BS43" s="160">
        <f t="shared" si="14"/>
        <v>2542317.1298313881</v>
      </c>
      <c r="BT43" s="160">
        <f t="shared" si="15"/>
        <v>3813475.694747082</v>
      </c>
    </row>
    <row r="44" spans="1:72" x14ac:dyDescent="0.2">
      <c r="A44" s="3">
        <v>41456</v>
      </c>
      <c r="B44" s="4">
        <f t="shared" si="16"/>
        <v>2013</v>
      </c>
      <c r="C44" s="2">
        <v>55945224</v>
      </c>
      <c r="D44" s="2">
        <f>VLOOKUP(B44,CDM!$I$5:$N$15,2,FALSE)/12</f>
        <v>369590.720884763</v>
      </c>
      <c r="E44" s="2">
        <f t="shared" si="1"/>
        <v>56314814.720884763</v>
      </c>
      <c r="F44" s="7">
        <v>59290</v>
      </c>
      <c r="G44" s="5">
        <v>16054931</v>
      </c>
      <c r="H44" s="7">
        <v>5148</v>
      </c>
      <c r="I44" s="2">
        <f>VLOOKUP(B44,CDM!$I$5:$N$15,3,FALSE)/12</f>
        <v>181207.62267780254</v>
      </c>
      <c r="J44" s="2">
        <f t="shared" si="2"/>
        <v>16236138.622677803</v>
      </c>
      <c r="K44" s="5">
        <v>82236270</v>
      </c>
      <c r="L44" s="2">
        <f>VLOOKUP(B44,CDM!$I$5:$N$15,4,FALSE)/12</f>
        <v>1222924.8949416389</v>
      </c>
      <c r="M44" s="87">
        <f t="shared" si="3"/>
        <v>83459194.894941643</v>
      </c>
      <c r="N44" s="5">
        <v>226601</v>
      </c>
      <c r="O44" s="7">
        <v>1007</v>
      </c>
      <c r="P44" s="5">
        <v>637883</v>
      </c>
      <c r="Q44" s="5">
        <v>2290</v>
      </c>
      <c r="R44" s="7">
        <v>15106</v>
      </c>
      <c r="S44" s="5">
        <v>258065</v>
      </c>
      <c r="T44" s="1">
        <v>25</v>
      </c>
      <c r="U44" s="1">
        <v>578</v>
      </c>
      <c r="V44" s="37">
        <f>'Economic (2020 Adj.)'!C56</f>
        <v>643937</v>
      </c>
      <c r="W44" s="37">
        <f>'Economic (2020 Adj.)'!D56</f>
        <v>6826.2</v>
      </c>
      <c r="X44" s="37">
        <f>'Economic (2020 Adj.)'!F56</f>
        <v>3100</v>
      </c>
      <c r="Y44" s="37">
        <f>'Economic (2020 Adj.)'!H56</f>
        <v>375.3</v>
      </c>
      <c r="Z44" s="37">
        <f>'Economic (2020 Adj.)'!E56</f>
        <v>6917.1</v>
      </c>
      <c r="AA44" s="37">
        <f>'Economic (2020 Adj.)'!G56</f>
        <v>3122.7</v>
      </c>
      <c r="AB44" s="37">
        <f>'Economic (2020 Adj.)'!I56</f>
        <v>378.7</v>
      </c>
      <c r="AC44" s="39">
        <f>Weather!D176</f>
        <v>22.22258064516129</v>
      </c>
      <c r="AD44" s="39">
        <f>Weather!E176</f>
        <v>14.5</v>
      </c>
      <c r="AE44" s="39">
        <f>Weather!F176</f>
        <v>83.399999999999977</v>
      </c>
      <c r="AF44" s="39">
        <f>Weather!G176</f>
        <v>0.69999999999999929</v>
      </c>
      <c r="AG44" s="39">
        <f>Weather!H176</f>
        <v>131.6</v>
      </c>
      <c r="AH44" s="39">
        <f>Weather!I176</f>
        <v>0</v>
      </c>
      <c r="AI44" s="39">
        <f>Weather!J176</f>
        <v>192.90000000000003</v>
      </c>
      <c r="AJ44" s="39">
        <f>Weather!K176</f>
        <v>0</v>
      </c>
      <c r="AK44" s="39">
        <f>Weather!L176</f>
        <v>254.90000000000003</v>
      </c>
      <c r="AL44" s="39">
        <f>Weather!M176</f>
        <v>0</v>
      </c>
      <c r="AM44" s="39">
        <f>Weather!N176</f>
        <v>316.89999999999998</v>
      </c>
      <c r="AN44" s="39">
        <f>Weather!O176</f>
        <v>0</v>
      </c>
      <c r="AO44" s="39">
        <f>Weather!P176</f>
        <v>378.9</v>
      </c>
      <c r="AP44" s="39">
        <f>Weather!Q176</f>
        <v>0</v>
      </c>
      <c r="AQ44" s="39">
        <f>Weather!R176</f>
        <v>440.9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1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 s="1">
        <f t="shared" si="4"/>
        <v>43</v>
      </c>
      <c r="BH44">
        <v>31</v>
      </c>
      <c r="BI44">
        <v>22</v>
      </c>
      <c r="BJ44" s="160">
        <f t="shared" si="5"/>
        <v>949.81977940436434</v>
      </c>
      <c r="BK44" s="160">
        <f t="shared" si="6"/>
        <v>30.639347722721432</v>
      </c>
      <c r="BL44" s="159">
        <f t="shared" si="7"/>
        <v>1816606.9264801536</v>
      </c>
      <c r="BM44" s="160">
        <f t="shared" si="8"/>
        <v>3153.8730813282446</v>
      </c>
      <c r="BN44" s="160">
        <f t="shared" si="9"/>
        <v>101.73784133316919</v>
      </c>
      <c r="BO44" s="160">
        <f t="shared" si="10"/>
        <v>523746.40718315495</v>
      </c>
      <c r="BP44" s="160">
        <f t="shared" si="11"/>
        <v>82879.041603715639</v>
      </c>
      <c r="BQ44" s="160">
        <f t="shared" si="12"/>
        <v>2673.5174710876013</v>
      </c>
      <c r="BR44" s="160">
        <f t="shared" si="13"/>
        <v>3767.2291638052561</v>
      </c>
      <c r="BS44" s="160">
        <f t="shared" si="14"/>
        <v>2692232.0933852145</v>
      </c>
      <c r="BT44" s="160">
        <f t="shared" si="15"/>
        <v>3793599.7679518927</v>
      </c>
    </row>
    <row r="45" spans="1:72" x14ac:dyDescent="0.2">
      <c r="A45" s="3">
        <v>41487</v>
      </c>
      <c r="B45" s="4">
        <f t="shared" si="16"/>
        <v>2013</v>
      </c>
      <c r="C45" s="2">
        <v>52766493</v>
      </c>
      <c r="D45" s="2">
        <f>VLOOKUP(B45,CDM!$I$5:$N$15,2,FALSE)/12</f>
        <v>369590.720884763</v>
      </c>
      <c r="E45" s="2">
        <f t="shared" si="1"/>
        <v>53136083.720884763</v>
      </c>
      <c r="F45" s="5">
        <v>59297</v>
      </c>
      <c r="G45" s="5">
        <v>15318944</v>
      </c>
      <c r="H45" s="5">
        <v>5147</v>
      </c>
      <c r="I45" s="2">
        <f>VLOOKUP(B45,CDM!$I$5:$N$15,3,FALSE)/12</f>
        <v>181207.62267780254</v>
      </c>
      <c r="J45" s="2">
        <f t="shared" ref="J45:J47" si="17">G45+I45</f>
        <v>15500151.622677803</v>
      </c>
      <c r="K45" s="5">
        <v>79620862</v>
      </c>
      <c r="L45" s="2">
        <f>VLOOKUP(B45,CDM!$I$5:$N$15,4,FALSE)/12</f>
        <v>1222924.8949416389</v>
      </c>
      <c r="M45" s="87">
        <f t="shared" si="3"/>
        <v>80843786.894941643</v>
      </c>
      <c r="N45" s="5">
        <v>214136</v>
      </c>
      <c r="O45" s="5">
        <v>1008</v>
      </c>
      <c r="P45" s="5">
        <v>716709</v>
      </c>
      <c r="Q45" s="5">
        <v>2291</v>
      </c>
      <c r="R45" s="7">
        <v>15123</v>
      </c>
      <c r="S45" s="5">
        <v>257817</v>
      </c>
      <c r="T45" s="1">
        <v>25</v>
      </c>
      <c r="U45" s="1">
        <v>578</v>
      </c>
      <c r="V45" s="37">
        <f>'Economic (2020 Adj.)'!C57</f>
        <v>643937</v>
      </c>
      <c r="W45" s="37">
        <f>'Economic (2020 Adj.)'!D57</f>
        <v>6833.9</v>
      </c>
      <c r="X45" s="37">
        <f>'Economic (2020 Adj.)'!F57</f>
        <v>3110.2</v>
      </c>
      <c r="Y45" s="37">
        <f>'Economic (2020 Adj.)'!H57</f>
        <v>364.2</v>
      </c>
      <c r="Z45" s="37">
        <f>'Economic (2020 Adj.)'!E57</f>
        <v>6934.7</v>
      </c>
      <c r="AA45" s="37">
        <f>'Economic (2020 Adj.)'!G57</f>
        <v>3145.2</v>
      </c>
      <c r="AB45" s="37">
        <f>'Economic (2020 Adj.)'!I57</f>
        <v>368.3</v>
      </c>
      <c r="AC45" s="39">
        <f>Weather!D177</f>
        <v>20.870967741935488</v>
      </c>
      <c r="AD45" s="39">
        <f>Weather!E177</f>
        <v>16.699999999999996</v>
      </c>
      <c r="AE45" s="39">
        <f>Weather!F177</f>
        <v>43.7</v>
      </c>
      <c r="AF45" s="39">
        <f>Weather!G177</f>
        <v>2.5999999999999979</v>
      </c>
      <c r="AG45" s="39">
        <f>Weather!H177</f>
        <v>91.600000000000009</v>
      </c>
      <c r="AH45" s="39">
        <f>Weather!I177</f>
        <v>0</v>
      </c>
      <c r="AI45" s="39">
        <f>Weather!J177</f>
        <v>151</v>
      </c>
      <c r="AJ45" s="39">
        <f>Weather!K177</f>
        <v>0</v>
      </c>
      <c r="AK45" s="39">
        <f>Weather!L177</f>
        <v>213</v>
      </c>
      <c r="AL45" s="39">
        <f>Weather!M177</f>
        <v>0</v>
      </c>
      <c r="AM45" s="39">
        <f>Weather!N177</f>
        <v>275</v>
      </c>
      <c r="AN45" s="39">
        <f>Weather!O177</f>
        <v>0</v>
      </c>
      <c r="AO45" s="39">
        <f>Weather!P177</f>
        <v>336.99999999999994</v>
      </c>
      <c r="AP45" s="39">
        <f>Weather!Q177</f>
        <v>0</v>
      </c>
      <c r="AQ45" s="39">
        <f>Weather!R177</f>
        <v>399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1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 s="1">
        <f t="shared" si="4"/>
        <v>44</v>
      </c>
      <c r="BH45">
        <v>31</v>
      </c>
      <c r="BI45">
        <v>21</v>
      </c>
      <c r="BJ45" s="160">
        <f t="shared" si="5"/>
        <v>896.10070865110822</v>
      </c>
      <c r="BK45" s="160">
        <f t="shared" si="6"/>
        <v>28.906474472616395</v>
      </c>
      <c r="BL45" s="159">
        <f t="shared" si="7"/>
        <v>1714067.2168027342</v>
      </c>
      <c r="BM45" s="160">
        <f t="shared" si="8"/>
        <v>3011.4924466053631</v>
      </c>
      <c r="BN45" s="160">
        <f t="shared" si="9"/>
        <v>97.14491763243106</v>
      </c>
      <c r="BO45" s="160">
        <f t="shared" si="10"/>
        <v>500004.89105412265</v>
      </c>
      <c r="BP45" s="160">
        <f t="shared" si="11"/>
        <v>80202.169538632588</v>
      </c>
      <c r="BQ45" s="160">
        <f t="shared" si="12"/>
        <v>2587.1667593107286</v>
      </c>
      <c r="BR45" s="160">
        <f t="shared" si="13"/>
        <v>3819.1509304110755</v>
      </c>
      <c r="BS45" s="160">
        <f t="shared" si="14"/>
        <v>2607864.0933852145</v>
      </c>
      <c r="BT45" s="160">
        <f t="shared" si="15"/>
        <v>3849704.1378543638</v>
      </c>
    </row>
    <row r="46" spans="1:72" x14ac:dyDescent="0.2">
      <c r="A46" s="3">
        <v>41518</v>
      </c>
      <c r="B46" s="4">
        <f t="shared" si="16"/>
        <v>2013</v>
      </c>
      <c r="C46" s="2">
        <v>45057319</v>
      </c>
      <c r="D46" s="2">
        <f>VLOOKUP(B46,CDM!$I$5:$N$15,2,FALSE)/12</f>
        <v>369590.720884763</v>
      </c>
      <c r="E46" s="2">
        <f t="shared" si="1"/>
        <v>45426909.720884763</v>
      </c>
      <c r="F46" s="7">
        <v>59374</v>
      </c>
      <c r="G46" s="5">
        <v>13954399</v>
      </c>
      <c r="H46" s="7">
        <v>5152</v>
      </c>
      <c r="I46" s="2">
        <f>VLOOKUP(B46,CDM!$I$5:$N$15,3,FALSE)/12</f>
        <v>181207.62267780254</v>
      </c>
      <c r="J46" s="2">
        <f t="shared" si="17"/>
        <v>14135606.622677803</v>
      </c>
      <c r="K46" s="5">
        <v>72825903</v>
      </c>
      <c r="L46" s="2">
        <f>VLOOKUP(B46,CDM!$I$5:$N$15,4,FALSE)/12</f>
        <v>1222924.8949416389</v>
      </c>
      <c r="M46" s="87">
        <f t="shared" si="3"/>
        <v>74048827.894941643</v>
      </c>
      <c r="N46" s="5">
        <v>209426</v>
      </c>
      <c r="O46" s="7">
        <v>1009</v>
      </c>
      <c r="P46" s="5">
        <v>791327</v>
      </c>
      <c r="Q46" s="5">
        <v>2294</v>
      </c>
      <c r="R46" s="5">
        <v>15123</v>
      </c>
      <c r="S46" s="5">
        <v>257539</v>
      </c>
      <c r="T46" s="1">
        <v>25</v>
      </c>
      <c r="U46" s="1">
        <v>578</v>
      </c>
      <c r="V46" s="37">
        <f>'Economic (2020 Adj.)'!C58</f>
        <v>643937</v>
      </c>
      <c r="W46" s="37">
        <f>'Economic (2020 Adj.)'!D58</f>
        <v>6843.3</v>
      </c>
      <c r="X46" s="37">
        <f>'Economic (2020 Adj.)'!F58</f>
        <v>3116.8</v>
      </c>
      <c r="Y46" s="37">
        <f>'Economic (2020 Adj.)'!H58</f>
        <v>362.4</v>
      </c>
      <c r="Z46" s="37">
        <f>'Economic (2020 Adj.)'!E58</f>
        <v>6906.9</v>
      </c>
      <c r="AA46" s="37">
        <f>'Economic (2020 Adj.)'!G58</f>
        <v>3143.4</v>
      </c>
      <c r="AB46" s="37">
        <f>'Economic (2020 Adj.)'!I58</f>
        <v>364.6</v>
      </c>
      <c r="AC46" s="39">
        <f>Weather!D178</f>
        <v>16.766666666666669</v>
      </c>
      <c r="AD46" s="39">
        <f>Weather!E178</f>
        <v>110.80000000000001</v>
      </c>
      <c r="AE46" s="39">
        <f>Weather!F178</f>
        <v>13.799999999999997</v>
      </c>
      <c r="AF46" s="39">
        <f>Weather!G178</f>
        <v>67</v>
      </c>
      <c r="AG46" s="39">
        <f>Weather!H178</f>
        <v>29.999999999999996</v>
      </c>
      <c r="AH46" s="39">
        <f>Weather!I178</f>
        <v>34.1</v>
      </c>
      <c r="AI46" s="39">
        <f>Weather!J178</f>
        <v>57.099999999999994</v>
      </c>
      <c r="AJ46" s="39">
        <f>Weather!K178</f>
        <v>12.4</v>
      </c>
      <c r="AK46" s="39">
        <f>Weather!L178</f>
        <v>95.4</v>
      </c>
      <c r="AL46" s="39">
        <f>Weather!M178</f>
        <v>1.9000000000000004</v>
      </c>
      <c r="AM46" s="39">
        <f>Weather!N178</f>
        <v>144.9</v>
      </c>
      <c r="AN46" s="39">
        <f>Weather!O178</f>
        <v>0</v>
      </c>
      <c r="AO46" s="39">
        <f>Weather!P178</f>
        <v>203</v>
      </c>
      <c r="AP46" s="39">
        <f>Weather!Q178</f>
        <v>0</v>
      </c>
      <c r="AQ46" s="39">
        <f>Weather!R178</f>
        <v>263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1</v>
      </c>
      <c r="BA46">
        <v>0</v>
      </c>
      <c r="BB46">
        <v>0</v>
      </c>
      <c r="BC46">
        <v>0</v>
      </c>
      <c r="BD46">
        <v>0</v>
      </c>
      <c r="BE46">
        <v>1</v>
      </c>
      <c r="BF46">
        <v>1</v>
      </c>
      <c r="BG46" s="1">
        <f t="shared" si="4"/>
        <v>45</v>
      </c>
      <c r="BH46">
        <v>30</v>
      </c>
      <c r="BI46">
        <v>20</v>
      </c>
      <c r="BJ46" s="160">
        <f t="shared" si="5"/>
        <v>765.09768115479437</v>
      </c>
      <c r="BK46" s="160">
        <f t="shared" si="6"/>
        <v>25.503256038493145</v>
      </c>
      <c r="BL46" s="159">
        <f t="shared" si="7"/>
        <v>1514230.324029492</v>
      </c>
      <c r="BM46" s="160">
        <f t="shared" si="8"/>
        <v>2743.7124655818716</v>
      </c>
      <c r="BN46" s="160">
        <f t="shared" si="9"/>
        <v>91.457082186062379</v>
      </c>
      <c r="BO46" s="160">
        <f t="shared" si="10"/>
        <v>471186.88742259343</v>
      </c>
      <c r="BP46" s="160">
        <f t="shared" si="11"/>
        <v>73388.332898851979</v>
      </c>
      <c r="BQ46" s="160">
        <f t="shared" si="12"/>
        <v>2446.2777632950661</v>
      </c>
      <c r="BR46" s="160">
        <f t="shared" si="13"/>
        <v>3669.4166449425989</v>
      </c>
      <c r="BS46" s="160">
        <f t="shared" si="14"/>
        <v>2468294.2631647214</v>
      </c>
      <c r="BT46" s="160">
        <f t="shared" si="15"/>
        <v>3702441.3947470821</v>
      </c>
    </row>
    <row r="47" spans="1:72" x14ac:dyDescent="0.2">
      <c r="A47" s="3">
        <v>41548</v>
      </c>
      <c r="B47" s="4">
        <f t="shared" si="16"/>
        <v>2013</v>
      </c>
      <c r="C47" s="2">
        <v>41975335</v>
      </c>
      <c r="D47" s="2">
        <f>VLOOKUP(B47,CDM!$I$5:$N$15,2,FALSE)/12</f>
        <v>369590.720884763</v>
      </c>
      <c r="E47" s="2">
        <f t="shared" si="1"/>
        <v>42344925.720884763</v>
      </c>
      <c r="F47" s="7">
        <v>59424</v>
      </c>
      <c r="G47" s="5">
        <v>13543420</v>
      </c>
      <c r="H47" s="7">
        <v>5151</v>
      </c>
      <c r="I47" s="2">
        <f>VLOOKUP(B47,CDM!$I$5:$N$15,3,FALSE)/12</f>
        <v>181207.62267780254</v>
      </c>
      <c r="J47" s="2">
        <f t="shared" si="17"/>
        <v>13724627.622677803</v>
      </c>
      <c r="K47" s="5">
        <v>73219777</v>
      </c>
      <c r="L47" s="2">
        <f>VLOOKUP(B47,CDM!$I$5:$N$15,4,FALSE)/12</f>
        <v>1222924.8949416389</v>
      </c>
      <c r="M47" s="87">
        <f t="shared" si="3"/>
        <v>74442701.894941643</v>
      </c>
      <c r="N47" s="5">
        <v>208131</v>
      </c>
      <c r="O47" s="7">
        <v>1013</v>
      </c>
      <c r="P47" s="5">
        <v>922511</v>
      </c>
      <c r="Q47" s="5">
        <v>2295</v>
      </c>
      <c r="R47" s="7">
        <v>15130</v>
      </c>
      <c r="S47" s="5">
        <v>258086</v>
      </c>
      <c r="T47" s="1">
        <v>25</v>
      </c>
      <c r="U47" s="1">
        <v>578</v>
      </c>
      <c r="V47" s="37">
        <f>'Economic (2020 Adj.)'!C59</f>
        <v>643937</v>
      </c>
      <c r="W47" s="37">
        <f>'Economic (2020 Adj.)'!D59</f>
        <v>6850.3</v>
      </c>
      <c r="X47" s="37">
        <f>'Economic (2020 Adj.)'!F59</f>
        <v>3116</v>
      </c>
      <c r="Y47" s="37">
        <f>'Economic (2020 Adj.)'!H59</f>
        <v>363.6</v>
      </c>
      <c r="Z47" s="37">
        <f>'Economic (2020 Adj.)'!E59</f>
        <v>6889</v>
      </c>
      <c r="AA47" s="37">
        <f>'Economic (2020 Adj.)'!G59</f>
        <v>3136</v>
      </c>
      <c r="AB47" s="37">
        <f>'Economic (2020 Adj.)'!I59</f>
        <v>366.5</v>
      </c>
      <c r="AC47" s="39">
        <f>Weather!D179</f>
        <v>11.85483870967742</v>
      </c>
      <c r="AD47" s="39">
        <f>Weather!E179</f>
        <v>252.5</v>
      </c>
      <c r="AE47" s="39">
        <f>Weather!F179</f>
        <v>0</v>
      </c>
      <c r="AF47" s="39">
        <f>Weather!G179</f>
        <v>193.6</v>
      </c>
      <c r="AG47" s="39">
        <f>Weather!H179</f>
        <v>3.0999999999999979</v>
      </c>
      <c r="AH47" s="39">
        <f>Weather!I179</f>
        <v>138.20000000000002</v>
      </c>
      <c r="AI47" s="39">
        <f>Weather!J179</f>
        <v>9.6999999999999993</v>
      </c>
      <c r="AJ47" s="39">
        <f>Weather!K179</f>
        <v>93.100000000000009</v>
      </c>
      <c r="AK47" s="39">
        <f>Weather!L179</f>
        <v>26.6</v>
      </c>
      <c r="AL47" s="39">
        <f>Weather!M179</f>
        <v>62.400000000000006</v>
      </c>
      <c r="AM47" s="39">
        <f>Weather!N179</f>
        <v>57.90000000000002</v>
      </c>
      <c r="AN47" s="39">
        <f>Weather!O179</f>
        <v>40.400000000000006</v>
      </c>
      <c r="AO47" s="39">
        <f>Weather!P179</f>
        <v>97.899999999999991</v>
      </c>
      <c r="AP47" s="39">
        <f>Weather!Q179</f>
        <v>21.7</v>
      </c>
      <c r="AQ47" s="39">
        <f>Weather!R179</f>
        <v>141.19999999999999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1</v>
      </c>
      <c r="BB47">
        <v>0</v>
      </c>
      <c r="BC47">
        <v>0</v>
      </c>
      <c r="BD47">
        <v>0</v>
      </c>
      <c r="BE47">
        <v>1</v>
      </c>
      <c r="BF47">
        <v>1</v>
      </c>
      <c r="BG47" s="1">
        <f t="shared" si="4"/>
        <v>46</v>
      </c>
      <c r="BH47">
        <v>31</v>
      </c>
      <c r="BI47">
        <v>22</v>
      </c>
      <c r="BJ47" s="160">
        <f t="shared" si="5"/>
        <v>712.58962238968707</v>
      </c>
      <c r="BK47" s="160">
        <f t="shared" si="6"/>
        <v>22.986762012570551</v>
      </c>
      <c r="BL47" s="159">
        <f t="shared" si="7"/>
        <v>1365965.3458349924</v>
      </c>
      <c r="BM47" s="160">
        <f t="shared" si="8"/>
        <v>2664.4588667594257</v>
      </c>
      <c r="BN47" s="160">
        <f t="shared" si="9"/>
        <v>85.950286024497601</v>
      </c>
      <c r="BO47" s="160">
        <f t="shared" si="10"/>
        <v>442729.92331218719</v>
      </c>
      <c r="BP47" s="160">
        <f t="shared" si="11"/>
        <v>73487.366135184246</v>
      </c>
      <c r="BQ47" s="160">
        <f t="shared" si="12"/>
        <v>2370.5601979091693</v>
      </c>
      <c r="BR47" s="160">
        <f t="shared" si="13"/>
        <v>3340.3348243265568</v>
      </c>
      <c r="BS47" s="160">
        <f t="shared" si="14"/>
        <v>2401377.4804819883</v>
      </c>
      <c r="BT47" s="160">
        <f t="shared" si="15"/>
        <v>3383759.1770428019</v>
      </c>
    </row>
    <row r="48" spans="1:72" x14ac:dyDescent="0.2">
      <c r="A48" s="3">
        <v>41579</v>
      </c>
      <c r="B48" s="4">
        <f t="shared" si="16"/>
        <v>2013</v>
      </c>
      <c r="C48" s="2">
        <v>40923389</v>
      </c>
      <c r="D48" s="2">
        <f>VLOOKUP(B48,CDM!$I$5:$N$15,2,FALSE)/12</f>
        <v>369590.720884763</v>
      </c>
      <c r="E48" s="2">
        <f t="shared" si="1"/>
        <v>41292979.720884763</v>
      </c>
      <c r="F48" s="5">
        <v>59441</v>
      </c>
      <c r="G48" s="5">
        <v>14055709</v>
      </c>
      <c r="H48" s="5">
        <v>5173</v>
      </c>
      <c r="I48" s="2">
        <f>VLOOKUP(B48,CDM!$I$5:$N$15,3,FALSE)/12</f>
        <v>181207.62267780254</v>
      </c>
      <c r="J48" s="2">
        <f t="shared" ref="J48:J109" si="18">G48+I48</f>
        <v>14236916.622677803</v>
      </c>
      <c r="K48" s="5">
        <v>72373638</v>
      </c>
      <c r="L48" s="2">
        <f>VLOOKUP(B48,CDM!$I$5:$N$15,4,FALSE)/12</f>
        <v>1222924.8949416389</v>
      </c>
      <c r="M48" s="87">
        <f t="shared" si="3"/>
        <v>73596562.894941643</v>
      </c>
      <c r="N48" s="5">
        <v>208178</v>
      </c>
      <c r="O48" s="5">
        <v>1014</v>
      </c>
      <c r="P48" s="5">
        <v>982065</v>
      </c>
      <c r="Q48" s="5">
        <v>2295</v>
      </c>
      <c r="R48" s="7">
        <v>15130</v>
      </c>
      <c r="S48" s="5">
        <v>257318</v>
      </c>
      <c r="T48" s="1">
        <v>25</v>
      </c>
      <c r="U48" s="1">
        <v>514</v>
      </c>
      <c r="V48" s="37">
        <f>'Economic (2020 Adj.)'!C60</f>
        <v>643937</v>
      </c>
      <c r="W48" s="37">
        <f>'Economic (2020 Adj.)'!D60</f>
        <v>6854</v>
      </c>
      <c r="X48" s="37">
        <f>'Economic (2020 Adj.)'!F60</f>
        <v>3113.4</v>
      </c>
      <c r="Y48" s="37">
        <f>'Economic (2020 Adj.)'!H60</f>
        <v>369.8</v>
      </c>
      <c r="Z48" s="37">
        <f>'Economic (2020 Adj.)'!E60</f>
        <v>6863.8</v>
      </c>
      <c r="AA48" s="37">
        <f>'Economic (2020 Adj.)'!G60</f>
        <v>3119.8</v>
      </c>
      <c r="AB48" s="37">
        <f>'Economic (2020 Adj.)'!I60</f>
        <v>371.8</v>
      </c>
      <c r="AC48" s="39">
        <f>Weather!D180</f>
        <v>3.776666666666666</v>
      </c>
      <c r="AD48" s="39">
        <f>Weather!E180</f>
        <v>486.7</v>
      </c>
      <c r="AE48" s="39">
        <f>Weather!F180</f>
        <v>0</v>
      </c>
      <c r="AF48" s="39">
        <f>Weather!G180</f>
        <v>426.7</v>
      </c>
      <c r="AG48" s="39">
        <f>Weather!H180</f>
        <v>0</v>
      </c>
      <c r="AH48" s="39">
        <f>Weather!I180</f>
        <v>366.69999999999993</v>
      </c>
      <c r="AI48" s="39">
        <f>Weather!J180</f>
        <v>0</v>
      </c>
      <c r="AJ48" s="39">
        <f>Weather!K180</f>
        <v>306.7</v>
      </c>
      <c r="AK48" s="39">
        <f>Weather!L180</f>
        <v>0</v>
      </c>
      <c r="AL48" s="39">
        <f>Weather!M180</f>
        <v>249.59999999999997</v>
      </c>
      <c r="AM48" s="39">
        <f>Weather!N180</f>
        <v>2.9000000000000004</v>
      </c>
      <c r="AN48" s="39">
        <f>Weather!O180</f>
        <v>195.59999999999994</v>
      </c>
      <c r="AO48" s="39">
        <f>Weather!P180</f>
        <v>8.9</v>
      </c>
      <c r="AP48" s="39">
        <f>Weather!Q180</f>
        <v>144.99999999999997</v>
      </c>
      <c r="AQ48" s="39">
        <f>Weather!R180</f>
        <v>18.3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1</v>
      </c>
      <c r="BC48">
        <v>0</v>
      </c>
      <c r="BD48">
        <v>0</v>
      </c>
      <c r="BE48">
        <v>1</v>
      </c>
      <c r="BF48">
        <v>1</v>
      </c>
      <c r="BG48" s="1">
        <f t="shared" si="4"/>
        <v>47</v>
      </c>
      <c r="BH48">
        <v>30</v>
      </c>
      <c r="BI48">
        <v>21</v>
      </c>
      <c r="BJ48" s="160">
        <f t="shared" si="5"/>
        <v>694.68850996592857</v>
      </c>
      <c r="BK48" s="160">
        <f t="shared" si="6"/>
        <v>23.156283665530953</v>
      </c>
      <c r="BL48" s="159">
        <f t="shared" si="7"/>
        <v>1376432.6573628255</v>
      </c>
      <c r="BM48" s="160">
        <f t="shared" si="8"/>
        <v>2752.1586357389915</v>
      </c>
      <c r="BN48" s="160">
        <f t="shared" si="9"/>
        <v>91.738621191299714</v>
      </c>
      <c r="BO48" s="160">
        <f t="shared" si="10"/>
        <v>474563.88742259343</v>
      </c>
      <c r="BP48" s="160">
        <f t="shared" si="11"/>
        <v>72580.436780021351</v>
      </c>
      <c r="BQ48" s="160">
        <f t="shared" si="12"/>
        <v>2419.3478926673783</v>
      </c>
      <c r="BR48" s="160">
        <f t="shared" si="13"/>
        <v>3456.2112752391122</v>
      </c>
      <c r="BS48" s="160">
        <f t="shared" si="14"/>
        <v>2453218.7631647214</v>
      </c>
      <c r="BT48" s="160">
        <f t="shared" si="15"/>
        <v>3504598.2330924594</v>
      </c>
    </row>
    <row r="49" spans="1:72" x14ac:dyDescent="0.2">
      <c r="A49" s="3">
        <v>41609</v>
      </c>
      <c r="B49" s="4">
        <f t="shared" si="16"/>
        <v>2013</v>
      </c>
      <c r="C49" s="2">
        <v>46224827</v>
      </c>
      <c r="D49" s="2">
        <f>VLOOKUP(B49,CDM!$I$5:$N$15,2,FALSE)/12</f>
        <v>369590.720884763</v>
      </c>
      <c r="E49" s="2">
        <f t="shared" si="1"/>
        <v>46594417.720884763</v>
      </c>
      <c r="F49" s="7">
        <v>59649</v>
      </c>
      <c r="G49" s="5">
        <v>15599120</v>
      </c>
      <c r="H49" s="7">
        <v>5176</v>
      </c>
      <c r="I49" s="2">
        <f>VLOOKUP(B49,CDM!$I$5:$N$15,3,FALSE)/12</f>
        <v>181207.62267780254</v>
      </c>
      <c r="J49" s="2">
        <f t="shared" si="18"/>
        <v>15780327.622677803</v>
      </c>
      <c r="K49" s="5">
        <v>74788332</v>
      </c>
      <c r="L49" s="2">
        <f>VLOOKUP(B49,CDM!$I$5:$N$15,4,FALSE)/12</f>
        <v>1222924.8949416389</v>
      </c>
      <c r="M49" s="87">
        <f t="shared" si="3"/>
        <v>76011256.894941643</v>
      </c>
      <c r="N49" s="5">
        <v>184874</v>
      </c>
      <c r="O49" s="7">
        <v>1015</v>
      </c>
      <c r="P49" s="5">
        <v>1065835</v>
      </c>
      <c r="Q49" s="5">
        <v>2295</v>
      </c>
      <c r="R49" s="5">
        <v>15130</v>
      </c>
      <c r="S49" s="5">
        <v>260566</v>
      </c>
      <c r="T49" s="1">
        <v>25</v>
      </c>
      <c r="U49" s="1">
        <v>499</v>
      </c>
      <c r="V49" s="37">
        <f>'Economic (2020 Adj.)'!C61</f>
        <v>643937</v>
      </c>
      <c r="W49" s="37">
        <f>'Economic (2020 Adj.)'!D61</f>
        <v>6850.4</v>
      </c>
      <c r="X49" s="37">
        <f>'Economic (2020 Adj.)'!F61</f>
        <v>3108.4</v>
      </c>
      <c r="Y49" s="37">
        <f>'Economic (2020 Adj.)'!H61</f>
        <v>373.6</v>
      </c>
      <c r="Z49" s="37">
        <f>'Economic (2020 Adj.)'!E61</f>
        <v>6849.3</v>
      </c>
      <c r="AA49" s="37">
        <f>'Economic (2020 Adj.)'!G61</f>
        <v>3114.3</v>
      </c>
      <c r="AB49" s="37">
        <f>'Economic (2020 Adj.)'!I61</f>
        <v>376.6</v>
      </c>
      <c r="AC49" s="39">
        <f>Weather!D181</f>
        <v>-2.1290322580645156</v>
      </c>
      <c r="AD49" s="39">
        <f>Weather!E181</f>
        <v>685.99999999999989</v>
      </c>
      <c r="AE49" s="39">
        <f>Weather!F181</f>
        <v>0</v>
      </c>
      <c r="AF49" s="39">
        <f>Weather!G181</f>
        <v>624</v>
      </c>
      <c r="AG49" s="39">
        <f>Weather!H181</f>
        <v>0</v>
      </c>
      <c r="AH49" s="39">
        <f>Weather!I181</f>
        <v>562</v>
      </c>
      <c r="AI49" s="39">
        <f>Weather!J181</f>
        <v>0</v>
      </c>
      <c r="AJ49" s="39">
        <f>Weather!K181</f>
        <v>500.00000000000006</v>
      </c>
      <c r="AK49" s="39">
        <f>Weather!L181</f>
        <v>0</v>
      </c>
      <c r="AL49" s="39">
        <f>Weather!M181</f>
        <v>438.00000000000006</v>
      </c>
      <c r="AM49" s="39">
        <f>Weather!N181</f>
        <v>0</v>
      </c>
      <c r="AN49" s="39">
        <f>Weather!O181</f>
        <v>376</v>
      </c>
      <c r="AO49" s="39">
        <f>Weather!P181</f>
        <v>0</v>
      </c>
      <c r="AP49" s="39">
        <f>Weather!Q181</f>
        <v>314.00000000000006</v>
      </c>
      <c r="AQ49" s="39">
        <f>Weather!R181</f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1</v>
      </c>
      <c r="BD49">
        <v>0</v>
      </c>
      <c r="BE49">
        <v>0</v>
      </c>
      <c r="BF49">
        <v>0</v>
      </c>
      <c r="BG49" s="1">
        <f t="shared" si="4"/>
        <v>48</v>
      </c>
      <c r="BH49">
        <v>31</v>
      </c>
      <c r="BI49">
        <v>20</v>
      </c>
      <c r="BJ49" s="160">
        <f t="shared" si="5"/>
        <v>781.14331708636792</v>
      </c>
      <c r="BK49" s="160">
        <f t="shared" si="6"/>
        <v>25.198171518915093</v>
      </c>
      <c r="BL49" s="159">
        <f t="shared" si="7"/>
        <v>1503045.7329317664</v>
      </c>
      <c r="BM49" s="160">
        <f t="shared" si="8"/>
        <v>3048.7495407028214</v>
      </c>
      <c r="BN49" s="160">
        <f t="shared" si="9"/>
        <v>98.346759377510367</v>
      </c>
      <c r="BO49" s="160">
        <f t="shared" si="10"/>
        <v>509042.82653799362</v>
      </c>
      <c r="BP49" s="160">
        <f t="shared" si="11"/>
        <v>74887.937827528716</v>
      </c>
      <c r="BQ49" s="160">
        <f t="shared" si="12"/>
        <v>2415.7399299202812</v>
      </c>
      <c r="BR49" s="160">
        <f t="shared" si="13"/>
        <v>3744.3968913764356</v>
      </c>
      <c r="BS49" s="160">
        <f t="shared" si="14"/>
        <v>2451976.0288690855</v>
      </c>
      <c r="BT49" s="160">
        <f t="shared" si="15"/>
        <v>3800562.8447470823</v>
      </c>
    </row>
    <row r="50" spans="1:72" x14ac:dyDescent="0.2">
      <c r="A50" s="3">
        <v>41640</v>
      </c>
      <c r="B50" s="4">
        <f t="shared" si="16"/>
        <v>2014</v>
      </c>
      <c r="C50" s="2">
        <v>50617876</v>
      </c>
      <c r="D50" s="2">
        <f>VLOOKUP(B50,CDM!$I$5:$N$15,2,FALSE)/12</f>
        <v>582902.57184116344</v>
      </c>
      <c r="E50" s="2">
        <f t="shared" si="1"/>
        <v>51200778.571841165</v>
      </c>
      <c r="F50" s="7">
        <v>59671</v>
      </c>
      <c r="G50" s="5">
        <v>16409509</v>
      </c>
      <c r="H50" s="7">
        <v>5174</v>
      </c>
      <c r="I50" s="2">
        <f>VLOOKUP(B50,CDM!$I$5:$N$15,3,FALSE)/12</f>
        <v>257042.64414502322</v>
      </c>
      <c r="J50" s="2">
        <f t="shared" si="18"/>
        <v>16666551.644145023</v>
      </c>
      <c r="K50" s="5">
        <v>80873202</v>
      </c>
      <c r="L50" s="2">
        <f>VLOOKUP(B50,CDM!$I$5:$N$15,4,FALSE)/12</f>
        <v>1679397.2948097724</v>
      </c>
      <c r="M50" s="87">
        <f t="shared" si="3"/>
        <v>82552599.294809774</v>
      </c>
      <c r="N50" s="5">
        <v>198892</v>
      </c>
      <c r="O50" s="7">
        <v>1020</v>
      </c>
      <c r="P50" s="5">
        <v>1043502</v>
      </c>
      <c r="Q50" s="5">
        <v>2302</v>
      </c>
      <c r="R50" s="7">
        <v>15153</v>
      </c>
      <c r="S50" s="5">
        <v>258888</v>
      </c>
      <c r="T50" s="1">
        <v>25</v>
      </c>
      <c r="U50" s="1">
        <v>326</v>
      </c>
      <c r="V50" s="37">
        <f>'Economic (2020 Adj.)'!C62</f>
        <v>659861.19999999995</v>
      </c>
      <c r="W50" s="37">
        <f>'Economic (2020 Adj.)'!D62</f>
        <v>6848.3</v>
      </c>
      <c r="X50" s="37">
        <f>'Economic (2020 Adj.)'!F62</f>
        <v>3105.1</v>
      </c>
      <c r="Y50" s="37">
        <f>'Economic (2020 Adj.)'!H62</f>
        <v>375.1</v>
      </c>
      <c r="Z50" s="37">
        <f>'Economic (2020 Adj.)'!E62</f>
        <v>6806.1</v>
      </c>
      <c r="AA50" s="37">
        <f>'Economic (2020 Adj.)'!G62</f>
        <v>3097</v>
      </c>
      <c r="AB50" s="37">
        <f>'Economic (2020 Adj.)'!I62</f>
        <v>376.3</v>
      </c>
      <c r="AC50" s="39">
        <f>Weather!D182</f>
        <v>-6.9064516129032256</v>
      </c>
      <c r="AD50" s="39">
        <f>Weather!E182</f>
        <v>834.1</v>
      </c>
      <c r="AE50" s="39">
        <f>Weather!F182</f>
        <v>0</v>
      </c>
      <c r="AF50" s="39">
        <f>Weather!G182</f>
        <v>772.1</v>
      </c>
      <c r="AG50" s="39">
        <f>Weather!H182</f>
        <v>0</v>
      </c>
      <c r="AH50" s="39">
        <f>Weather!I182</f>
        <v>710.09999999999991</v>
      </c>
      <c r="AI50" s="39">
        <f>Weather!J182</f>
        <v>0</v>
      </c>
      <c r="AJ50" s="39">
        <f>Weather!K182</f>
        <v>648.1</v>
      </c>
      <c r="AK50" s="39">
        <f>Weather!L182</f>
        <v>0</v>
      </c>
      <c r="AL50" s="39">
        <f>Weather!M182</f>
        <v>586.09999999999991</v>
      </c>
      <c r="AM50" s="39">
        <f>Weather!N182</f>
        <v>0</v>
      </c>
      <c r="AN50" s="39">
        <f>Weather!O182</f>
        <v>524.09999999999991</v>
      </c>
      <c r="AO50" s="39">
        <f>Weather!P182</f>
        <v>0</v>
      </c>
      <c r="AP50" s="39">
        <f>Weather!Q182</f>
        <v>462.09999999999997</v>
      </c>
      <c r="AQ50" s="39">
        <f>Weather!R182</f>
        <v>0</v>
      </c>
      <c r="AR50">
        <v>1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 s="1">
        <f t="shared" si="4"/>
        <v>49</v>
      </c>
      <c r="BH50">
        <v>31</v>
      </c>
      <c r="BI50">
        <v>22</v>
      </c>
      <c r="BJ50" s="160">
        <f t="shared" si="5"/>
        <v>858.05129077510287</v>
      </c>
      <c r="BK50" s="160">
        <f t="shared" si="6"/>
        <v>27.679073895971062</v>
      </c>
      <c r="BL50" s="159">
        <f t="shared" si="7"/>
        <v>1651638.0184464892</v>
      </c>
      <c r="BM50" s="160">
        <f t="shared" si="8"/>
        <v>3221.2121461432207</v>
      </c>
      <c r="BN50" s="160">
        <f t="shared" si="9"/>
        <v>103.91006923042647</v>
      </c>
      <c r="BO50" s="160">
        <f t="shared" si="10"/>
        <v>537630.69819822651</v>
      </c>
      <c r="BP50" s="160">
        <f t="shared" si="11"/>
        <v>80933.920877264478</v>
      </c>
      <c r="BQ50" s="160">
        <f t="shared" si="12"/>
        <v>2610.77164120208</v>
      </c>
      <c r="BR50" s="160">
        <f t="shared" si="13"/>
        <v>3678.8145853302035</v>
      </c>
      <c r="BS50" s="160">
        <f t="shared" si="14"/>
        <v>2662987.0740261218</v>
      </c>
      <c r="BT50" s="160">
        <f t="shared" si="15"/>
        <v>3752390.8770368081</v>
      </c>
    </row>
    <row r="51" spans="1:72" x14ac:dyDescent="0.2">
      <c r="A51" s="3">
        <v>41671</v>
      </c>
      <c r="B51" s="4">
        <f t="shared" si="16"/>
        <v>2014</v>
      </c>
      <c r="C51" s="2">
        <v>42903712</v>
      </c>
      <c r="D51" s="2">
        <f>VLOOKUP(B51,CDM!$I$5:$N$15,2,FALSE)/12</f>
        <v>582902.57184116344</v>
      </c>
      <c r="E51" s="2">
        <f t="shared" si="1"/>
        <v>43486614.571841165</v>
      </c>
      <c r="F51" s="5">
        <v>59674</v>
      </c>
      <c r="G51" s="5">
        <v>14955223</v>
      </c>
      <c r="H51" s="5">
        <v>5177</v>
      </c>
      <c r="I51" s="2">
        <f>VLOOKUP(B51,CDM!$I$5:$N$15,3,FALSE)/12</f>
        <v>257042.64414502322</v>
      </c>
      <c r="J51" s="2">
        <f t="shared" si="18"/>
        <v>15212265.644145023</v>
      </c>
      <c r="K51" s="5">
        <v>73256400</v>
      </c>
      <c r="L51" s="2">
        <f>VLOOKUP(B51,CDM!$I$5:$N$15,4,FALSE)/12</f>
        <v>1679397.2948097724</v>
      </c>
      <c r="M51" s="87">
        <f t="shared" si="3"/>
        <v>74935797.294809774</v>
      </c>
      <c r="N51" s="5">
        <v>199321</v>
      </c>
      <c r="O51" s="5">
        <v>1020</v>
      </c>
      <c r="P51" s="5">
        <v>872098</v>
      </c>
      <c r="Q51" s="5">
        <v>2302</v>
      </c>
      <c r="R51" s="7">
        <v>15153</v>
      </c>
      <c r="S51" s="5">
        <v>257812</v>
      </c>
      <c r="T51" s="1">
        <v>25</v>
      </c>
      <c r="U51" s="1">
        <v>707</v>
      </c>
      <c r="V51" s="37">
        <f>'Economic (2020 Adj.)'!C63</f>
        <v>659861.19999999995</v>
      </c>
      <c r="W51" s="37">
        <f>'Economic (2020 Adj.)'!D63</f>
        <v>6850</v>
      </c>
      <c r="X51" s="37">
        <f>'Economic (2020 Adj.)'!F63</f>
        <v>3109.9</v>
      </c>
      <c r="Y51" s="37">
        <f>'Economic (2020 Adj.)'!H63</f>
        <v>379.9</v>
      </c>
      <c r="Z51" s="37">
        <f>'Economic (2020 Adj.)'!E63</f>
        <v>6772.3</v>
      </c>
      <c r="AA51" s="37">
        <f>'Economic (2020 Adj.)'!G63</f>
        <v>3085.6</v>
      </c>
      <c r="AB51" s="37">
        <f>'Economic (2020 Adj.)'!I63</f>
        <v>382.3</v>
      </c>
      <c r="AC51" s="39">
        <f>Weather!D183</f>
        <v>-6.8785714285714272</v>
      </c>
      <c r="AD51" s="39">
        <f>Weather!E183</f>
        <v>752.6</v>
      </c>
      <c r="AE51" s="39">
        <f>Weather!F183</f>
        <v>0</v>
      </c>
      <c r="AF51" s="39">
        <f>Weather!G183</f>
        <v>696.60000000000014</v>
      </c>
      <c r="AG51" s="39">
        <f>Weather!H183</f>
        <v>0</v>
      </c>
      <c r="AH51" s="39">
        <f>Weather!I183</f>
        <v>640.60000000000014</v>
      </c>
      <c r="AI51" s="39">
        <f>Weather!J183</f>
        <v>0</v>
      </c>
      <c r="AJ51" s="39">
        <f>Weather!K183</f>
        <v>584.60000000000014</v>
      </c>
      <c r="AK51" s="39">
        <f>Weather!L183</f>
        <v>0</v>
      </c>
      <c r="AL51" s="39">
        <f>Weather!M183</f>
        <v>528.60000000000014</v>
      </c>
      <c r="AM51" s="39">
        <f>Weather!N183</f>
        <v>0</v>
      </c>
      <c r="AN51" s="39">
        <f>Weather!O183</f>
        <v>472.60000000000008</v>
      </c>
      <c r="AO51" s="39">
        <f>Weather!P183</f>
        <v>0</v>
      </c>
      <c r="AP51" s="39">
        <f>Weather!Q183</f>
        <v>416.6</v>
      </c>
      <c r="AQ51" s="39">
        <f>Weather!R183</f>
        <v>0</v>
      </c>
      <c r="AR51">
        <v>0</v>
      </c>
      <c r="AS51">
        <v>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 s="1">
        <f t="shared" si="4"/>
        <v>50</v>
      </c>
      <c r="BH51">
        <v>28</v>
      </c>
      <c r="BI51">
        <v>19</v>
      </c>
      <c r="BJ51" s="160">
        <f t="shared" si="5"/>
        <v>728.7363771800309</v>
      </c>
      <c r="BK51" s="160">
        <f t="shared" si="6"/>
        <v>26.026299185001104</v>
      </c>
      <c r="BL51" s="159">
        <f t="shared" si="7"/>
        <v>1553093.377565756</v>
      </c>
      <c r="BM51" s="160">
        <f t="shared" si="8"/>
        <v>2938.4326142833734</v>
      </c>
      <c r="BN51" s="160">
        <f t="shared" si="9"/>
        <v>104.9440219386919</v>
      </c>
      <c r="BO51" s="160">
        <f t="shared" si="10"/>
        <v>543295.201576608</v>
      </c>
      <c r="BP51" s="160">
        <f t="shared" si="11"/>
        <v>73466.467936088011</v>
      </c>
      <c r="BQ51" s="160">
        <f t="shared" si="12"/>
        <v>2623.8024262888575</v>
      </c>
      <c r="BR51" s="160">
        <f t="shared" si="13"/>
        <v>3866.6562071625267</v>
      </c>
      <c r="BS51" s="160">
        <f t="shared" si="14"/>
        <v>2676278.4748146348</v>
      </c>
      <c r="BT51" s="160">
        <f t="shared" si="15"/>
        <v>3943989.3313057777</v>
      </c>
    </row>
    <row r="52" spans="1:72" x14ac:dyDescent="0.2">
      <c r="A52" s="3">
        <v>41699</v>
      </c>
      <c r="B52" s="4">
        <f t="shared" si="16"/>
        <v>2014</v>
      </c>
      <c r="C52" s="2">
        <v>43601292</v>
      </c>
      <c r="D52" s="2">
        <f>VLOOKUP(B52,CDM!$I$5:$N$15,2,FALSE)/12</f>
        <v>582902.57184116344</v>
      </c>
      <c r="E52" s="2">
        <f t="shared" si="1"/>
        <v>44184194.571841165</v>
      </c>
      <c r="F52" s="7">
        <v>59687</v>
      </c>
      <c r="G52" s="5">
        <v>15671445</v>
      </c>
      <c r="H52" s="7">
        <v>5180</v>
      </c>
      <c r="I52" s="2">
        <f>VLOOKUP(B52,CDM!$I$5:$N$15,3,FALSE)/12</f>
        <v>257042.64414502322</v>
      </c>
      <c r="J52" s="2">
        <f t="shared" si="18"/>
        <v>15928487.644145023</v>
      </c>
      <c r="K52" s="5">
        <v>78105401</v>
      </c>
      <c r="L52" s="2">
        <f>VLOOKUP(B52,CDM!$I$5:$N$15,4,FALSE)/12</f>
        <v>1679397.2948097724</v>
      </c>
      <c r="M52" s="87">
        <f t="shared" si="3"/>
        <v>79784798.294809774</v>
      </c>
      <c r="N52" s="5">
        <v>193090</v>
      </c>
      <c r="O52" s="7">
        <v>1020</v>
      </c>
      <c r="P52" s="5">
        <v>861465</v>
      </c>
      <c r="Q52" s="5">
        <v>2302</v>
      </c>
      <c r="R52" s="5">
        <v>15153</v>
      </c>
      <c r="S52" s="5">
        <v>259626</v>
      </c>
      <c r="T52" s="1">
        <v>25</v>
      </c>
      <c r="U52" s="1">
        <v>569</v>
      </c>
      <c r="V52" s="37">
        <f>'Economic (2020 Adj.)'!C64</f>
        <v>659861.19999999995</v>
      </c>
      <c r="W52" s="37">
        <f>'Economic (2020 Adj.)'!D64</f>
        <v>6856.4</v>
      </c>
      <c r="X52" s="37">
        <f>'Economic (2020 Adj.)'!F64</f>
        <v>3115.2</v>
      </c>
      <c r="Y52" s="37">
        <f>'Economic (2020 Adj.)'!H64</f>
        <v>382.2</v>
      </c>
      <c r="Z52" s="37">
        <f>'Economic (2020 Adj.)'!E64</f>
        <v>6751.3</v>
      </c>
      <c r="AA52" s="37">
        <f>'Economic (2020 Adj.)'!G64</f>
        <v>3073.7</v>
      </c>
      <c r="AB52" s="37">
        <f>'Economic (2020 Adj.)'!I64</f>
        <v>382.2</v>
      </c>
      <c r="AC52" s="39">
        <f>Weather!D184</f>
        <v>-2.9806451612903229</v>
      </c>
      <c r="AD52" s="39">
        <f>Weather!E184</f>
        <v>712.39999999999986</v>
      </c>
      <c r="AE52" s="39">
        <f>Weather!F184</f>
        <v>0</v>
      </c>
      <c r="AF52" s="39">
        <f>Weather!G184</f>
        <v>650.4</v>
      </c>
      <c r="AG52" s="39">
        <f>Weather!H184</f>
        <v>0</v>
      </c>
      <c r="AH52" s="39">
        <f>Weather!I184</f>
        <v>588.4</v>
      </c>
      <c r="AI52" s="39">
        <f>Weather!J184</f>
        <v>0</v>
      </c>
      <c r="AJ52" s="39">
        <f>Weather!K184</f>
        <v>526.39999999999986</v>
      </c>
      <c r="AK52" s="39">
        <f>Weather!L184</f>
        <v>0</v>
      </c>
      <c r="AL52" s="39">
        <f>Weather!M184</f>
        <v>464.4</v>
      </c>
      <c r="AM52" s="39">
        <f>Weather!N184</f>
        <v>0</v>
      </c>
      <c r="AN52" s="39">
        <f>Weather!O184</f>
        <v>402.40000000000003</v>
      </c>
      <c r="AO52" s="39">
        <f>Weather!P184</f>
        <v>0</v>
      </c>
      <c r="AP52" s="39">
        <f>Weather!Q184</f>
        <v>340.4</v>
      </c>
      <c r="AQ52" s="39">
        <f>Weather!R184</f>
        <v>0</v>
      </c>
      <c r="AR52">
        <v>0</v>
      </c>
      <c r="AS52">
        <v>0</v>
      </c>
      <c r="AT52">
        <v>1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1</v>
      </c>
      <c r="BE52">
        <v>0</v>
      </c>
      <c r="BF52">
        <v>1</v>
      </c>
      <c r="BG52" s="1">
        <f t="shared" si="4"/>
        <v>51</v>
      </c>
      <c r="BH52">
        <v>31</v>
      </c>
      <c r="BI52">
        <v>21</v>
      </c>
      <c r="BJ52" s="160">
        <f t="shared" si="5"/>
        <v>740.26495839699044</v>
      </c>
      <c r="BK52" s="160">
        <f t="shared" si="6"/>
        <v>23.879514786999692</v>
      </c>
      <c r="BL52" s="159">
        <f t="shared" si="7"/>
        <v>1425296.5990916505</v>
      </c>
      <c r="BM52" s="160">
        <f t="shared" si="8"/>
        <v>3074.9976146998115</v>
      </c>
      <c r="BN52" s="160">
        <f t="shared" si="9"/>
        <v>99.193471441929404</v>
      </c>
      <c r="BO52" s="160">
        <f t="shared" si="10"/>
        <v>513822.18206919427</v>
      </c>
      <c r="BP52" s="160">
        <f t="shared" si="11"/>
        <v>78220.390485107622</v>
      </c>
      <c r="BQ52" s="160">
        <f t="shared" si="12"/>
        <v>2523.2384027454073</v>
      </c>
      <c r="BR52" s="160">
        <f t="shared" si="13"/>
        <v>3724.7804992908391</v>
      </c>
      <c r="BS52" s="160">
        <f t="shared" si="14"/>
        <v>2573703.1708003152</v>
      </c>
      <c r="BT52" s="160">
        <f t="shared" si="15"/>
        <v>3799276.1092766561</v>
      </c>
    </row>
    <row r="53" spans="1:72" x14ac:dyDescent="0.2">
      <c r="A53" s="3">
        <v>41730</v>
      </c>
      <c r="B53" s="4">
        <f t="shared" si="16"/>
        <v>2014</v>
      </c>
      <c r="C53" s="2">
        <v>38148551</v>
      </c>
      <c r="D53" s="2">
        <f>VLOOKUP(B53,CDM!$I$5:$N$15,2,FALSE)/12</f>
        <v>582902.57184116344</v>
      </c>
      <c r="E53" s="2">
        <f t="shared" si="1"/>
        <v>38731453.571841165</v>
      </c>
      <c r="F53" s="7">
        <v>59679</v>
      </c>
      <c r="G53" s="5">
        <v>13498766</v>
      </c>
      <c r="H53" s="7">
        <v>5185</v>
      </c>
      <c r="I53" s="2">
        <f>VLOOKUP(B53,CDM!$I$5:$N$15,3,FALSE)/12</f>
        <v>257042.64414502322</v>
      </c>
      <c r="J53" s="2">
        <f t="shared" si="18"/>
        <v>13755808.644145023</v>
      </c>
      <c r="K53" s="5">
        <v>70980411</v>
      </c>
      <c r="L53" s="2">
        <f>VLOOKUP(B53,CDM!$I$5:$N$15,4,FALSE)/12</f>
        <v>1679397.2948097724</v>
      </c>
      <c r="M53" s="87">
        <f t="shared" si="3"/>
        <v>72659808.294809774</v>
      </c>
      <c r="N53" s="5">
        <v>192582</v>
      </c>
      <c r="O53" s="7">
        <v>1019</v>
      </c>
      <c r="P53" s="5">
        <v>731400</v>
      </c>
      <c r="Q53" s="5">
        <v>2302</v>
      </c>
      <c r="R53" s="7">
        <v>15153</v>
      </c>
      <c r="S53" s="5">
        <v>257728</v>
      </c>
      <c r="T53" s="1">
        <v>25</v>
      </c>
      <c r="U53" s="1">
        <v>569</v>
      </c>
      <c r="V53" s="37">
        <f>'Economic (2020 Adj.)'!C65</f>
        <v>659861.19999999995</v>
      </c>
      <c r="W53" s="37">
        <f>'Economic (2020 Adj.)'!D65</f>
        <v>6869.6</v>
      </c>
      <c r="X53" s="37">
        <f>'Economic (2020 Adj.)'!F65</f>
        <v>3126.8</v>
      </c>
      <c r="Y53" s="37">
        <f>'Economic (2020 Adj.)'!H65</f>
        <v>383.2</v>
      </c>
      <c r="Z53" s="37">
        <f>'Economic (2020 Adj.)'!E65</f>
        <v>6785</v>
      </c>
      <c r="AA53" s="37">
        <f>'Economic (2020 Adj.)'!G65</f>
        <v>3095.4</v>
      </c>
      <c r="AB53" s="37">
        <f>'Economic (2020 Adj.)'!I65</f>
        <v>382.5</v>
      </c>
      <c r="AC53" s="39">
        <f>Weather!D185</f>
        <v>5.8566666666666682</v>
      </c>
      <c r="AD53" s="39">
        <f>Weather!E185</f>
        <v>424.3</v>
      </c>
      <c r="AE53" s="39">
        <f>Weather!F185</f>
        <v>0</v>
      </c>
      <c r="AF53" s="39">
        <f>Weather!G185</f>
        <v>364.3</v>
      </c>
      <c r="AG53" s="39">
        <f>Weather!H185</f>
        <v>0</v>
      </c>
      <c r="AH53" s="39">
        <f>Weather!I185</f>
        <v>304.3</v>
      </c>
      <c r="AI53" s="39">
        <f>Weather!J185</f>
        <v>0</v>
      </c>
      <c r="AJ53" s="39">
        <f>Weather!K185</f>
        <v>244.29999999999993</v>
      </c>
      <c r="AK53" s="39">
        <f>Weather!L185</f>
        <v>0</v>
      </c>
      <c r="AL53" s="39">
        <f>Weather!M185</f>
        <v>185.89999999999995</v>
      </c>
      <c r="AM53" s="39">
        <f>Weather!N185</f>
        <v>1.5999999999999996</v>
      </c>
      <c r="AN53" s="39">
        <f>Weather!O185</f>
        <v>131.9</v>
      </c>
      <c r="AO53" s="39">
        <f>Weather!P185</f>
        <v>7.6</v>
      </c>
      <c r="AP53" s="39">
        <f>Weather!Q185</f>
        <v>82.3</v>
      </c>
      <c r="AQ53" s="39">
        <f>Weather!R185</f>
        <v>18</v>
      </c>
      <c r="AR53">
        <v>0</v>
      </c>
      <c r="AS53">
        <v>0</v>
      </c>
      <c r="AT53">
        <v>0</v>
      </c>
      <c r="AU53">
        <v>1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1</v>
      </c>
      <c r="BE53">
        <v>0</v>
      </c>
      <c r="BF53">
        <v>1</v>
      </c>
      <c r="BG53" s="1">
        <f t="shared" si="4"/>
        <v>52</v>
      </c>
      <c r="BH53">
        <v>30</v>
      </c>
      <c r="BI53">
        <v>20</v>
      </c>
      <c r="BJ53" s="160">
        <f t="shared" si="5"/>
        <v>648.99635670572843</v>
      </c>
      <c r="BK53" s="160">
        <f t="shared" si="6"/>
        <v>21.633211890190946</v>
      </c>
      <c r="BL53" s="159">
        <f t="shared" si="7"/>
        <v>1291048.4523947055</v>
      </c>
      <c r="BM53" s="160">
        <f t="shared" si="8"/>
        <v>2653.0007028244981</v>
      </c>
      <c r="BN53" s="160">
        <f t="shared" si="9"/>
        <v>88.433356760816608</v>
      </c>
      <c r="BO53" s="160">
        <f t="shared" si="10"/>
        <v>458526.95480483409</v>
      </c>
      <c r="BP53" s="160">
        <f t="shared" si="11"/>
        <v>71305.01304691832</v>
      </c>
      <c r="BQ53" s="160">
        <f t="shared" si="12"/>
        <v>2376.8337682306105</v>
      </c>
      <c r="BR53" s="160">
        <f t="shared" si="13"/>
        <v>3565.250652345916</v>
      </c>
      <c r="BS53" s="160">
        <f t="shared" si="14"/>
        <v>2421993.6098269923</v>
      </c>
      <c r="BT53" s="160">
        <f t="shared" si="15"/>
        <v>3632990.4147404889</v>
      </c>
    </row>
    <row r="54" spans="1:72" x14ac:dyDescent="0.2">
      <c r="A54" s="3">
        <v>41760</v>
      </c>
      <c r="B54" s="4">
        <f t="shared" si="16"/>
        <v>2014</v>
      </c>
      <c r="C54" s="2">
        <v>40092099</v>
      </c>
      <c r="D54" s="2">
        <f>VLOOKUP(B54,CDM!$I$5:$N$15,2,FALSE)/12</f>
        <v>582902.57184116344</v>
      </c>
      <c r="E54" s="2">
        <f t="shared" si="1"/>
        <v>40675001.571841165</v>
      </c>
      <c r="F54" s="5">
        <v>59689</v>
      </c>
      <c r="G54" s="5">
        <v>13471598</v>
      </c>
      <c r="H54" s="5">
        <v>5182</v>
      </c>
      <c r="I54" s="2">
        <f>VLOOKUP(B54,CDM!$I$5:$N$15,3,FALSE)/12</f>
        <v>257042.64414502322</v>
      </c>
      <c r="J54" s="2">
        <f t="shared" si="18"/>
        <v>13728640.644145023</v>
      </c>
      <c r="K54" s="5">
        <v>72011129</v>
      </c>
      <c r="L54" s="2">
        <f>VLOOKUP(B54,CDM!$I$5:$N$15,4,FALSE)/12</f>
        <v>1679397.2948097724</v>
      </c>
      <c r="M54" s="87">
        <f t="shared" si="3"/>
        <v>73690526.294809774</v>
      </c>
      <c r="N54" s="5">
        <v>187028</v>
      </c>
      <c r="O54" s="5">
        <v>1017</v>
      </c>
      <c r="P54" s="5">
        <v>665621</v>
      </c>
      <c r="Q54" s="5">
        <v>2304</v>
      </c>
      <c r="R54" s="7">
        <v>15153</v>
      </c>
      <c r="S54" s="5">
        <v>258180</v>
      </c>
      <c r="T54" s="1">
        <v>25</v>
      </c>
      <c r="U54" s="1">
        <v>569</v>
      </c>
      <c r="V54" s="37">
        <f>'Economic (2020 Adj.)'!C66</f>
        <v>659861.19999999995</v>
      </c>
      <c r="W54" s="37">
        <f>'Economic (2020 Adj.)'!D66</f>
        <v>6870.6</v>
      </c>
      <c r="X54" s="37">
        <f>'Economic (2020 Adj.)'!F66</f>
        <v>3114.3</v>
      </c>
      <c r="Y54" s="37">
        <f>'Economic (2020 Adj.)'!H66</f>
        <v>381.5</v>
      </c>
      <c r="Z54" s="37">
        <f>'Economic (2020 Adj.)'!E66</f>
        <v>6842.6</v>
      </c>
      <c r="AA54" s="37">
        <f>'Economic (2020 Adj.)'!G66</f>
        <v>3103</v>
      </c>
      <c r="AB54" s="37">
        <f>'Economic (2020 Adj.)'!I66</f>
        <v>379.7</v>
      </c>
      <c r="AC54" s="39">
        <f>Weather!D186</f>
        <v>12.861290322580649</v>
      </c>
      <c r="AD54" s="39">
        <f>Weather!E186</f>
        <v>225.29999999999995</v>
      </c>
      <c r="AE54" s="39">
        <f>Weather!F186</f>
        <v>4.0000000000000036</v>
      </c>
      <c r="AF54" s="39">
        <f>Weather!G186</f>
        <v>169.29999999999995</v>
      </c>
      <c r="AG54" s="39">
        <f>Weather!H186</f>
        <v>10.000000000000004</v>
      </c>
      <c r="AH54" s="39">
        <f>Weather!I186</f>
        <v>115.5</v>
      </c>
      <c r="AI54" s="39">
        <f>Weather!J186</f>
        <v>18.200000000000003</v>
      </c>
      <c r="AJ54" s="39">
        <f>Weather!K186</f>
        <v>71.099999999999994</v>
      </c>
      <c r="AK54" s="39">
        <f>Weather!L186</f>
        <v>35.799999999999997</v>
      </c>
      <c r="AL54" s="39">
        <f>Weather!M186</f>
        <v>33.899999999999991</v>
      </c>
      <c r="AM54" s="39">
        <f>Weather!N186</f>
        <v>60.6</v>
      </c>
      <c r="AN54" s="39">
        <f>Weather!O186</f>
        <v>9.5999999999999979</v>
      </c>
      <c r="AO54" s="39">
        <f>Weather!P186</f>
        <v>98.300000000000011</v>
      </c>
      <c r="AP54" s="39">
        <f>Weather!Q186</f>
        <v>1.2999999999999998</v>
      </c>
      <c r="AQ54" s="39">
        <f>Weather!R186</f>
        <v>152</v>
      </c>
      <c r="AR54">
        <v>0</v>
      </c>
      <c r="AS54">
        <v>0</v>
      </c>
      <c r="AT54">
        <v>0</v>
      </c>
      <c r="AU54">
        <v>0</v>
      </c>
      <c r="AV54">
        <v>1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1</v>
      </c>
      <c r="BE54">
        <v>0</v>
      </c>
      <c r="BF54">
        <v>1</v>
      </c>
      <c r="BG54" s="1">
        <f t="shared" si="4"/>
        <v>53</v>
      </c>
      <c r="BH54">
        <v>31</v>
      </c>
      <c r="BI54">
        <v>22</v>
      </c>
      <c r="BJ54" s="160">
        <f t="shared" si="5"/>
        <v>681.44886950428327</v>
      </c>
      <c r="BK54" s="160">
        <f t="shared" si="6"/>
        <v>21.982221596912364</v>
      </c>
      <c r="BL54" s="159">
        <f t="shared" si="7"/>
        <v>1312096.8248981021</v>
      </c>
      <c r="BM54" s="160">
        <f t="shared" si="8"/>
        <v>2649.2938332969939</v>
      </c>
      <c r="BN54" s="160">
        <f t="shared" si="9"/>
        <v>85.461091396677219</v>
      </c>
      <c r="BO54" s="160">
        <f t="shared" si="10"/>
        <v>442859.37561758136</v>
      </c>
      <c r="BP54" s="160">
        <f t="shared" si="11"/>
        <v>72458.72792016693</v>
      </c>
      <c r="BQ54" s="160">
        <f t="shared" si="12"/>
        <v>2337.3783200053849</v>
      </c>
      <c r="BR54" s="160">
        <f t="shared" si="13"/>
        <v>3293.5785418257697</v>
      </c>
      <c r="BS54" s="160">
        <f t="shared" si="14"/>
        <v>2377113.7514454764</v>
      </c>
      <c r="BT54" s="160">
        <f t="shared" si="15"/>
        <v>3349569.3770368081</v>
      </c>
    </row>
    <row r="55" spans="1:72" x14ac:dyDescent="0.2">
      <c r="A55" s="3">
        <v>41791</v>
      </c>
      <c r="B55" s="4">
        <f t="shared" si="16"/>
        <v>2014</v>
      </c>
      <c r="C55" s="2">
        <v>44876201</v>
      </c>
      <c r="D55" s="2">
        <f>VLOOKUP(B55,CDM!$I$5:$N$15,2,FALSE)/12</f>
        <v>582902.57184116344</v>
      </c>
      <c r="E55" s="2">
        <f t="shared" ref="E55:E118" si="19">C55+D55</f>
        <v>45459103.571841165</v>
      </c>
      <c r="F55" s="11">
        <f>(F54+F56)/2</f>
        <v>59798</v>
      </c>
      <c r="G55" s="5">
        <v>14123153</v>
      </c>
      <c r="H55" s="11">
        <f>(H54+H56)/2</f>
        <v>5192.5</v>
      </c>
      <c r="I55" s="2">
        <f>VLOOKUP(B55,CDM!$I$5:$N$15,3,FALSE)/12</f>
        <v>257042.64414502322</v>
      </c>
      <c r="J55" s="2">
        <f t="shared" si="18"/>
        <v>14380195.644145023</v>
      </c>
      <c r="K55" s="5">
        <v>75361823</v>
      </c>
      <c r="L55" s="2">
        <f>VLOOKUP(B55,CDM!$I$5:$N$15,4,FALSE)/12</f>
        <v>1679397.2948097724</v>
      </c>
      <c r="M55" s="87">
        <f t="shared" ref="M55:M109" si="20">K55+L55</f>
        <v>77041220.294809774</v>
      </c>
      <c r="N55" s="5">
        <v>196650</v>
      </c>
      <c r="O55" s="11">
        <f>(O54+O56)/2</f>
        <v>1016.5</v>
      </c>
      <c r="P55" s="5">
        <v>599040</v>
      </c>
      <c r="Q55" s="5">
        <v>2302</v>
      </c>
      <c r="R55" s="5">
        <v>15153</v>
      </c>
      <c r="S55" s="5">
        <v>257573</v>
      </c>
      <c r="T55" s="1">
        <v>25</v>
      </c>
      <c r="U55" s="1">
        <v>569</v>
      </c>
      <c r="V55" s="37">
        <f>'Economic (2020 Adj.)'!C67</f>
        <v>659861.19999999995</v>
      </c>
      <c r="W55" s="37">
        <f>'Economic (2020 Adj.)'!D67</f>
        <v>6865.4</v>
      </c>
      <c r="X55" s="37">
        <f>'Economic (2020 Adj.)'!F67</f>
        <v>3091.8</v>
      </c>
      <c r="Y55" s="37">
        <f>'Economic (2020 Adj.)'!H67</f>
        <v>382</v>
      </c>
      <c r="Z55" s="37">
        <f>'Economic (2020 Adj.)'!E67</f>
        <v>6912.9</v>
      </c>
      <c r="AA55" s="37">
        <f>'Economic (2020 Adj.)'!G67</f>
        <v>3107.5</v>
      </c>
      <c r="AB55" s="37">
        <f>'Economic (2020 Adj.)'!I67</f>
        <v>383.3</v>
      </c>
      <c r="AC55" s="39">
        <f>Weather!D187</f>
        <v>18.513333333333328</v>
      </c>
      <c r="AD55" s="39">
        <f>Weather!E187</f>
        <v>65.400000000000006</v>
      </c>
      <c r="AE55" s="39">
        <f>Weather!F187</f>
        <v>20.799999999999997</v>
      </c>
      <c r="AF55" s="39">
        <f>Weather!G187</f>
        <v>31.200000000000006</v>
      </c>
      <c r="AG55" s="39">
        <f>Weather!H187</f>
        <v>46.6</v>
      </c>
      <c r="AH55" s="39">
        <f>Weather!I187</f>
        <v>10.700000000000001</v>
      </c>
      <c r="AI55" s="39">
        <f>Weather!J187</f>
        <v>86.1</v>
      </c>
      <c r="AJ55" s="39">
        <f>Weather!K187</f>
        <v>1.9000000000000004</v>
      </c>
      <c r="AK55" s="39">
        <f>Weather!L187</f>
        <v>137.30000000000001</v>
      </c>
      <c r="AL55" s="39">
        <f>Weather!M187</f>
        <v>0</v>
      </c>
      <c r="AM55" s="39">
        <f>Weather!N187</f>
        <v>195.40000000000003</v>
      </c>
      <c r="AN55" s="39">
        <f>Weather!O187</f>
        <v>0</v>
      </c>
      <c r="AO55" s="39">
        <f>Weather!P187</f>
        <v>255.40000000000003</v>
      </c>
      <c r="AP55" s="39">
        <f>Weather!Q187</f>
        <v>0</v>
      </c>
      <c r="AQ55" s="39">
        <f>Weather!R187</f>
        <v>315.39999999999998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1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 s="1">
        <f t="shared" si="4"/>
        <v>54</v>
      </c>
      <c r="BH55">
        <v>30</v>
      </c>
      <c r="BI55">
        <v>21</v>
      </c>
      <c r="BJ55" s="160">
        <f t="shared" si="5"/>
        <v>760.21110357940347</v>
      </c>
      <c r="BK55" s="160">
        <f t="shared" si="6"/>
        <v>25.340370119313448</v>
      </c>
      <c r="BL55" s="159">
        <f t="shared" si="7"/>
        <v>1515303.4523947055</v>
      </c>
      <c r="BM55" s="160">
        <f t="shared" si="8"/>
        <v>2769.4165901097781</v>
      </c>
      <c r="BN55" s="160">
        <f t="shared" si="9"/>
        <v>92.31388633699261</v>
      </c>
      <c r="BO55" s="160">
        <f t="shared" si="10"/>
        <v>479339.85480483412</v>
      </c>
      <c r="BP55" s="160">
        <f t="shared" si="11"/>
        <v>75790.674170988466</v>
      </c>
      <c r="BQ55" s="160">
        <f t="shared" si="12"/>
        <v>2526.3558056996158</v>
      </c>
      <c r="BR55" s="160">
        <f t="shared" si="13"/>
        <v>3609.0797224280223</v>
      </c>
      <c r="BS55" s="160">
        <f t="shared" si="14"/>
        <v>2568040.6764936591</v>
      </c>
      <c r="BT55" s="160">
        <f t="shared" si="15"/>
        <v>3668629.5378480842</v>
      </c>
    </row>
    <row r="56" spans="1:72" x14ac:dyDescent="0.2">
      <c r="A56" s="3">
        <v>41821</v>
      </c>
      <c r="B56" s="4">
        <f t="shared" si="16"/>
        <v>2014</v>
      </c>
      <c r="C56" s="2">
        <v>51314720</v>
      </c>
      <c r="D56" s="2">
        <f>VLOOKUP(B56,CDM!$I$5:$N$15,2,FALSE)/12</f>
        <v>582902.57184116344</v>
      </c>
      <c r="E56" s="2">
        <f t="shared" si="19"/>
        <v>51897622.571841165</v>
      </c>
      <c r="F56" s="7">
        <v>59907</v>
      </c>
      <c r="G56" s="5">
        <v>14914369</v>
      </c>
      <c r="H56" s="7">
        <v>5203</v>
      </c>
      <c r="I56" s="2">
        <f>VLOOKUP(B56,CDM!$I$5:$N$15,3,FALSE)/12</f>
        <v>257042.64414502322</v>
      </c>
      <c r="J56" s="2">
        <f t="shared" si="18"/>
        <v>15171411.644145023</v>
      </c>
      <c r="K56" s="5">
        <v>79433068</v>
      </c>
      <c r="L56" s="2">
        <f>VLOOKUP(B56,CDM!$I$5:$N$15,4,FALSE)/12</f>
        <v>1679397.2948097724</v>
      </c>
      <c r="M56" s="87">
        <f t="shared" si="20"/>
        <v>81112465.294809774</v>
      </c>
      <c r="N56" s="5">
        <v>208736</v>
      </c>
      <c r="O56" s="7">
        <v>1016</v>
      </c>
      <c r="P56" s="5">
        <v>641462</v>
      </c>
      <c r="Q56" s="5">
        <v>2302</v>
      </c>
      <c r="R56" s="7">
        <v>15153</v>
      </c>
      <c r="S56" s="5">
        <v>257738</v>
      </c>
      <c r="T56" s="1">
        <v>25</v>
      </c>
      <c r="U56" s="1">
        <v>567</v>
      </c>
      <c r="V56" s="37">
        <f>'Economic (2020 Adj.)'!C68</f>
        <v>659861.19999999995</v>
      </c>
      <c r="W56" s="37">
        <f>'Economic (2020 Adj.)'!D68</f>
        <v>6864.4</v>
      </c>
      <c r="X56" s="37">
        <f>'Economic (2020 Adj.)'!F68</f>
        <v>3067.1</v>
      </c>
      <c r="Y56" s="37">
        <f>'Economic (2020 Adj.)'!H68</f>
        <v>383.8</v>
      </c>
      <c r="Z56" s="37">
        <f>'Economic (2020 Adj.)'!E68</f>
        <v>6957.8</v>
      </c>
      <c r="AA56" s="37">
        <f>'Economic (2020 Adj.)'!G68</f>
        <v>3095.5</v>
      </c>
      <c r="AB56" s="37">
        <f>'Economic (2020 Adj.)'!I68</f>
        <v>386.4</v>
      </c>
      <c r="AC56" s="39">
        <f>Weather!D188</f>
        <v>19.825806451612905</v>
      </c>
      <c r="AD56" s="39">
        <f>Weather!E188</f>
        <v>36.6</v>
      </c>
      <c r="AE56" s="39">
        <f>Weather!F188</f>
        <v>31.2</v>
      </c>
      <c r="AF56" s="39">
        <f>Weather!G188</f>
        <v>9.4</v>
      </c>
      <c r="AG56" s="39">
        <f>Weather!H188</f>
        <v>66.000000000000014</v>
      </c>
      <c r="AH56" s="39">
        <f>Weather!I188</f>
        <v>0.90000000000000036</v>
      </c>
      <c r="AI56" s="39">
        <f>Weather!J188</f>
        <v>119.49999999999999</v>
      </c>
      <c r="AJ56" s="39">
        <f>Weather!K188</f>
        <v>0</v>
      </c>
      <c r="AK56" s="39">
        <f>Weather!L188</f>
        <v>180.6</v>
      </c>
      <c r="AL56" s="39">
        <f>Weather!M188</f>
        <v>0</v>
      </c>
      <c r="AM56" s="39">
        <f>Weather!N188</f>
        <v>242.6</v>
      </c>
      <c r="AN56" s="39">
        <f>Weather!O188</f>
        <v>0</v>
      </c>
      <c r="AO56" s="39">
        <f>Weather!P188</f>
        <v>304.59999999999991</v>
      </c>
      <c r="AP56" s="39">
        <f>Weather!Q188</f>
        <v>0</v>
      </c>
      <c r="AQ56" s="39">
        <f>Weather!R188</f>
        <v>366.59999999999991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1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 s="1">
        <f t="shared" ref="BG56:BG119" si="21">1+BG55</f>
        <v>55</v>
      </c>
      <c r="BH56">
        <v>31</v>
      </c>
      <c r="BI56">
        <v>22</v>
      </c>
      <c r="BJ56" s="160">
        <f t="shared" si="5"/>
        <v>866.30314607376715</v>
      </c>
      <c r="BK56" s="160">
        <f t="shared" si="6"/>
        <v>27.945262776573134</v>
      </c>
      <c r="BL56" s="159">
        <f t="shared" si="7"/>
        <v>1674116.8571561666</v>
      </c>
      <c r="BM56" s="160">
        <f t="shared" si="8"/>
        <v>2915.8969141158991</v>
      </c>
      <c r="BN56" s="160">
        <f t="shared" si="9"/>
        <v>94.061190777932225</v>
      </c>
      <c r="BO56" s="160">
        <f t="shared" si="10"/>
        <v>489400.37561758136</v>
      </c>
      <c r="BP56" s="160">
        <f t="shared" si="11"/>
        <v>79835.103636623797</v>
      </c>
      <c r="BQ56" s="160">
        <f t="shared" si="12"/>
        <v>2575.3259237620578</v>
      </c>
      <c r="BR56" s="160">
        <f t="shared" si="13"/>
        <v>3628.8683471192635</v>
      </c>
      <c r="BS56" s="160">
        <f t="shared" si="14"/>
        <v>2616531.1385422507</v>
      </c>
      <c r="BT56" s="160">
        <f t="shared" si="15"/>
        <v>3686930.2406731714</v>
      </c>
    </row>
    <row r="57" spans="1:72" x14ac:dyDescent="0.2">
      <c r="A57" s="3">
        <v>41852</v>
      </c>
      <c r="B57" s="4">
        <f t="shared" si="16"/>
        <v>2014</v>
      </c>
      <c r="C57" s="2">
        <v>49665162</v>
      </c>
      <c r="D57" s="2">
        <f>VLOOKUP(B57,CDM!$I$5:$N$15,2,FALSE)/12</f>
        <v>582902.57184116344</v>
      </c>
      <c r="E57" s="2">
        <f t="shared" si="19"/>
        <v>50248064.571841165</v>
      </c>
      <c r="F57" s="5">
        <v>59924</v>
      </c>
      <c r="G57" s="5">
        <v>14542524</v>
      </c>
      <c r="H57" s="5">
        <v>5210</v>
      </c>
      <c r="I57" s="2">
        <f>VLOOKUP(B57,CDM!$I$5:$N$15,3,FALSE)/12</f>
        <v>257042.64414502322</v>
      </c>
      <c r="J57" s="2">
        <f t="shared" si="18"/>
        <v>14799566.644145023</v>
      </c>
      <c r="K57" s="5">
        <v>78009925</v>
      </c>
      <c r="L57" s="2">
        <f>VLOOKUP(B57,CDM!$I$5:$N$15,4,FALSE)/12</f>
        <v>1679397.2948097724</v>
      </c>
      <c r="M57" s="87">
        <f t="shared" si="20"/>
        <v>79689322.294809774</v>
      </c>
      <c r="N57" s="5">
        <v>203097</v>
      </c>
      <c r="O57" s="5">
        <v>1016</v>
      </c>
      <c r="P57" s="5">
        <v>719839</v>
      </c>
      <c r="Q57" s="5">
        <v>2304</v>
      </c>
      <c r="R57" s="7">
        <v>15195</v>
      </c>
      <c r="S57" s="5">
        <v>257786</v>
      </c>
      <c r="T57" s="1">
        <v>25</v>
      </c>
      <c r="U57" s="1">
        <v>567</v>
      </c>
      <c r="V57" s="37">
        <f>'Economic (2020 Adj.)'!C69</f>
        <v>659861.19999999995</v>
      </c>
      <c r="W57" s="37">
        <f>'Economic (2020 Adj.)'!D69</f>
        <v>6869.9</v>
      </c>
      <c r="X57" s="37">
        <f>'Economic (2020 Adj.)'!F69</f>
        <v>3056.5</v>
      </c>
      <c r="Y57" s="37">
        <f>'Economic (2020 Adj.)'!H69</f>
        <v>385.2</v>
      </c>
      <c r="Z57" s="37">
        <f>'Economic (2020 Adj.)'!E69</f>
        <v>6969.7</v>
      </c>
      <c r="AA57" s="37">
        <f>'Economic (2020 Adj.)'!G69</f>
        <v>3094.2</v>
      </c>
      <c r="AB57" s="37">
        <f>'Economic (2020 Adj.)'!I69</f>
        <v>388.9</v>
      </c>
      <c r="AC57" s="39">
        <f>Weather!D189</f>
        <v>20.070967741935487</v>
      </c>
      <c r="AD57" s="39">
        <f>Weather!E189</f>
        <v>29.3</v>
      </c>
      <c r="AE57" s="39">
        <f>Weather!F189</f>
        <v>31.500000000000007</v>
      </c>
      <c r="AF57" s="39">
        <f>Weather!G189</f>
        <v>8.3000000000000007</v>
      </c>
      <c r="AG57" s="39">
        <f>Weather!H189</f>
        <v>72.500000000000028</v>
      </c>
      <c r="AH57" s="39">
        <f>Weather!I189</f>
        <v>0.5</v>
      </c>
      <c r="AI57" s="39">
        <f>Weather!J189</f>
        <v>126.70000000000002</v>
      </c>
      <c r="AJ57" s="39">
        <f>Weather!K189</f>
        <v>0</v>
      </c>
      <c r="AK57" s="39">
        <f>Weather!L189</f>
        <v>188.19999999999996</v>
      </c>
      <c r="AL57" s="39">
        <f>Weather!M189</f>
        <v>0</v>
      </c>
      <c r="AM57" s="39">
        <f>Weather!N189</f>
        <v>250.19999999999996</v>
      </c>
      <c r="AN57" s="39">
        <f>Weather!O189</f>
        <v>0</v>
      </c>
      <c r="AO57" s="39">
        <f>Weather!P189</f>
        <v>312.2</v>
      </c>
      <c r="AP57" s="39">
        <f>Weather!Q189</f>
        <v>0</v>
      </c>
      <c r="AQ57" s="39">
        <f>Weather!R189</f>
        <v>374.2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1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 s="1">
        <f t="shared" si="21"/>
        <v>56</v>
      </c>
      <c r="BH57">
        <v>31</v>
      </c>
      <c r="BI57">
        <v>20</v>
      </c>
      <c r="BJ57" s="160">
        <f t="shared" si="5"/>
        <v>838.52988071292248</v>
      </c>
      <c r="BK57" s="160">
        <f t="shared" si="6"/>
        <v>27.049350990739434</v>
      </c>
      <c r="BL57" s="159">
        <f t="shared" si="7"/>
        <v>1620905.3087690698</v>
      </c>
      <c r="BM57" s="160">
        <f t="shared" si="8"/>
        <v>2840.6078011794671</v>
      </c>
      <c r="BN57" s="160">
        <f t="shared" si="9"/>
        <v>91.632509715466682</v>
      </c>
      <c r="BO57" s="160">
        <f t="shared" si="10"/>
        <v>477405.37561758136</v>
      </c>
      <c r="BP57" s="160">
        <f t="shared" si="11"/>
        <v>78434.372337411201</v>
      </c>
      <c r="BQ57" s="160">
        <f t="shared" si="12"/>
        <v>2530.1410431422969</v>
      </c>
      <c r="BR57" s="160">
        <f t="shared" si="13"/>
        <v>3921.7186168705603</v>
      </c>
      <c r="BS57" s="160">
        <f t="shared" si="14"/>
        <v>2570623.2998325732</v>
      </c>
      <c r="BT57" s="160">
        <f t="shared" si="15"/>
        <v>3984466.1147404886</v>
      </c>
    </row>
    <row r="58" spans="1:72" x14ac:dyDescent="0.2">
      <c r="A58" s="3">
        <v>41883</v>
      </c>
      <c r="B58" s="4">
        <f t="shared" si="16"/>
        <v>2014</v>
      </c>
      <c r="C58" s="2">
        <v>43344666</v>
      </c>
      <c r="D58" s="2">
        <f>VLOOKUP(B58,CDM!$I$5:$N$15,2,FALSE)/12</f>
        <v>582902.57184116344</v>
      </c>
      <c r="E58" s="2">
        <f t="shared" si="19"/>
        <v>43927568.571841165</v>
      </c>
      <c r="F58" s="7">
        <v>59924</v>
      </c>
      <c r="G58" s="5">
        <v>13413771</v>
      </c>
      <c r="H58" s="7">
        <v>5214</v>
      </c>
      <c r="I58" s="2">
        <f>VLOOKUP(B58,CDM!$I$5:$N$15,3,FALSE)/12</f>
        <v>257042.64414502322</v>
      </c>
      <c r="J58" s="2">
        <f t="shared" si="18"/>
        <v>13670813.644145023</v>
      </c>
      <c r="K58" s="5">
        <v>74627463</v>
      </c>
      <c r="L58" s="2">
        <f>VLOOKUP(B58,CDM!$I$5:$N$15,4,FALSE)/12</f>
        <v>1679397.2948097724</v>
      </c>
      <c r="M58" s="87">
        <f t="shared" si="20"/>
        <v>76306860.294809774</v>
      </c>
      <c r="N58" s="5">
        <v>208037</v>
      </c>
      <c r="O58" s="7">
        <v>1025</v>
      </c>
      <c r="P58" s="5">
        <v>794176</v>
      </c>
      <c r="Q58" s="5">
        <v>2304</v>
      </c>
      <c r="R58" s="5">
        <v>15195</v>
      </c>
      <c r="S58" s="5">
        <v>257746</v>
      </c>
      <c r="T58" s="1">
        <v>25</v>
      </c>
      <c r="U58" s="1">
        <v>567</v>
      </c>
      <c r="V58" s="37">
        <f>'Economic (2020 Adj.)'!C70</f>
        <v>659861.19999999995</v>
      </c>
      <c r="W58" s="37">
        <f>'Economic (2020 Adj.)'!D70</f>
        <v>6884.5</v>
      </c>
      <c r="X58" s="37">
        <f>'Economic (2020 Adj.)'!F70</f>
        <v>3058.5</v>
      </c>
      <c r="Y58" s="37">
        <f>'Economic (2020 Adj.)'!H70</f>
        <v>385.2</v>
      </c>
      <c r="Z58" s="37">
        <f>'Economic (2020 Adj.)'!E70</f>
        <v>6944.1</v>
      </c>
      <c r="AA58" s="37">
        <f>'Economic (2020 Adj.)'!G70</f>
        <v>3085.3</v>
      </c>
      <c r="AB58" s="37">
        <f>'Economic (2020 Adj.)'!I70</f>
        <v>386.9</v>
      </c>
      <c r="AC58" s="39">
        <f>Weather!D190</f>
        <v>17.286666666666665</v>
      </c>
      <c r="AD58" s="39">
        <f>Weather!E190</f>
        <v>99.799999999999983</v>
      </c>
      <c r="AE58" s="39">
        <f>Weather!F190</f>
        <v>18.399999999999999</v>
      </c>
      <c r="AF58" s="39">
        <f>Weather!G190</f>
        <v>55.900000000000006</v>
      </c>
      <c r="AG58" s="39">
        <f>Weather!H190</f>
        <v>34.5</v>
      </c>
      <c r="AH58" s="39">
        <f>Weather!I190</f>
        <v>26</v>
      </c>
      <c r="AI58" s="39">
        <f>Weather!J190</f>
        <v>64.600000000000009</v>
      </c>
      <c r="AJ58" s="39">
        <f>Weather!K190</f>
        <v>10.299999999999999</v>
      </c>
      <c r="AK58" s="39">
        <f>Weather!L190</f>
        <v>108.9</v>
      </c>
      <c r="AL58" s="39">
        <f>Weather!M190</f>
        <v>0.59999999999999964</v>
      </c>
      <c r="AM58" s="39">
        <f>Weather!N190</f>
        <v>159.19999999999996</v>
      </c>
      <c r="AN58" s="39">
        <f>Weather!O190</f>
        <v>0</v>
      </c>
      <c r="AO58" s="39">
        <f>Weather!P190</f>
        <v>218.59999999999994</v>
      </c>
      <c r="AP58" s="39">
        <f>Weather!Q190</f>
        <v>0</v>
      </c>
      <c r="AQ58" s="39">
        <f>Weather!R190</f>
        <v>278.59999999999997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1</v>
      </c>
      <c r="BA58">
        <v>0</v>
      </c>
      <c r="BB58">
        <v>0</v>
      </c>
      <c r="BC58">
        <v>0</v>
      </c>
      <c r="BD58">
        <v>0</v>
      </c>
      <c r="BE58">
        <v>1</v>
      </c>
      <c r="BF58">
        <v>1</v>
      </c>
      <c r="BG58" s="1">
        <f t="shared" si="21"/>
        <v>57</v>
      </c>
      <c r="BH58">
        <v>30</v>
      </c>
      <c r="BI58">
        <v>21</v>
      </c>
      <c r="BJ58" s="160">
        <f t="shared" si="5"/>
        <v>733.0546787904874</v>
      </c>
      <c r="BK58" s="160">
        <f t="shared" si="6"/>
        <v>24.435155959682913</v>
      </c>
      <c r="BL58" s="159">
        <f t="shared" si="7"/>
        <v>1464252.2857280388</v>
      </c>
      <c r="BM58" s="160">
        <f t="shared" si="8"/>
        <v>2621.9435450987771</v>
      </c>
      <c r="BN58" s="160">
        <f t="shared" si="9"/>
        <v>87.398118169959233</v>
      </c>
      <c r="BO58" s="160">
        <f t="shared" si="10"/>
        <v>455693.78813816741</v>
      </c>
      <c r="BP58" s="160">
        <f t="shared" si="11"/>
        <v>74445.717360790019</v>
      </c>
      <c r="BQ58" s="160">
        <f t="shared" si="12"/>
        <v>2481.5239120263341</v>
      </c>
      <c r="BR58" s="160">
        <f t="shared" si="13"/>
        <v>3545.03416003762</v>
      </c>
      <c r="BS58" s="160">
        <f t="shared" si="14"/>
        <v>2543562.0098269926</v>
      </c>
      <c r="BT58" s="160">
        <f t="shared" si="15"/>
        <v>3633660.0140385604</v>
      </c>
    </row>
    <row r="59" spans="1:72" x14ac:dyDescent="0.2">
      <c r="A59" s="3">
        <v>41913</v>
      </c>
      <c r="B59" s="4">
        <f t="shared" si="16"/>
        <v>2014</v>
      </c>
      <c r="C59" s="2">
        <v>41116020</v>
      </c>
      <c r="D59" s="2">
        <f>VLOOKUP(B59,CDM!$I$5:$N$15,2,FALSE)/12</f>
        <v>582902.57184116344</v>
      </c>
      <c r="E59" s="2">
        <f t="shared" si="19"/>
        <v>41698922.571841165</v>
      </c>
      <c r="F59" s="7">
        <v>59943</v>
      </c>
      <c r="G59" s="5">
        <v>13009887</v>
      </c>
      <c r="H59" s="7">
        <v>5215</v>
      </c>
      <c r="I59" s="2">
        <f>VLOOKUP(B59,CDM!$I$5:$N$15,3,FALSE)/12</f>
        <v>257042.64414502322</v>
      </c>
      <c r="J59" s="2">
        <f t="shared" si="18"/>
        <v>13266929.644145023</v>
      </c>
      <c r="K59" s="5">
        <v>72913145</v>
      </c>
      <c r="L59" s="2">
        <f>VLOOKUP(B59,CDM!$I$5:$N$15,4,FALSE)/12</f>
        <v>1679397.2948097724</v>
      </c>
      <c r="M59" s="87">
        <f t="shared" si="20"/>
        <v>74592542.294809774</v>
      </c>
      <c r="N59" s="5">
        <v>204893</v>
      </c>
      <c r="O59" s="7">
        <v>1028</v>
      </c>
      <c r="P59" s="5">
        <v>925946</v>
      </c>
      <c r="Q59" s="5">
        <v>2304</v>
      </c>
      <c r="R59" s="7">
        <v>15196</v>
      </c>
      <c r="S59" s="5">
        <v>258047</v>
      </c>
      <c r="T59" s="1">
        <v>24</v>
      </c>
      <c r="U59" s="1">
        <v>566</v>
      </c>
      <c r="V59" s="37">
        <f>'Economic (2020 Adj.)'!C71</f>
        <v>659861.19999999995</v>
      </c>
      <c r="W59" s="37">
        <f>'Economic (2020 Adj.)'!D71</f>
        <v>6901.5</v>
      </c>
      <c r="X59" s="37">
        <f>'Economic (2020 Adj.)'!F71</f>
        <v>3072.7</v>
      </c>
      <c r="Y59" s="37">
        <f>'Economic (2020 Adj.)'!H71</f>
        <v>385.1</v>
      </c>
      <c r="Z59" s="37">
        <f>'Economic (2020 Adj.)'!E71</f>
        <v>6936.6</v>
      </c>
      <c r="AA59" s="37">
        <f>'Economic (2020 Adj.)'!G71</f>
        <v>3089.4</v>
      </c>
      <c r="AB59" s="37">
        <f>'Economic (2020 Adj.)'!I71</f>
        <v>387.2</v>
      </c>
      <c r="AC59" s="39">
        <f>Weather!D191</f>
        <v>11.712903225806446</v>
      </c>
      <c r="AD59" s="39">
        <f>Weather!E191</f>
        <v>256.89999999999998</v>
      </c>
      <c r="AE59" s="39">
        <f>Weather!F191</f>
        <v>0</v>
      </c>
      <c r="AF59" s="39">
        <f>Weather!G191</f>
        <v>197.1</v>
      </c>
      <c r="AG59" s="39">
        <f>Weather!H191</f>
        <v>2.1999999999999993</v>
      </c>
      <c r="AH59" s="39">
        <f>Weather!I191</f>
        <v>139.29999999999998</v>
      </c>
      <c r="AI59" s="39">
        <f>Weather!J191</f>
        <v>6.3999999999999986</v>
      </c>
      <c r="AJ59" s="39">
        <f>Weather!K191</f>
        <v>90.8</v>
      </c>
      <c r="AK59" s="39">
        <f>Weather!L191</f>
        <v>19.899999999999999</v>
      </c>
      <c r="AL59" s="39">
        <f>Weather!M191</f>
        <v>50.6</v>
      </c>
      <c r="AM59" s="39">
        <f>Weather!N191</f>
        <v>41.699999999999996</v>
      </c>
      <c r="AN59" s="39">
        <f>Weather!O191</f>
        <v>18.099999999999998</v>
      </c>
      <c r="AO59" s="39">
        <f>Weather!P191</f>
        <v>71.199999999999989</v>
      </c>
      <c r="AP59" s="39">
        <f>Weather!Q191</f>
        <v>3.7999999999999989</v>
      </c>
      <c r="AQ59" s="39">
        <f>Weather!R191</f>
        <v>118.90000000000002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1</v>
      </c>
      <c r="BB59">
        <v>0</v>
      </c>
      <c r="BC59">
        <v>0</v>
      </c>
      <c r="BD59">
        <v>0</v>
      </c>
      <c r="BE59">
        <v>1</v>
      </c>
      <c r="BF59">
        <v>1</v>
      </c>
      <c r="BG59" s="1">
        <f t="shared" si="21"/>
        <v>58</v>
      </c>
      <c r="BH59">
        <v>31</v>
      </c>
      <c r="BI59">
        <v>22</v>
      </c>
      <c r="BJ59" s="160">
        <f t="shared" si="5"/>
        <v>695.64290362246072</v>
      </c>
      <c r="BK59" s="160">
        <f t="shared" si="6"/>
        <v>22.440093665240667</v>
      </c>
      <c r="BL59" s="159">
        <f t="shared" si="7"/>
        <v>1345126.5345755215</v>
      </c>
      <c r="BM59" s="160">
        <f t="shared" si="8"/>
        <v>2543.9941791265624</v>
      </c>
      <c r="BN59" s="160">
        <f t="shared" si="9"/>
        <v>82.064328358921372</v>
      </c>
      <c r="BO59" s="160">
        <f t="shared" si="10"/>
        <v>427965.47239177494</v>
      </c>
      <c r="BP59" s="160">
        <f t="shared" si="11"/>
        <v>72560.838808180721</v>
      </c>
      <c r="BQ59" s="160">
        <f t="shared" si="12"/>
        <v>2340.6722196187329</v>
      </c>
      <c r="BR59" s="160">
        <f t="shared" si="13"/>
        <v>3298.2199458263963</v>
      </c>
      <c r="BS59" s="160">
        <f t="shared" si="14"/>
        <v>2406211.0417680573</v>
      </c>
      <c r="BT59" s="160">
        <f t="shared" si="15"/>
        <v>3390570.1043095351</v>
      </c>
    </row>
    <row r="60" spans="1:72" x14ac:dyDescent="0.2">
      <c r="A60" s="3">
        <v>41944</v>
      </c>
      <c r="B60" s="4">
        <f t="shared" si="16"/>
        <v>2014</v>
      </c>
      <c r="C60" s="2">
        <v>40016132</v>
      </c>
      <c r="D60" s="2">
        <f>VLOOKUP(B60,CDM!$I$5:$N$15,2,FALSE)/12</f>
        <v>582902.57184116344</v>
      </c>
      <c r="E60" s="2">
        <f t="shared" si="19"/>
        <v>40599034.571841165</v>
      </c>
      <c r="F60" s="5">
        <v>59983</v>
      </c>
      <c r="G60" s="5">
        <v>13754258</v>
      </c>
      <c r="H60" s="5">
        <v>5219</v>
      </c>
      <c r="I60" s="2">
        <f>VLOOKUP(B60,CDM!$I$5:$N$15,3,FALSE)/12</f>
        <v>257042.64414502322</v>
      </c>
      <c r="J60" s="2">
        <f t="shared" si="18"/>
        <v>14011300.644145023</v>
      </c>
      <c r="K60" s="5">
        <v>72454970</v>
      </c>
      <c r="L60" s="2">
        <f>VLOOKUP(B60,CDM!$I$5:$N$15,4,FALSE)/12</f>
        <v>1679397.2948097724</v>
      </c>
      <c r="M60" s="87">
        <f t="shared" si="20"/>
        <v>74134367.294809774</v>
      </c>
      <c r="N60" s="5">
        <v>201777</v>
      </c>
      <c r="O60" s="5">
        <v>1029</v>
      </c>
      <c r="P60" s="5">
        <v>985612</v>
      </c>
      <c r="Q60" s="5">
        <v>2304</v>
      </c>
      <c r="R60" s="7">
        <v>15196</v>
      </c>
      <c r="S60" s="5">
        <v>257104</v>
      </c>
      <c r="T60" s="1">
        <v>24</v>
      </c>
      <c r="U60" s="1">
        <v>566</v>
      </c>
      <c r="V60" s="37">
        <f>'Economic (2020 Adj.)'!C72</f>
        <v>659861.19999999995</v>
      </c>
      <c r="W60" s="37">
        <f>'Economic (2020 Adj.)'!D72</f>
        <v>6907.5</v>
      </c>
      <c r="X60" s="37">
        <f>'Economic (2020 Adj.)'!F72</f>
        <v>3082</v>
      </c>
      <c r="Y60" s="37">
        <f>'Economic (2020 Adj.)'!H72</f>
        <v>383</v>
      </c>
      <c r="Z60" s="37">
        <f>'Economic (2020 Adj.)'!E72</f>
        <v>6914.3</v>
      </c>
      <c r="AA60" s="37">
        <f>'Economic (2020 Adj.)'!G72</f>
        <v>3084.8</v>
      </c>
      <c r="AB60" s="37">
        <f>'Economic (2020 Adj.)'!I72</f>
        <v>384.2</v>
      </c>
      <c r="AC60" s="39">
        <f>Weather!D192</f>
        <v>3.2833333333333328</v>
      </c>
      <c r="AD60" s="39">
        <f>Weather!E192</f>
        <v>501.49999999999994</v>
      </c>
      <c r="AE60" s="39">
        <f>Weather!F192</f>
        <v>0</v>
      </c>
      <c r="AF60" s="39">
        <f>Weather!G192</f>
        <v>441.49999999999994</v>
      </c>
      <c r="AG60" s="39">
        <f>Weather!H192</f>
        <v>0</v>
      </c>
      <c r="AH60" s="39">
        <f>Weather!I192</f>
        <v>381.49999999999994</v>
      </c>
      <c r="AI60" s="39">
        <f>Weather!J192</f>
        <v>0</v>
      </c>
      <c r="AJ60" s="39">
        <f>Weather!K192</f>
        <v>321.5</v>
      </c>
      <c r="AK60" s="39">
        <f>Weather!L192</f>
        <v>0</v>
      </c>
      <c r="AL60" s="39">
        <f>Weather!M192</f>
        <v>261.60000000000002</v>
      </c>
      <c r="AM60" s="39">
        <f>Weather!N192</f>
        <v>9.9999999999999645E-2</v>
      </c>
      <c r="AN60" s="39">
        <f>Weather!O192</f>
        <v>207.1</v>
      </c>
      <c r="AO60" s="39">
        <f>Weather!P192</f>
        <v>5.6</v>
      </c>
      <c r="AP60" s="39">
        <f>Weather!Q192</f>
        <v>156.39999999999998</v>
      </c>
      <c r="AQ60" s="39">
        <f>Weather!R192</f>
        <v>14.899999999999999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1</v>
      </c>
      <c r="BC60">
        <v>0</v>
      </c>
      <c r="BD60">
        <v>0</v>
      </c>
      <c r="BE60">
        <v>1</v>
      </c>
      <c r="BF60">
        <v>1</v>
      </c>
      <c r="BG60" s="1">
        <f t="shared" si="21"/>
        <v>59</v>
      </c>
      <c r="BH60">
        <v>30</v>
      </c>
      <c r="BI60">
        <v>20</v>
      </c>
      <c r="BJ60" s="160">
        <f t="shared" si="5"/>
        <v>676.84234819600829</v>
      </c>
      <c r="BK60" s="160">
        <f t="shared" si="6"/>
        <v>22.561411606533611</v>
      </c>
      <c r="BL60" s="159">
        <f t="shared" si="7"/>
        <v>1353301.1523947055</v>
      </c>
      <c r="BM60" s="160">
        <f t="shared" si="8"/>
        <v>2684.6715164102361</v>
      </c>
      <c r="BN60" s="160">
        <f t="shared" si="9"/>
        <v>89.489050547007864</v>
      </c>
      <c r="BO60" s="160">
        <f t="shared" si="10"/>
        <v>467043.35480483412</v>
      </c>
      <c r="BP60" s="160">
        <f t="shared" si="11"/>
        <v>72045.060539173734</v>
      </c>
      <c r="BQ60" s="160">
        <f t="shared" si="12"/>
        <v>2401.5020179724579</v>
      </c>
      <c r="BR60" s="160">
        <f t="shared" si="13"/>
        <v>3602.2530269586869</v>
      </c>
      <c r="BS60" s="160">
        <f t="shared" si="14"/>
        <v>2471145.5764936591</v>
      </c>
      <c r="BT60" s="160">
        <f t="shared" si="15"/>
        <v>3706718.3647404886</v>
      </c>
    </row>
    <row r="61" spans="1:72" x14ac:dyDescent="0.2">
      <c r="A61" s="3">
        <v>41974</v>
      </c>
      <c r="B61" s="4">
        <f t="shared" si="16"/>
        <v>2014</v>
      </c>
      <c r="C61" s="2">
        <v>44606686</v>
      </c>
      <c r="D61" s="2">
        <f>VLOOKUP(B61,CDM!$I$5:$N$15,2,FALSE)/12</f>
        <v>582902.57184116344</v>
      </c>
      <c r="E61" s="2">
        <f t="shared" si="19"/>
        <v>45189588.571841165</v>
      </c>
      <c r="F61" s="7">
        <v>60014</v>
      </c>
      <c r="G61" s="5">
        <v>14879853</v>
      </c>
      <c r="H61" s="7">
        <v>5230</v>
      </c>
      <c r="I61" s="2">
        <f>VLOOKUP(B61,CDM!$I$5:$N$15,3,FALSE)/12</f>
        <v>257042.64414502322</v>
      </c>
      <c r="J61" s="2">
        <f t="shared" si="18"/>
        <v>15136895.644145023</v>
      </c>
      <c r="K61" s="5">
        <v>73645384</v>
      </c>
      <c r="L61" s="2">
        <f>VLOOKUP(B61,CDM!$I$5:$N$15,4,FALSE)/12</f>
        <v>1679397.2948097724</v>
      </c>
      <c r="M61" s="87">
        <f t="shared" si="20"/>
        <v>75324781.294809774</v>
      </c>
      <c r="N61" s="5">
        <v>179258</v>
      </c>
      <c r="O61" s="7">
        <v>1028</v>
      </c>
      <c r="P61" s="5">
        <v>1068286</v>
      </c>
      <c r="Q61" s="5">
        <v>2304</v>
      </c>
      <c r="R61" s="5">
        <v>15196</v>
      </c>
      <c r="S61" s="5">
        <v>260405</v>
      </c>
      <c r="T61" s="1">
        <v>24</v>
      </c>
      <c r="U61" s="1">
        <v>566</v>
      </c>
      <c r="V61" s="37">
        <f>'Economic (2020 Adj.)'!C73</f>
        <v>659861.19999999995</v>
      </c>
      <c r="W61" s="37">
        <f>'Economic (2020 Adj.)'!D73</f>
        <v>6903.1</v>
      </c>
      <c r="X61" s="37">
        <f>'Economic (2020 Adj.)'!F73</f>
        <v>3080.1</v>
      </c>
      <c r="Y61" s="37">
        <f>'Economic (2020 Adj.)'!H73</f>
        <v>380</v>
      </c>
      <c r="Z61" s="37">
        <f>'Economic (2020 Adj.)'!E73</f>
        <v>6903.2</v>
      </c>
      <c r="AA61" s="37">
        <f>'Economic (2020 Adj.)'!G73</f>
        <v>3082.8</v>
      </c>
      <c r="AB61" s="37">
        <f>'Economic (2020 Adj.)'!I73</f>
        <v>382.5</v>
      </c>
      <c r="AC61" s="39">
        <f>Weather!D193</f>
        <v>1.2548387096774198</v>
      </c>
      <c r="AD61" s="39">
        <f>Weather!E193</f>
        <v>581.09999999999991</v>
      </c>
      <c r="AE61" s="39">
        <f>Weather!F193</f>
        <v>0</v>
      </c>
      <c r="AF61" s="39">
        <f>Weather!G193</f>
        <v>519.09999999999991</v>
      </c>
      <c r="AG61" s="39">
        <f>Weather!H193</f>
        <v>0</v>
      </c>
      <c r="AH61" s="39">
        <f>Weather!I193</f>
        <v>457.09999999999997</v>
      </c>
      <c r="AI61" s="39">
        <f>Weather!J193</f>
        <v>0</v>
      </c>
      <c r="AJ61" s="39">
        <f>Weather!K193</f>
        <v>395.1</v>
      </c>
      <c r="AK61" s="39">
        <f>Weather!L193</f>
        <v>0</v>
      </c>
      <c r="AL61" s="39">
        <f>Weather!M193</f>
        <v>333.1</v>
      </c>
      <c r="AM61" s="39">
        <f>Weather!N193</f>
        <v>0</v>
      </c>
      <c r="AN61" s="39">
        <f>Weather!O193</f>
        <v>271.10000000000002</v>
      </c>
      <c r="AO61" s="39">
        <f>Weather!P193</f>
        <v>0</v>
      </c>
      <c r="AP61" s="39">
        <f>Weather!Q193</f>
        <v>209.10000000000002</v>
      </c>
      <c r="AQ61" s="39">
        <f>Weather!R193</f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1</v>
      </c>
      <c r="BD61">
        <v>0</v>
      </c>
      <c r="BE61">
        <v>0</v>
      </c>
      <c r="BF61">
        <v>0</v>
      </c>
      <c r="BG61" s="1">
        <f t="shared" si="21"/>
        <v>60</v>
      </c>
      <c r="BH61">
        <v>31</v>
      </c>
      <c r="BI61">
        <v>21</v>
      </c>
      <c r="BJ61" s="160">
        <f t="shared" si="5"/>
        <v>752.98411323759728</v>
      </c>
      <c r="BK61" s="160">
        <f t="shared" si="6"/>
        <v>24.289810104438622</v>
      </c>
      <c r="BL61" s="159">
        <f t="shared" si="7"/>
        <v>1457728.6636077794</v>
      </c>
      <c r="BM61" s="160">
        <f t="shared" si="8"/>
        <v>2894.2439090143448</v>
      </c>
      <c r="BN61" s="160">
        <f t="shared" si="9"/>
        <v>93.362706742398217</v>
      </c>
      <c r="BO61" s="160">
        <f t="shared" si="10"/>
        <v>488286.95626274269</v>
      </c>
      <c r="BP61" s="160">
        <f t="shared" si="11"/>
        <v>73273.133555262422</v>
      </c>
      <c r="BQ61" s="160">
        <f t="shared" si="12"/>
        <v>2363.6494695245942</v>
      </c>
      <c r="BR61" s="160">
        <f t="shared" si="13"/>
        <v>3489.1968359648772</v>
      </c>
      <c r="BS61" s="160">
        <f t="shared" si="14"/>
        <v>2429831.654671283</v>
      </c>
      <c r="BT61" s="160">
        <f t="shared" si="15"/>
        <v>3586894.3473718939</v>
      </c>
    </row>
    <row r="62" spans="1:72" x14ac:dyDescent="0.2">
      <c r="A62" s="3">
        <v>42005</v>
      </c>
      <c r="B62" s="4">
        <f t="shared" si="16"/>
        <v>2015</v>
      </c>
      <c r="C62" s="2">
        <v>49036178</v>
      </c>
      <c r="D62" s="2">
        <f>VLOOKUP(B62,CDM!$I$5:$N$15,2,FALSE)/12</f>
        <v>848162.38390519342</v>
      </c>
      <c r="E62" s="2">
        <f t="shared" si="19"/>
        <v>49884340.383905195</v>
      </c>
      <c r="F62" s="7">
        <v>60019</v>
      </c>
      <c r="G62" s="5">
        <v>15722680</v>
      </c>
      <c r="H62" s="7">
        <v>5230</v>
      </c>
      <c r="I62" s="2">
        <f>VLOOKUP(B62,CDM!$I$5:$N$15,3,FALSE)/12</f>
        <v>459876.69908988359</v>
      </c>
      <c r="J62" s="2">
        <f t="shared" si="18"/>
        <v>16182556.699089883</v>
      </c>
      <c r="K62" s="5">
        <v>79523058</v>
      </c>
      <c r="L62" s="2">
        <f>VLOOKUP(B62,CDM!$I$5:$N$15,4,FALSE)/12</f>
        <v>2133960.9013047926</v>
      </c>
      <c r="M62" s="87">
        <f t="shared" si="20"/>
        <v>81657018.901304796</v>
      </c>
      <c r="N62" s="5">
        <v>190064</v>
      </c>
      <c r="O62" s="7">
        <v>1028</v>
      </c>
      <c r="P62" s="5">
        <v>1045146</v>
      </c>
      <c r="Q62" s="5">
        <v>2305</v>
      </c>
      <c r="R62" s="7">
        <v>15225</v>
      </c>
      <c r="S62" s="5">
        <v>257164</v>
      </c>
      <c r="T62" s="1">
        <v>24</v>
      </c>
      <c r="U62" s="1">
        <v>566</v>
      </c>
      <c r="V62" s="37">
        <f>'Economic (2020 Adj.)'!C74</f>
        <v>677384</v>
      </c>
      <c r="W62" s="37">
        <f>'Economic (2020 Adj.)'!D74</f>
        <v>6885.7</v>
      </c>
      <c r="X62" s="37">
        <f>'Economic (2020 Adj.)'!F74</f>
        <v>3076.8</v>
      </c>
      <c r="Y62" s="37">
        <f>'Economic (2020 Adj.)'!H74</f>
        <v>379.5</v>
      </c>
      <c r="Z62" s="37">
        <f>'Economic (2020 Adj.)'!E74</f>
        <v>6845.1</v>
      </c>
      <c r="AA62" s="37">
        <f>'Economic (2020 Adj.)'!G74</f>
        <v>3066.1</v>
      </c>
      <c r="AB62" s="37">
        <f>'Economic (2020 Adj.)'!I74</f>
        <v>379.3</v>
      </c>
      <c r="AC62" s="39">
        <f>Weather!D194</f>
        <v>-5.8580645161290343</v>
      </c>
      <c r="AD62" s="39">
        <f>Weather!E194</f>
        <v>801.5999999999998</v>
      </c>
      <c r="AE62" s="39">
        <f>Weather!F194</f>
        <v>0</v>
      </c>
      <c r="AF62" s="39">
        <f>Weather!G194</f>
        <v>739.5999999999998</v>
      </c>
      <c r="AG62" s="39">
        <f>Weather!H194</f>
        <v>0</v>
      </c>
      <c r="AH62" s="39">
        <f>Weather!I194</f>
        <v>677.59999999999968</v>
      </c>
      <c r="AI62" s="39">
        <f>Weather!J194</f>
        <v>0</v>
      </c>
      <c r="AJ62" s="39">
        <f>Weather!K194</f>
        <v>615.5999999999998</v>
      </c>
      <c r="AK62" s="39">
        <f>Weather!L194</f>
        <v>0</v>
      </c>
      <c r="AL62" s="39">
        <f>Weather!M194</f>
        <v>553.59999999999991</v>
      </c>
      <c r="AM62" s="39">
        <f>Weather!N194</f>
        <v>0</v>
      </c>
      <c r="AN62" s="39">
        <f>Weather!O194</f>
        <v>491.59999999999997</v>
      </c>
      <c r="AO62" s="39">
        <f>Weather!P194</f>
        <v>0</v>
      </c>
      <c r="AP62" s="39">
        <f>Weather!Q194</f>
        <v>429.59999999999997</v>
      </c>
      <c r="AQ62" s="39">
        <f>Weather!R194</f>
        <v>0</v>
      </c>
      <c r="AR62">
        <v>1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 s="1">
        <f t="shared" si="21"/>
        <v>61</v>
      </c>
      <c r="BH62">
        <v>31</v>
      </c>
      <c r="BI62">
        <v>21</v>
      </c>
      <c r="BJ62" s="160">
        <f t="shared" si="5"/>
        <v>831.14247794707001</v>
      </c>
      <c r="BK62" s="160">
        <f t="shared" si="6"/>
        <v>26.811047675711936</v>
      </c>
      <c r="BL62" s="159">
        <f t="shared" si="7"/>
        <v>1609172.2704485548</v>
      </c>
      <c r="BM62" s="160">
        <f t="shared" si="8"/>
        <v>3094.1791011644136</v>
      </c>
      <c r="BN62" s="160">
        <f t="shared" si="9"/>
        <v>99.812229069819793</v>
      </c>
      <c r="BO62" s="160">
        <f t="shared" si="10"/>
        <v>522017.95803515753</v>
      </c>
      <c r="BP62" s="160">
        <f t="shared" si="11"/>
        <v>79432.897763915171</v>
      </c>
      <c r="BQ62" s="160">
        <f t="shared" si="12"/>
        <v>2562.3515407714572</v>
      </c>
      <c r="BR62" s="160">
        <f t="shared" si="13"/>
        <v>3782.5189411388178</v>
      </c>
      <c r="BS62" s="160">
        <f t="shared" si="14"/>
        <v>2634097.3839130579</v>
      </c>
      <c r="BT62" s="160">
        <f t="shared" si="15"/>
        <v>3888429.4714907045</v>
      </c>
    </row>
    <row r="63" spans="1:72" x14ac:dyDescent="0.2">
      <c r="A63" s="3">
        <v>42036</v>
      </c>
      <c r="B63" s="4">
        <f t="shared" si="16"/>
        <v>2015</v>
      </c>
      <c r="C63" s="2">
        <v>42132823</v>
      </c>
      <c r="D63" s="2">
        <f>VLOOKUP(B63,CDM!$I$5:$N$15,2,FALSE)/12</f>
        <v>848162.38390519342</v>
      </c>
      <c r="E63" s="2">
        <f t="shared" si="19"/>
        <v>42980985.383905195</v>
      </c>
      <c r="F63" s="5">
        <v>60029</v>
      </c>
      <c r="G63" s="5">
        <v>14670158</v>
      </c>
      <c r="H63" s="5">
        <v>5234</v>
      </c>
      <c r="I63" s="2">
        <f>VLOOKUP(B63,CDM!$I$5:$N$15,3,FALSE)/12</f>
        <v>459876.69908988359</v>
      </c>
      <c r="J63" s="2">
        <f t="shared" si="18"/>
        <v>15130034.699089883</v>
      </c>
      <c r="K63" s="5">
        <v>74181806</v>
      </c>
      <c r="L63" s="2">
        <f>VLOOKUP(B63,CDM!$I$5:$N$15,4,FALSE)/12</f>
        <v>2133960.9013047926</v>
      </c>
      <c r="M63" s="87">
        <f t="shared" si="20"/>
        <v>76315766.901304796</v>
      </c>
      <c r="N63" s="5">
        <v>194654</v>
      </c>
      <c r="O63" s="5">
        <v>1027</v>
      </c>
      <c r="P63" s="5">
        <v>873453</v>
      </c>
      <c r="Q63" s="5">
        <v>2305</v>
      </c>
      <c r="R63" s="7">
        <v>15225</v>
      </c>
      <c r="S63" s="5">
        <v>256037</v>
      </c>
      <c r="T63" s="1">
        <v>24</v>
      </c>
      <c r="U63" s="1">
        <v>553</v>
      </c>
      <c r="V63" s="37">
        <f>'Economic (2020 Adj.)'!C75</f>
        <v>677384</v>
      </c>
      <c r="W63" s="37">
        <f>'Economic (2020 Adj.)'!D75</f>
        <v>6885.3</v>
      </c>
      <c r="X63" s="37">
        <f>'Economic (2020 Adj.)'!F75</f>
        <v>3085.5</v>
      </c>
      <c r="Y63" s="37">
        <f>'Economic (2020 Adj.)'!H75</f>
        <v>378.6</v>
      </c>
      <c r="Z63" s="37">
        <f>'Economic (2020 Adj.)'!E75</f>
        <v>6810.3</v>
      </c>
      <c r="AA63" s="37">
        <f>'Economic (2020 Adj.)'!G75</f>
        <v>3057.4</v>
      </c>
      <c r="AB63" s="37">
        <f>'Economic (2020 Adj.)'!I75</f>
        <v>376.2</v>
      </c>
      <c r="AC63" s="39">
        <f>Weather!D195</f>
        <v>-11.139285714285718</v>
      </c>
      <c r="AD63" s="39">
        <f>Weather!E195</f>
        <v>871.89999999999975</v>
      </c>
      <c r="AE63" s="39">
        <f>Weather!F195</f>
        <v>0</v>
      </c>
      <c r="AF63" s="39">
        <f>Weather!G195</f>
        <v>815.89999999999975</v>
      </c>
      <c r="AG63" s="39">
        <f>Weather!H195</f>
        <v>0</v>
      </c>
      <c r="AH63" s="39">
        <f>Weather!I195</f>
        <v>759.89999999999986</v>
      </c>
      <c r="AI63" s="39">
        <f>Weather!J195</f>
        <v>0</v>
      </c>
      <c r="AJ63" s="39">
        <f>Weather!K195</f>
        <v>703.89999999999986</v>
      </c>
      <c r="AK63" s="39">
        <f>Weather!L195</f>
        <v>0</v>
      </c>
      <c r="AL63" s="39">
        <f>Weather!M195</f>
        <v>647.9</v>
      </c>
      <c r="AM63" s="39">
        <f>Weather!N195</f>
        <v>0</v>
      </c>
      <c r="AN63" s="39">
        <f>Weather!O195</f>
        <v>591.9</v>
      </c>
      <c r="AO63" s="39">
        <f>Weather!P195</f>
        <v>0</v>
      </c>
      <c r="AP63" s="39">
        <f>Weather!Q195</f>
        <v>535.9</v>
      </c>
      <c r="AQ63" s="39">
        <f>Weather!R195</f>
        <v>0</v>
      </c>
      <c r="AR63">
        <v>0</v>
      </c>
      <c r="AS63">
        <v>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 s="1">
        <f t="shared" si="21"/>
        <v>62</v>
      </c>
      <c r="BH63">
        <v>28</v>
      </c>
      <c r="BI63">
        <v>19</v>
      </c>
      <c r="BJ63" s="160">
        <f t="shared" si="5"/>
        <v>716.00368794924441</v>
      </c>
      <c r="BK63" s="160">
        <f t="shared" si="6"/>
        <v>25.571560283901587</v>
      </c>
      <c r="BL63" s="159">
        <f t="shared" si="7"/>
        <v>1535035.1922823284</v>
      </c>
      <c r="BM63" s="160">
        <f t="shared" si="8"/>
        <v>2890.7211882097599</v>
      </c>
      <c r="BN63" s="160">
        <f t="shared" si="9"/>
        <v>103.24004243606285</v>
      </c>
      <c r="BO63" s="160">
        <f t="shared" si="10"/>
        <v>540358.38211035298</v>
      </c>
      <c r="BP63" s="160">
        <f t="shared" si="11"/>
        <v>74309.412756869322</v>
      </c>
      <c r="BQ63" s="160">
        <f t="shared" si="12"/>
        <v>2653.9075984596188</v>
      </c>
      <c r="BR63" s="160">
        <f t="shared" si="13"/>
        <v>3911.0217240457537</v>
      </c>
      <c r="BS63" s="160">
        <f t="shared" si="14"/>
        <v>2725563.1036180286</v>
      </c>
      <c r="BT63" s="160">
        <f t="shared" si="15"/>
        <v>4016619.3105949895</v>
      </c>
    </row>
    <row r="64" spans="1:72" x14ac:dyDescent="0.2">
      <c r="A64" s="3">
        <v>42064</v>
      </c>
      <c r="B64" s="4">
        <f t="shared" si="16"/>
        <v>2015</v>
      </c>
      <c r="C64" s="2">
        <v>42570862</v>
      </c>
      <c r="D64" s="2">
        <f>VLOOKUP(B64,CDM!$I$5:$N$15,2,FALSE)/12</f>
        <v>848162.38390519342</v>
      </c>
      <c r="E64" s="2">
        <f t="shared" si="19"/>
        <v>43419024.383905195</v>
      </c>
      <c r="F64" s="7">
        <v>60053</v>
      </c>
      <c r="G64" s="5">
        <v>15080135</v>
      </c>
      <c r="H64" s="7">
        <v>5236</v>
      </c>
      <c r="I64" s="2">
        <f>VLOOKUP(B64,CDM!$I$5:$N$15,3,FALSE)/12</f>
        <v>459876.69908988359</v>
      </c>
      <c r="J64" s="2">
        <f t="shared" si="18"/>
        <v>15540011.699089883</v>
      </c>
      <c r="K64" s="5">
        <v>77250849</v>
      </c>
      <c r="L64" s="2">
        <f>VLOOKUP(B64,CDM!$I$5:$N$15,4,FALSE)/12</f>
        <v>2133960.9013047926</v>
      </c>
      <c r="M64" s="87">
        <f t="shared" si="20"/>
        <v>79384809.901304796</v>
      </c>
      <c r="N64" s="5">
        <v>196634</v>
      </c>
      <c r="O64" s="7">
        <v>1030</v>
      </c>
      <c r="P64" s="5">
        <v>862804</v>
      </c>
      <c r="Q64" s="5">
        <v>2305</v>
      </c>
      <c r="R64" s="5">
        <v>15225</v>
      </c>
      <c r="S64" s="5">
        <v>257839</v>
      </c>
      <c r="T64" s="1">
        <v>24</v>
      </c>
      <c r="U64" s="1">
        <v>553</v>
      </c>
      <c r="V64" s="37">
        <f>'Economic (2020 Adj.)'!C76</f>
        <v>677384</v>
      </c>
      <c r="W64" s="37">
        <f>'Economic (2020 Adj.)'!D76</f>
        <v>6892.1</v>
      </c>
      <c r="X64" s="37">
        <f>'Economic (2020 Adj.)'!F76</f>
        <v>3108.7</v>
      </c>
      <c r="Y64" s="37">
        <f>'Economic (2020 Adj.)'!H76</f>
        <v>379.4</v>
      </c>
      <c r="Z64" s="37">
        <f>'Economic (2020 Adj.)'!E76</f>
        <v>6783.7</v>
      </c>
      <c r="AA64" s="37">
        <f>'Economic (2020 Adj.)'!G76</f>
        <v>3060.7</v>
      </c>
      <c r="AB64" s="37">
        <f>'Economic (2020 Adj.)'!I76</f>
        <v>373.1</v>
      </c>
      <c r="AC64" s="39">
        <f>Weather!D196</f>
        <v>-1.1612903225806448</v>
      </c>
      <c r="AD64" s="39">
        <f>Weather!E196</f>
        <v>655.99999999999989</v>
      </c>
      <c r="AE64" s="39">
        <f>Weather!F196</f>
        <v>0</v>
      </c>
      <c r="AF64" s="39">
        <f>Weather!G196</f>
        <v>593.99999999999989</v>
      </c>
      <c r="AG64" s="39">
        <f>Weather!H196</f>
        <v>0</v>
      </c>
      <c r="AH64" s="39">
        <f>Weather!I196</f>
        <v>531.99999999999989</v>
      </c>
      <c r="AI64" s="39">
        <f>Weather!J196</f>
        <v>0</v>
      </c>
      <c r="AJ64" s="39">
        <f>Weather!K196</f>
        <v>469.99999999999994</v>
      </c>
      <c r="AK64" s="39">
        <f>Weather!L196</f>
        <v>0</v>
      </c>
      <c r="AL64" s="39">
        <f>Weather!M196</f>
        <v>408</v>
      </c>
      <c r="AM64" s="39">
        <f>Weather!N196</f>
        <v>0</v>
      </c>
      <c r="AN64" s="39">
        <f>Weather!O196</f>
        <v>346</v>
      </c>
      <c r="AO64" s="39">
        <f>Weather!P196</f>
        <v>0</v>
      </c>
      <c r="AP64" s="39">
        <f>Weather!Q196</f>
        <v>284</v>
      </c>
      <c r="AQ64" s="39">
        <f>Weather!R196</f>
        <v>0</v>
      </c>
      <c r="AR64">
        <v>0</v>
      </c>
      <c r="AS64">
        <v>0</v>
      </c>
      <c r="AT64">
        <v>1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1</v>
      </c>
      <c r="BE64">
        <v>0</v>
      </c>
      <c r="BF64">
        <v>1</v>
      </c>
      <c r="BG64" s="1">
        <f t="shared" si="21"/>
        <v>63</v>
      </c>
      <c r="BH64">
        <v>31</v>
      </c>
      <c r="BI64">
        <v>22</v>
      </c>
      <c r="BJ64" s="160">
        <f t="shared" si="5"/>
        <v>723.01174602276649</v>
      </c>
      <c r="BK64" s="160">
        <f t="shared" si="6"/>
        <v>23.322959549121499</v>
      </c>
      <c r="BL64" s="159">
        <f t="shared" si="7"/>
        <v>1400613.6898033933</v>
      </c>
      <c r="BM64" s="160">
        <f t="shared" si="8"/>
        <v>2967.9166728590303</v>
      </c>
      <c r="BN64" s="160">
        <f t="shared" si="9"/>
        <v>95.739247511581624</v>
      </c>
      <c r="BO64" s="160">
        <f t="shared" si="10"/>
        <v>501290.69997064141</v>
      </c>
      <c r="BP64" s="160">
        <f t="shared" si="11"/>
        <v>77072.630972140585</v>
      </c>
      <c r="BQ64" s="160">
        <f t="shared" si="12"/>
        <v>2486.2139023271156</v>
      </c>
      <c r="BR64" s="160">
        <f t="shared" si="13"/>
        <v>3503.3014078245719</v>
      </c>
      <c r="BS64" s="160">
        <f t="shared" si="14"/>
        <v>2560800.3193969289</v>
      </c>
      <c r="BT64" s="160">
        <f t="shared" si="15"/>
        <v>3608400.4500593091</v>
      </c>
    </row>
    <row r="65" spans="1:72" x14ac:dyDescent="0.2">
      <c r="A65" s="3">
        <v>42095</v>
      </c>
      <c r="B65" s="4">
        <f t="shared" si="16"/>
        <v>2015</v>
      </c>
      <c r="C65" s="2">
        <v>37765295</v>
      </c>
      <c r="D65" s="2">
        <f>VLOOKUP(B65,CDM!$I$5:$N$15,2,FALSE)/12</f>
        <v>848162.38390519342</v>
      </c>
      <c r="E65" s="2">
        <f t="shared" si="19"/>
        <v>38613457.383905195</v>
      </c>
      <c r="F65" s="7">
        <v>60058</v>
      </c>
      <c r="G65" s="5">
        <v>13252080</v>
      </c>
      <c r="H65" s="7">
        <v>5236</v>
      </c>
      <c r="I65" s="2">
        <f>VLOOKUP(B65,CDM!$I$5:$N$15,3,FALSE)/12</f>
        <v>459876.69908988359</v>
      </c>
      <c r="J65" s="2">
        <f t="shared" si="18"/>
        <v>13711956.699089883</v>
      </c>
      <c r="K65" s="5">
        <v>69787643</v>
      </c>
      <c r="L65" s="2">
        <f>VLOOKUP(B65,CDM!$I$5:$N$15,4,FALSE)/12</f>
        <v>2133960.9013047926</v>
      </c>
      <c r="M65" s="87">
        <f t="shared" si="20"/>
        <v>71921603.901304796</v>
      </c>
      <c r="N65" s="5">
        <v>192074</v>
      </c>
      <c r="O65" s="7">
        <v>1028</v>
      </c>
      <c r="P65" s="5">
        <v>732535</v>
      </c>
      <c r="Q65" s="5">
        <v>2305</v>
      </c>
      <c r="R65" s="7">
        <v>15225</v>
      </c>
      <c r="S65" s="5">
        <v>256901</v>
      </c>
      <c r="T65" s="1">
        <v>24</v>
      </c>
      <c r="U65" s="1">
        <v>553</v>
      </c>
      <c r="V65" s="37">
        <f>'Economic (2020 Adj.)'!C77</f>
        <v>677384</v>
      </c>
      <c r="W65" s="37">
        <f>'Economic (2020 Adj.)'!D77</f>
        <v>6897.3</v>
      </c>
      <c r="X65" s="37">
        <f>'Economic (2020 Adj.)'!F77</f>
        <v>3122.7</v>
      </c>
      <c r="Y65" s="37">
        <f>'Economic (2020 Adj.)'!H77</f>
        <v>379.6</v>
      </c>
      <c r="Z65" s="37">
        <f>'Economic (2020 Adj.)'!E77</f>
        <v>6805.6</v>
      </c>
      <c r="AA65" s="37">
        <f>'Economic (2020 Adj.)'!G77</f>
        <v>3086.6</v>
      </c>
      <c r="AB65" s="37">
        <f>'Economic (2020 Adj.)'!I77</f>
        <v>374.7</v>
      </c>
      <c r="AC65" s="39">
        <f>Weather!D197</f>
        <v>7.2700000000000022</v>
      </c>
      <c r="AD65" s="39">
        <f>Weather!E197</f>
        <v>381.90000000000003</v>
      </c>
      <c r="AE65" s="39">
        <f>Weather!F197</f>
        <v>0</v>
      </c>
      <c r="AF65" s="39">
        <f>Weather!G197</f>
        <v>321.90000000000009</v>
      </c>
      <c r="AG65" s="39">
        <f>Weather!H197</f>
        <v>0</v>
      </c>
      <c r="AH65" s="39">
        <f>Weather!I197</f>
        <v>261.89999999999998</v>
      </c>
      <c r="AI65" s="39">
        <f>Weather!J197</f>
        <v>0</v>
      </c>
      <c r="AJ65" s="39">
        <f>Weather!K197</f>
        <v>203.49999999999991</v>
      </c>
      <c r="AK65" s="39">
        <f>Weather!L197</f>
        <v>1.5999999999999996</v>
      </c>
      <c r="AL65" s="39">
        <f>Weather!M197</f>
        <v>149.69999999999996</v>
      </c>
      <c r="AM65" s="39">
        <f>Weather!N197</f>
        <v>7.8000000000000007</v>
      </c>
      <c r="AN65" s="39">
        <f>Weather!O197</f>
        <v>102.5</v>
      </c>
      <c r="AO65" s="39">
        <f>Weather!P197</f>
        <v>20.6</v>
      </c>
      <c r="AP65" s="39">
        <f>Weather!Q197</f>
        <v>61.70000000000001</v>
      </c>
      <c r="AQ65" s="39">
        <f>Weather!R197</f>
        <v>39.799999999999997</v>
      </c>
      <c r="AR65">
        <v>0</v>
      </c>
      <c r="AS65">
        <v>0</v>
      </c>
      <c r="AT65">
        <v>0</v>
      </c>
      <c r="AU65">
        <v>1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1</v>
      </c>
      <c r="BE65">
        <v>0</v>
      </c>
      <c r="BF65">
        <v>1</v>
      </c>
      <c r="BG65" s="1">
        <f t="shared" si="21"/>
        <v>64</v>
      </c>
      <c r="BH65">
        <v>30</v>
      </c>
      <c r="BI65">
        <v>20</v>
      </c>
      <c r="BJ65" s="160">
        <f t="shared" si="5"/>
        <v>642.93611815087411</v>
      </c>
      <c r="BK65" s="160">
        <f t="shared" si="6"/>
        <v>21.431203938362469</v>
      </c>
      <c r="BL65" s="159">
        <f t="shared" si="7"/>
        <v>1287115.2461301731</v>
      </c>
      <c r="BM65" s="160">
        <f t="shared" si="8"/>
        <v>2618.7847018888242</v>
      </c>
      <c r="BN65" s="160">
        <f t="shared" si="9"/>
        <v>87.292823396294139</v>
      </c>
      <c r="BO65" s="160">
        <f t="shared" si="10"/>
        <v>457065.22330299608</v>
      </c>
      <c r="BP65" s="160">
        <f t="shared" si="11"/>
        <v>69962.649709440462</v>
      </c>
      <c r="BQ65" s="160">
        <f t="shared" si="12"/>
        <v>2332.0883236480154</v>
      </c>
      <c r="BR65" s="160">
        <f t="shared" si="13"/>
        <v>3498.1324854720233</v>
      </c>
      <c r="BS65" s="160">
        <f t="shared" si="14"/>
        <v>2397386.7967101601</v>
      </c>
      <c r="BT65" s="160">
        <f t="shared" si="15"/>
        <v>3596080.1950652399</v>
      </c>
    </row>
    <row r="66" spans="1:72" x14ac:dyDescent="0.2">
      <c r="A66" s="3">
        <v>42125</v>
      </c>
      <c r="B66" s="4">
        <f t="shared" si="16"/>
        <v>2015</v>
      </c>
      <c r="C66" s="2">
        <v>39914946</v>
      </c>
      <c r="D66" s="2">
        <f>VLOOKUP(B66,CDM!$I$5:$N$15,2,FALSE)/12</f>
        <v>848162.38390519342</v>
      </c>
      <c r="E66" s="2">
        <f t="shared" si="19"/>
        <v>40763108.383905195</v>
      </c>
      <c r="F66" s="5">
        <v>60068</v>
      </c>
      <c r="G66" s="5">
        <v>13384750</v>
      </c>
      <c r="H66" s="5">
        <v>5250</v>
      </c>
      <c r="I66" s="2">
        <f>VLOOKUP(B66,CDM!$I$5:$N$15,3,FALSE)/12</f>
        <v>459876.69908988359</v>
      </c>
      <c r="J66" s="2">
        <f t="shared" si="18"/>
        <v>13844626.699089883</v>
      </c>
      <c r="K66" s="5">
        <v>73480701</v>
      </c>
      <c r="L66" s="2">
        <f>VLOOKUP(B66,CDM!$I$5:$N$15,4,FALSE)/12</f>
        <v>2133960.9013047926</v>
      </c>
      <c r="M66" s="87">
        <f t="shared" si="20"/>
        <v>75614661.901304796</v>
      </c>
      <c r="N66" s="5">
        <v>187740</v>
      </c>
      <c r="O66" s="5">
        <v>1028</v>
      </c>
      <c r="P66" s="5">
        <v>666655</v>
      </c>
      <c r="Q66" s="5">
        <v>2305</v>
      </c>
      <c r="R66" s="7">
        <v>15225</v>
      </c>
      <c r="S66" s="5">
        <v>266757</v>
      </c>
      <c r="T66" s="1">
        <v>24</v>
      </c>
      <c r="U66" s="1">
        <v>556</v>
      </c>
      <c r="V66" s="37">
        <f>'Economic (2020 Adj.)'!C78</f>
        <v>677384</v>
      </c>
      <c r="W66" s="37">
        <f>'Economic (2020 Adj.)'!D78</f>
        <v>6906.5</v>
      </c>
      <c r="X66" s="37">
        <f>'Economic (2020 Adj.)'!F78</f>
        <v>3142.3</v>
      </c>
      <c r="Y66" s="37">
        <f>'Economic (2020 Adj.)'!H78</f>
        <v>385</v>
      </c>
      <c r="Z66" s="37">
        <f>'Economic (2020 Adj.)'!E78</f>
        <v>6870.9</v>
      </c>
      <c r="AA66" s="37">
        <f>'Economic (2020 Adj.)'!G78</f>
        <v>3130.7</v>
      </c>
      <c r="AB66" s="37">
        <f>'Economic (2020 Adj.)'!I78</f>
        <v>382.4</v>
      </c>
      <c r="AC66" s="39">
        <f>Weather!D198</f>
        <v>14.535483870967743</v>
      </c>
      <c r="AD66" s="39">
        <f>Weather!E198</f>
        <v>175.50000000000003</v>
      </c>
      <c r="AE66" s="39">
        <f>Weather!F198</f>
        <v>6.1000000000000014</v>
      </c>
      <c r="AF66" s="39">
        <f>Weather!G198</f>
        <v>123.90000000000002</v>
      </c>
      <c r="AG66" s="39">
        <f>Weather!H198</f>
        <v>16.5</v>
      </c>
      <c r="AH66" s="39">
        <f>Weather!I198</f>
        <v>80.5</v>
      </c>
      <c r="AI66" s="39">
        <f>Weather!J198</f>
        <v>35.1</v>
      </c>
      <c r="AJ66" s="39">
        <f>Weather!K198</f>
        <v>44.20000000000001</v>
      </c>
      <c r="AK66" s="39">
        <f>Weather!L198</f>
        <v>60.8</v>
      </c>
      <c r="AL66" s="39">
        <f>Weather!M198</f>
        <v>18.3</v>
      </c>
      <c r="AM66" s="39">
        <f>Weather!N198</f>
        <v>96.90000000000002</v>
      </c>
      <c r="AN66" s="39">
        <f>Weather!O198</f>
        <v>4.5999999999999996</v>
      </c>
      <c r="AO66" s="39">
        <f>Weather!P198</f>
        <v>145.20000000000002</v>
      </c>
      <c r="AP66" s="39">
        <f>Weather!Q198</f>
        <v>0.5</v>
      </c>
      <c r="AQ66" s="39">
        <f>Weather!R198</f>
        <v>203.09999999999997</v>
      </c>
      <c r="AR66">
        <v>0</v>
      </c>
      <c r="AS66">
        <v>0</v>
      </c>
      <c r="AT66">
        <v>0</v>
      </c>
      <c r="AU66">
        <v>0</v>
      </c>
      <c r="AV66">
        <v>1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1</v>
      </c>
      <c r="BE66">
        <v>0</v>
      </c>
      <c r="BF66">
        <v>1</v>
      </c>
      <c r="BG66" s="1">
        <f t="shared" si="21"/>
        <v>65</v>
      </c>
      <c r="BH66">
        <v>31</v>
      </c>
      <c r="BI66">
        <v>20</v>
      </c>
      <c r="BJ66" s="160">
        <f t="shared" si="5"/>
        <v>678.61604155132841</v>
      </c>
      <c r="BK66" s="160">
        <f t="shared" si="6"/>
        <v>21.890840050042851</v>
      </c>
      <c r="BL66" s="159">
        <f t="shared" si="7"/>
        <v>1314938.9801259739</v>
      </c>
      <c r="BM66" s="160">
        <f t="shared" si="8"/>
        <v>2637.0717522075965</v>
      </c>
      <c r="BN66" s="160">
        <f t="shared" si="9"/>
        <v>85.066830716374085</v>
      </c>
      <c r="BO66" s="160">
        <f t="shared" si="10"/>
        <v>446600.86126096395</v>
      </c>
      <c r="BP66" s="160">
        <f t="shared" si="11"/>
        <v>73555.1185810358</v>
      </c>
      <c r="BQ66" s="160">
        <f t="shared" si="12"/>
        <v>2372.7457606785742</v>
      </c>
      <c r="BR66" s="160">
        <f t="shared" si="13"/>
        <v>3677.7559290517902</v>
      </c>
      <c r="BS66" s="160">
        <f t="shared" si="14"/>
        <v>2439182.6419775742</v>
      </c>
      <c r="BT66" s="160">
        <f t="shared" si="15"/>
        <v>3780733.0950652398</v>
      </c>
    </row>
    <row r="67" spans="1:72" x14ac:dyDescent="0.2">
      <c r="A67" s="3">
        <v>42156</v>
      </c>
      <c r="B67" s="4">
        <f t="shared" si="16"/>
        <v>2015</v>
      </c>
      <c r="C67" s="2">
        <v>45271087</v>
      </c>
      <c r="D67" s="2">
        <f>VLOOKUP(B67,CDM!$I$5:$N$15,2,FALSE)/12</f>
        <v>848162.38390519342</v>
      </c>
      <c r="E67" s="2">
        <f t="shared" si="19"/>
        <v>46119249.383905195</v>
      </c>
      <c r="F67" s="7">
        <v>60094</v>
      </c>
      <c r="G67" s="5">
        <v>13700810</v>
      </c>
      <c r="H67" s="7">
        <v>5241</v>
      </c>
      <c r="I67" s="2">
        <f>VLOOKUP(B67,CDM!$I$5:$N$15,3,FALSE)/12</f>
        <v>459876.69908988359</v>
      </c>
      <c r="J67" s="2">
        <f t="shared" si="18"/>
        <v>14160686.699089883</v>
      </c>
      <c r="K67" s="5">
        <v>75378497</v>
      </c>
      <c r="L67" s="2">
        <f>VLOOKUP(B67,CDM!$I$5:$N$15,4,FALSE)/12</f>
        <v>2133960.9013047926</v>
      </c>
      <c r="M67" s="87">
        <f t="shared" si="20"/>
        <v>77512457.901304796</v>
      </c>
      <c r="N67" s="5">
        <v>203725</v>
      </c>
      <c r="O67" s="7">
        <v>1027</v>
      </c>
      <c r="P67" s="5">
        <v>599971</v>
      </c>
      <c r="Q67" s="5">
        <v>2305</v>
      </c>
      <c r="R67" s="5">
        <v>15225</v>
      </c>
      <c r="S67" s="5">
        <v>266425</v>
      </c>
      <c r="T67" s="1">
        <v>24</v>
      </c>
      <c r="U67" s="1">
        <v>556</v>
      </c>
      <c r="V67" s="37">
        <f>'Economic (2020 Adj.)'!C79</f>
        <v>677384</v>
      </c>
      <c r="W67" s="37">
        <f>'Economic (2020 Adj.)'!D79</f>
        <v>6921.3</v>
      </c>
      <c r="X67" s="37">
        <f>'Economic (2020 Adj.)'!F79</f>
        <v>3163.2</v>
      </c>
      <c r="Y67" s="37">
        <f>'Economic (2020 Adj.)'!H79</f>
        <v>387.9</v>
      </c>
      <c r="Z67" s="37">
        <f>'Economic (2020 Adj.)'!E79</f>
        <v>6965.8</v>
      </c>
      <c r="AA67" s="37">
        <f>'Economic (2020 Adj.)'!G79</f>
        <v>3182.8</v>
      </c>
      <c r="AB67" s="37">
        <f>'Economic (2020 Adj.)'!I79</f>
        <v>389.3</v>
      </c>
      <c r="AC67" s="39">
        <f>Weather!D199</f>
        <v>16.886666666666663</v>
      </c>
      <c r="AD67" s="39">
        <f>Weather!E199</f>
        <v>101.39999999999998</v>
      </c>
      <c r="AE67" s="39">
        <f>Weather!F199</f>
        <v>8</v>
      </c>
      <c r="AF67" s="39">
        <f>Weather!G199</f>
        <v>61.3</v>
      </c>
      <c r="AG67" s="39">
        <f>Weather!H199</f>
        <v>27.9</v>
      </c>
      <c r="AH67" s="39">
        <f>Weather!I199</f>
        <v>29.699999999999996</v>
      </c>
      <c r="AI67" s="39">
        <f>Weather!J199</f>
        <v>56.3</v>
      </c>
      <c r="AJ67" s="39">
        <f>Weather!K199</f>
        <v>11.4</v>
      </c>
      <c r="AK67" s="39">
        <f>Weather!L199</f>
        <v>98.000000000000028</v>
      </c>
      <c r="AL67" s="39">
        <f>Weather!M199</f>
        <v>3.5</v>
      </c>
      <c r="AM67" s="39">
        <f>Weather!N199</f>
        <v>150.10000000000005</v>
      </c>
      <c r="AN67" s="39">
        <f>Weather!O199</f>
        <v>0</v>
      </c>
      <c r="AO67" s="39">
        <f>Weather!P199</f>
        <v>206.60000000000002</v>
      </c>
      <c r="AP67" s="39">
        <f>Weather!Q199</f>
        <v>0</v>
      </c>
      <c r="AQ67" s="39">
        <f>Weather!R199</f>
        <v>266.60000000000002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1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 s="1">
        <f t="shared" si="21"/>
        <v>66</v>
      </c>
      <c r="BH67">
        <v>30</v>
      </c>
      <c r="BI67">
        <v>22</v>
      </c>
      <c r="BJ67" s="160">
        <f t="shared" ref="BJ67:BJ121" si="22">E67/F67</f>
        <v>767.45181522123994</v>
      </c>
      <c r="BK67" s="160">
        <f t="shared" ref="BK67:BK121" si="23">BJ67/BH67</f>
        <v>25.58172717404133</v>
      </c>
      <c r="BL67" s="159">
        <f t="shared" ref="BL67:BL121" si="24">E67/BH67</f>
        <v>1537308.3127968397</v>
      </c>
      <c r="BM67" s="160">
        <f t="shared" ref="BM67:BM121" si="25">J67/H67</f>
        <v>2701.9054949608631</v>
      </c>
      <c r="BN67" s="160">
        <f t="shared" ref="BN67:BN121" si="26">BM67/BH67</f>
        <v>90.063516498695435</v>
      </c>
      <c r="BO67" s="160">
        <f t="shared" ref="BO67:BO121" si="27">J67/BH67</f>
        <v>472022.88996966276</v>
      </c>
      <c r="BP67" s="160">
        <f t="shared" ref="BP67:BP121" si="28">M67/O67</f>
        <v>75474.642552390258</v>
      </c>
      <c r="BQ67" s="160">
        <f t="shared" ref="BQ67:BQ121" si="29">BP67/BH67</f>
        <v>2515.8214184130088</v>
      </c>
      <c r="BR67" s="160">
        <f t="shared" ref="BR67:BR121" si="30">BP67/BI67</f>
        <v>3430.6655705631933</v>
      </c>
      <c r="BS67" s="160">
        <f t="shared" ref="BS67:BS121" si="31">M67/BH67</f>
        <v>2583748.5967101599</v>
      </c>
      <c r="BT67" s="160">
        <f t="shared" ref="BT67:BT121" si="32">M67/BI67</f>
        <v>3523293.5409684</v>
      </c>
    </row>
    <row r="68" spans="1:72" x14ac:dyDescent="0.2">
      <c r="A68" s="3">
        <v>42186</v>
      </c>
      <c r="B68" s="4">
        <f t="shared" si="16"/>
        <v>2015</v>
      </c>
      <c r="C68" s="2">
        <v>53575923</v>
      </c>
      <c r="D68" s="2">
        <f>VLOOKUP(B68,CDM!$I$5:$N$15,2,FALSE)/12</f>
        <v>848162.38390519342</v>
      </c>
      <c r="E68" s="2">
        <f t="shared" si="19"/>
        <v>54424085.383905195</v>
      </c>
      <c r="F68" s="7">
        <v>60096</v>
      </c>
      <c r="G68" s="5">
        <v>15161240</v>
      </c>
      <c r="H68" s="7">
        <v>5240</v>
      </c>
      <c r="I68" s="2">
        <f>VLOOKUP(B68,CDM!$I$5:$N$15,3,FALSE)/12</f>
        <v>459876.69908988359</v>
      </c>
      <c r="J68" s="2">
        <f t="shared" si="18"/>
        <v>15621116.699089883</v>
      </c>
      <c r="K68" s="5">
        <v>81975954</v>
      </c>
      <c r="L68" s="2">
        <f>VLOOKUP(B68,CDM!$I$5:$N$15,4,FALSE)/12</f>
        <v>2133960.9013047926</v>
      </c>
      <c r="M68" s="87">
        <f t="shared" si="20"/>
        <v>84109914.901304796</v>
      </c>
      <c r="N68" s="5">
        <v>203387</v>
      </c>
      <c r="O68" s="7">
        <v>1027</v>
      </c>
      <c r="P68" s="5">
        <v>641997</v>
      </c>
      <c r="Q68" s="5">
        <v>2305</v>
      </c>
      <c r="R68" s="7">
        <v>15225</v>
      </c>
      <c r="S68" s="5">
        <v>258055</v>
      </c>
      <c r="T68" s="1">
        <v>24</v>
      </c>
      <c r="U68" s="1">
        <v>558</v>
      </c>
      <c r="V68" s="37">
        <f>'Economic (2020 Adj.)'!C80</f>
        <v>677384</v>
      </c>
      <c r="W68" s="37">
        <f>'Economic (2020 Adj.)'!D80</f>
        <v>6941.2</v>
      </c>
      <c r="X68" s="37">
        <f>'Economic (2020 Adj.)'!F80</f>
        <v>3194.9</v>
      </c>
      <c r="Y68" s="37">
        <f>'Economic (2020 Adj.)'!H80</f>
        <v>392.4</v>
      </c>
      <c r="Z68" s="37">
        <f>'Economic (2020 Adj.)'!E80</f>
        <v>7032.3</v>
      </c>
      <c r="AA68" s="37">
        <f>'Economic (2020 Adj.)'!G80</f>
        <v>3226.4</v>
      </c>
      <c r="AB68" s="37">
        <f>'Economic (2020 Adj.)'!I80</f>
        <v>395.3</v>
      </c>
      <c r="AC68" s="39">
        <f>Weather!D200</f>
        <v>21.899999999999995</v>
      </c>
      <c r="AD68" s="39">
        <f>Weather!E200</f>
        <v>17.600000000000001</v>
      </c>
      <c r="AE68" s="39">
        <f>Weather!F200</f>
        <v>76.5</v>
      </c>
      <c r="AF68" s="39">
        <f>Weather!G200</f>
        <v>4.4000000000000021</v>
      </c>
      <c r="AG68" s="39">
        <f>Weather!H200</f>
        <v>125.30000000000001</v>
      </c>
      <c r="AH68" s="39">
        <f>Weather!I200</f>
        <v>0</v>
      </c>
      <c r="AI68" s="39">
        <f>Weather!J200</f>
        <v>182.9</v>
      </c>
      <c r="AJ68" s="39">
        <f>Weather!K200</f>
        <v>0</v>
      </c>
      <c r="AK68" s="39">
        <f>Weather!L200</f>
        <v>244.9</v>
      </c>
      <c r="AL68" s="39">
        <f>Weather!M200</f>
        <v>0</v>
      </c>
      <c r="AM68" s="39">
        <f>Weather!N200</f>
        <v>306.90000000000003</v>
      </c>
      <c r="AN68" s="39">
        <f>Weather!O200</f>
        <v>0</v>
      </c>
      <c r="AO68" s="39">
        <f>Weather!P200</f>
        <v>368.90000000000003</v>
      </c>
      <c r="AP68" s="39">
        <f>Weather!Q200</f>
        <v>0</v>
      </c>
      <c r="AQ68" s="39">
        <f>Weather!R200</f>
        <v>430.90000000000003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1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 s="1">
        <f t="shared" si="21"/>
        <v>67</v>
      </c>
      <c r="BH68">
        <v>31</v>
      </c>
      <c r="BI68">
        <v>22</v>
      </c>
      <c r="BJ68" s="160">
        <f t="shared" si="22"/>
        <v>905.61909917307628</v>
      </c>
      <c r="BK68" s="160">
        <f t="shared" si="23"/>
        <v>29.213519328163752</v>
      </c>
      <c r="BL68" s="159">
        <f t="shared" si="24"/>
        <v>1755615.6575453288</v>
      </c>
      <c r="BM68" s="160">
        <f t="shared" si="25"/>
        <v>2981.1291410476874</v>
      </c>
      <c r="BN68" s="160">
        <f t="shared" si="26"/>
        <v>96.165456162828633</v>
      </c>
      <c r="BO68" s="160">
        <f t="shared" si="27"/>
        <v>503906.99029322201</v>
      </c>
      <c r="BP68" s="160">
        <f t="shared" si="28"/>
        <v>81898.65131577877</v>
      </c>
      <c r="BQ68" s="160">
        <f t="shared" si="29"/>
        <v>2641.8919779283474</v>
      </c>
      <c r="BR68" s="160">
        <f t="shared" si="30"/>
        <v>3722.6659688990349</v>
      </c>
      <c r="BS68" s="160">
        <f t="shared" si="31"/>
        <v>2713223.061332413</v>
      </c>
      <c r="BT68" s="160">
        <f t="shared" si="32"/>
        <v>3823177.9500593091</v>
      </c>
    </row>
    <row r="69" spans="1:72" x14ac:dyDescent="0.2">
      <c r="A69" s="3">
        <v>42217</v>
      </c>
      <c r="B69" s="4">
        <f t="shared" si="16"/>
        <v>2015</v>
      </c>
      <c r="C69" s="2">
        <v>54286474</v>
      </c>
      <c r="D69" s="2">
        <f>VLOOKUP(B69,CDM!$I$5:$N$15,2,FALSE)/12</f>
        <v>848162.38390519342</v>
      </c>
      <c r="E69" s="2">
        <f t="shared" si="19"/>
        <v>55134636.383905195</v>
      </c>
      <c r="F69" s="5">
        <v>60131</v>
      </c>
      <c r="G69" s="5">
        <v>15391927</v>
      </c>
      <c r="H69" s="5">
        <v>5244</v>
      </c>
      <c r="I69" s="2">
        <f>VLOOKUP(B69,CDM!$I$5:$N$15,3,FALSE)/12</f>
        <v>459876.69908988359</v>
      </c>
      <c r="J69" s="2">
        <f t="shared" si="18"/>
        <v>15851803.699089883</v>
      </c>
      <c r="K69" s="5">
        <v>80836724</v>
      </c>
      <c r="L69" s="2">
        <f>VLOOKUP(B69,CDM!$I$5:$N$15,4,FALSE)/12</f>
        <v>2133960.9013047926</v>
      </c>
      <c r="M69" s="87">
        <f t="shared" si="20"/>
        <v>82970684.901304796</v>
      </c>
      <c r="N69" s="5">
        <v>210022</v>
      </c>
      <c r="O69" s="5">
        <v>1029</v>
      </c>
      <c r="P69" s="5">
        <v>720424</v>
      </c>
      <c r="Q69" s="5">
        <v>2305</v>
      </c>
      <c r="R69" s="7">
        <v>15225</v>
      </c>
      <c r="S69" s="5">
        <v>257469</v>
      </c>
      <c r="T69" s="1">
        <v>24</v>
      </c>
      <c r="U69" s="1">
        <v>557</v>
      </c>
      <c r="V69" s="37">
        <f>'Economic (2020 Adj.)'!C81</f>
        <v>677384</v>
      </c>
      <c r="W69" s="37">
        <f>'Economic (2020 Adj.)'!D81</f>
        <v>6949.2</v>
      </c>
      <c r="X69" s="37">
        <f>'Economic (2020 Adj.)'!F81</f>
        <v>3214.6</v>
      </c>
      <c r="Y69" s="37">
        <f>'Economic (2020 Adj.)'!H81</f>
        <v>392.6</v>
      </c>
      <c r="Z69" s="37">
        <f>'Economic (2020 Adj.)'!E81</f>
        <v>7045.7</v>
      </c>
      <c r="AA69" s="37">
        <f>'Economic (2020 Adj.)'!G81</f>
        <v>3251.2</v>
      </c>
      <c r="AB69" s="37">
        <f>'Economic (2020 Adj.)'!I81</f>
        <v>397.2</v>
      </c>
      <c r="AC69" s="39">
        <f>Weather!D201</f>
        <v>20.796774193548384</v>
      </c>
      <c r="AD69" s="39">
        <f>Weather!E201</f>
        <v>20.399999999999999</v>
      </c>
      <c r="AE69" s="39">
        <f>Weather!F201</f>
        <v>45.100000000000009</v>
      </c>
      <c r="AF69" s="39">
        <f>Weather!G201</f>
        <v>1.8000000000000007</v>
      </c>
      <c r="AG69" s="39">
        <f>Weather!H201</f>
        <v>88.499999999999986</v>
      </c>
      <c r="AH69" s="39">
        <f>Weather!I201</f>
        <v>0</v>
      </c>
      <c r="AI69" s="39">
        <f>Weather!J201</f>
        <v>148.70000000000002</v>
      </c>
      <c r="AJ69" s="39">
        <f>Weather!K201</f>
        <v>0</v>
      </c>
      <c r="AK69" s="39">
        <f>Weather!L201</f>
        <v>210.70000000000002</v>
      </c>
      <c r="AL69" s="39">
        <f>Weather!M201</f>
        <v>0</v>
      </c>
      <c r="AM69" s="39">
        <f>Weather!N201</f>
        <v>272.70000000000005</v>
      </c>
      <c r="AN69" s="39">
        <f>Weather!O201</f>
        <v>0</v>
      </c>
      <c r="AO69" s="39">
        <f>Weather!P201</f>
        <v>334.7000000000001</v>
      </c>
      <c r="AP69" s="39">
        <f>Weather!Q201</f>
        <v>0</v>
      </c>
      <c r="AQ69" s="39">
        <f>Weather!R201</f>
        <v>396.7000000000001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1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 s="1">
        <f t="shared" si="21"/>
        <v>68</v>
      </c>
      <c r="BH69">
        <v>31</v>
      </c>
      <c r="BI69">
        <v>20</v>
      </c>
      <c r="BJ69" s="160">
        <f t="shared" si="22"/>
        <v>916.90868909389826</v>
      </c>
      <c r="BK69" s="160">
        <f t="shared" si="23"/>
        <v>29.577699648190265</v>
      </c>
      <c r="BL69" s="159">
        <f t="shared" si="24"/>
        <v>1778536.6575453288</v>
      </c>
      <c r="BM69" s="160">
        <f t="shared" si="25"/>
        <v>3022.8458617638985</v>
      </c>
      <c r="BN69" s="160">
        <f t="shared" si="26"/>
        <v>97.511156831093501</v>
      </c>
      <c r="BO69" s="160">
        <f t="shared" si="27"/>
        <v>511348.50642225432</v>
      </c>
      <c r="BP69" s="160">
        <f t="shared" si="28"/>
        <v>80632.346842861807</v>
      </c>
      <c r="BQ69" s="160">
        <f t="shared" si="29"/>
        <v>2601.0434465439293</v>
      </c>
      <c r="BR69" s="160">
        <f t="shared" si="30"/>
        <v>4031.6173421430904</v>
      </c>
      <c r="BS69" s="160">
        <f t="shared" si="31"/>
        <v>2676473.7064937032</v>
      </c>
      <c r="BT69" s="160">
        <f t="shared" si="32"/>
        <v>4148534.2450652397</v>
      </c>
    </row>
    <row r="70" spans="1:72" x14ac:dyDescent="0.2">
      <c r="A70" s="3">
        <v>42248</v>
      </c>
      <c r="B70" s="4">
        <f t="shared" si="16"/>
        <v>2015</v>
      </c>
      <c r="C70" s="2">
        <v>46949969</v>
      </c>
      <c r="D70" s="2">
        <f>VLOOKUP(B70,CDM!$I$5:$N$15,2,FALSE)/12</f>
        <v>848162.38390519342</v>
      </c>
      <c r="E70" s="2">
        <f t="shared" si="19"/>
        <v>47798131.383905195</v>
      </c>
      <c r="F70" s="7">
        <v>60165</v>
      </c>
      <c r="G70" s="5">
        <v>14009493</v>
      </c>
      <c r="H70" s="7">
        <v>5237</v>
      </c>
      <c r="I70" s="2">
        <f>VLOOKUP(B70,CDM!$I$5:$N$15,3,FALSE)/12</f>
        <v>459876.69908988359</v>
      </c>
      <c r="J70" s="2">
        <f t="shared" si="18"/>
        <v>14469369.699089883</v>
      </c>
      <c r="K70" s="5">
        <v>78337146</v>
      </c>
      <c r="L70" s="2">
        <f>VLOOKUP(B70,CDM!$I$5:$N$15,4,FALSE)/12</f>
        <v>2133960.9013047926</v>
      </c>
      <c r="M70" s="87">
        <f t="shared" si="20"/>
        <v>80471106.901304796</v>
      </c>
      <c r="N70" s="5">
        <v>211976</v>
      </c>
      <c r="O70" s="7">
        <v>1028</v>
      </c>
      <c r="P70" s="5">
        <v>794773</v>
      </c>
      <c r="Q70" s="5">
        <v>2305</v>
      </c>
      <c r="R70" s="5">
        <v>15225</v>
      </c>
      <c r="S70" s="5">
        <v>257589</v>
      </c>
      <c r="T70" s="1">
        <v>24</v>
      </c>
      <c r="U70" s="1">
        <v>557</v>
      </c>
      <c r="V70" s="37">
        <f>'Economic (2020 Adj.)'!C82</f>
        <v>677384</v>
      </c>
      <c r="W70" s="37">
        <f>'Economic (2020 Adj.)'!D82</f>
        <v>6941.1</v>
      </c>
      <c r="X70" s="37">
        <f>'Economic (2020 Adj.)'!F82</f>
        <v>3220.3</v>
      </c>
      <c r="Y70" s="37">
        <f>'Economic (2020 Adj.)'!H82</f>
        <v>390.5</v>
      </c>
      <c r="Z70" s="37">
        <f>'Economic (2020 Adj.)'!E82</f>
        <v>6994.9</v>
      </c>
      <c r="AA70" s="37">
        <f>'Economic (2020 Adj.)'!G82</f>
        <v>3243.3</v>
      </c>
      <c r="AB70" s="37">
        <f>'Economic (2020 Adj.)'!I82</f>
        <v>393.9</v>
      </c>
      <c r="AC70" s="39">
        <f>Weather!D202</f>
        <v>20.030000000000005</v>
      </c>
      <c r="AD70" s="39">
        <f>Weather!E202</f>
        <v>50.100000000000009</v>
      </c>
      <c r="AE70" s="39">
        <f>Weather!F202</f>
        <v>51.000000000000014</v>
      </c>
      <c r="AF70" s="39">
        <f>Weather!G202</f>
        <v>22.6</v>
      </c>
      <c r="AG70" s="39">
        <f>Weather!H202</f>
        <v>83.5</v>
      </c>
      <c r="AH70" s="39">
        <f>Weather!I202</f>
        <v>7.2000000000000011</v>
      </c>
      <c r="AI70" s="39">
        <f>Weather!J202</f>
        <v>128.10000000000002</v>
      </c>
      <c r="AJ70" s="39">
        <f>Weather!K202</f>
        <v>9.9999999999999645E-2</v>
      </c>
      <c r="AK70" s="39">
        <f>Weather!L202</f>
        <v>181</v>
      </c>
      <c r="AL70" s="39">
        <f>Weather!M202</f>
        <v>0</v>
      </c>
      <c r="AM70" s="39">
        <f>Weather!N202</f>
        <v>240.9</v>
      </c>
      <c r="AN70" s="39">
        <f>Weather!O202</f>
        <v>0</v>
      </c>
      <c r="AO70" s="39">
        <f>Weather!P202</f>
        <v>300.90000000000003</v>
      </c>
      <c r="AP70" s="39">
        <f>Weather!Q202</f>
        <v>0</v>
      </c>
      <c r="AQ70" s="39">
        <f>Weather!R202</f>
        <v>360.90000000000009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1</v>
      </c>
      <c r="BF70">
        <v>1</v>
      </c>
      <c r="BG70" s="1">
        <f t="shared" si="21"/>
        <v>69</v>
      </c>
      <c r="BH70">
        <v>30</v>
      </c>
      <c r="BI70">
        <v>21</v>
      </c>
      <c r="BJ70" s="160">
        <f t="shared" si="22"/>
        <v>794.45078341070712</v>
      </c>
      <c r="BK70" s="160">
        <f t="shared" si="23"/>
        <v>26.481692780356905</v>
      </c>
      <c r="BL70" s="159">
        <f t="shared" si="24"/>
        <v>1593271.0461301731</v>
      </c>
      <c r="BM70" s="160">
        <f t="shared" si="25"/>
        <v>2762.9119150448505</v>
      </c>
      <c r="BN70" s="160">
        <f t="shared" si="26"/>
        <v>92.097063834828347</v>
      </c>
      <c r="BO70" s="160">
        <f t="shared" si="27"/>
        <v>482312.32330299611</v>
      </c>
      <c r="BP70" s="160">
        <f t="shared" si="28"/>
        <v>78279.286868973533</v>
      </c>
      <c r="BQ70" s="160">
        <f t="shared" si="29"/>
        <v>2609.3095622991177</v>
      </c>
      <c r="BR70" s="160">
        <f t="shared" si="30"/>
        <v>3727.5850889987396</v>
      </c>
      <c r="BS70" s="160">
        <f t="shared" si="31"/>
        <v>2682370.2300434932</v>
      </c>
      <c r="BT70" s="160">
        <f t="shared" si="32"/>
        <v>3831957.4714907045</v>
      </c>
    </row>
    <row r="71" spans="1:72" x14ac:dyDescent="0.2">
      <c r="A71" s="3">
        <v>42278</v>
      </c>
      <c r="B71" s="4">
        <f t="shared" si="16"/>
        <v>2015</v>
      </c>
      <c r="C71" s="2">
        <v>41035508</v>
      </c>
      <c r="D71" s="2">
        <f>VLOOKUP(B71,CDM!$I$5:$N$15,2,FALSE)/12</f>
        <v>848162.38390519342</v>
      </c>
      <c r="E71" s="2">
        <f t="shared" si="19"/>
        <v>41883670.383905195</v>
      </c>
      <c r="F71" s="7">
        <v>60249</v>
      </c>
      <c r="G71" s="5">
        <v>12961860</v>
      </c>
      <c r="H71" s="7">
        <v>5242</v>
      </c>
      <c r="I71" s="2">
        <f>VLOOKUP(B71,CDM!$I$5:$N$15,3,FALSE)/12</f>
        <v>459876.69908988359</v>
      </c>
      <c r="J71" s="2">
        <f t="shared" si="18"/>
        <v>13421736.699089883</v>
      </c>
      <c r="K71" s="5">
        <v>72632384</v>
      </c>
      <c r="L71" s="2">
        <f>VLOOKUP(B71,CDM!$I$5:$N$15,4,FALSE)/12</f>
        <v>2133960.9013047926</v>
      </c>
      <c r="M71" s="87">
        <f t="shared" si="20"/>
        <v>74766344.901304796</v>
      </c>
      <c r="N71" s="5">
        <v>210663</v>
      </c>
      <c r="O71" s="7">
        <v>1024</v>
      </c>
      <c r="P71" s="5">
        <v>927060</v>
      </c>
      <c r="Q71" s="5">
        <v>2305</v>
      </c>
      <c r="R71" s="7">
        <v>15225</v>
      </c>
      <c r="S71" s="5">
        <v>257836</v>
      </c>
      <c r="T71" s="1">
        <v>24</v>
      </c>
      <c r="U71" s="1">
        <v>558</v>
      </c>
      <c r="V71" s="37">
        <f>'Economic (2020 Adj.)'!C83</f>
        <v>677384</v>
      </c>
      <c r="W71" s="37">
        <f>'Economic (2020 Adj.)'!D83</f>
        <v>6934.8</v>
      </c>
      <c r="X71" s="37">
        <f>'Economic (2020 Adj.)'!F83</f>
        <v>3216.5</v>
      </c>
      <c r="Y71" s="37">
        <f>'Economic (2020 Adj.)'!H83</f>
        <v>385.6</v>
      </c>
      <c r="Z71" s="37">
        <f>'Economic (2020 Adj.)'!E83</f>
        <v>6969</v>
      </c>
      <c r="AA71" s="37">
        <f>'Economic (2020 Adj.)'!G83</f>
        <v>3229.5</v>
      </c>
      <c r="AB71" s="37">
        <f>'Economic (2020 Adj.)'!I83</f>
        <v>388.2</v>
      </c>
      <c r="AC71" s="39">
        <f>Weather!D203</f>
        <v>11.587096774193544</v>
      </c>
      <c r="AD71" s="39">
        <f>Weather!E203</f>
        <v>260.8</v>
      </c>
      <c r="AE71" s="39">
        <f>Weather!F203</f>
        <v>0</v>
      </c>
      <c r="AF71" s="39">
        <f>Weather!G203</f>
        <v>200</v>
      </c>
      <c r="AG71" s="39">
        <f>Weather!H203</f>
        <v>1.1999999999999993</v>
      </c>
      <c r="AH71" s="39">
        <f>Weather!I203</f>
        <v>141.1</v>
      </c>
      <c r="AI71" s="39">
        <f>Weather!J203</f>
        <v>4.2999999999999972</v>
      </c>
      <c r="AJ71" s="39">
        <f>Weather!K203</f>
        <v>89.2</v>
      </c>
      <c r="AK71" s="39">
        <f>Weather!L203</f>
        <v>14.399999999999997</v>
      </c>
      <c r="AL71" s="39">
        <f>Weather!M203</f>
        <v>51.800000000000004</v>
      </c>
      <c r="AM71" s="39">
        <f>Weather!N203</f>
        <v>38.999999999999993</v>
      </c>
      <c r="AN71" s="39">
        <f>Weather!O203</f>
        <v>26.9</v>
      </c>
      <c r="AO71" s="39">
        <f>Weather!P203</f>
        <v>76.100000000000023</v>
      </c>
      <c r="AP71" s="39">
        <f>Weather!Q203</f>
        <v>11.299999999999999</v>
      </c>
      <c r="AQ71" s="39">
        <f>Weather!R203</f>
        <v>122.50000000000003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1</v>
      </c>
      <c r="BB71">
        <v>0</v>
      </c>
      <c r="BC71">
        <v>0</v>
      </c>
      <c r="BD71">
        <v>0</v>
      </c>
      <c r="BE71">
        <v>1</v>
      </c>
      <c r="BF71">
        <v>1</v>
      </c>
      <c r="BG71" s="1">
        <f t="shared" si="21"/>
        <v>70</v>
      </c>
      <c r="BH71">
        <v>31</v>
      </c>
      <c r="BI71">
        <v>21</v>
      </c>
      <c r="BJ71" s="160">
        <f t="shared" si="22"/>
        <v>695.17619186883098</v>
      </c>
      <c r="BK71" s="160">
        <f t="shared" si="23"/>
        <v>22.425038447381645</v>
      </c>
      <c r="BL71" s="159">
        <f t="shared" si="24"/>
        <v>1351086.1414162966</v>
      </c>
      <c r="BM71" s="160">
        <f t="shared" si="25"/>
        <v>2560.4228727756358</v>
      </c>
      <c r="BN71" s="160">
        <f t="shared" si="26"/>
        <v>82.594286218568897</v>
      </c>
      <c r="BO71" s="160">
        <f t="shared" si="27"/>
        <v>432959.24835773814</v>
      </c>
      <c r="BP71" s="160">
        <f t="shared" si="28"/>
        <v>73014.008692680465</v>
      </c>
      <c r="BQ71" s="160">
        <f t="shared" si="29"/>
        <v>2355.2906029896926</v>
      </c>
      <c r="BR71" s="160">
        <f t="shared" si="30"/>
        <v>3476.857556794308</v>
      </c>
      <c r="BS71" s="160">
        <f t="shared" si="31"/>
        <v>2411817.5774614452</v>
      </c>
      <c r="BT71" s="160">
        <f t="shared" si="32"/>
        <v>3560302.1381573714</v>
      </c>
    </row>
    <row r="72" spans="1:72" x14ac:dyDescent="0.2">
      <c r="A72" s="3">
        <v>42309</v>
      </c>
      <c r="B72" s="4">
        <f t="shared" si="16"/>
        <v>2015</v>
      </c>
      <c r="C72" s="2">
        <v>37505130</v>
      </c>
      <c r="D72" s="2">
        <f>VLOOKUP(B72,CDM!$I$5:$N$15,2,FALSE)/12</f>
        <v>848162.38390519342</v>
      </c>
      <c r="E72" s="2">
        <f t="shared" si="19"/>
        <v>38353292.383905195</v>
      </c>
      <c r="F72" s="5">
        <v>60255</v>
      </c>
      <c r="G72" s="5">
        <v>13004522</v>
      </c>
      <c r="H72" s="5">
        <v>5234</v>
      </c>
      <c r="I72" s="2">
        <f>VLOOKUP(B72,CDM!$I$5:$N$15,3,FALSE)/12</f>
        <v>459876.69908988359</v>
      </c>
      <c r="J72" s="2">
        <f t="shared" si="18"/>
        <v>13464398.699089883</v>
      </c>
      <c r="K72" s="5">
        <v>71446240</v>
      </c>
      <c r="L72" s="2">
        <f>VLOOKUP(B72,CDM!$I$5:$N$15,4,FALSE)/12</f>
        <v>2133960.9013047926</v>
      </c>
      <c r="M72" s="87">
        <f t="shared" si="20"/>
        <v>73580200.901304796</v>
      </c>
      <c r="N72" s="5">
        <v>195211</v>
      </c>
      <c r="O72" s="5">
        <v>1027</v>
      </c>
      <c r="P72" s="5">
        <v>985984</v>
      </c>
      <c r="Q72" s="5">
        <v>2307</v>
      </c>
      <c r="R72" s="7">
        <v>15235</v>
      </c>
      <c r="S72" s="5">
        <v>257269</v>
      </c>
      <c r="T72" s="1">
        <v>24</v>
      </c>
      <c r="U72" s="1">
        <v>557</v>
      </c>
      <c r="V72" s="37">
        <f>'Economic (2020 Adj.)'!C84</f>
        <v>677384</v>
      </c>
      <c r="W72" s="37">
        <f>'Economic (2020 Adj.)'!D84</f>
        <v>6928.3</v>
      </c>
      <c r="X72" s="37">
        <f>'Economic (2020 Adj.)'!F84</f>
        <v>3211.5</v>
      </c>
      <c r="Y72" s="37">
        <f>'Economic (2020 Adj.)'!H84</f>
        <v>384.5</v>
      </c>
      <c r="Z72" s="37">
        <f>'Economic (2020 Adj.)'!E84</f>
        <v>6936.9</v>
      </c>
      <c r="AA72" s="37">
        <f>'Economic (2020 Adj.)'!G84</f>
        <v>3211.5</v>
      </c>
      <c r="AB72" s="37">
        <f>'Economic (2020 Adj.)'!I84</f>
        <v>385.6</v>
      </c>
      <c r="AC72" s="39">
        <f>Weather!D204</f>
        <v>7.9633333333333329</v>
      </c>
      <c r="AD72" s="39">
        <f>Weather!E204</f>
        <v>361.1</v>
      </c>
      <c r="AE72" s="39">
        <f>Weather!F204</f>
        <v>0</v>
      </c>
      <c r="AF72" s="39">
        <f>Weather!G204</f>
        <v>301.10000000000008</v>
      </c>
      <c r="AG72" s="39">
        <f>Weather!H204</f>
        <v>0</v>
      </c>
      <c r="AH72" s="39">
        <f>Weather!I204</f>
        <v>241.20000000000005</v>
      </c>
      <c r="AI72" s="39">
        <f>Weather!J204</f>
        <v>0.10000000000000142</v>
      </c>
      <c r="AJ72" s="39">
        <f>Weather!K204</f>
        <v>185.10000000000002</v>
      </c>
      <c r="AK72" s="39">
        <f>Weather!L204</f>
        <v>4.0000000000000018</v>
      </c>
      <c r="AL72" s="39">
        <f>Weather!M204</f>
        <v>133</v>
      </c>
      <c r="AM72" s="39">
        <f>Weather!N204</f>
        <v>11.9</v>
      </c>
      <c r="AN72" s="39">
        <f>Weather!O204</f>
        <v>90.2</v>
      </c>
      <c r="AO72" s="39">
        <f>Weather!P204</f>
        <v>29.1</v>
      </c>
      <c r="AP72" s="39">
        <f>Weather!Q204</f>
        <v>56.800000000000004</v>
      </c>
      <c r="AQ72" s="39">
        <f>Weather!R204</f>
        <v>55.70000000000001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1</v>
      </c>
      <c r="BC72">
        <v>0</v>
      </c>
      <c r="BD72">
        <v>0</v>
      </c>
      <c r="BE72">
        <v>1</v>
      </c>
      <c r="BF72">
        <v>1</v>
      </c>
      <c r="BG72" s="1">
        <f t="shared" si="21"/>
        <v>71</v>
      </c>
      <c r="BH72">
        <v>30</v>
      </c>
      <c r="BI72">
        <v>21</v>
      </c>
      <c r="BJ72" s="160">
        <f t="shared" si="22"/>
        <v>636.51634526437965</v>
      </c>
      <c r="BK72" s="160">
        <f t="shared" si="23"/>
        <v>21.217211508812657</v>
      </c>
      <c r="BL72" s="159">
        <f t="shared" si="24"/>
        <v>1278443.0794635066</v>
      </c>
      <c r="BM72" s="160">
        <f t="shared" si="25"/>
        <v>2572.4873326499587</v>
      </c>
      <c r="BN72" s="160">
        <f t="shared" si="26"/>
        <v>85.749577754998626</v>
      </c>
      <c r="BO72" s="160">
        <f t="shared" si="27"/>
        <v>448813.28996966279</v>
      </c>
      <c r="BP72" s="160">
        <f t="shared" si="28"/>
        <v>71645.765239829401</v>
      </c>
      <c r="BQ72" s="160">
        <f t="shared" si="29"/>
        <v>2388.1921746609801</v>
      </c>
      <c r="BR72" s="160">
        <f t="shared" si="30"/>
        <v>3411.7031066585428</v>
      </c>
      <c r="BS72" s="160">
        <f t="shared" si="31"/>
        <v>2452673.3633768265</v>
      </c>
      <c r="BT72" s="160">
        <f t="shared" si="32"/>
        <v>3503819.0905383239</v>
      </c>
    </row>
    <row r="73" spans="1:72" x14ac:dyDescent="0.2">
      <c r="A73" s="3">
        <v>42339</v>
      </c>
      <c r="B73" s="4">
        <f t="shared" si="16"/>
        <v>2015</v>
      </c>
      <c r="C73" s="2">
        <v>40955651</v>
      </c>
      <c r="D73" s="2">
        <f>VLOOKUP(B73,CDM!$I$5:$N$15,2,FALSE)/12</f>
        <v>848162.38390519342</v>
      </c>
      <c r="E73" s="2">
        <f t="shared" si="19"/>
        <v>41803813.383905195</v>
      </c>
      <c r="F73" s="7">
        <v>60262</v>
      </c>
      <c r="G73" s="5">
        <v>13905854</v>
      </c>
      <c r="H73" s="7">
        <v>5238</v>
      </c>
      <c r="I73" s="2">
        <f>VLOOKUP(B73,CDM!$I$5:$N$15,3,FALSE)/12</f>
        <v>459876.69908988359</v>
      </c>
      <c r="J73" s="2">
        <f t="shared" si="18"/>
        <v>14365730.699089883</v>
      </c>
      <c r="K73" s="5">
        <v>72220640</v>
      </c>
      <c r="L73" s="2">
        <f>VLOOKUP(B73,CDM!$I$5:$N$15,4,FALSE)/12</f>
        <v>2133960.9013047926</v>
      </c>
      <c r="M73" s="87">
        <f t="shared" si="20"/>
        <v>74354600.901304796</v>
      </c>
      <c r="N73" s="5">
        <v>177950</v>
      </c>
      <c r="O73" s="7">
        <v>1029</v>
      </c>
      <c r="P73" s="5">
        <v>1067879</v>
      </c>
      <c r="Q73" s="5">
        <v>2304</v>
      </c>
      <c r="R73" s="5">
        <v>15258</v>
      </c>
      <c r="S73" s="5">
        <v>260807</v>
      </c>
      <c r="T73" s="1">
        <v>24</v>
      </c>
      <c r="U73" s="1">
        <v>557</v>
      </c>
      <c r="V73" s="37">
        <f>'Economic (2020 Adj.)'!C85</f>
        <v>677384</v>
      </c>
      <c r="W73" s="37">
        <f>'Economic (2020 Adj.)'!D85</f>
        <v>6942.8</v>
      </c>
      <c r="X73" s="37">
        <f>'Economic (2020 Adj.)'!F85</f>
        <v>3220.1</v>
      </c>
      <c r="Y73" s="37">
        <f>'Economic (2020 Adj.)'!H85</f>
        <v>383.7</v>
      </c>
      <c r="Z73" s="37">
        <f>'Economic (2020 Adj.)'!E85</f>
        <v>6948.2</v>
      </c>
      <c r="AA73" s="37">
        <f>'Economic (2020 Adj.)'!G85</f>
        <v>3220</v>
      </c>
      <c r="AB73" s="37">
        <f>'Economic (2020 Adj.)'!I85</f>
        <v>385.4</v>
      </c>
      <c r="AC73" s="39">
        <f>Weather!D205</f>
        <v>5.2741935483870979</v>
      </c>
      <c r="AD73" s="39">
        <f>Weather!E205</f>
        <v>456.5</v>
      </c>
      <c r="AE73" s="39">
        <f>Weather!F205</f>
        <v>0</v>
      </c>
      <c r="AF73" s="39">
        <f>Weather!G205</f>
        <v>394.5</v>
      </c>
      <c r="AG73" s="39">
        <f>Weather!H205</f>
        <v>0</v>
      </c>
      <c r="AH73" s="39">
        <f>Weather!I205</f>
        <v>332.5</v>
      </c>
      <c r="AI73" s="39">
        <f>Weather!J205</f>
        <v>0</v>
      </c>
      <c r="AJ73" s="39">
        <f>Weather!K205</f>
        <v>270.5</v>
      </c>
      <c r="AK73" s="39">
        <f>Weather!L205</f>
        <v>0</v>
      </c>
      <c r="AL73" s="39">
        <f>Weather!M205</f>
        <v>208.49999999999994</v>
      </c>
      <c r="AM73" s="39">
        <f>Weather!N205</f>
        <v>0</v>
      </c>
      <c r="AN73" s="39">
        <f>Weather!O205</f>
        <v>148</v>
      </c>
      <c r="AO73" s="39">
        <f>Weather!P205</f>
        <v>1.5</v>
      </c>
      <c r="AP73" s="39">
        <f>Weather!Q205</f>
        <v>96.899999999999991</v>
      </c>
      <c r="AQ73" s="39">
        <f>Weather!R205</f>
        <v>12.400000000000002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1</v>
      </c>
      <c r="BD73">
        <v>0</v>
      </c>
      <c r="BE73">
        <v>0</v>
      </c>
      <c r="BF73">
        <v>0</v>
      </c>
      <c r="BG73" s="1">
        <f t="shared" si="21"/>
        <v>72</v>
      </c>
      <c r="BH73">
        <v>31</v>
      </c>
      <c r="BI73">
        <v>21</v>
      </c>
      <c r="BJ73" s="160">
        <f t="shared" si="22"/>
        <v>693.70106176205888</v>
      </c>
      <c r="BK73" s="160">
        <f t="shared" si="23"/>
        <v>22.377453605227707</v>
      </c>
      <c r="BL73" s="159">
        <f t="shared" si="24"/>
        <v>1348510.1091582321</v>
      </c>
      <c r="BM73" s="160">
        <f t="shared" si="25"/>
        <v>2742.5984534344948</v>
      </c>
      <c r="BN73" s="160">
        <f t="shared" si="26"/>
        <v>88.470917852725634</v>
      </c>
      <c r="BO73" s="160">
        <f t="shared" si="27"/>
        <v>463410.66771257686</v>
      </c>
      <c r="BP73" s="160">
        <f t="shared" si="28"/>
        <v>72259.087367643151</v>
      </c>
      <c r="BQ73" s="160">
        <f t="shared" si="29"/>
        <v>2330.9383021820372</v>
      </c>
      <c r="BR73" s="160">
        <f t="shared" si="30"/>
        <v>3440.9089222687217</v>
      </c>
      <c r="BS73" s="160">
        <f t="shared" si="31"/>
        <v>2398535.5129453158</v>
      </c>
      <c r="BT73" s="160">
        <f t="shared" si="32"/>
        <v>3540695.2810145142</v>
      </c>
    </row>
    <row r="74" spans="1:72" x14ac:dyDescent="0.2">
      <c r="A74" s="3">
        <v>42370</v>
      </c>
      <c r="B74" s="4">
        <f t="shared" si="16"/>
        <v>2016</v>
      </c>
      <c r="C74" s="2">
        <v>44822386</v>
      </c>
      <c r="D74" s="2">
        <f>VLOOKUP(B74,CDM!$I$5:$N$15,2,FALSE)/12</f>
        <v>1262307.9842212892</v>
      </c>
      <c r="E74" s="2">
        <f t="shared" si="19"/>
        <v>46084693.984221287</v>
      </c>
      <c r="F74" s="7">
        <v>60313</v>
      </c>
      <c r="G74" s="5">
        <v>14814307</v>
      </c>
      <c r="H74" s="7">
        <v>5246</v>
      </c>
      <c r="I74" s="2">
        <f>VLOOKUP(B74,CDM!$I$5:$N$15,3,FALSE)/12</f>
        <v>702774.30396472511</v>
      </c>
      <c r="J74" s="2">
        <f t="shared" si="18"/>
        <v>15517081.303964725</v>
      </c>
      <c r="K74" s="5">
        <v>78060980</v>
      </c>
      <c r="L74" s="2">
        <f>VLOOKUP(B74,CDM!$I$5:$N$15,4,FALSE)/12</f>
        <v>2816466.4519510479</v>
      </c>
      <c r="M74" s="87">
        <f t="shared" si="20"/>
        <v>80877446.451951042</v>
      </c>
      <c r="N74" s="5">
        <v>187910</v>
      </c>
      <c r="O74" s="7">
        <v>1031</v>
      </c>
      <c r="P74" s="5">
        <v>1044725</v>
      </c>
      <c r="Q74" s="5">
        <v>2304</v>
      </c>
      <c r="R74" s="7">
        <v>15258</v>
      </c>
      <c r="S74" s="5">
        <v>258738</v>
      </c>
      <c r="T74" s="1">
        <v>24</v>
      </c>
      <c r="U74" s="1">
        <v>557</v>
      </c>
      <c r="V74" s="37">
        <f>'Economic (2020 Adj.)'!C86</f>
        <v>692620.80000000005</v>
      </c>
      <c r="W74" s="37">
        <f>'Economic (2020 Adj.)'!D86</f>
        <v>6957.7</v>
      </c>
      <c r="X74" s="37">
        <f>'Economic (2020 Adj.)'!F86</f>
        <v>3227</v>
      </c>
      <c r="Y74" s="37">
        <f>'Economic (2020 Adj.)'!H86</f>
        <v>382.6</v>
      </c>
      <c r="Z74" s="37">
        <f>'Economic (2020 Adj.)'!E86</f>
        <v>6919.2</v>
      </c>
      <c r="AA74" s="37">
        <f>'Economic (2020 Adj.)'!G86</f>
        <v>3213.9</v>
      </c>
      <c r="AB74" s="37">
        <f>'Economic (2020 Adj.)'!I86</f>
        <v>381.7</v>
      </c>
      <c r="AC74" s="39">
        <f>Weather!D206</f>
        <v>-2.1612903225806446</v>
      </c>
      <c r="AD74" s="39">
        <f>Weather!E206</f>
        <v>686.99999999999989</v>
      </c>
      <c r="AE74" s="39">
        <f>Weather!F206</f>
        <v>0</v>
      </c>
      <c r="AF74" s="39">
        <f>Weather!G206</f>
        <v>624.99999999999989</v>
      </c>
      <c r="AG74" s="39">
        <f>Weather!H206</f>
        <v>0</v>
      </c>
      <c r="AH74" s="39">
        <f>Weather!I206</f>
        <v>563</v>
      </c>
      <c r="AI74" s="39">
        <f>Weather!J206</f>
        <v>0</v>
      </c>
      <c r="AJ74" s="39">
        <f>Weather!K206</f>
        <v>501</v>
      </c>
      <c r="AK74" s="39">
        <f>Weather!L206</f>
        <v>0</v>
      </c>
      <c r="AL74" s="39">
        <f>Weather!M206</f>
        <v>439</v>
      </c>
      <c r="AM74" s="39">
        <f>Weather!N206</f>
        <v>0</v>
      </c>
      <c r="AN74" s="39">
        <f>Weather!O206</f>
        <v>377.00000000000006</v>
      </c>
      <c r="AO74" s="39">
        <f>Weather!P206</f>
        <v>0</v>
      </c>
      <c r="AP74" s="39">
        <f>Weather!Q206</f>
        <v>315</v>
      </c>
      <c r="AQ74" s="39">
        <f>Weather!R206</f>
        <v>0</v>
      </c>
      <c r="AR74">
        <v>1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 s="1">
        <f t="shared" si="21"/>
        <v>73</v>
      </c>
      <c r="BH74">
        <v>31</v>
      </c>
      <c r="BI74">
        <v>20</v>
      </c>
      <c r="BJ74" s="160">
        <f t="shared" si="22"/>
        <v>764.09221866299617</v>
      </c>
      <c r="BK74" s="160">
        <f t="shared" si="23"/>
        <v>24.648136085903101</v>
      </c>
      <c r="BL74" s="159">
        <f t="shared" si="24"/>
        <v>1486603.0317490739</v>
      </c>
      <c r="BM74" s="160">
        <f t="shared" si="25"/>
        <v>2957.8881631652162</v>
      </c>
      <c r="BN74" s="160">
        <f t="shared" si="26"/>
        <v>95.415747198877938</v>
      </c>
      <c r="BO74" s="160">
        <f t="shared" si="27"/>
        <v>500551.00980531372</v>
      </c>
      <c r="BP74" s="160">
        <f t="shared" si="28"/>
        <v>78445.631864162016</v>
      </c>
      <c r="BQ74" s="160">
        <f t="shared" si="29"/>
        <v>2530.5042536826459</v>
      </c>
      <c r="BR74" s="160">
        <f t="shared" si="30"/>
        <v>3922.2815932081007</v>
      </c>
      <c r="BS74" s="160">
        <f t="shared" si="31"/>
        <v>2608949.8855468077</v>
      </c>
      <c r="BT74" s="160">
        <f t="shared" si="32"/>
        <v>4043872.3225975521</v>
      </c>
    </row>
    <row r="75" spans="1:72" x14ac:dyDescent="0.2">
      <c r="A75" s="3">
        <v>42401</v>
      </c>
      <c r="B75" s="4">
        <f t="shared" si="16"/>
        <v>2016</v>
      </c>
      <c r="C75" s="2">
        <v>39320516</v>
      </c>
      <c r="D75" s="2">
        <f>VLOOKUP(B75,CDM!$I$5:$N$15,2,FALSE)/12</f>
        <v>1262307.9842212892</v>
      </c>
      <c r="E75" s="2">
        <f t="shared" si="19"/>
        <v>40582823.984221287</v>
      </c>
      <c r="F75" s="5">
        <v>60310</v>
      </c>
      <c r="G75" s="5">
        <v>14022576</v>
      </c>
      <c r="H75" s="5">
        <v>5267</v>
      </c>
      <c r="I75" s="2">
        <f>VLOOKUP(B75,CDM!$I$5:$N$15,3,FALSE)/12</f>
        <v>702774.30396472511</v>
      </c>
      <c r="J75" s="2">
        <f t="shared" si="18"/>
        <v>14725350.303964725</v>
      </c>
      <c r="K75" s="5">
        <v>73880261</v>
      </c>
      <c r="L75" s="2">
        <f>VLOOKUP(B75,CDM!$I$5:$N$15,4,FALSE)/12</f>
        <v>2816466.4519510479</v>
      </c>
      <c r="M75" s="87">
        <f t="shared" si="20"/>
        <v>76696727.451951042</v>
      </c>
      <c r="N75" s="5">
        <v>193682</v>
      </c>
      <c r="O75" s="5">
        <v>1033</v>
      </c>
      <c r="P75" s="5">
        <v>902902</v>
      </c>
      <c r="Q75" s="5">
        <v>2304</v>
      </c>
      <c r="R75" s="7">
        <v>15252</v>
      </c>
      <c r="S75" s="5">
        <v>259398</v>
      </c>
      <c r="T75" s="1">
        <v>24</v>
      </c>
      <c r="U75" s="1">
        <v>556</v>
      </c>
      <c r="V75" s="37">
        <f>'Economic (2020 Adj.)'!C87</f>
        <v>692620.80000000005</v>
      </c>
      <c r="W75" s="37">
        <f>'Economic (2020 Adj.)'!D87</f>
        <v>6970.6</v>
      </c>
      <c r="X75" s="37">
        <f>'Economic (2020 Adj.)'!F87</f>
        <v>3221.1</v>
      </c>
      <c r="Y75" s="37">
        <f>'Economic (2020 Adj.)'!H87</f>
        <v>384.2</v>
      </c>
      <c r="Z75" s="37">
        <f>'Economic (2020 Adj.)'!E87</f>
        <v>6896.8</v>
      </c>
      <c r="AA75" s="37">
        <f>'Economic (2020 Adj.)'!G87</f>
        <v>3193.2</v>
      </c>
      <c r="AB75" s="37">
        <f>'Economic (2020 Adj.)'!I87</f>
        <v>380.8</v>
      </c>
      <c r="AC75" s="39">
        <f>Weather!D207</f>
        <v>-0.76896551724137929</v>
      </c>
      <c r="AD75" s="39">
        <f>Weather!E207</f>
        <v>602.29999999999995</v>
      </c>
      <c r="AE75" s="39">
        <f>Weather!F207</f>
        <v>0</v>
      </c>
      <c r="AF75" s="39">
        <f>Weather!G207</f>
        <v>544.29999999999984</v>
      </c>
      <c r="AG75" s="39">
        <f>Weather!H207</f>
        <v>0</v>
      </c>
      <c r="AH75" s="39">
        <f>Weather!I207</f>
        <v>486.3</v>
      </c>
      <c r="AI75" s="39">
        <f>Weather!J207</f>
        <v>0</v>
      </c>
      <c r="AJ75" s="39">
        <f>Weather!K207</f>
        <v>428.29999999999995</v>
      </c>
      <c r="AK75" s="39">
        <f>Weather!L207</f>
        <v>0</v>
      </c>
      <c r="AL75" s="39">
        <f>Weather!M207</f>
        <v>370.3</v>
      </c>
      <c r="AM75" s="39">
        <f>Weather!N207</f>
        <v>0</v>
      </c>
      <c r="AN75" s="39">
        <f>Weather!O207</f>
        <v>312.5</v>
      </c>
      <c r="AO75" s="39">
        <f>Weather!P207</f>
        <v>0.19999999999999929</v>
      </c>
      <c r="AP75" s="39">
        <f>Weather!Q207</f>
        <v>257.2</v>
      </c>
      <c r="AQ75" s="39">
        <f>Weather!R207</f>
        <v>2.8999999999999986</v>
      </c>
      <c r="AR75">
        <v>0</v>
      </c>
      <c r="AS75">
        <v>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 s="1">
        <f t="shared" si="21"/>
        <v>74</v>
      </c>
      <c r="BH75">
        <v>29</v>
      </c>
      <c r="BI75">
        <v>20</v>
      </c>
      <c r="BJ75" s="160">
        <f t="shared" si="22"/>
        <v>672.90373046296281</v>
      </c>
      <c r="BK75" s="160">
        <f t="shared" si="23"/>
        <v>23.20357691251596</v>
      </c>
      <c r="BL75" s="159">
        <f t="shared" si="24"/>
        <v>1399407.7235938376</v>
      </c>
      <c r="BM75" s="160">
        <f t="shared" si="25"/>
        <v>2795.7756415349772</v>
      </c>
      <c r="BN75" s="160">
        <f t="shared" si="26"/>
        <v>96.406056604654381</v>
      </c>
      <c r="BO75" s="160">
        <f t="shared" si="27"/>
        <v>507770.70013671467</v>
      </c>
      <c r="BP75" s="160">
        <f t="shared" si="28"/>
        <v>74246.589982527628</v>
      </c>
      <c r="BQ75" s="160">
        <f t="shared" si="29"/>
        <v>2560.2272407768146</v>
      </c>
      <c r="BR75" s="160">
        <f t="shared" si="30"/>
        <v>3712.3294991263815</v>
      </c>
      <c r="BS75" s="160">
        <f t="shared" si="31"/>
        <v>2644714.7397224498</v>
      </c>
      <c r="BT75" s="160">
        <f t="shared" si="32"/>
        <v>3834836.3725975519</v>
      </c>
    </row>
    <row r="76" spans="1:72" x14ac:dyDescent="0.2">
      <c r="A76" s="3">
        <v>42430</v>
      </c>
      <c r="B76" s="4">
        <f t="shared" si="16"/>
        <v>2016</v>
      </c>
      <c r="C76" s="2">
        <v>39386600</v>
      </c>
      <c r="D76" s="2">
        <f>VLOOKUP(B76,CDM!$I$5:$N$15,2,FALSE)/12</f>
        <v>1262307.9842212892</v>
      </c>
      <c r="E76" s="2">
        <f t="shared" si="19"/>
        <v>40648907.984221287</v>
      </c>
      <c r="F76" s="7">
        <v>60323</v>
      </c>
      <c r="G76" s="5">
        <v>14145609</v>
      </c>
      <c r="H76" s="7">
        <v>5268</v>
      </c>
      <c r="I76" s="2">
        <f>VLOOKUP(B76,CDM!$I$5:$N$15,3,FALSE)/12</f>
        <v>702774.30396472511</v>
      </c>
      <c r="J76" s="2">
        <f t="shared" si="18"/>
        <v>14848383.303964725</v>
      </c>
      <c r="K76" s="5">
        <v>76236827</v>
      </c>
      <c r="L76" s="2">
        <f>VLOOKUP(B76,CDM!$I$5:$N$15,4,FALSE)/12</f>
        <v>2816466.4519510479</v>
      </c>
      <c r="M76" s="87">
        <f t="shared" si="20"/>
        <v>79053293.451951042</v>
      </c>
      <c r="N76" s="5">
        <v>195760</v>
      </c>
      <c r="O76" s="7">
        <v>1034</v>
      </c>
      <c r="P76" s="5">
        <v>862508</v>
      </c>
      <c r="Q76" s="5">
        <v>2304</v>
      </c>
      <c r="R76" s="5">
        <v>15252</v>
      </c>
      <c r="S76" s="5">
        <v>260607</v>
      </c>
      <c r="T76" s="1">
        <v>24</v>
      </c>
      <c r="U76" s="1">
        <v>560</v>
      </c>
      <c r="V76" s="37">
        <f>'Economic (2020 Adj.)'!C88</f>
        <v>692620.80000000005</v>
      </c>
      <c r="W76" s="37">
        <f>'Economic (2020 Adj.)'!D88</f>
        <v>6978.1</v>
      </c>
      <c r="X76" s="37">
        <f>'Economic (2020 Adj.)'!F88</f>
        <v>3210.6</v>
      </c>
      <c r="Y76" s="37">
        <f>'Economic (2020 Adj.)'!H88</f>
        <v>385.2</v>
      </c>
      <c r="Z76" s="37">
        <f>'Economic (2020 Adj.)'!E88</f>
        <v>6872.4</v>
      </c>
      <c r="AA76" s="37">
        <f>'Economic (2020 Adj.)'!G88</f>
        <v>3165.9</v>
      </c>
      <c r="AB76" s="37">
        <f>'Economic (2020 Adj.)'!I88</f>
        <v>378.9</v>
      </c>
      <c r="AC76" s="39">
        <f>Weather!D208</f>
        <v>3.4451612903225803</v>
      </c>
      <c r="AD76" s="39">
        <f>Weather!E208</f>
        <v>513.20000000000005</v>
      </c>
      <c r="AE76" s="39">
        <f>Weather!F208</f>
        <v>0</v>
      </c>
      <c r="AF76" s="39">
        <f>Weather!G208</f>
        <v>451.2</v>
      </c>
      <c r="AG76" s="39">
        <f>Weather!H208</f>
        <v>0</v>
      </c>
      <c r="AH76" s="39">
        <f>Weather!I208</f>
        <v>389.2</v>
      </c>
      <c r="AI76" s="39">
        <f>Weather!J208</f>
        <v>0</v>
      </c>
      <c r="AJ76" s="39">
        <f>Weather!K208</f>
        <v>327.2</v>
      </c>
      <c r="AK76" s="39">
        <f>Weather!L208</f>
        <v>0</v>
      </c>
      <c r="AL76" s="39">
        <f>Weather!M208</f>
        <v>267</v>
      </c>
      <c r="AM76" s="39">
        <f>Weather!N208</f>
        <v>1.8000000000000007</v>
      </c>
      <c r="AN76" s="39">
        <f>Weather!O208</f>
        <v>208.49999999999997</v>
      </c>
      <c r="AO76" s="39">
        <f>Weather!P208</f>
        <v>5.3000000000000007</v>
      </c>
      <c r="AP76" s="39">
        <f>Weather!Q208</f>
        <v>154.29999999999998</v>
      </c>
      <c r="AQ76" s="39">
        <f>Weather!R208</f>
        <v>13.100000000000001</v>
      </c>
      <c r="AR76">
        <v>0</v>
      </c>
      <c r="AS76">
        <v>0</v>
      </c>
      <c r="AT76">
        <v>1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1</v>
      </c>
      <c r="BE76">
        <v>0</v>
      </c>
      <c r="BF76">
        <v>1</v>
      </c>
      <c r="BG76" s="1">
        <f t="shared" si="21"/>
        <v>75</v>
      </c>
      <c r="BH76">
        <v>31</v>
      </c>
      <c r="BI76">
        <v>21</v>
      </c>
      <c r="BJ76" s="160">
        <f t="shared" si="22"/>
        <v>673.8542178641859</v>
      </c>
      <c r="BK76" s="160">
        <f t="shared" si="23"/>
        <v>21.737232834328577</v>
      </c>
      <c r="BL76" s="159">
        <f t="shared" si="24"/>
        <v>1311255.0962652029</v>
      </c>
      <c r="BM76" s="160">
        <f t="shared" si="25"/>
        <v>2818.5997160145644</v>
      </c>
      <c r="BN76" s="160">
        <f t="shared" si="26"/>
        <v>90.922571484340793</v>
      </c>
      <c r="BO76" s="160">
        <f t="shared" si="27"/>
        <v>478980.10657950724</v>
      </c>
      <c r="BP76" s="160">
        <f t="shared" si="28"/>
        <v>76453.862139217643</v>
      </c>
      <c r="BQ76" s="160">
        <f t="shared" si="29"/>
        <v>2466.2536173941176</v>
      </c>
      <c r="BR76" s="160">
        <f t="shared" si="30"/>
        <v>3640.6601018675069</v>
      </c>
      <c r="BS76" s="160">
        <f t="shared" si="31"/>
        <v>2550106.2403855175</v>
      </c>
      <c r="BT76" s="160">
        <f t="shared" si="32"/>
        <v>3764442.5453310022</v>
      </c>
    </row>
    <row r="77" spans="1:72" x14ac:dyDescent="0.2">
      <c r="A77" s="3">
        <v>42461</v>
      </c>
      <c r="B77" s="4">
        <f t="shared" si="16"/>
        <v>2016</v>
      </c>
      <c r="C77" s="2">
        <v>36920940</v>
      </c>
      <c r="D77" s="2">
        <f>VLOOKUP(B77,CDM!$I$5:$N$15,2,FALSE)/12</f>
        <v>1262307.9842212892</v>
      </c>
      <c r="E77" s="2">
        <f t="shared" si="19"/>
        <v>38183247.984221287</v>
      </c>
      <c r="F77" s="7">
        <v>60319</v>
      </c>
      <c r="G77" s="5">
        <v>13041004</v>
      </c>
      <c r="H77" s="7">
        <v>5267</v>
      </c>
      <c r="I77" s="2">
        <f>VLOOKUP(B77,CDM!$I$5:$N$15,3,FALSE)/12</f>
        <v>702774.30396472511</v>
      </c>
      <c r="J77" s="2">
        <f t="shared" si="18"/>
        <v>13743778.303964725</v>
      </c>
      <c r="K77" s="5">
        <v>72510143</v>
      </c>
      <c r="L77" s="2">
        <f>VLOOKUP(B77,CDM!$I$5:$N$15,4,FALSE)/12</f>
        <v>2816466.4519510479</v>
      </c>
      <c r="M77" s="87">
        <f t="shared" si="20"/>
        <v>75326609.451951042</v>
      </c>
      <c r="N77" s="5">
        <v>193410</v>
      </c>
      <c r="O77" s="7">
        <v>1035</v>
      </c>
      <c r="P77" s="5">
        <v>732326</v>
      </c>
      <c r="Q77" s="5">
        <v>2304</v>
      </c>
      <c r="R77" s="7">
        <v>15252</v>
      </c>
      <c r="S77" s="5">
        <v>259023</v>
      </c>
      <c r="T77" s="1">
        <v>24</v>
      </c>
      <c r="U77" s="1">
        <v>560</v>
      </c>
      <c r="V77" s="37">
        <f>'Economic (2020 Adj.)'!C89</f>
        <v>692620.80000000005</v>
      </c>
      <c r="W77" s="37">
        <f>'Economic (2020 Adj.)'!D89</f>
        <v>6981.8</v>
      </c>
      <c r="X77" s="37">
        <f>'Economic (2020 Adj.)'!F89</f>
        <v>3208.5</v>
      </c>
      <c r="Y77" s="37">
        <f>'Economic (2020 Adj.)'!H89</f>
        <v>387.9</v>
      </c>
      <c r="Z77" s="37">
        <f>'Economic (2020 Adj.)'!E89</f>
        <v>6890.3</v>
      </c>
      <c r="AA77" s="37">
        <f>'Economic (2020 Adj.)'!G89</f>
        <v>3172.5</v>
      </c>
      <c r="AB77" s="37">
        <f>'Economic (2020 Adj.)'!I89</f>
        <v>383.7</v>
      </c>
      <c r="AC77" s="39">
        <f>Weather!D209</f>
        <v>4.9666666666666659</v>
      </c>
      <c r="AD77" s="39">
        <f>Weather!E209</f>
        <v>450.99999999999983</v>
      </c>
      <c r="AE77" s="39">
        <f>Weather!F209</f>
        <v>0</v>
      </c>
      <c r="AF77" s="39">
        <f>Weather!G209</f>
        <v>390.99999999999983</v>
      </c>
      <c r="AG77" s="39">
        <f>Weather!H209</f>
        <v>0</v>
      </c>
      <c r="AH77" s="39">
        <f>Weather!I209</f>
        <v>331.7999999999999</v>
      </c>
      <c r="AI77" s="39">
        <f>Weather!J209</f>
        <v>0.80000000000000071</v>
      </c>
      <c r="AJ77" s="39">
        <f>Weather!K209</f>
        <v>273.7999999999999</v>
      </c>
      <c r="AK77" s="39">
        <f>Weather!L209</f>
        <v>2.8000000000000007</v>
      </c>
      <c r="AL77" s="39">
        <f>Weather!M209</f>
        <v>216.89999999999998</v>
      </c>
      <c r="AM77" s="39">
        <f>Weather!N209</f>
        <v>5.9</v>
      </c>
      <c r="AN77" s="39">
        <f>Weather!O209</f>
        <v>162.69999999999999</v>
      </c>
      <c r="AO77" s="39">
        <f>Weather!P209</f>
        <v>11.700000000000001</v>
      </c>
      <c r="AP77" s="39">
        <f>Weather!Q209</f>
        <v>113.70000000000002</v>
      </c>
      <c r="AQ77" s="39">
        <f>Weather!R209</f>
        <v>22.700000000000003</v>
      </c>
      <c r="AR77">
        <v>0</v>
      </c>
      <c r="AS77">
        <v>0</v>
      </c>
      <c r="AT77">
        <v>0</v>
      </c>
      <c r="AU77">
        <v>1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1</v>
      </c>
      <c r="BE77">
        <v>0</v>
      </c>
      <c r="BF77">
        <v>1</v>
      </c>
      <c r="BG77" s="1">
        <f t="shared" si="21"/>
        <v>76</v>
      </c>
      <c r="BH77">
        <v>30</v>
      </c>
      <c r="BI77">
        <v>21</v>
      </c>
      <c r="BJ77" s="160">
        <f t="shared" si="22"/>
        <v>633.02189996885375</v>
      </c>
      <c r="BK77" s="160">
        <f t="shared" si="23"/>
        <v>21.100729998961793</v>
      </c>
      <c r="BL77" s="159">
        <f t="shared" si="24"/>
        <v>1272774.9328073761</v>
      </c>
      <c r="BM77" s="160">
        <f t="shared" si="25"/>
        <v>2609.4130062587287</v>
      </c>
      <c r="BN77" s="160">
        <f t="shared" si="26"/>
        <v>86.980433541957623</v>
      </c>
      <c r="BO77" s="160">
        <f t="shared" si="27"/>
        <v>458125.94346549083</v>
      </c>
      <c r="BP77" s="160">
        <f t="shared" si="28"/>
        <v>72779.332803817437</v>
      </c>
      <c r="BQ77" s="160">
        <f t="shared" si="29"/>
        <v>2425.9777601272481</v>
      </c>
      <c r="BR77" s="160">
        <f t="shared" si="30"/>
        <v>3465.6825144674972</v>
      </c>
      <c r="BS77" s="160">
        <f t="shared" si="31"/>
        <v>2510886.9817317012</v>
      </c>
      <c r="BT77" s="160">
        <f t="shared" si="32"/>
        <v>3586981.402473859</v>
      </c>
    </row>
    <row r="78" spans="1:72" x14ac:dyDescent="0.2">
      <c r="A78" s="3">
        <v>42491</v>
      </c>
      <c r="B78" s="4">
        <f t="shared" si="16"/>
        <v>2016</v>
      </c>
      <c r="C78" s="2">
        <v>41386492</v>
      </c>
      <c r="D78" s="2">
        <f>VLOOKUP(B78,CDM!$I$5:$N$15,2,FALSE)/12</f>
        <v>1262307.9842212892</v>
      </c>
      <c r="E78" s="2">
        <f t="shared" si="19"/>
        <v>42648799.984221287</v>
      </c>
      <c r="F78" s="5">
        <v>60305</v>
      </c>
      <c r="G78" s="5">
        <v>13344960</v>
      </c>
      <c r="H78" s="5">
        <v>5294</v>
      </c>
      <c r="I78" s="2">
        <f>VLOOKUP(B78,CDM!$I$5:$N$15,3,FALSE)/12</f>
        <v>702774.30396472511</v>
      </c>
      <c r="J78" s="2">
        <f t="shared" si="18"/>
        <v>14047734.303964725</v>
      </c>
      <c r="K78" s="5">
        <v>74482255</v>
      </c>
      <c r="L78" s="2">
        <f>VLOOKUP(B78,CDM!$I$5:$N$15,4,FALSE)/12</f>
        <v>2816466.4519510479</v>
      </c>
      <c r="M78" s="87">
        <f t="shared" si="20"/>
        <v>77298721.451951042</v>
      </c>
      <c r="N78" s="5">
        <v>190232</v>
      </c>
      <c r="O78" s="5">
        <v>1035</v>
      </c>
      <c r="P78" s="5">
        <v>666464</v>
      </c>
      <c r="Q78" s="5">
        <v>2304</v>
      </c>
      <c r="R78" s="7">
        <v>15252</v>
      </c>
      <c r="S78" s="5">
        <v>259477</v>
      </c>
      <c r="T78" s="1">
        <v>24</v>
      </c>
      <c r="U78" s="1">
        <v>560</v>
      </c>
      <c r="V78" s="37">
        <f>'Economic (2020 Adj.)'!C90</f>
        <v>692620.80000000005</v>
      </c>
      <c r="W78" s="37">
        <f>'Economic (2020 Adj.)'!D90</f>
        <v>6994.4</v>
      </c>
      <c r="X78" s="37">
        <f>'Economic (2020 Adj.)'!F90</f>
        <v>3217.7</v>
      </c>
      <c r="Y78" s="37">
        <f>'Economic (2020 Adj.)'!H90</f>
        <v>383.2</v>
      </c>
      <c r="Z78" s="37">
        <f>'Economic (2020 Adj.)'!E90</f>
        <v>6962.5</v>
      </c>
      <c r="AA78" s="37">
        <f>'Economic (2020 Adj.)'!G90</f>
        <v>3207.8</v>
      </c>
      <c r="AB78" s="37">
        <f>'Economic (2020 Adj.)'!I90</f>
        <v>382.3</v>
      </c>
      <c r="AC78" s="39">
        <f>Weather!D210</f>
        <v>13.870967741935482</v>
      </c>
      <c r="AD78" s="39">
        <f>Weather!E210</f>
        <v>203.6</v>
      </c>
      <c r="AE78" s="39">
        <f>Weather!F210</f>
        <v>13.599999999999998</v>
      </c>
      <c r="AF78" s="39">
        <f>Weather!G210</f>
        <v>156.09999999999997</v>
      </c>
      <c r="AG78" s="39">
        <f>Weather!H210</f>
        <v>28.099999999999998</v>
      </c>
      <c r="AH78" s="39">
        <f>Weather!I210</f>
        <v>113.69999999999999</v>
      </c>
      <c r="AI78" s="39">
        <f>Weather!J210</f>
        <v>47.699999999999989</v>
      </c>
      <c r="AJ78" s="39">
        <f>Weather!K210</f>
        <v>74.600000000000009</v>
      </c>
      <c r="AK78" s="39">
        <f>Weather!L210</f>
        <v>70.599999999999994</v>
      </c>
      <c r="AL78" s="39">
        <f>Weather!M210</f>
        <v>41.900000000000006</v>
      </c>
      <c r="AM78" s="39">
        <f>Weather!N210</f>
        <v>99.899999999999991</v>
      </c>
      <c r="AN78" s="39">
        <f>Weather!O210</f>
        <v>17.299999999999997</v>
      </c>
      <c r="AO78" s="39">
        <f>Weather!P210</f>
        <v>137.30000000000001</v>
      </c>
      <c r="AP78" s="39">
        <f>Weather!Q210</f>
        <v>4.5</v>
      </c>
      <c r="AQ78" s="39">
        <f>Weather!R210</f>
        <v>186.50000000000003</v>
      </c>
      <c r="AR78">
        <v>0</v>
      </c>
      <c r="AS78">
        <v>0</v>
      </c>
      <c r="AT78">
        <v>0</v>
      </c>
      <c r="AU78">
        <v>0</v>
      </c>
      <c r="AV78">
        <v>1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1</v>
      </c>
      <c r="BE78">
        <v>0</v>
      </c>
      <c r="BF78">
        <v>1</v>
      </c>
      <c r="BG78" s="1">
        <f t="shared" si="21"/>
        <v>77</v>
      </c>
      <c r="BH78">
        <v>31</v>
      </c>
      <c r="BI78">
        <v>21</v>
      </c>
      <c r="BJ78" s="160">
        <f t="shared" si="22"/>
        <v>707.21830667807455</v>
      </c>
      <c r="BK78" s="160">
        <f t="shared" si="23"/>
        <v>22.813493763808857</v>
      </c>
      <c r="BL78" s="159">
        <f t="shared" si="24"/>
        <v>1375767.741426493</v>
      </c>
      <c r="BM78" s="160">
        <f t="shared" si="25"/>
        <v>2653.5198911909188</v>
      </c>
      <c r="BN78" s="160">
        <f t="shared" si="26"/>
        <v>85.597415844868351</v>
      </c>
      <c r="BO78" s="160">
        <f t="shared" si="27"/>
        <v>453152.71948273305</v>
      </c>
      <c r="BP78" s="160">
        <f t="shared" si="28"/>
        <v>74684.755026039653</v>
      </c>
      <c r="BQ78" s="160">
        <f t="shared" si="29"/>
        <v>2409.1856460012791</v>
      </c>
      <c r="BR78" s="160">
        <f t="shared" si="30"/>
        <v>3556.416906001888</v>
      </c>
      <c r="BS78" s="160">
        <f t="shared" si="31"/>
        <v>2493507.143611324</v>
      </c>
      <c r="BT78" s="160">
        <f t="shared" si="32"/>
        <v>3680891.4977119542</v>
      </c>
    </row>
    <row r="79" spans="1:72" x14ac:dyDescent="0.2">
      <c r="A79" s="3">
        <v>42522</v>
      </c>
      <c r="B79" s="4">
        <f t="shared" si="16"/>
        <v>2016</v>
      </c>
      <c r="C79" s="2">
        <v>50574849</v>
      </c>
      <c r="D79" s="2">
        <f>VLOOKUP(B79,CDM!$I$5:$N$15,2,FALSE)/12</f>
        <v>1262307.9842212892</v>
      </c>
      <c r="E79" s="2">
        <f t="shared" si="19"/>
        <v>51837156.984221287</v>
      </c>
      <c r="F79" s="7">
        <v>60308</v>
      </c>
      <c r="G79" s="5">
        <v>14145403</v>
      </c>
      <c r="H79" s="7">
        <v>5264</v>
      </c>
      <c r="I79" s="2">
        <f>VLOOKUP(B79,CDM!$I$5:$N$15,3,FALSE)/12</f>
        <v>702774.30396472511</v>
      </c>
      <c r="J79" s="2">
        <f t="shared" si="18"/>
        <v>14848177.303964725</v>
      </c>
      <c r="K79" s="5">
        <v>77899377</v>
      </c>
      <c r="L79" s="2">
        <f>VLOOKUP(B79,CDM!$I$5:$N$15,4,FALSE)/12</f>
        <v>2816466.4519510479</v>
      </c>
      <c r="M79" s="87">
        <f t="shared" si="20"/>
        <v>80715843.451951042</v>
      </c>
      <c r="N79" s="5">
        <v>204631</v>
      </c>
      <c r="O79" s="7">
        <v>1033</v>
      </c>
      <c r="P79" s="5">
        <v>599799</v>
      </c>
      <c r="Q79" s="5">
        <v>2304</v>
      </c>
      <c r="R79" s="5">
        <v>15252</v>
      </c>
      <c r="S79" s="5">
        <v>258917</v>
      </c>
      <c r="T79" s="1">
        <v>24</v>
      </c>
      <c r="U79" s="1">
        <v>560</v>
      </c>
      <c r="V79" s="37">
        <f>'Economic (2020 Adj.)'!C91</f>
        <v>692620.80000000005</v>
      </c>
      <c r="W79" s="37">
        <f>'Economic (2020 Adj.)'!D91</f>
        <v>7001.9</v>
      </c>
      <c r="X79" s="37">
        <f>'Economic (2020 Adj.)'!F91</f>
        <v>3230.3</v>
      </c>
      <c r="Y79" s="37">
        <f>'Economic (2020 Adj.)'!H91</f>
        <v>382.1</v>
      </c>
      <c r="Z79" s="37">
        <f>'Economic (2020 Adj.)'!E91</f>
        <v>7047.3</v>
      </c>
      <c r="AA79" s="37">
        <f>'Economic (2020 Adj.)'!G91</f>
        <v>3251.8</v>
      </c>
      <c r="AB79" s="37">
        <f>'Economic (2020 Adj.)'!I91</f>
        <v>384.6</v>
      </c>
      <c r="AC79" s="39">
        <f>Weather!D211</f>
        <v>19.386666666666663</v>
      </c>
      <c r="AD79" s="39">
        <f>Weather!E211</f>
        <v>53</v>
      </c>
      <c r="AE79" s="39">
        <f>Weather!F211</f>
        <v>34.6</v>
      </c>
      <c r="AF79" s="39">
        <f>Weather!G211</f>
        <v>26.500000000000004</v>
      </c>
      <c r="AG79" s="39">
        <f>Weather!H211</f>
        <v>68.099999999999994</v>
      </c>
      <c r="AH79" s="39">
        <f>Weather!I211</f>
        <v>8.5</v>
      </c>
      <c r="AI79" s="39">
        <f>Weather!J211</f>
        <v>110.1</v>
      </c>
      <c r="AJ79" s="39">
        <f>Weather!K211</f>
        <v>2</v>
      </c>
      <c r="AK79" s="39">
        <f>Weather!L211</f>
        <v>163.6</v>
      </c>
      <c r="AL79" s="39">
        <f>Weather!M211</f>
        <v>0</v>
      </c>
      <c r="AM79" s="39">
        <f>Weather!N211</f>
        <v>221.60000000000002</v>
      </c>
      <c r="AN79" s="39">
        <f>Weather!O211</f>
        <v>0</v>
      </c>
      <c r="AO79" s="39">
        <f>Weather!P211</f>
        <v>281.60000000000008</v>
      </c>
      <c r="AP79" s="39">
        <f>Weather!Q211</f>
        <v>0</v>
      </c>
      <c r="AQ79" s="39">
        <f>Weather!R211</f>
        <v>341.6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1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 s="1">
        <f t="shared" si="21"/>
        <v>78</v>
      </c>
      <c r="BH79">
        <v>30</v>
      </c>
      <c r="BI79">
        <v>22</v>
      </c>
      <c r="BJ79" s="160">
        <f t="shared" si="22"/>
        <v>859.54030948168213</v>
      </c>
      <c r="BK79" s="160">
        <f t="shared" si="23"/>
        <v>28.651343649389403</v>
      </c>
      <c r="BL79" s="159">
        <f t="shared" si="24"/>
        <v>1727905.2328073762</v>
      </c>
      <c r="BM79" s="160">
        <f t="shared" si="25"/>
        <v>2820.7023753732378</v>
      </c>
      <c r="BN79" s="160">
        <f t="shared" si="26"/>
        <v>94.023412512441254</v>
      </c>
      <c r="BO79" s="160">
        <f t="shared" si="27"/>
        <v>494939.24346549081</v>
      </c>
      <c r="BP79" s="160">
        <f t="shared" si="28"/>
        <v>78137.312150969068</v>
      </c>
      <c r="BQ79" s="160">
        <f t="shared" si="29"/>
        <v>2604.5770716989691</v>
      </c>
      <c r="BR79" s="160">
        <f t="shared" si="30"/>
        <v>3551.6960068622302</v>
      </c>
      <c r="BS79" s="160">
        <f t="shared" si="31"/>
        <v>2690528.1150650349</v>
      </c>
      <c r="BT79" s="160">
        <f t="shared" si="32"/>
        <v>3668901.9750886839</v>
      </c>
    </row>
    <row r="80" spans="1:72" x14ac:dyDescent="0.2">
      <c r="A80" s="3">
        <v>42552</v>
      </c>
      <c r="B80" s="4">
        <f t="shared" si="16"/>
        <v>2016</v>
      </c>
      <c r="C80" s="2">
        <v>61688603</v>
      </c>
      <c r="D80" s="2">
        <f>VLOOKUP(B80,CDM!$I$5:$N$15,2,FALSE)/12</f>
        <v>1262307.9842212892</v>
      </c>
      <c r="E80" s="2">
        <f t="shared" si="19"/>
        <v>62950910.984221287</v>
      </c>
      <c r="F80" s="7">
        <v>60310</v>
      </c>
      <c r="G80" s="5">
        <v>15923666</v>
      </c>
      <c r="H80" s="7">
        <v>5262</v>
      </c>
      <c r="I80" s="2">
        <f>VLOOKUP(B80,CDM!$I$5:$N$15,3,FALSE)/12</f>
        <v>702774.30396472511</v>
      </c>
      <c r="J80" s="2">
        <f t="shared" si="18"/>
        <v>16626440.303964725</v>
      </c>
      <c r="K80" s="5">
        <v>84011912</v>
      </c>
      <c r="L80" s="2">
        <f>VLOOKUP(B80,CDM!$I$5:$N$15,4,FALSE)/12</f>
        <v>2816466.4519510479</v>
      </c>
      <c r="M80" s="87">
        <f t="shared" si="20"/>
        <v>86828378.451951042</v>
      </c>
      <c r="N80" s="5">
        <v>214922</v>
      </c>
      <c r="O80" s="7">
        <v>1034</v>
      </c>
      <c r="P80" s="5">
        <v>641842</v>
      </c>
      <c r="Q80" s="5">
        <v>2304</v>
      </c>
      <c r="R80" s="7">
        <v>15252</v>
      </c>
      <c r="S80" s="5">
        <v>259477</v>
      </c>
      <c r="T80" s="1">
        <v>24</v>
      </c>
      <c r="U80" s="1">
        <v>560</v>
      </c>
      <c r="V80" s="37">
        <f>'Economic (2020 Adj.)'!C92</f>
        <v>692620.80000000005</v>
      </c>
      <c r="W80" s="37">
        <f>'Economic (2020 Adj.)'!D92</f>
        <v>6995.7</v>
      </c>
      <c r="X80" s="37">
        <f>'Economic (2020 Adj.)'!F92</f>
        <v>3229.4</v>
      </c>
      <c r="Y80" s="37">
        <f>'Economic (2020 Adj.)'!H92</f>
        <v>379.1</v>
      </c>
      <c r="Z80" s="37">
        <f>'Economic (2020 Adj.)'!E92</f>
        <v>7090.8</v>
      </c>
      <c r="AA80" s="37">
        <f>'Economic (2020 Adj.)'!G92</f>
        <v>3265.5</v>
      </c>
      <c r="AB80" s="37">
        <f>'Economic (2020 Adj.)'!I92</f>
        <v>382.2</v>
      </c>
      <c r="AC80" s="39">
        <f>Weather!D212</f>
        <v>22.919354838709673</v>
      </c>
      <c r="AD80" s="39">
        <f>Weather!E212</f>
        <v>5.2999999999999972</v>
      </c>
      <c r="AE80" s="39">
        <f>Weather!F212</f>
        <v>95.800000000000026</v>
      </c>
      <c r="AF80" s="39">
        <f>Weather!G212</f>
        <v>0.10000000000000142</v>
      </c>
      <c r="AG80" s="39">
        <f>Weather!H212</f>
        <v>152.60000000000002</v>
      </c>
      <c r="AH80" s="39">
        <f>Weather!I212</f>
        <v>0</v>
      </c>
      <c r="AI80" s="39">
        <f>Weather!J212</f>
        <v>214.50000000000003</v>
      </c>
      <c r="AJ80" s="39">
        <f>Weather!K212</f>
        <v>0</v>
      </c>
      <c r="AK80" s="39">
        <f>Weather!L212</f>
        <v>276.5</v>
      </c>
      <c r="AL80" s="39">
        <f>Weather!M212</f>
        <v>0</v>
      </c>
      <c r="AM80" s="39">
        <f>Weather!N212</f>
        <v>338.49999999999994</v>
      </c>
      <c r="AN80" s="39">
        <f>Weather!O212</f>
        <v>0</v>
      </c>
      <c r="AO80" s="39">
        <f>Weather!P212</f>
        <v>400.49999999999983</v>
      </c>
      <c r="AP80" s="39">
        <f>Weather!Q212</f>
        <v>0</v>
      </c>
      <c r="AQ80" s="39">
        <f>Weather!R212</f>
        <v>462.49999999999989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1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 s="1">
        <f t="shared" si="21"/>
        <v>79</v>
      </c>
      <c r="BH80">
        <v>31</v>
      </c>
      <c r="BI80">
        <v>20</v>
      </c>
      <c r="BJ80" s="160">
        <f t="shared" si="22"/>
        <v>1043.7889402125898</v>
      </c>
      <c r="BK80" s="160">
        <f t="shared" si="23"/>
        <v>33.670610974599668</v>
      </c>
      <c r="BL80" s="159">
        <f t="shared" si="24"/>
        <v>2030674.5478781061</v>
      </c>
      <c r="BM80" s="160">
        <f t="shared" si="25"/>
        <v>3159.7187958883933</v>
      </c>
      <c r="BN80" s="160">
        <f t="shared" si="26"/>
        <v>101.92641277059333</v>
      </c>
      <c r="BO80" s="160">
        <f t="shared" si="27"/>
        <v>536336.78399886214</v>
      </c>
      <c r="BP80" s="160">
        <f t="shared" si="28"/>
        <v>83973.28670401455</v>
      </c>
      <c r="BQ80" s="160">
        <f t="shared" si="29"/>
        <v>2708.8157001295017</v>
      </c>
      <c r="BR80" s="160">
        <f t="shared" si="30"/>
        <v>4198.6643352007277</v>
      </c>
      <c r="BS80" s="160">
        <f t="shared" si="31"/>
        <v>2800915.4339339044</v>
      </c>
      <c r="BT80" s="160">
        <f t="shared" si="32"/>
        <v>4341418.9225975517</v>
      </c>
    </row>
    <row r="81" spans="1:72" x14ac:dyDescent="0.2">
      <c r="A81" s="3">
        <v>42583</v>
      </c>
      <c r="B81" s="4">
        <f t="shared" si="16"/>
        <v>2016</v>
      </c>
      <c r="C81" s="2">
        <v>60215461</v>
      </c>
      <c r="D81" s="2">
        <f>VLOOKUP(B81,CDM!$I$5:$N$15,2,FALSE)/12</f>
        <v>1262307.9842212892</v>
      </c>
      <c r="E81" s="2">
        <f t="shared" si="19"/>
        <v>61477768.984221287</v>
      </c>
      <c r="F81" s="5">
        <v>60299</v>
      </c>
      <c r="G81" s="5">
        <v>16295761</v>
      </c>
      <c r="H81" s="5">
        <v>5260</v>
      </c>
      <c r="I81" s="2">
        <f>VLOOKUP(B81,CDM!$I$5:$N$15,3,FALSE)/12</f>
        <v>702774.30396472511</v>
      </c>
      <c r="J81" s="2">
        <f t="shared" si="18"/>
        <v>16998535.303964727</v>
      </c>
      <c r="K81" s="5">
        <v>87167726</v>
      </c>
      <c r="L81" s="2">
        <f>VLOOKUP(B81,CDM!$I$5:$N$15,4,FALSE)/12</f>
        <v>2816466.4519510479</v>
      </c>
      <c r="M81" s="87">
        <f t="shared" si="20"/>
        <v>89984192.451951042</v>
      </c>
      <c r="N81" s="5">
        <v>217408</v>
      </c>
      <c r="O81" s="5">
        <v>1034</v>
      </c>
      <c r="P81" s="5">
        <v>720249</v>
      </c>
      <c r="Q81" s="5">
        <v>2304</v>
      </c>
      <c r="R81" s="7">
        <v>15252</v>
      </c>
      <c r="S81" s="5">
        <v>259148</v>
      </c>
      <c r="T81" s="1">
        <v>24</v>
      </c>
      <c r="U81" s="1">
        <v>560</v>
      </c>
      <c r="V81" s="37">
        <f>'Economic (2020 Adj.)'!C93</f>
        <v>692620.80000000005</v>
      </c>
      <c r="W81" s="37">
        <f>'Economic (2020 Adj.)'!D93</f>
        <v>6990.6</v>
      </c>
      <c r="X81" s="37">
        <f>'Economic (2020 Adj.)'!F93</f>
        <v>3224.8</v>
      </c>
      <c r="Y81" s="37">
        <f>'Economic (2020 Adj.)'!H93</f>
        <v>379.5</v>
      </c>
      <c r="Z81" s="37">
        <f>'Economic (2020 Adj.)'!E93</f>
        <v>7083.3</v>
      </c>
      <c r="AA81" s="37">
        <f>'Economic (2020 Adj.)'!G93</f>
        <v>3263</v>
      </c>
      <c r="AB81" s="37">
        <f>'Economic (2020 Adj.)'!I93</f>
        <v>380.6</v>
      </c>
      <c r="AC81" s="39">
        <f>Weather!D213</f>
        <v>23.735483870967741</v>
      </c>
      <c r="AD81" s="39">
        <f>Weather!E213</f>
        <v>0.10000000000000142</v>
      </c>
      <c r="AE81" s="39">
        <f>Weather!F213</f>
        <v>115.89999999999998</v>
      </c>
      <c r="AF81" s="39">
        <f>Weather!G213</f>
        <v>0</v>
      </c>
      <c r="AG81" s="39">
        <f>Weather!H213</f>
        <v>177.79999999999998</v>
      </c>
      <c r="AH81" s="39">
        <f>Weather!I213</f>
        <v>0</v>
      </c>
      <c r="AI81" s="39">
        <f>Weather!J213</f>
        <v>239.79999999999998</v>
      </c>
      <c r="AJ81" s="39">
        <f>Weather!K213</f>
        <v>0</v>
      </c>
      <c r="AK81" s="39">
        <f>Weather!L213</f>
        <v>301.80000000000007</v>
      </c>
      <c r="AL81" s="39">
        <f>Weather!M213</f>
        <v>0</v>
      </c>
      <c r="AM81" s="39">
        <f>Weather!N213</f>
        <v>363.80000000000007</v>
      </c>
      <c r="AN81" s="39">
        <f>Weather!O213</f>
        <v>0</v>
      </c>
      <c r="AO81" s="39">
        <f>Weather!P213</f>
        <v>425.80000000000007</v>
      </c>
      <c r="AP81" s="39">
        <f>Weather!Q213</f>
        <v>0</v>
      </c>
      <c r="AQ81" s="39">
        <f>Weather!R213</f>
        <v>487.80000000000007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1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 s="1">
        <f t="shared" si="21"/>
        <v>80</v>
      </c>
      <c r="BH81">
        <v>31</v>
      </c>
      <c r="BI81">
        <v>22</v>
      </c>
      <c r="BJ81" s="160">
        <f t="shared" si="22"/>
        <v>1019.5487318897708</v>
      </c>
      <c r="BK81" s="160">
        <f t="shared" si="23"/>
        <v>32.888668770637771</v>
      </c>
      <c r="BL81" s="159">
        <f t="shared" si="24"/>
        <v>1983153.8382006867</v>
      </c>
      <c r="BM81" s="160">
        <f t="shared" si="25"/>
        <v>3231.6607041758034</v>
      </c>
      <c r="BN81" s="160">
        <f t="shared" si="26"/>
        <v>104.24711948954204</v>
      </c>
      <c r="BO81" s="160">
        <f t="shared" si="27"/>
        <v>548339.84851499123</v>
      </c>
      <c r="BP81" s="160">
        <f t="shared" si="28"/>
        <v>87025.331191442019</v>
      </c>
      <c r="BQ81" s="160">
        <f t="shared" si="29"/>
        <v>2807.2687481110329</v>
      </c>
      <c r="BR81" s="160">
        <f t="shared" si="30"/>
        <v>3955.6968723382738</v>
      </c>
      <c r="BS81" s="160">
        <f t="shared" si="31"/>
        <v>2902715.8855468077</v>
      </c>
      <c r="BT81" s="160">
        <f t="shared" si="32"/>
        <v>4090190.5659977747</v>
      </c>
    </row>
    <row r="82" spans="1:72" x14ac:dyDescent="0.2">
      <c r="A82" s="3">
        <v>42614</v>
      </c>
      <c r="B82" s="4">
        <f t="shared" si="16"/>
        <v>2016</v>
      </c>
      <c r="C82" s="2">
        <v>49709783</v>
      </c>
      <c r="D82" s="2">
        <f>VLOOKUP(B82,CDM!$I$5:$N$15,2,FALSE)/12</f>
        <v>1262307.9842212892</v>
      </c>
      <c r="E82" s="2">
        <f t="shared" si="19"/>
        <v>50972090.984221287</v>
      </c>
      <c r="F82" s="7">
        <v>60320</v>
      </c>
      <c r="G82" s="5">
        <v>13976976</v>
      </c>
      <c r="H82" s="7">
        <v>5273</v>
      </c>
      <c r="I82" s="2">
        <f>VLOOKUP(B82,CDM!$I$5:$N$15,3,FALSE)/12</f>
        <v>702774.30396472511</v>
      </c>
      <c r="J82" s="2">
        <f t="shared" si="18"/>
        <v>14679750.303964725</v>
      </c>
      <c r="K82" s="5">
        <v>77840725</v>
      </c>
      <c r="L82" s="2">
        <f>VLOOKUP(B82,CDM!$I$5:$N$15,4,FALSE)/12</f>
        <v>2816466.4519510479</v>
      </c>
      <c r="M82" s="87">
        <f t="shared" si="20"/>
        <v>80657191.451951042</v>
      </c>
      <c r="N82" s="5">
        <v>218401</v>
      </c>
      <c r="O82" s="7">
        <v>1033</v>
      </c>
      <c r="P82" s="5">
        <v>794582</v>
      </c>
      <c r="Q82" s="5">
        <v>2304</v>
      </c>
      <c r="R82" s="5">
        <v>15252</v>
      </c>
      <c r="S82" s="5">
        <v>258866</v>
      </c>
      <c r="T82" s="1">
        <v>24</v>
      </c>
      <c r="U82" s="1">
        <v>559</v>
      </c>
      <c r="V82" s="37">
        <f>'Economic (2020 Adj.)'!C94</f>
        <v>692620.80000000005</v>
      </c>
      <c r="W82" s="37">
        <f>'Economic (2020 Adj.)'!D94</f>
        <v>6988.9</v>
      </c>
      <c r="X82" s="37">
        <f>'Economic (2020 Adj.)'!F94</f>
        <v>3216.9</v>
      </c>
      <c r="Y82" s="37">
        <f>'Economic (2020 Adj.)'!H94</f>
        <v>382.3</v>
      </c>
      <c r="Z82" s="37">
        <f>'Economic (2020 Adj.)'!E94</f>
        <v>7037</v>
      </c>
      <c r="AA82" s="37">
        <f>'Economic (2020 Adj.)'!G94</f>
        <v>3236.1</v>
      </c>
      <c r="AB82" s="37">
        <f>'Economic (2020 Adj.)'!I94</f>
        <v>381.7</v>
      </c>
      <c r="AC82" s="39">
        <f>Weather!D214</f>
        <v>20.029999999999998</v>
      </c>
      <c r="AD82" s="39">
        <f>Weather!E214</f>
        <v>41.900000000000013</v>
      </c>
      <c r="AE82" s="39">
        <f>Weather!F214</f>
        <v>42.800000000000011</v>
      </c>
      <c r="AF82" s="39">
        <f>Weather!G214</f>
        <v>15.500000000000002</v>
      </c>
      <c r="AG82" s="39">
        <f>Weather!H214</f>
        <v>76.40000000000002</v>
      </c>
      <c r="AH82" s="39">
        <f>Weather!I214</f>
        <v>3.7999999999999989</v>
      </c>
      <c r="AI82" s="39">
        <f>Weather!J214</f>
        <v>124.7</v>
      </c>
      <c r="AJ82" s="39">
        <f>Weather!K214</f>
        <v>9.9999999999999645E-2</v>
      </c>
      <c r="AK82" s="39">
        <f>Weather!L214</f>
        <v>181</v>
      </c>
      <c r="AL82" s="39">
        <f>Weather!M214</f>
        <v>0</v>
      </c>
      <c r="AM82" s="39">
        <f>Weather!N214</f>
        <v>240.9</v>
      </c>
      <c r="AN82" s="39">
        <f>Weather!O214</f>
        <v>0</v>
      </c>
      <c r="AO82" s="39">
        <f>Weather!P214</f>
        <v>300.89999999999992</v>
      </c>
      <c r="AP82" s="39">
        <f>Weather!Q214</f>
        <v>0</v>
      </c>
      <c r="AQ82" s="39">
        <f>Weather!R214</f>
        <v>360.89999999999992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1</v>
      </c>
      <c r="BA82">
        <v>0</v>
      </c>
      <c r="BB82">
        <v>0</v>
      </c>
      <c r="BC82">
        <v>0</v>
      </c>
      <c r="BD82">
        <v>0</v>
      </c>
      <c r="BE82">
        <v>1</v>
      </c>
      <c r="BF82">
        <v>1</v>
      </c>
      <c r="BG82" s="1">
        <f t="shared" si="21"/>
        <v>81</v>
      </c>
      <c r="BH82">
        <v>30</v>
      </c>
      <c r="BI82">
        <v>21</v>
      </c>
      <c r="BJ82" s="160">
        <f t="shared" si="22"/>
        <v>845.02803355804519</v>
      </c>
      <c r="BK82" s="160">
        <f t="shared" si="23"/>
        <v>28.167601118601507</v>
      </c>
      <c r="BL82" s="159">
        <f t="shared" si="24"/>
        <v>1699069.699474043</v>
      </c>
      <c r="BM82" s="160">
        <f t="shared" si="25"/>
        <v>2783.9465776530865</v>
      </c>
      <c r="BN82" s="160">
        <f t="shared" si="26"/>
        <v>92.798219255102879</v>
      </c>
      <c r="BO82" s="160">
        <f t="shared" si="27"/>
        <v>489325.01013215748</v>
      </c>
      <c r="BP82" s="160">
        <f t="shared" si="28"/>
        <v>78080.533835383394</v>
      </c>
      <c r="BQ82" s="160">
        <f t="shared" si="29"/>
        <v>2602.6844611794463</v>
      </c>
      <c r="BR82" s="160">
        <f t="shared" si="30"/>
        <v>3718.1206588277805</v>
      </c>
      <c r="BS82" s="160">
        <f t="shared" si="31"/>
        <v>2688573.0483983681</v>
      </c>
      <c r="BT82" s="160">
        <f t="shared" si="32"/>
        <v>3840818.6405690974</v>
      </c>
    </row>
    <row r="83" spans="1:72" x14ac:dyDescent="0.2">
      <c r="A83" s="3">
        <v>42644</v>
      </c>
      <c r="B83" s="4">
        <f t="shared" si="16"/>
        <v>2016</v>
      </c>
      <c r="C83" s="2">
        <v>41115850</v>
      </c>
      <c r="D83" s="2">
        <f>VLOOKUP(B83,CDM!$I$5:$N$15,2,FALSE)/12</f>
        <v>1262307.9842212892</v>
      </c>
      <c r="E83" s="2">
        <f t="shared" si="19"/>
        <v>42378157.984221287</v>
      </c>
      <c r="F83" s="7">
        <v>60321</v>
      </c>
      <c r="G83" s="5">
        <v>12868083</v>
      </c>
      <c r="H83" s="7">
        <v>5278</v>
      </c>
      <c r="I83" s="2">
        <f>VLOOKUP(B83,CDM!$I$5:$N$15,3,FALSE)/12</f>
        <v>702774.30396472511</v>
      </c>
      <c r="J83" s="2">
        <f t="shared" si="18"/>
        <v>13570857.303964725</v>
      </c>
      <c r="K83" s="5">
        <v>73150245</v>
      </c>
      <c r="L83" s="2">
        <f>VLOOKUP(B83,CDM!$I$5:$N$15,4,FALSE)/12</f>
        <v>2816466.4519510479</v>
      </c>
      <c r="M83" s="87">
        <f t="shared" si="20"/>
        <v>75966711.451951042</v>
      </c>
      <c r="N83" s="5">
        <v>211273</v>
      </c>
      <c r="O83" s="7">
        <v>1036</v>
      </c>
      <c r="P83" s="5">
        <v>926316</v>
      </c>
      <c r="Q83" s="5">
        <v>2304</v>
      </c>
      <c r="R83" s="7">
        <v>15252</v>
      </c>
      <c r="S83" s="5">
        <v>259426</v>
      </c>
      <c r="T83" s="1">
        <v>24</v>
      </c>
      <c r="U83" s="1">
        <v>559</v>
      </c>
      <c r="V83" s="37">
        <f>'Economic (2020 Adj.)'!C95</f>
        <v>692620.80000000005</v>
      </c>
      <c r="W83" s="37">
        <f>'Economic (2020 Adj.)'!D95</f>
        <v>7006.2</v>
      </c>
      <c r="X83" s="37">
        <f>'Economic (2020 Adj.)'!F95</f>
        <v>3209.8</v>
      </c>
      <c r="Y83" s="37">
        <f>'Economic (2020 Adj.)'!H95</f>
        <v>386.2</v>
      </c>
      <c r="Z83" s="37">
        <f>'Economic (2020 Adj.)'!E95</f>
        <v>7033.4</v>
      </c>
      <c r="AA83" s="37">
        <f>'Economic (2020 Adj.)'!G95</f>
        <v>3217.5</v>
      </c>
      <c r="AB83" s="37">
        <f>'Economic (2020 Adj.)'!I95</f>
        <v>384.6</v>
      </c>
      <c r="AC83" s="39">
        <f>Weather!D215</f>
        <v>13.20967741935484</v>
      </c>
      <c r="AD83" s="39">
        <f>Weather!E215</f>
        <v>212.29999999999998</v>
      </c>
      <c r="AE83" s="39">
        <f>Weather!F215</f>
        <v>1.7999999999999972</v>
      </c>
      <c r="AF83" s="39">
        <f>Weather!G215</f>
        <v>156.6</v>
      </c>
      <c r="AG83" s="39">
        <f>Weather!H215</f>
        <v>8.1000000000000014</v>
      </c>
      <c r="AH83" s="39">
        <f>Weather!I215</f>
        <v>111.3</v>
      </c>
      <c r="AI83" s="39">
        <f>Weather!J215</f>
        <v>24.799999999999997</v>
      </c>
      <c r="AJ83" s="39">
        <f>Weather!K215</f>
        <v>77.199999999999989</v>
      </c>
      <c r="AK83" s="39">
        <f>Weather!L215</f>
        <v>52.699999999999989</v>
      </c>
      <c r="AL83" s="39">
        <f>Weather!M215</f>
        <v>50.1</v>
      </c>
      <c r="AM83" s="39">
        <f>Weather!N215</f>
        <v>87.600000000000009</v>
      </c>
      <c r="AN83" s="39">
        <f>Weather!O215</f>
        <v>26.6</v>
      </c>
      <c r="AO83" s="39">
        <f>Weather!P215</f>
        <v>126.10000000000001</v>
      </c>
      <c r="AP83" s="39">
        <f>Weather!Q215</f>
        <v>10.800000000000002</v>
      </c>
      <c r="AQ83" s="39">
        <f>Weather!R215</f>
        <v>172.3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1</v>
      </c>
      <c r="BB83">
        <v>0</v>
      </c>
      <c r="BC83">
        <v>0</v>
      </c>
      <c r="BD83">
        <v>0</v>
      </c>
      <c r="BE83">
        <v>1</v>
      </c>
      <c r="BF83">
        <v>1</v>
      </c>
      <c r="BG83" s="1">
        <f t="shared" si="21"/>
        <v>82</v>
      </c>
      <c r="BH83">
        <v>31</v>
      </c>
      <c r="BI83">
        <v>20</v>
      </c>
      <c r="BJ83" s="160">
        <f t="shared" si="22"/>
        <v>702.54402254971376</v>
      </c>
      <c r="BK83" s="160">
        <f t="shared" si="23"/>
        <v>22.662710404829475</v>
      </c>
      <c r="BL83" s="159">
        <f t="shared" si="24"/>
        <v>1367037.354329719</v>
      </c>
      <c r="BM83" s="160">
        <f t="shared" si="25"/>
        <v>2571.2120697166965</v>
      </c>
      <c r="BN83" s="160">
        <f t="shared" si="26"/>
        <v>82.94232482957085</v>
      </c>
      <c r="BO83" s="160">
        <f t="shared" si="27"/>
        <v>437769.59045047499</v>
      </c>
      <c r="BP83" s="160">
        <f t="shared" si="28"/>
        <v>73326.941555937301</v>
      </c>
      <c r="BQ83" s="160">
        <f t="shared" si="29"/>
        <v>2365.3852114818483</v>
      </c>
      <c r="BR83" s="160">
        <f t="shared" si="30"/>
        <v>3666.3470777968651</v>
      </c>
      <c r="BS83" s="160">
        <f t="shared" si="31"/>
        <v>2450539.079095195</v>
      </c>
      <c r="BT83" s="160">
        <f t="shared" si="32"/>
        <v>3798335.5725975521</v>
      </c>
    </row>
    <row r="84" spans="1:72" x14ac:dyDescent="0.2">
      <c r="A84" s="3">
        <v>42675</v>
      </c>
      <c r="B84" s="4">
        <f t="shared" si="16"/>
        <v>2016</v>
      </c>
      <c r="C84" s="2">
        <v>37172567</v>
      </c>
      <c r="D84" s="2">
        <f>VLOOKUP(B84,CDM!$I$5:$N$15,2,FALSE)/12</f>
        <v>1262307.9842212892</v>
      </c>
      <c r="E84" s="2">
        <f t="shared" si="19"/>
        <v>38434874.984221287</v>
      </c>
      <c r="F84" s="5">
        <v>60345</v>
      </c>
      <c r="G84" s="5">
        <v>12936003</v>
      </c>
      <c r="H84" s="5">
        <v>5298</v>
      </c>
      <c r="I84" s="2">
        <f>VLOOKUP(B84,CDM!$I$5:$N$15,3,FALSE)/12</f>
        <v>702774.30396472511</v>
      </c>
      <c r="J84" s="2">
        <f t="shared" si="18"/>
        <v>13638777.303964725</v>
      </c>
      <c r="K84" s="5">
        <v>71615105</v>
      </c>
      <c r="L84" s="2">
        <f>VLOOKUP(B84,CDM!$I$5:$N$15,4,FALSE)/12</f>
        <v>2816466.4519510479</v>
      </c>
      <c r="M84" s="87">
        <f t="shared" si="20"/>
        <v>74431571.451951042</v>
      </c>
      <c r="N84" s="5">
        <v>211233</v>
      </c>
      <c r="O84" s="5">
        <v>1036</v>
      </c>
      <c r="P84" s="5">
        <v>986113</v>
      </c>
      <c r="Q84" s="5">
        <v>2304</v>
      </c>
      <c r="R84" s="7">
        <v>15253</v>
      </c>
      <c r="S84" s="5">
        <v>258781</v>
      </c>
      <c r="T84" s="1">
        <v>24</v>
      </c>
      <c r="U84" s="1">
        <v>559</v>
      </c>
      <c r="V84" s="37">
        <f>'Economic (2020 Adj.)'!C96</f>
        <v>692620.80000000005</v>
      </c>
      <c r="W84" s="37">
        <f>'Economic (2020 Adj.)'!D96</f>
        <v>7018.5</v>
      </c>
      <c r="X84" s="37">
        <f>'Economic (2020 Adj.)'!F96</f>
        <v>3207.3</v>
      </c>
      <c r="Y84" s="37">
        <f>'Economic (2020 Adj.)'!H96</f>
        <v>392.2</v>
      </c>
      <c r="Z84" s="37">
        <f>'Economic (2020 Adj.)'!E96</f>
        <v>7026.9</v>
      </c>
      <c r="AA84" s="37">
        <f>'Economic (2020 Adj.)'!G96</f>
        <v>3203.3</v>
      </c>
      <c r="AB84" s="37">
        <f>'Economic (2020 Adj.)'!I96</f>
        <v>391.8</v>
      </c>
      <c r="AC84" s="39">
        <f>Weather!D216</f>
        <v>8.2366666666666628</v>
      </c>
      <c r="AD84" s="39">
        <f>Weather!E216</f>
        <v>352.90000000000003</v>
      </c>
      <c r="AE84" s="39">
        <f>Weather!F216</f>
        <v>0</v>
      </c>
      <c r="AF84" s="39">
        <f>Weather!G216</f>
        <v>292.90000000000003</v>
      </c>
      <c r="AG84" s="39">
        <f>Weather!H216</f>
        <v>0</v>
      </c>
      <c r="AH84" s="39">
        <f>Weather!I216</f>
        <v>232.90000000000003</v>
      </c>
      <c r="AI84" s="39">
        <f>Weather!J216</f>
        <v>0</v>
      </c>
      <c r="AJ84" s="39">
        <f>Weather!K216</f>
        <v>174.8</v>
      </c>
      <c r="AK84" s="39">
        <f>Weather!L216</f>
        <v>1.9000000000000004</v>
      </c>
      <c r="AL84" s="39">
        <f>Weather!M216</f>
        <v>121.3</v>
      </c>
      <c r="AM84" s="39">
        <f>Weather!N216</f>
        <v>8.3999999999999986</v>
      </c>
      <c r="AN84" s="39">
        <f>Weather!O216</f>
        <v>76.000000000000014</v>
      </c>
      <c r="AO84" s="39">
        <f>Weather!P216</f>
        <v>23.099999999999998</v>
      </c>
      <c r="AP84" s="39">
        <f>Weather!Q216</f>
        <v>45.8</v>
      </c>
      <c r="AQ84" s="39">
        <f>Weather!R216</f>
        <v>52.900000000000006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1</v>
      </c>
      <c r="BC84">
        <v>0</v>
      </c>
      <c r="BD84">
        <v>0</v>
      </c>
      <c r="BE84">
        <v>1</v>
      </c>
      <c r="BF84">
        <v>1</v>
      </c>
      <c r="BG84" s="1">
        <f t="shared" si="21"/>
        <v>83</v>
      </c>
      <c r="BH84">
        <v>30</v>
      </c>
      <c r="BI84">
        <v>22</v>
      </c>
      <c r="BJ84" s="160">
        <f t="shared" si="22"/>
        <v>636.91896568433651</v>
      </c>
      <c r="BK84" s="160">
        <f t="shared" si="23"/>
        <v>21.230632189477884</v>
      </c>
      <c r="BL84" s="159">
        <f t="shared" si="24"/>
        <v>1281162.4994740428</v>
      </c>
      <c r="BM84" s="160">
        <f t="shared" si="25"/>
        <v>2574.3256519374718</v>
      </c>
      <c r="BN84" s="160">
        <f t="shared" si="26"/>
        <v>85.810855064582398</v>
      </c>
      <c r="BO84" s="160">
        <f t="shared" si="27"/>
        <v>454625.9101321575</v>
      </c>
      <c r="BP84" s="160">
        <f t="shared" si="28"/>
        <v>71845.146189141931</v>
      </c>
      <c r="BQ84" s="160">
        <f t="shared" si="29"/>
        <v>2394.8382063047311</v>
      </c>
      <c r="BR84" s="160">
        <f t="shared" si="30"/>
        <v>3265.6884631428152</v>
      </c>
      <c r="BS84" s="160">
        <f t="shared" si="31"/>
        <v>2481052.3817317015</v>
      </c>
      <c r="BT84" s="160">
        <f t="shared" si="32"/>
        <v>3383253.2478159564</v>
      </c>
    </row>
    <row r="85" spans="1:72" x14ac:dyDescent="0.2">
      <c r="A85" s="3">
        <v>42705</v>
      </c>
      <c r="B85" s="4">
        <f t="shared" si="16"/>
        <v>2016</v>
      </c>
      <c r="C85" s="2">
        <v>42809833</v>
      </c>
      <c r="D85" s="2">
        <f>VLOOKUP(B85,CDM!$I$5:$N$15,2,FALSE)/12</f>
        <v>1262307.9842212892</v>
      </c>
      <c r="E85" s="2">
        <f t="shared" si="19"/>
        <v>44072140.984221287</v>
      </c>
      <c r="F85" s="7">
        <v>60353</v>
      </c>
      <c r="G85" s="9">
        <v>14391209</v>
      </c>
      <c r="H85" s="7">
        <v>5297</v>
      </c>
      <c r="I85" s="2">
        <f>VLOOKUP(B85,CDM!$I$5:$N$15,3,FALSE)/12</f>
        <v>702774.30396472511</v>
      </c>
      <c r="J85" s="2">
        <f t="shared" si="18"/>
        <v>15093983.303964725</v>
      </c>
      <c r="K85" s="9">
        <v>73980352</v>
      </c>
      <c r="L85" s="2">
        <f>VLOOKUP(B85,CDM!$I$5:$N$15,4,FALSE)/12</f>
        <v>2816466.4519510479</v>
      </c>
      <c r="M85" s="87">
        <f t="shared" si="20"/>
        <v>76796818.451951042</v>
      </c>
      <c r="N85" s="5">
        <v>171682</v>
      </c>
      <c r="O85" s="7">
        <v>1036</v>
      </c>
      <c r="P85" s="10">
        <v>1068050</v>
      </c>
      <c r="Q85" s="10">
        <v>2304</v>
      </c>
      <c r="R85" s="5">
        <v>15253</v>
      </c>
      <c r="S85" s="5">
        <v>263175</v>
      </c>
      <c r="T85" s="6">
        <v>24</v>
      </c>
      <c r="U85" s="1">
        <v>559</v>
      </c>
      <c r="V85" s="37">
        <f>'Economic (2020 Adj.)'!C97</f>
        <v>692620.80000000005</v>
      </c>
      <c r="W85" s="37">
        <f>'Economic (2020 Adj.)'!D97</f>
        <v>7028.8</v>
      </c>
      <c r="X85" s="37">
        <f>'Economic (2020 Adj.)'!F97</f>
        <v>3203.9</v>
      </c>
      <c r="Y85" s="37">
        <f>'Economic (2020 Adj.)'!H97</f>
        <v>397.1</v>
      </c>
      <c r="Z85" s="37">
        <f>'Economic (2020 Adj.)'!E97</f>
        <v>7041.6</v>
      </c>
      <c r="AA85" s="37">
        <f>'Economic (2020 Adj.)'!G97</f>
        <v>3206.3</v>
      </c>
      <c r="AB85" s="37">
        <f>'Economic (2020 Adj.)'!I97</f>
        <v>398</v>
      </c>
      <c r="AC85" s="39">
        <f>Weather!D217</f>
        <v>-3.2258064516129135E-2</v>
      </c>
      <c r="AD85" s="39">
        <f>Weather!E217</f>
        <v>621</v>
      </c>
      <c r="AE85" s="39">
        <f>Weather!F217</f>
        <v>0</v>
      </c>
      <c r="AF85" s="39">
        <f>Weather!G217</f>
        <v>559</v>
      </c>
      <c r="AG85" s="39">
        <f>Weather!H217</f>
        <v>0</v>
      </c>
      <c r="AH85" s="39">
        <f>Weather!I217</f>
        <v>497</v>
      </c>
      <c r="AI85" s="39">
        <f>Weather!J217</f>
        <v>0</v>
      </c>
      <c r="AJ85" s="39">
        <f>Weather!K217</f>
        <v>435.00000000000006</v>
      </c>
      <c r="AK85" s="39">
        <f>Weather!L217</f>
        <v>0</v>
      </c>
      <c r="AL85" s="39">
        <f>Weather!M217</f>
        <v>373</v>
      </c>
      <c r="AM85" s="39">
        <f>Weather!N217</f>
        <v>0</v>
      </c>
      <c r="AN85" s="39">
        <f>Weather!O217</f>
        <v>311</v>
      </c>
      <c r="AO85" s="39">
        <f>Weather!P217</f>
        <v>0</v>
      </c>
      <c r="AP85" s="39">
        <f>Weather!Q217</f>
        <v>249</v>
      </c>
      <c r="AQ85" s="39">
        <f>Weather!R217</f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1</v>
      </c>
      <c r="BD85">
        <v>0</v>
      </c>
      <c r="BE85">
        <v>0</v>
      </c>
      <c r="BF85">
        <v>0</v>
      </c>
      <c r="BG85" s="1">
        <f t="shared" si="21"/>
        <v>84</v>
      </c>
      <c r="BH85">
        <v>31</v>
      </c>
      <c r="BI85">
        <v>20</v>
      </c>
      <c r="BJ85" s="160">
        <f t="shared" si="22"/>
        <v>730.23944102565383</v>
      </c>
      <c r="BK85" s="160">
        <f t="shared" si="23"/>
        <v>23.556111000827542</v>
      </c>
      <c r="BL85" s="159">
        <f t="shared" si="24"/>
        <v>1421681.9672329447</v>
      </c>
      <c r="BM85" s="160">
        <f t="shared" si="25"/>
        <v>2849.5343220624363</v>
      </c>
      <c r="BN85" s="160">
        <f t="shared" si="26"/>
        <v>91.920462002014077</v>
      </c>
      <c r="BO85" s="160">
        <f t="shared" si="27"/>
        <v>486902.68722466857</v>
      </c>
      <c r="BP85" s="160">
        <f t="shared" si="28"/>
        <v>74128.203138948884</v>
      </c>
      <c r="BQ85" s="160">
        <f t="shared" si="29"/>
        <v>2391.2323593209317</v>
      </c>
      <c r="BR85" s="160">
        <f t="shared" si="30"/>
        <v>3706.4101569474442</v>
      </c>
      <c r="BS85" s="160">
        <f t="shared" si="31"/>
        <v>2477316.7242564852</v>
      </c>
      <c r="BT85" s="160">
        <f t="shared" si="32"/>
        <v>3839840.9225975522</v>
      </c>
    </row>
    <row r="86" spans="1:72" x14ac:dyDescent="0.2">
      <c r="A86" s="3">
        <v>42736</v>
      </c>
      <c r="B86" s="4">
        <f t="shared" si="16"/>
        <v>2017</v>
      </c>
      <c r="C86" s="2">
        <v>43117838</v>
      </c>
      <c r="D86" s="2">
        <f>VLOOKUP(B86,CDM!$I$5:$N$15,2,FALSE)/12</f>
        <v>2395541.4291725992</v>
      </c>
      <c r="E86" s="2">
        <f t="shared" si="19"/>
        <v>45513379.429172598</v>
      </c>
      <c r="F86" s="7">
        <v>60357</v>
      </c>
      <c r="G86" s="9">
        <v>15042631</v>
      </c>
      <c r="H86" s="7">
        <v>5303</v>
      </c>
      <c r="I86" s="2">
        <f>VLOOKUP(B86,CDM!$I$5:$N$15,3,FALSE)/12</f>
        <v>805991.71630048659</v>
      </c>
      <c r="J86" s="2">
        <f t="shared" si="18"/>
        <v>15848622.716300488</v>
      </c>
      <c r="K86" s="9">
        <v>76397192</v>
      </c>
      <c r="L86" s="2">
        <f>VLOOKUP(B86,CDM!$I$5:$N$15,4,FALSE)/12</f>
        <v>3381552.6664580223</v>
      </c>
      <c r="M86" s="87">
        <f t="shared" si="20"/>
        <v>79778744.666458026</v>
      </c>
      <c r="N86" s="5">
        <v>189110</v>
      </c>
      <c r="O86" s="7">
        <v>1035</v>
      </c>
      <c r="P86" s="10">
        <v>1188321.3999999999</v>
      </c>
      <c r="Q86" s="10">
        <v>2623.4</v>
      </c>
      <c r="R86" s="7">
        <v>17184</v>
      </c>
      <c r="S86" s="5">
        <v>261189</v>
      </c>
      <c r="T86" s="6">
        <v>24</v>
      </c>
      <c r="U86" s="1">
        <v>562</v>
      </c>
      <c r="V86" s="37">
        <f>'Economic (2020 Adj.)'!C98</f>
        <v>713254.1</v>
      </c>
      <c r="W86" s="37">
        <f>'Economic (2020 Adj.)'!D98</f>
        <v>7045.6</v>
      </c>
      <c r="X86" s="37">
        <f>'Economic (2020 Adj.)'!F98</f>
        <v>3213.3</v>
      </c>
      <c r="Y86" s="37">
        <f>'Economic (2020 Adj.)'!H98</f>
        <v>398.1</v>
      </c>
      <c r="Z86" s="37">
        <f>'Economic (2020 Adj.)'!E98</f>
        <v>7018.6</v>
      </c>
      <c r="AA86" s="37">
        <f>'Economic (2020 Adj.)'!G98</f>
        <v>3203.7</v>
      </c>
      <c r="AB86" s="37">
        <f>'Economic (2020 Adj.)'!I98</f>
        <v>397.6</v>
      </c>
      <c r="AC86" s="39">
        <f>Weather!D218</f>
        <v>-0.34193548387096795</v>
      </c>
      <c r="AD86" s="39">
        <f>Weather!E218</f>
        <v>630.59999999999991</v>
      </c>
      <c r="AE86" s="39">
        <f>Weather!F218</f>
        <v>0</v>
      </c>
      <c r="AF86" s="39">
        <f>Weather!G218</f>
        <v>568.60000000000014</v>
      </c>
      <c r="AG86" s="39">
        <f>Weather!H218</f>
        <v>0</v>
      </c>
      <c r="AH86" s="39">
        <f>Weather!I218</f>
        <v>506.60000000000014</v>
      </c>
      <c r="AI86" s="39">
        <f>Weather!J218</f>
        <v>0</v>
      </c>
      <c r="AJ86" s="39">
        <f>Weather!K218</f>
        <v>444.60000000000008</v>
      </c>
      <c r="AK86" s="39">
        <f>Weather!L218</f>
        <v>0</v>
      </c>
      <c r="AL86" s="39">
        <f>Weather!M218</f>
        <v>382.60000000000008</v>
      </c>
      <c r="AM86" s="39">
        <f>Weather!N218</f>
        <v>0</v>
      </c>
      <c r="AN86" s="39">
        <f>Weather!O218</f>
        <v>320.59999999999997</v>
      </c>
      <c r="AO86" s="39">
        <f>Weather!P218</f>
        <v>0</v>
      </c>
      <c r="AP86" s="39">
        <f>Weather!Q218</f>
        <v>258.59999999999997</v>
      </c>
      <c r="AQ86" s="39">
        <f>Weather!R218</f>
        <v>0</v>
      </c>
      <c r="AR86">
        <v>1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 s="1">
        <f t="shared" si="21"/>
        <v>85</v>
      </c>
      <c r="BH86">
        <v>31</v>
      </c>
      <c r="BI86">
        <v>22</v>
      </c>
      <c r="BJ86" s="160">
        <f t="shared" si="22"/>
        <v>754.0696096421724</v>
      </c>
      <c r="BK86" s="160">
        <f t="shared" si="23"/>
        <v>24.324826117489433</v>
      </c>
      <c r="BL86" s="159">
        <f t="shared" si="24"/>
        <v>1468173.5299733097</v>
      </c>
      <c r="BM86" s="160">
        <f t="shared" si="25"/>
        <v>2988.6145042995449</v>
      </c>
      <c r="BN86" s="160">
        <f t="shared" si="26"/>
        <v>96.406919493533707</v>
      </c>
      <c r="BO86" s="160">
        <f t="shared" si="27"/>
        <v>511245.89407420927</v>
      </c>
      <c r="BP86" s="160">
        <f t="shared" si="28"/>
        <v>77080.912721215485</v>
      </c>
      <c r="BQ86" s="160">
        <f t="shared" si="29"/>
        <v>2486.4810555230802</v>
      </c>
      <c r="BR86" s="160">
        <f t="shared" si="30"/>
        <v>3503.6778509643405</v>
      </c>
      <c r="BS86" s="160">
        <f t="shared" si="31"/>
        <v>2573507.8924663877</v>
      </c>
      <c r="BT86" s="160">
        <f t="shared" si="32"/>
        <v>3626306.575748092</v>
      </c>
    </row>
    <row r="87" spans="1:72" x14ac:dyDescent="0.2">
      <c r="A87" s="3">
        <v>42767</v>
      </c>
      <c r="B87" s="4">
        <f t="shared" si="16"/>
        <v>2017</v>
      </c>
      <c r="C87" s="2">
        <v>36607845</v>
      </c>
      <c r="D87" s="2">
        <f>VLOOKUP(B87,CDM!$I$5:$N$15,2,FALSE)/12</f>
        <v>2395541.4291725992</v>
      </c>
      <c r="E87" s="2">
        <f t="shared" si="19"/>
        <v>39003386.429172598</v>
      </c>
      <c r="F87" s="5">
        <v>60440</v>
      </c>
      <c r="G87" s="9">
        <v>13349253</v>
      </c>
      <c r="H87" s="5">
        <v>5341</v>
      </c>
      <c r="I87" s="2">
        <f>VLOOKUP(B87,CDM!$I$5:$N$15,3,FALSE)/12</f>
        <v>805991.71630048659</v>
      </c>
      <c r="J87" s="2">
        <f t="shared" si="18"/>
        <v>14155244.716300488</v>
      </c>
      <c r="K87" s="9">
        <v>68237493</v>
      </c>
      <c r="L87" s="2">
        <f>VLOOKUP(B87,CDM!$I$5:$N$15,4,FALSE)/12</f>
        <v>3381552.6664580223</v>
      </c>
      <c r="M87" s="87">
        <f t="shared" si="20"/>
        <v>71619045.666458026</v>
      </c>
      <c r="N87" s="5">
        <v>187278</v>
      </c>
      <c r="O87" s="5">
        <v>999</v>
      </c>
      <c r="P87" s="10">
        <v>990953.3</v>
      </c>
      <c r="Q87" s="10">
        <v>2623.4</v>
      </c>
      <c r="R87" s="7">
        <v>17184</v>
      </c>
      <c r="S87" s="5">
        <v>260089</v>
      </c>
      <c r="T87" s="6">
        <v>24</v>
      </c>
      <c r="U87" s="1">
        <v>562</v>
      </c>
      <c r="V87" s="37">
        <f>'Economic (2020 Adj.)'!C99</f>
        <v>713254.1</v>
      </c>
      <c r="W87" s="37">
        <f>'Economic (2020 Adj.)'!D99</f>
        <v>7060.7</v>
      </c>
      <c r="X87" s="37">
        <f>'Economic (2020 Adj.)'!F99</f>
        <v>3230.3</v>
      </c>
      <c r="Y87" s="37">
        <f>'Economic (2020 Adj.)'!H99</f>
        <v>398.6</v>
      </c>
      <c r="Z87" s="37">
        <f>'Economic (2020 Adj.)'!E99</f>
        <v>6996</v>
      </c>
      <c r="AA87" s="37">
        <f>'Economic (2020 Adj.)'!G99</f>
        <v>3206.5</v>
      </c>
      <c r="AB87" s="37">
        <f>'Economic (2020 Adj.)'!I99</f>
        <v>396.1</v>
      </c>
      <c r="AC87" s="39">
        <f>Weather!D219</f>
        <v>1.1714285714285715</v>
      </c>
      <c r="AD87" s="39">
        <f>Weather!E219</f>
        <v>527.19999999999982</v>
      </c>
      <c r="AE87" s="39">
        <f>Weather!F219</f>
        <v>0</v>
      </c>
      <c r="AF87" s="39">
        <f>Weather!G219</f>
        <v>471.19999999999987</v>
      </c>
      <c r="AG87" s="39">
        <f>Weather!H219</f>
        <v>0</v>
      </c>
      <c r="AH87" s="39">
        <f>Weather!I219</f>
        <v>415.19999999999987</v>
      </c>
      <c r="AI87" s="39">
        <f>Weather!J219</f>
        <v>0</v>
      </c>
      <c r="AJ87" s="39">
        <f>Weather!K219</f>
        <v>359.19999999999993</v>
      </c>
      <c r="AK87" s="39">
        <f>Weather!L219</f>
        <v>0</v>
      </c>
      <c r="AL87" s="39">
        <f>Weather!M219</f>
        <v>303.19999999999993</v>
      </c>
      <c r="AM87" s="39">
        <f>Weather!N219</f>
        <v>0</v>
      </c>
      <c r="AN87" s="39">
        <f>Weather!O219</f>
        <v>247.7</v>
      </c>
      <c r="AO87" s="39">
        <f>Weather!P219</f>
        <v>0.5</v>
      </c>
      <c r="AP87" s="39">
        <f>Weather!Q219</f>
        <v>193.8</v>
      </c>
      <c r="AQ87" s="39">
        <f>Weather!R219</f>
        <v>2.5999999999999996</v>
      </c>
      <c r="AR87">
        <v>0</v>
      </c>
      <c r="AS87">
        <v>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 s="1">
        <f t="shared" si="21"/>
        <v>86</v>
      </c>
      <c r="BH87">
        <v>28</v>
      </c>
      <c r="BI87">
        <v>19</v>
      </c>
      <c r="BJ87" s="160">
        <f t="shared" si="22"/>
        <v>645.32406401675382</v>
      </c>
      <c r="BK87" s="160">
        <f t="shared" si="23"/>
        <v>23.04728800059835</v>
      </c>
      <c r="BL87" s="159">
        <f t="shared" si="24"/>
        <v>1392978.0867561642</v>
      </c>
      <c r="BM87" s="160">
        <f t="shared" si="25"/>
        <v>2650.2985800974511</v>
      </c>
      <c r="BN87" s="160">
        <f t="shared" si="26"/>
        <v>94.653520717766114</v>
      </c>
      <c r="BO87" s="160">
        <f t="shared" si="27"/>
        <v>505544.45415358886</v>
      </c>
      <c r="BP87" s="160">
        <f t="shared" si="28"/>
        <v>71690.736402860886</v>
      </c>
      <c r="BQ87" s="160">
        <f t="shared" si="29"/>
        <v>2560.3834429593176</v>
      </c>
      <c r="BR87" s="160">
        <f t="shared" si="30"/>
        <v>3773.1966527821519</v>
      </c>
      <c r="BS87" s="160">
        <f t="shared" si="31"/>
        <v>2557823.0595163582</v>
      </c>
      <c r="BT87" s="160">
        <f t="shared" si="32"/>
        <v>3769423.4561293698</v>
      </c>
    </row>
    <row r="88" spans="1:72" x14ac:dyDescent="0.2">
      <c r="A88" s="3">
        <v>42795</v>
      </c>
      <c r="B88" s="4">
        <f t="shared" si="16"/>
        <v>2017</v>
      </c>
      <c r="C88" s="2">
        <v>38263912</v>
      </c>
      <c r="D88" s="2">
        <f>VLOOKUP(B88,CDM!$I$5:$N$15,2,FALSE)/12</f>
        <v>2395541.4291725992</v>
      </c>
      <c r="E88" s="2">
        <f t="shared" si="19"/>
        <v>40659453.429172598</v>
      </c>
      <c r="F88" s="7">
        <v>60475</v>
      </c>
      <c r="G88" s="9">
        <v>14302608</v>
      </c>
      <c r="H88" s="7">
        <v>5342</v>
      </c>
      <c r="I88" s="2">
        <f>VLOOKUP(B88,CDM!$I$5:$N$15,3,FALSE)/12</f>
        <v>805991.71630048659</v>
      </c>
      <c r="J88" s="2">
        <f t="shared" si="18"/>
        <v>15108599.716300488</v>
      </c>
      <c r="K88" s="9">
        <v>75471623</v>
      </c>
      <c r="L88" s="2">
        <f>VLOOKUP(B88,CDM!$I$5:$N$15,4,FALSE)/12</f>
        <v>3381552.6664580223</v>
      </c>
      <c r="M88" s="87">
        <f t="shared" si="20"/>
        <v>78853175.666458026</v>
      </c>
      <c r="N88" s="5">
        <v>182686</v>
      </c>
      <c r="O88" s="7">
        <v>1000</v>
      </c>
      <c r="P88" s="10">
        <v>977923.9</v>
      </c>
      <c r="Q88" s="10">
        <v>2623.4</v>
      </c>
      <c r="R88" s="5">
        <v>17184</v>
      </c>
      <c r="S88" s="5">
        <v>261919</v>
      </c>
      <c r="T88" s="6">
        <v>24</v>
      </c>
      <c r="U88" s="1">
        <v>562</v>
      </c>
      <c r="V88" s="37">
        <f>'Economic (2020 Adj.)'!C100</f>
        <v>713254.1</v>
      </c>
      <c r="W88" s="37">
        <f>'Economic (2020 Adj.)'!D100</f>
        <v>7074.2</v>
      </c>
      <c r="X88" s="37">
        <f>'Economic (2020 Adj.)'!F100</f>
        <v>3247.6</v>
      </c>
      <c r="Y88" s="37">
        <f>'Economic (2020 Adj.)'!H100</f>
        <v>402</v>
      </c>
      <c r="Z88" s="37">
        <f>'Economic (2020 Adj.)'!E100</f>
        <v>6972</v>
      </c>
      <c r="AA88" s="37">
        <f>'Economic (2020 Adj.)'!G100</f>
        <v>3204.7</v>
      </c>
      <c r="AB88" s="37">
        <f>'Economic (2020 Adj.)'!I100</f>
        <v>396.5</v>
      </c>
      <c r="AC88" s="39">
        <f>Weather!D220</f>
        <v>0.54193548387096779</v>
      </c>
      <c r="AD88" s="39">
        <f>Weather!E220</f>
        <v>603.20000000000005</v>
      </c>
      <c r="AE88" s="39">
        <f>Weather!F220</f>
        <v>0</v>
      </c>
      <c r="AF88" s="39">
        <f>Weather!G220</f>
        <v>541.20000000000005</v>
      </c>
      <c r="AG88" s="39">
        <f>Weather!H220</f>
        <v>0</v>
      </c>
      <c r="AH88" s="39">
        <f>Weather!I220</f>
        <v>479.2</v>
      </c>
      <c r="AI88" s="39">
        <f>Weather!J220</f>
        <v>0</v>
      </c>
      <c r="AJ88" s="39">
        <f>Weather!K220</f>
        <v>417.20000000000005</v>
      </c>
      <c r="AK88" s="39">
        <f>Weather!L220</f>
        <v>0</v>
      </c>
      <c r="AL88" s="39">
        <f>Weather!M220</f>
        <v>355.20000000000005</v>
      </c>
      <c r="AM88" s="39">
        <f>Weather!N220</f>
        <v>0</v>
      </c>
      <c r="AN88" s="39">
        <f>Weather!O220</f>
        <v>293.40000000000003</v>
      </c>
      <c r="AO88" s="39">
        <f>Weather!P220</f>
        <v>0.19999999999999929</v>
      </c>
      <c r="AP88" s="39">
        <f>Weather!Q220</f>
        <v>234.70000000000002</v>
      </c>
      <c r="AQ88" s="39">
        <f>Weather!R220</f>
        <v>3.4999999999999982</v>
      </c>
      <c r="AR88">
        <v>0</v>
      </c>
      <c r="AS88">
        <v>0</v>
      </c>
      <c r="AT88">
        <v>1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1</v>
      </c>
      <c r="BE88">
        <v>0</v>
      </c>
      <c r="BF88">
        <v>1</v>
      </c>
      <c r="BG88" s="1">
        <f t="shared" si="21"/>
        <v>87</v>
      </c>
      <c r="BH88">
        <v>31</v>
      </c>
      <c r="BI88">
        <v>23</v>
      </c>
      <c r="BJ88" s="160">
        <f t="shared" si="22"/>
        <v>672.33490581517322</v>
      </c>
      <c r="BK88" s="160">
        <f t="shared" si="23"/>
        <v>21.688222768231395</v>
      </c>
      <c r="BL88" s="159">
        <f t="shared" si="24"/>
        <v>1311595.2719087934</v>
      </c>
      <c r="BM88" s="160">
        <f t="shared" si="25"/>
        <v>2828.266513721544</v>
      </c>
      <c r="BN88" s="160">
        <f t="shared" si="26"/>
        <v>91.234403668436897</v>
      </c>
      <c r="BO88" s="160">
        <f t="shared" si="27"/>
        <v>487374.18439678993</v>
      </c>
      <c r="BP88" s="160">
        <f t="shared" si="28"/>
        <v>78853.175666458032</v>
      </c>
      <c r="BQ88" s="160">
        <f t="shared" si="29"/>
        <v>2543.6508279502591</v>
      </c>
      <c r="BR88" s="160">
        <f t="shared" si="30"/>
        <v>3428.3989420199146</v>
      </c>
      <c r="BS88" s="160">
        <f t="shared" si="31"/>
        <v>2543650.8279502587</v>
      </c>
      <c r="BT88" s="160">
        <f t="shared" si="32"/>
        <v>3428398.9420199143</v>
      </c>
    </row>
    <row r="89" spans="1:72" x14ac:dyDescent="0.2">
      <c r="A89" s="3">
        <v>42826</v>
      </c>
      <c r="B89" s="4">
        <f t="shared" si="16"/>
        <v>2017</v>
      </c>
      <c r="C89" s="2">
        <v>33970409</v>
      </c>
      <c r="D89" s="2">
        <f>VLOOKUP(B89,CDM!$I$5:$N$15,2,FALSE)/12</f>
        <v>2395541.4291725992</v>
      </c>
      <c r="E89" s="2">
        <f t="shared" si="19"/>
        <v>36365950.429172598</v>
      </c>
      <c r="F89" s="7">
        <v>60471</v>
      </c>
      <c r="G89" s="9">
        <v>12843245</v>
      </c>
      <c r="H89" s="7">
        <v>5344</v>
      </c>
      <c r="I89" s="2">
        <f>VLOOKUP(B89,CDM!$I$5:$N$15,3,FALSE)/12</f>
        <v>805991.71630048659</v>
      </c>
      <c r="J89" s="2">
        <f t="shared" si="18"/>
        <v>13649236.716300488</v>
      </c>
      <c r="K89" s="9">
        <v>68114633</v>
      </c>
      <c r="L89" s="2">
        <f>VLOOKUP(B89,CDM!$I$5:$N$15,4,FALSE)/12</f>
        <v>3381552.6664580223</v>
      </c>
      <c r="M89" s="87">
        <f t="shared" si="20"/>
        <v>71496185.666458026</v>
      </c>
      <c r="N89" s="5">
        <v>189895</v>
      </c>
      <c r="O89" s="7">
        <v>1000</v>
      </c>
      <c r="P89" s="10">
        <v>829657.1</v>
      </c>
      <c r="Q89" s="10">
        <v>2623.4</v>
      </c>
      <c r="R89" s="7">
        <v>17184</v>
      </c>
      <c r="S89" s="5">
        <v>259900</v>
      </c>
      <c r="T89" s="6">
        <v>24</v>
      </c>
      <c r="U89" s="1">
        <v>562</v>
      </c>
      <c r="V89" s="37">
        <f>'Economic (2020 Adj.)'!C101</f>
        <v>713254.1</v>
      </c>
      <c r="W89" s="37">
        <f>'Economic (2020 Adj.)'!D101</f>
        <v>7074.8</v>
      </c>
      <c r="X89" s="37">
        <f>'Economic (2020 Adj.)'!F101</f>
        <v>3257.7</v>
      </c>
      <c r="Y89" s="37">
        <f>'Economic (2020 Adj.)'!H101</f>
        <v>411</v>
      </c>
      <c r="Z89" s="37">
        <f>'Economic (2020 Adj.)'!E101</f>
        <v>6982.8</v>
      </c>
      <c r="AA89" s="37">
        <f>'Economic (2020 Adj.)'!G101</f>
        <v>3222.4</v>
      </c>
      <c r="AB89" s="37">
        <f>'Economic (2020 Adj.)'!I101</f>
        <v>406.8</v>
      </c>
      <c r="AC89" s="39">
        <f>Weather!D221</f>
        <v>8.9300000000000015</v>
      </c>
      <c r="AD89" s="39">
        <f>Weather!E221</f>
        <v>332.09999999999991</v>
      </c>
      <c r="AE89" s="39">
        <f>Weather!F221</f>
        <v>0</v>
      </c>
      <c r="AF89" s="39">
        <f>Weather!G221</f>
        <v>272.09999999999997</v>
      </c>
      <c r="AG89" s="39">
        <f>Weather!H221</f>
        <v>0</v>
      </c>
      <c r="AH89" s="39">
        <f>Weather!I221</f>
        <v>213</v>
      </c>
      <c r="AI89" s="39">
        <f>Weather!J221</f>
        <v>0.89999999999999858</v>
      </c>
      <c r="AJ89" s="39">
        <f>Weather!K221</f>
        <v>156.79999999999998</v>
      </c>
      <c r="AK89" s="39">
        <f>Weather!L221</f>
        <v>4.6999999999999993</v>
      </c>
      <c r="AL89" s="39">
        <f>Weather!M221</f>
        <v>107.10000000000002</v>
      </c>
      <c r="AM89" s="39">
        <f>Weather!N221</f>
        <v>15</v>
      </c>
      <c r="AN89" s="39">
        <f>Weather!O221</f>
        <v>65.800000000000011</v>
      </c>
      <c r="AO89" s="39">
        <f>Weather!P221</f>
        <v>33.700000000000003</v>
      </c>
      <c r="AP89" s="39">
        <f>Weather!Q221</f>
        <v>29.499999999999996</v>
      </c>
      <c r="AQ89" s="39">
        <f>Weather!R221</f>
        <v>57.4</v>
      </c>
      <c r="AR89">
        <v>0</v>
      </c>
      <c r="AS89">
        <v>0</v>
      </c>
      <c r="AT89">
        <v>0</v>
      </c>
      <c r="AU89">
        <v>1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1</v>
      </c>
      <c r="BE89">
        <v>0</v>
      </c>
      <c r="BF89">
        <v>1</v>
      </c>
      <c r="BG89" s="1">
        <f t="shared" si="21"/>
        <v>88</v>
      </c>
      <c r="BH89">
        <v>30</v>
      </c>
      <c r="BI89">
        <v>19</v>
      </c>
      <c r="BJ89" s="160">
        <f t="shared" si="22"/>
        <v>601.37835374266342</v>
      </c>
      <c r="BK89" s="160">
        <f t="shared" si="23"/>
        <v>20.045945124755448</v>
      </c>
      <c r="BL89" s="159">
        <f t="shared" si="24"/>
        <v>1212198.3476390867</v>
      </c>
      <c r="BM89" s="160">
        <f t="shared" si="25"/>
        <v>2554.1236370322767</v>
      </c>
      <c r="BN89" s="160">
        <f t="shared" si="26"/>
        <v>85.137454567742552</v>
      </c>
      <c r="BO89" s="160">
        <f t="shared" si="27"/>
        <v>454974.55721001624</v>
      </c>
      <c r="BP89" s="160">
        <f t="shared" si="28"/>
        <v>71496.185666458026</v>
      </c>
      <c r="BQ89" s="160">
        <f t="shared" si="29"/>
        <v>2383.2061888819344</v>
      </c>
      <c r="BR89" s="160">
        <f t="shared" si="30"/>
        <v>3762.9571403398963</v>
      </c>
      <c r="BS89" s="160">
        <f t="shared" si="31"/>
        <v>2383206.1888819342</v>
      </c>
      <c r="BT89" s="160">
        <f t="shared" si="32"/>
        <v>3762957.1403398961</v>
      </c>
    </row>
    <row r="90" spans="1:72" x14ac:dyDescent="0.2">
      <c r="A90" s="3">
        <v>42856</v>
      </c>
      <c r="B90" s="4">
        <f t="shared" si="16"/>
        <v>2017</v>
      </c>
      <c r="C90" s="2">
        <v>36857170</v>
      </c>
      <c r="D90" s="2">
        <f>VLOOKUP(B90,CDM!$I$5:$N$15,2,FALSE)/12</f>
        <v>2395541.4291725992</v>
      </c>
      <c r="E90" s="2">
        <f t="shared" si="19"/>
        <v>39252711.429172598</v>
      </c>
      <c r="F90" s="5">
        <v>60529</v>
      </c>
      <c r="G90" s="9">
        <v>13045355</v>
      </c>
      <c r="H90" s="5">
        <v>5341</v>
      </c>
      <c r="I90" s="2">
        <f>VLOOKUP(B90,CDM!$I$5:$N$15,3,FALSE)/12</f>
        <v>805991.71630048659</v>
      </c>
      <c r="J90" s="2">
        <f t="shared" si="18"/>
        <v>13851346.716300488</v>
      </c>
      <c r="K90" s="9">
        <v>72074085</v>
      </c>
      <c r="L90" s="2">
        <f>VLOOKUP(B90,CDM!$I$5:$N$15,4,FALSE)/12</f>
        <v>3381552.6664580223</v>
      </c>
      <c r="M90" s="87">
        <f t="shared" si="20"/>
        <v>75455637.666458026</v>
      </c>
      <c r="N90" s="5">
        <v>187094</v>
      </c>
      <c r="O90" s="5">
        <v>997</v>
      </c>
      <c r="P90" s="10">
        <v>755282.8</v>
      </c>
      <c r="Q90" s="10">
        <v>2623.4</v>
      </c>
      <c r="R90" s="7">
        <v>17184</v>
      </c>
      <c r="S90" s="5">
        <v>260353</v>
      </c>
      <c r="T90" s="6">
        <v>24</v>
      </c>
      <c r="U90" s="1">
        <v>561</v>
      </c>
      <c r="V90" s="37">
        <f>'Economic (2020 Adj.)'!C102</f>
        <v>713254.1</v>
      </c>
      <c r="W90" s="37">
        <f>'Economic (2020 Adj.)'!D102</f>
        <v>7080.7</v>
      </c>
      <c r="X90" s="37">
        <f>'Economic (2020 Adj.)'!F102</f>
        <v>3266.8</v>
      </c>
      <c r="Y90" s="37">
        <f>'Economic (2020 Adj.)'!H102</f>
        <v>416.7</v>
      </c>
      <c r="Z90" s="37">
        <f>'Economic (2020 Adj.)'!E102</f>
        <v>7047.4</v>
      </c>
      <c r="AA90" s="37">
        <f>'Economic (2020 Adj.)'!G102</f>
        <v>3255.9</v>
      </c>
      <c r="AB90" s="37">
        <f>'Economic (2020 Adj.)'!I102</f>
        <v>414.8</v>
      </c>
      <c r="AC90" s="39">
        <f>Weather!D222</f>
        <v>11.783870967741937</v>
      </c>
      <c r="AD90" s="39">
        <f>Weather!E222</f>
        <v>258.59999999999997</v>
      </c>
      <c r="AE90" s="39">
        <f>Weather!F222</f>
        <v>3.8999999999999986</v>
      </c>
      <c r="AF90" s="39">
        <f>Weather!G222</f>
        <v>200.5</v>
      </c>
      <c r="AG90" s="39">
        <f>Weather!H222</f>
        <v>7.7999999999999972</v>
      </c>
      <c r="AH90" s="39">
        <f>Weather!I222</f>
        <v>147.99999999999997</v>
      </c>
      <c r="AI90" s="39">
        <f>Weather!J222</f>
        <v>17.299999999999997</v>
      </c>
      <c r="AJ90" s="39">
        <f>Weather!K222</f>
        <v>98.600000000000009</v>
      </c>
      <c r="AK90" s="39">
        <f>Weather!L222</f>
        <v>29.9</v>
      </c>
      <c r="AL90" s="39">
        <f>Weather!M222</f>
        <v>57.899999999999991</v>
      </c>
      <c r="AM90" s="39">
        <f>Weather!N222</f>
        <v>51.199999999999996</v>
      </c>
      <c r="AN90" s="39">
        <f>Weather!O222</f>
        <v>25.700000000000003</v>
      </c>
      <c r="AO90" s="39">
        <f>Weather!P222</f>
        <v>81</v>
      </c>
      <c r="AP90" s="39">
        <f>Weather!Q222</f>
        <v>6.8000000000000007</v>
      </c>
      <c r="AQ90" s="39">
        <f>Weather!R222</f>
        <v>124.1</v>
      </c>
      <c r="AR90">
        <v>0</v>
      </c>
      <c r="AS90">
        <v>0</v>
      </c>
      <c r="AT90">
        <v>0</v>
      </c>
      <c r="AU90">
        <v>0</v>
      </c>
      <c r="AV90">
        <v>1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1</v>
      </c>
      <c r="BE90">
        <v>0</v>
      </c>
      <c r="BF90">
        <v>1</v>
      </c>
      <c r="BG90" s="1">
        <f t="shared" si="21"/>
        <v>89</v>
      </c>
      <c r="BH90">
        <v>31</v>
      </c>
      <c r="BI90">
        <v>22</v>
      </c>
      <c r="BJ90" s="160">
        <f t="shared" si="22"/>
        <v>648.49429908263141</v>
      </c>
      <c r="BK90" s="160">
        <f t="shared" si="23"/>
        <v>20.919170938149399</v>
      </c>
      <c r="BL90" s="159">
        <f t="shared" si="24"/>
        <v>1266216.497715245</v>
      </c>
      <c r="BM90" s="160">
        <f t="shared" si="25"/>
        <v>2593.3994975286441</v>
      </c>
      <c r="BN90" s="160">
        <f t="shared" si="26"/>
        <v>83.658048307375623</v>
      </c>
      <c r="BO90" s="160">
        <f t="shared" si="27"/>
        <v>446817.63600969315</v>
      </c>
      <c r="BP90" s="160">
        <f t="shared" si="28"/>
        <v>75682.685723628907</v>
      </c>
      <c r="BQ90" s="160">
        <f t="shared" si="29"/>
        <v>2441.3769588267392</v>
      </c>
      <c r="BR90" s="160">
        <f t="shared" si="30"/>
        <v>3440.1220783467684</v>
      </c>
      <c r="BS90" s="160">
        <f t="shared" si="31"/>
        <v>2434052.8279502587</v>
      </c>
      <c r="BT90" s="160">
        <f t="shared" si="32"/>
        <v>3429801.7121117283</v>
      </c>
    </row>
    <row r="91" spans="1:72" x14ac:dyDescent="0.2">
      <c r="A91" s="3">
        <v>42887</v>
      </c>
      <c r="B91" s="4">
        <f t="shared" si="16"/>
        <v>2017</v>
      </c>
      <c r="C91" s="2">
        <v>45233408</v>
      </c>
      <c r="D91" s="2">
        <f>VLOOKUP(B91,CDM!$I$5:$N$15,2,FALSE)/12</f>
        <v>2395541.4291725992</v>
      </c>
      <c r="E91" s="2">
        <f t="shared" si="19"/>
        <v>47628949.429172598</v>
      </c>
      <c r="F91" s="7">
        <v>60518</v>
      </c>
      <c r="G91" s="9">
        <v>13634874</v>
      </c>
      <c r="H91" s="7">
        <v>5339</v>
      </c>
      <c r="I91" s="2">
        <f>VLOOKUP(B91,CDM!$I$5:$N$15,3,FALSE)/12</f>
        <v>805991.71630048659</v>
      </c>
      <c r="J91" s="2">
        <f t="shared" si="18"/>
        <v>14440865.716300488</v>
      </c>
      <c r="K91" s="9">
        <v>75251236</v>
      </c>
      <c r="L91" s="2">
        <f>VLOOKUP(B91,CDM!$I$5:$N$15,4,FALSE)/12</f>
        <v>3381552.6664580223</v>
      </c>
      <c r="M91" s="87">
        <f t="shared" si="20"/>
        <v>78632788.666458026</v>
      </c>
      <c r="N91" s="5">
        <v>201444</v>
      </c>
      <c r="O91" s="7">
        <v>1001</v>
      </c>
      <c r="P91" s="10">
        <v>681040</v>
      </c>
      <c r="Q91" s="10">
        <v>2623.4</v>
      </c>
      <c r="R91" s="5">
        <v>17184</v>
      </c>
      <c r="S91" s="5">
        <v>259791</v>
      </c>
      <c r="T91" s="6">
        <v>24</v>
      </c>
      <c r="U91" s="1">
        <v>561</v>
      </c>
      <c r="V91" s="37">
        <f>'Economic (2020 Adj.)'!C103</f>
        <v>713254.1</v>
      </c>
      <c r="W91" s="37">
        <f>'Economic (2020 Adj.)'!D103</f>
        <v>7085.4</v>
      </c>
      <c r="X91" s="37">
        <f>'Economic (2020 Adj.)'!F103</f>
        <v>3268.7</v>
      </c>
      <c r="Y91" s="37">
        <f>'Economic (2020 Adj.)'!H103</f>
        <v>417.8</v>
      </c>
      <c r="Z91" s="37">
        <f>'Economic (2020 Adj.)'!E103</f>
        <v>7129.6</v>
      </c>
      <c r="AA91" s="37">
        <f>'Economic (2020 Adj.)'!G103</f>
        <v>3289.1</v>
      </c>
      <c r="AB91" s="37">
        <f>'Economic (2020 Adj.)'!I103</f>
        <v>419.3</v>
      </c>
      <c r="AC91" s="39">
        <f>Weather!D223</f>
        <v>19.303333333333331</v>
      </c>
      <c r="AD91" s="39">
        <f>Weather!E223</f>
        <v>57.4</v>
      </c>
      <c r="AE91" s="39">
        <f>Weather!F223</f>
        <v>36.5</v>
      </c>
      <c r="AF91" s="39">
        <f>Weather!G223</f>
        <v>29.300000000000004</v>
      </c>
      <c r="AG91" s="39">
        <f>Weather!H223</f>
        <v>68.399999999999991</v>
      </c>
      <c r="AH91" s="39">
        <f>Weather!I223</f>
        <v>8.9000000000000021</v>
      </c>
      <c r="AI91" s="39">
        <f>Weather!J223</f>
        <v>107.99999999999999</v>
      </c>
      <c r="AJ91" s="39">
        <f>Weather!K223</f>
        <v>0</v>
      </c>
      <c r="AK91" s="39">
        <f>Weather!L223</f>
        <v>159.10000000000002</v>
      </c>
      <c r="AL91" s="39">
        <f>Weather!M223</f>
        <v>0</v>
      </c>
      <c r="AM91" s="39">
        <f>Weather!N223</f>
        <v>219.10000000000002</v>
      </c>
      <c r="AN91" s="39">
        <f>Weather!O223</f>
        <v>0</v>
      </c>
      <c r="AO91" s="39">
        <f>Weather!P223</f>
        <v>279.10000000000002</v>
      </c>
      <c r="AP91" s="39">
        <f>Weather!Q223</f>
        <v>0</v>
      </c>
      <c r="AQ91" s="39">
        <f>Weather!R223</f>
        <v>339.09999999999997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1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 s="1">
        <f t="shared" si="21"/>
        <v>90</v>
      </c>
      <c r="BH91">
        <v>30</v>
      </c>
      <c r="BI91">
        <v>22</v>
      </c>
      <c r="BJ91" s="160">
        <f t="shared" si="22"/>
        <v>787.02120739569386</v>
      </c>
      <c r="BK91" s="160">
        <f t="shared" si="23"/>
        <v>26.234040246523129</v>
      </c>
      <c r="BL91" s="159">
        <f t="shared" si="24"/>
        <v>1587631.6476390867</v>
      </c>
      <c r="BM91" s="160">
        <f t="shared" si="25"/>
        <v>2704.7884840420465</v>
      </c>
      <c r="BN91" s="160">
        <f t="shared" si="26"/>
        <v>90.15961613473489</v>
      </c>
      <c r="BO91" s="160">
        <f t="shared" si="27"/>
        <v>481362.1905433496</v>
      </c>
      <c r="BP91" s="160">
        <f t="shared" si="28"/>
        <v>78554.234432026002</v>
      </c>
      <c r="BQ91" s="160">
        <f t="shared" si="29"/>
        <v>2618.4744810675334</v>
      </c>
      <c r="BR91" s="160">
        <f t="shared" si="30"/>
        <v>3570.6470196375453</v>
      </c>
      <c r="BS91" s="160">
        <f t="shared" si="31"/>
        <v>2621092.9555486008</v>
      </c>
      <c r="BT91" s="160">
        <f t="shared" si="32"/>
        <v>3574217.6666571829</v>
      </c>
    </row>
    <row r="92" spans="1:72" x14ac:dyDescent="0.2">
      <c r="A92" s="3">
        <v>42917</v>
      </c>
      <c r="B92" s="4">
        <f t="shared" si="16"/>
        <v>2017</v>
      </c>
      <c r="C92" s="2">
        <v>53399843</v>
      </c>
      <c r="D92" s="2">
        <f>VLOOKUP(B92,CDM!$I$5:$N$15,2,FALSE)/12</f>
        <v>2395541.4291725992</v>
      </c>
      <c r="E92" s="2">
        <f t="shared" si="19"/>
        <v>55795384.429172598</v>
      </c>
      <c r="F92" s="7">
        <v>60509</v>
      </c>
      <c r="G92" s="9">
        <v>14948502</v>
      </c>
      <c r="H92" s="7">
        <v>5337</v>
      </c>
      <c r="I92" s="2">
        <f>VLOOKUP(B92,CDM!$I$5:$N$15,3,FALSE)/12</f>
        <v>805991.71630048659</v>
      </c>
      <c r="J92" s="2">
        <f t="shared" si="18"/>
        <v>15754493.716300488</v>
      </c>
      <c r="K92" s="9">
        <v>79040629</v>
      </c>
      <c r="L92" s="2">
        <f>VLOOKUP(B92,CDM!$I$5:$N$15,4,FALSE)/12</f>
        <v>3381552.6664580223</v>
      </c>
      <c r="M92" s="87">
        <f t="shared" si="20"/>
        <v>82422181.666458026</v>
      </c>
      <c r="N92" s="5">
        <v>210283</v>
      </c>
      <c r="O92" s="7">
        <v>1001</v>
      </c>
      <c r="P92" s="10">
        <v>731410</v>
      </c>
      <c r="Q92" s="10">
        <v>2623.4</v>
      </c>
      <c r="R92" s="7">
        <v>17184</v>
      </c>
      <c r="S92" s="5">
        <v>260353</v>
      </c>
      <c r="T92" s="6">
        <v>24</v>
      </c>
      <c r="U92" s="1">
        <v>561</v>
      </c>
      <c r="V92" s="37">
        <f>'Economic (2020 Adj.)'!C104</f>
        <v>713254.1</v>
      </c>
      <c r="W92" s="37">
        <f>'Economic (2020 Adj.)'!D104</f>
        <v>7099.9</v>
      </c>
      <c r="X92" s="37">
        <f>'Economic (2020 Adj.)'!F104</f>
        <v>3270</v>
      </c>
      <c r="Y92" s="37">
        <f>'Economic (2020 Adj.)'!H104</f>
        <v>421.3</v>
      </c>
      <c r="Z92" s="37">
        <f>'Economic (2020 Adj.)'!E104</f>
        <v>7195</v>
      </c>
      <c r="AA92" s="37">
        <f>'Economic (2020 Adj.)'!G104</f>
        <v>3308.7</v>
      </c>
      <c r="AB92" s="37">
        <f>'Economic (2020 Adj.)'!I104</f>
        <v>422.9</v>
      </c>
      <c r="AC92" s="39">
        <f>Weather!D224</f>
        <v>21.661290322580644</v>
      </c>
      <c r="AD92" s="39">
        <f>Weather!E224</f>
        <v>5.3999999999999986</v>
      </c>
      <c r="AE92" s="39">
        <f>Weather!F224</f>
        <v>56.9</v>
      </c>
      <c r="AF92" s="39">
        <f>Weather!G224</f>
        <v>0</v>
      </c>
      <c r="AG92" s="39">
        <f>Weather!H224</f>
        <v>113.49999999999997</v>
      </c>
      <c r="AH92" s="39">
        <f>Weather!I224</f>
        <v>0</v>
      </c>
      <c r="AI92" s="39">
        <f>Weather!J224</f>
        <v>175.5</v>
      </c>
      <c r="AJ92" s="39">
        <f>Weather!K224</f>
        <v>0</v>
      </c>
      <c r="AK92" s="39">
        <f>Weather!L224</f>
        <v>237.5</v>
      </c>
      <c r="AL92" s="39">
        <f>Weather!M224</f>
        <v>0</v>
      </c>
      <c r="AM92" s="39">
        <f>Weather!N224</f>
        <v>299.50000000000006</v>
      </c>
      <c r="AN92" s="39">
        <f>Weather!O224</f>
        <v>0</v>
      </c>
      <c r="AO92" s="39">
        <f>Weather!P224</f>
        <v>361.50000000000011</v>
      </c>
      <c r="AP92" s="39">
        <f>Weather!Q224</f>
        <v>0</v>
      </c>
      <c r="AQ92" s="39">
        <f>Weather!R224</f>
        <v>423.50000000000011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1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 s="1">
        <f t="shared" si="21"/>
        <v>91</v>
      </c>
      <c r="BH92">
        <v>31</v>
      </c>
      <c r="BI92">
        <v>20</v>
      </c>
      <c r="BJ92" s="160">
        <f t="shared" si="22"/>
        <v>922.1005871717033</v>
      </c>
      <c r="BK92" s="160">
        <f t="shared" si="23"/>
        <v>29.745180231345266</v>
      </c>
      <c r="BL92" s="159">
        <f t="shared" si="24"/>
        <v>1799851.1106184709</v>
      </c>
      <c r="BM92" s="160">
        <f t="shared" si="25"/>
        <v>2951.9381143527239</v>
      </c>
      <c r="BN92" s="160">
        <f t="shared" si="26"/>
        <v>95.22381014041045</v>
      </c>
      <c r="BO92" s="160">
        <f t="shared" si="27"/>
        <v>508209.47471937054</v>
      </c>
      <c r="BP92" s="160">
        <f t="shared" si="28"/>
        <v>82339.841824633389</v>
      </c>
      <c r="BQ92" s="160">
        <f t="shared" si="29"/>
        <v>2656.1239298268833</v>
      </c>
      <c r="BR92" s="160">
        <f t="shared" si="30"/>
        <v>4116.9920912316693</v>
      </c>
      <c r="BS92" s="160">
        <f t="shared" si="31"/>
        <v>2658780.0537567106</v>
      </c>
      <c r="BT92" s="160">
        <f t="shared" si="32"/>
        <v>4121109.0833229013</v>
      </c>
    </row>
    <row r="93" spans="1:72" x14ac:dyDescent="0.2">
      <c r="A93" s="3">
        <v>42948</v>
      </c>
      <c r="B93" s="4">
        <f t="shared" si="16"/>
        <v>2017</v>
      </c>
      <c r="C93" s="2">
        <v>50059809</v>
      </c>
      <c r="D93" s="2">
        <f>VLOOKUP(B93,CDM!$I$5:$N$15,2,FALSE)/12</f>
        <v>2395541.4291725992</v>
      </c>
      <c r="E93" s="2">
        <f t="shared" si="19"/>
        <v>52455350.429172598</v>
      </c>
      <c r="F93" s="5">
        <v>60503</v>
      </c>
      <c r="G93" s="9">
        <v>14562677</v>
      </c>
      <c r="H93" s="5">
        <v>5344</v>
      </c>
      <c r="I93" s="2">
        <f>VLOOKUP(B93,CDM!$I$5:$N$15,3,FALSE)/12</f>
        <v>805991.71630048659</v>
      </c>
      <c r="J93" s="2">
        <f t="shared" si="18"/>
        <v>15368668.716300488</v>
      </c>
      <c r="K93" s="9">
        <v>78939288</v>
      </c>
      <c r="L93" s="2">
        <f>VLOOKUP(B93,CDM!$I$5:$N$15,4,FALSE)/12</f>
        <v>3381552.6664580223</v>
      </c>
      <c r="M93" s="87">
        <f t="shared" si="20"/>
        <v>82320840.666458026</v>
      </c>
      <c r="N93" s="5">
        <v>205394</v>
      </c>
      <c r="O93" s="5">
        <v>1002</v>
      </c>
      <c r="P93" s="10">
        <v>822705</v>
      </c>
      <c r="Q93" s="10">
        <v>2623.4</v>
      </c>
      <c r="R93" s="7">
        <v>17184</v>
      </c>
      <c r="S93" s="5">
        <v>260072</v>
      </c>
      <c r="T93" s="6">
        <v>24</v>
      </c>
      <c r="U93" s="1">
        <v>561</v>
      </c>
      <c r="V93" s="37">
        <f>'Economic (2020 Adj.)'!C105</f>
        <v>713254.1</v>
      </c>
      <c r="W93" s="37">
        <f>'Economic (2020 Adj.)'!D105</f>
        <v>7121.3</v>
      </c>
      <c r="X93" s="37">
        <f>'Economic (2020 Adj.)'!F105</f>
        <v>3278.6</v>
      </c>
      <c r="Y93" s="37">
        <f>'Economic (2020 Adj.)'!H105</f>
        <v>427.8</v>
      </c>
      <c r="Z93" s="37">
        <f>'Economic (2020 Adj.)'!E105</f>
        <v>7213.7</v>
      </c>
      <c r="AA93" s="37">
        <f>'Economic (2020 Adj.)'!G105</f>
        <v>3315.2</v>
      </c>
      <c r="AB93" s="37">
        <f>'Economic (2020 Adj.)'!I105</f>
        <v>429.1</v>
      </c>
      <c r="AC93" s="39">
        <f>Weather!D225</f>
        <v>20.522580645161295</v>
      </c>
      <c r="AD93" s="39">
        <f>Weather!E225</f>
        <v>26.599999999999994</v>
      </c>
      <c r="AE93" s="39">
        <f>Weather!F225</f>
        <v>42.8</v>
      </c>
      <c r="AF93" s="39">
        <f>Weather!G225</f>
        <v>7.1999999999999993</v>
      </c>
      <c r="AG93" s="39">
        <f>Weather!H225</f>
        <v>85.4</v>
      </c>
      <c r="AH93" s="39">
        <f>Weather!I225</f>
        <v>0</v>
      </c>
      <c r="AI93" s="39">
        <f>Weather!J225</f>
        <v>140.19999999999999</v>
      </c>
      <c r="AJ93" s="39">
        <f>Weather!K225</f>
        <v>0</v>
      </c>
      <c r="AK93" s="39">
        <f>Weather!L225</f>
        <v>202.19999999999996</v>
      </c>
      <c r="AL93" s="39">
        <f>Weather!M225</f>
        <v>0</v>
      </c>
      <c r="AM93" s="39">
        <f>Weather!N225</f>
        <v>264.2</v>
      </c>
      <c r="AN93" s="39">
        <f>Weather!O225</f>
        <v>0</v>
      </c>
      <c r="AO93" s="39">
        <f>Weather!P225</f>
        <v>326.2</v>
      </c>
      <c r="AP93" s="39">
        <f>Weather!Q225</f>
        <v>0</v>
      </c>
      <c r="AQ93" s="39">
        <f>Weather!R225</f>
        <v>388.2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1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 s="1">
        <f t="shared" si="21"/>
        <v>92</v>
      </c>
      <c r="BH93">
        <v>31</v>
      </c>
      <c r="BI93">
        <v>22</v>
      </c>
      <c r="BJ93" s="160">
        <f t="shared" si="22"/>
        <v>866.98759448577096</v>
      </c>
      <c r="BK93" s="160">
        <f t="shared" si="23"/>
        <v>27.967341757605514</v>
      </c>
      <c r="BL93" s="159">
        <f t="shared" si="24"/>
        <v>1692108.0783604064</v>
      </c>
      <c r="BM93" s="160">
        <f t="shared" si="25"/>
        <v>2875.8736370322767</v>
      </c>
      <c r="BN93" s="160">
        <f t="shared" si="26"/>
        <v>92.770117323621832</v>
      </c>
      <c r="BO93" s="160">
        <f t="shared" si="27"/>
        <v>495763.50697743508</v>
      </c>
      <c r="BP93" s="160">
        <f t="shared" si="28"/>
        <v>82156.52761123555</v>
      </c>
      <c r="BQ93" s="160">
        <f t="shared" si="29"/>
        <v>2650.2105681043727</v>
      </c>
      <c r="BR93" s="160">
        <f t="shared" si="30"/>
        <v>3734.3876186925249</v>
      </c>
      <c r="BS93" s="160">
        <f t="shared" si="31"/>
        <v>2655510.9892405816</v>
      </c>
      <c r="BT93" s="160">
        <f t="shared" si="32"/>
        <v>3741856.3939299104</v>
      </c>
    </row>
    <row r="94" spans="1:72" x14ac:dyDescent="0.2">
      <c r="A94" s="3">
        <v>42979</v>
      </c>
      <c r="B94" s="4">
        <f t="shared" si="16"/>
        <v>2017</v>
      </c>
      <c r="C94" s="2">
        <v>43473772</v>
      </c>
      <c r="D94" s="2">
        <f>VLOOKUP(B94,CDM!$I$5:$N$15,2,FALSE)/12</f>
        <v>2395541.4291725992</v>
      </c>
      <c r="E94" s="2">
        <f t="shared" si="19"/>
        <v>45869313.429172598</v>
      </c>
      <c r="F94" s="7">
        <v>60533</v>
      </c>
      <c r="G94" s="9">
        <v>13593689</v>
      </c>
      <c r="H94" s="7">
        <v>5350</v>
      </c>
      <c r="I94" s="2">
        <f>VLOOKUP(B94,CDM!$I$5:$N$15,3,FALSE)/12</f>
        <v>805991.71630048659</v>
      </c>
      <c r="J94" s="2">
        <f t="shared" si="18"/>
        <v>14399680.716300488</v>
      </c>
      <c r="K94" s="9">
        <v>74885800</v>
      </c>
      <c r="L94" s="2">
        <f>VLOOKUP(B94,CDM!$I$5:$N$15,4,FALSE)/12</f>
        <v>3381552.6664580223</v>
      </c>
      <c r="M94" s="87">
        <f t="shared" si="20"/>
        <v>78267352.666458026</v>
      </c>
      <c r="N94" s="5">
        <v>210407</v>
      </c>
      <c r="O94" s="7">
        <v>1001</v>
      </c>
      <c r="P94" s="10">
        <v>908096.9</v>
      </c>
      <c r="Q94" s="10">
        <v>2623.4</v>
      </c>
      <c r="R94" s="5">
        <v>17184</v>
      </c>
      <c r="S94" s="5">
        <v>260483</v>
      </c>
      <c r="T94" s="6">
        <v>24</v>
      </c>
      <c r="U94" s="1">
        <v>561</v>
      </c>
      <c r="V94" s="37">
        <f>'Economic (2020 Adj.)'!C106</f>
        <v>713254.1</v>
      </c>
      <c r="W94" s="37">
        <f>'Economic (2020 Adj.)'!D106</f>
        <v>7150.1</v>
      </c>
      <c r="X94" s="37">
        <f>'Economic (2020 Adj.)'!F106</f>
        <v>3297.7</v>
      </c>
      <c r="Y94" s="37">
        <f>'Economic (2020 Adj.)'!H106</f>
        <v>432.9</v>
      </c>
      <c r="Z94" s="37">
        <f>'Economic (2020 Adj.)'!E106</f>
        <v>7197</v>
      </c>
      <c r="AA94" s="37">
        <f>'Economic (2020 Adj.)'!G106</f>
        <v>3313.7</v>
      </c>
      <c r="AB94" s="37">
        <f>'Economic (2020 Adj.)'!I106</f>
        <v>432.4</v>
      </c>
      <c r="AC94" s="39">
        <f>Weather!D226</f>
        <v>18.610000000000003</v>
      </c>
      <c r="AD94" s="39">
        <f>Weather!E226</f>
        <v>72.199999999999989</v>
      </c>
      <c r="AE94" s="39">
        <f>Weather!F226</f>
        <v>30.500000000000004</v>
      </c>
      <c r="AF94" s="39">
        <f>Weather!G226</f>
        <v>41.699999999999996</v>
      </c>
      <c r="AG94" s="39">
        <f>Weather!H226</f>
        <v>60</v>
      </c>
      <c r="AH94" s="39">
        <f>Weather!I226</f>
        <v>18.599999999999998</v>
      </c>
      <c r="AI94" s="39">
        <f>Weather!J226</f>
        <v>96.9</v>
      </c>
      <c r="AJ94" s="39">
        <f>Weather!K226</f>
        <v>4.0999999999999996</v>
      </c>
      <c r="AK94" s="39">
        <f>Weather!L226</f>
        <v>142.4</v>
      </c>
      <c r="AL94" s="39">
        <f>Weather!M226</f>
        <v>1</v>
      </c>
      <c r="AM94" s="39">
        <f>Weather!N226</f>
        <v>199.29999999999998</v>
      </c>
      <c r="AN94" s="39">
        <f>Weather!O226</f>
        <v>0</v>
      </c>
      <c r="AO94" s="39">
        <f>Weather!P226</f>
        <v>258.29999999999995</v>
      </c>
      <c r="AP94" s="39">
        <f>Weather!Q226</f>
        <v>0</v>
      </c>
      <c r="AQ94" s="39">
        <f>Weather!R226</f>
        <v>318.3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1</v>
      </c>
      <c r="BA94">
        <v>0</v>
      </c>
      <c r="BB94">
        <v>0</v>
      </c>
      <c r="BC94">
        <v>0</v>
      </c>
      <c r="BD94">
        <v>0</v>
      </c>
      <c r="BE94">
        <v>1</v>
      </c>
      <c r="BF94">
        <v>1</v>
      </c>
      <c r="BG94" s="1">
        <f t="shared" si="21"/>
        <v>93</v>
      </c>
      <c r="BH94">
        <v>30</v>
      </c>
      <c r="BI94">
        <v>20</v>
      </c>
      <c r="BJ94" s="160">
        <f t="shared" si="22"/>
        <v>757.75714782304851</v>
      </c>
      <c r="BK94" s="160">
        <f t="shared" si="23"/>
        <v>25.258571594101618</v>
      </c>
      <c r="BL94" s="159">
        <f t="shared" si="24"/>
        <v>1528977.1143057533</v>
      </c>
      <c r="BM94" s="160">
        <f t="shared" si="25"/>
        <v>2691.5291058505586</v>
      </c>
      <c r="BN94" s="160">
        <f t="shared" si="26"/>
        <v>89.717636861685293</v>
      </c>
      <c r="BO94" s="160">
        <f t="shared" si="27"/>
        <v>479989.35721001623</v>
      </c>
      <c r="BP94" s="160">
        <f t="shared" si="28"/>
        <v>78189.163502955067</v>
      </c>
      <c r="BQ94" s="160">
        <f t="shared" si="29"/>
        <v>2606.3054500985022</v>
      </c>
      <c r="BR94" s="160">
        <f t="shared" si="30"/>
        <v>3909.4581751477535</v>
      </c>
      <c r="BS94" s="160">
        <f t="shared" si="31"/>
        <v>2608911.755548601</v>
      </c>
      <c r="BT94" s="160">
        <f t="shared" si="32"/>
        <v>3913367.6333229011</v>
      </c>
    </row>
    <row r="95" spans="1:72" x14ac:dyDescent="0.2">
      <c r="A95" s="3">
        <v>43009</v>
      </c>
      <c r="B95" s="4">
        <f t="shared" si="16"/>
        <v>2017</v>
      </c>
      <c r="C95" s="2">
        <v>38846178</v>
      </c>
      <c r="D95" s="2">
        <f>VLOOKUP(B95,CDM!$I$5:$N$15,2,FALSE)/12</f>
        <v>2395541.4291725992</v>
      </c>
      <c r="E95" s="2">
        <f t="shared" si="19"/>
        <v>41241719.429172598</v>
      </c>
      <c r="F95" s="7">
        <v>60537</v>
      </c>
      <c r="G95" s="9">
        <v>13303779</v>
      </c>
      <c r="H95" s="7">
        <v>5350</v>
      </c>
      <c r="I95" s="2">
        <f>VLOOKUP(B95,CDM!$I$5:$N$15,3,FALSE)/12</f>
        <v>805991.71630048659</v>
      </c>
      <c r="J95" s="2">
        <f t="shared" si="18"/>
        <v>14109770.716300488</v>
      </c>
      <c r="K95" s="9">
        <v>73030053</v>
      </c>
      <c r="L95" s="2">
        <f>VLOOKUP(B95,CDM!$I$5:$N$15,4,FALSE)/12</f>
        <v>3381552.6664580223</v>
      </c>
      <c r="M95" s="87">
        <f t="shared" si="20"/>
        <v>76411605.666458026</v>
      </c>
      <c r="N95" s="5">
        <v>214277</v>
      </c>
      <c r="O95" s="7">
        <v>1002</v>
      </c>
      <c r="P95" s="10">
        <v>1058156.8999999999</v>
      </c>
      <c r="Q95" s="10">
        <v>2526</v>
      </c>
      <c r="R95" s="7">
        <v>17184</v>
      </c>
      <c r="S95" s="5">
        <v>261070</v>
      </c>
      <c r="T95" s="6">
        <v>24</v>
      </c>
      <c r="U95" s="1">
        <v>563</v>
      </c>
      <c r="V95" s="37">
        <f>'Economic (2020 Adj.)'!C107</f>
        <v>713254.1</v>
      </c>
      <c r="W95" s="37">
        <f>'Economic (2020 Adj.)'!D107</f>
        <v>7170.5</v>
      </c>
      <c r="X95" s="37">
        <f>'Economic (2020 Adj.)'!F107</f>
        <v>3320.8</v>
      </c>
      <c r="Y95" s="37">
        <f>'Economic (2020 Adj.)'!H107</f>
        <v>430.7</v>
      </c>
      <c r="Z95" s="37">
        <f>'Economic (2020 Adj.)'!E107</f>
        <v>7193.7</v>
      </c>
      <c r="AA95" s="37">
        <f>'Economic (2020 Adj.)'!G107</f>
        <v>3320.5</v>
      </c>
      <c r="AB95" s="37">
        <f>'Economic (2020 Adj.)'!I107</f>
        <v>430.3</v>
      </c>
      <c r="AC95" s="39">
        <f>Weather!D227</f>
        <v>14.658064516129036</v>
      </c>
      <c r="AD95" s="39">
        <f>Weather!E227</f>
        <v>167.79999999999998</v>
      </c>
      <c r="AE95" s="39">
        <f>Weather!F227</f>
        <v>2.1999999999999993</v>
      </c>
      <c r="AF95" s="39">
        <f>Weather!G227</f>
        <v>113.30000000000003</v>
      </c>
      <c r="AG95" s="39">
        <f>Weather!H227</f>
        <v>9.6999999999999993</v>
      </c>
      <c r="AH95" s="39">
        <f>Weather!I227</f>
        <v>75.2</v>
      </c>
      <c r="AI95" s="39">
        <f>Weather!J227</f>
        <v>33.599999999999994</v>
      </c>
      <c r="AJ95" s="39">
        <f>Weather!K227</f>
        <v>47.5</v>
      </c>
      <c r="AK95" s="39">
        <f>Weather!L227</f>
        <v>67.900000000000006</v>
      </c>
      <c r="AL95" s="39">
        <f>Weather!M227</f>
        <v>26.3</v>
      </c>
      <c r="AM95" s="39">
        <f>Weather!N227</f>
        <v>108.7</v>
      </c>
      <c r="AN95" s="39">
        <f>Weather!O227</f>
        <v>12.3</v>
      </c>
      <c r="AO95" s="39">
        <f>Weather!P227</f>
        <v>156.69999999999996</v>
      </c>
      <c r="AP95" s="39">
        <f>Weather!Q227</f>
        <v>2.1000000000000005</v>
      </c>
      <c r="AQ95" s="39">
        <f>Weather!R227</f>
        <v>208.49999999999994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1</v>
      </c>
      <c r="BB95">
        <v>0</v>
      </c>
      <c r="BC95">
        <v>0</v>
      </c>
      <c r="BD95">
        <v>0</v>
      </c>
      <c r="BE95">
        <v>1</v>
      </c>
      <c r="BF95">
        <v>1</v>
      </c>
      <c r="BG95" s="1">
        <f t="shared" si="21"/>
        <v>94</v>
      </c>
      <c r="BH95">
        <v>31</v>
      </c>
      <c r="BI95">
        <v>21</v>
      </c>
      <c r="BJ95" s="160">
        <f t="shared" si="22"/>
        <v>681.26467167472117</v>
      </c>
      <c r="BK95" s="160">
        <f t="shared" si="23"/>
        <v>21.97627973144262</v>
      </c>
      <c r="BL95" s="159">
        <f t="shared" si="24"/>
        <v>1330378.046102342</v>
      </c>
      <c r="BM95" s="160">
        <f t="shared" si="25"/>
        <v>2637.3403208038294</v>
      </c>
      <c r="BN95" s="160">
        <f t="shared" si="26"/>
        <v>85.075494219478372</v>
      </c>
      <c r="BO95" s="160">
        <f t="shared" si="27"/>
        <v>455153.89407420927</v>
      </c>
      <c r="BP95" s="160">
        <f t="shared" si="28"/>
        <v>76259.087491475075</v>
      </c>
      <c r="BQ95" s="160">
        <f t="shared" si="29"/>
        <v>2459.9705642411313</v>
      </c>
      <c r="BR95" s="160">
        <f t="shared" si="30"/>
        <v>3631.38511864167</v>
      </c>
      <c r="BS95" s="160">
        <f t="shared" si="31"/>
        <v>2464890.5053696139</v>
      </c>
      <c r="BT95" s="160">
        <f t="shared" si="32"/>
        <v>3638647.8888789536</v>
      </c>
    </row>
    <row r="96" spans="1:72" x14ac:dyDescent="0.2">
      <c r="A96" s="3">
        <v>43040</v>
      </c>
      <c r="B96" s="4">
        <f t="shared" si="16"/>
        <v>2017</v>
      </c>
      <c r="C96" s="2">
        <v>36790700</v>
      </c>
      <c r="D96" s="2">
        <f>VLOOKUP(B96,CDM!$I$5:$N$15,2,FALSE)/12</f>
        <v>2395541.4291725992</v>
      </c>
      <c r="E96" s="2">
        <f t="shared" si="19"/>
        <v>39186241.429172598</v>
      </c>
      <c r="F96" s="5">
        <v>60558</v>
      </c>
      <c r="G96" s="9">
        <v>13353063</v>
      </c>
      <c r="H96" s="5">
        <v>5353</v>
      </c>
      <c r="I96" s="2">
        <f>VLOOKUP(B96,CDM!$I$5:$N$15,3,FALSE)/12</f>
        <v>805991.71630048659</v>
      </c>
      <c r="J96" s="2">
        <f t="shared" si="18"/>
        <v>14159054.716300488</v>
      </c>
      <c r="K96" s="9">
        <v>71461391</v>
      </c>
      <c r="L96" s="2">
        <f>VLOOKUP(B96,CDM!$I$5:$N$15,4,FALSE)/12</f>
        <v>3381552.6664580223</v>
      </c>
      <c r="M96" s="87">
        <f t="shared" si="20"/>
        <v>74842943.666458026</v>
      </c>
      <c r="N96" s="5">
        <v>211293</v>
      </c>
      <c r="O96" s="5">
        <v>1003</v>
      </c>
      <c r="P96" s="10">
        <v>1125753.3</v>
      </c>
      <c r="Q96" s="10">
        <v>2285.9</v>
      </c>
      <c r="R96" s="7">
        <v>17184</v>
      </c>
      <c r="S96" s="5">
        <v>260852</v>
      </c>
      <c r="T96" s="6">
        <v>24</v>
      </c>
      <c r="U96" s="1">
        <v>563</v>
      </c>
      <c r="V96" s="37">
        <f>'Economic (2020 Adj.)'!C108</f>
        <v>713254.1</v>
      </c>
      <c r="W96" s="37">
        <f>'Economic (2020 Adj.)'!D108</f>
        <v>7189.6</v>
      </c>
      <c r="X96" s="37">
        <f>'Economic (2020 Adj.)'!F108</f>
        <v>3335.4</v>
      </c>
      <c r="Y96" s="37">
        <f>'Economic (2020 Adj.)'!H108</f>
        <v>426.2</v>
      </c>
      <c r="Z96" s="37">
        <f>'Economic (2020 Adj.)'!E108</f>
        <v>7194.2</v>
      </c>
      <c r="AA96" s="37">
        <f>'Economic (2020 Adj.)'!G108</f>
        <v>3326.2</v>
      </c>
      <c r="AB96" s="37">
        <f>'Economic (2020 Adj.)'!I108</f>
        <v>426.2</v>
      </c>
      <c r="AC96" s="39">
        <f>Weather!D228</f>
        <v>5.0699999999999994</v>
      </c>
      <c r="AD96" s="39">
        <f>Weather!E228</f>
        <v>447.9</v>
      </c>
      <c r="AE96" s="39">
        <f>Weather!F228</f>
        <v>0</v>
      </c>
      <c r="AF96" s="39">
        <f>Weather!G228</f>
        <v>387.89999999999992</v>
      </c>
      <c r="AG96" s="39">
        <f>Weather!H228</f>
        <v>0</v>
      </c>
      <c r="AH96" s="39">
        <f>Weather!I228</f>
        <v>327.9</v>
      </c>
      <c r="AI96" s="39">
        <f>Weather!J228</f>
        <v>0</v>
      </c>
      <c r="AJ96" s="39">
        <f>Weather!K228</f>
        <v>267.89999999999998</v>
      </c>
      <c r="AK96" s="39">
        <f>Weather!L228</f>
        <v>0</v>
      </c>
      <c r="AL96" s="39">
        <f>Weather!M228</f>
        <v>208.10000000000005</v>
      </c>
      <c r="AM96" s="39">
        <f>Weather!N228</f>
        <v>0.19999999999999929</v>
      </c>
      <c r="AN96" s="39">
        <f>Weather!O228</f>
        <v>151.80000000000004</v>
      </c>
      <c r="AO96" s="39">
        <f>Weather!P228</f>
        <v>3.8999999999999986</v>
      </c>
      <c r="AP96" s="39">
        <f>Weather!Q228</f>
        <v>99.000000000000014</v>
      </c>
      <c r="AQ96" s="39">
        <f>Weather!R228</f>
        <v>11.099999999999998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1</v>
      </c>
      <c r="BC96">
        <v>0</v>
      </c>
      <c r="BD96">
        <v>0</v>
      </c>
      <c r="BE96">
        <v>1</v>
      </c>
      <c r="BF96">
        <v>1</v>
      </c>
      <c r="BG96" s="1">
        <f t="shared" si="21"/>
        <v>95</v>
      </c>
      <c r="BH96">
        <v>30</v>
      </c>
      <c r="BI96">
        <v>22</v>
      </c>
      <c r="BJ96" s="160">
        <f t="shared" si="22"/>
        <v>647.0861228767892</v>
      </c>
      <c r="BK96" s="160">
        <f t="shared" si="23"/>
        <v>21.569537429226308</v>
      </c>
      <c r="BL96" s="159">
        <f t="shared" si="24"/>
        <v>1306208.0476390866</v>
      </c>
      <c r="BM96" s="160">
        <f t="shared" si="25"/>
        <v>2645.0690671213315</v>
      </c>
      <c r="BN96" s="160">
        <f t="shared" si="26"/>
        <v>88.168968904044377</v>
      </c>
      <c r="BO96" s="160">
        <f t="shared" si="27"/>
        <v>471968.49054334959</v>
      </c>
      <c r="BP96" s="160">
        <f t="shared" si="28"/>
        <v>74619.086407236318</v>
      </c>
      <c r="BQ96" s="160">
        <f t="shared" si="29"/>
        <v>2487.3028802412105</v>
      </c>
      <c r="BR96" s="160">
        <f t="shared" si="30"/>
        <v>3391.776654874378</v>
      </c>
      <c r="BS96" s="160">
        <f t="shared" si="31"/>
        <v>2494764.7888819342</v>
      </c>
      <c r="BT96" s="160">
        <f t="shared" si="32"/>
        <v>3401951.9848390012</v>
      </c>
    </row>
    <row r="97" spans="1:72" x14ac:dyDescent="0.2">
      <c r="A97" s="3">
        <v>43070</v>
      </c>
      <c r="B97" s="4">
        <f t="shared" si="16"/>
        <v>2017</v>
      </c>
      <c r="C97" s="2">
        <v>44807567</v>
      </c>
      <c r="D97" s="2">
        <f>VLOOKUP(B97,CDM!$I$5:$N$15,2,FALSE)/12</f>
        <v>2395541.4291725992</v>
      </c>
      <c r="E97" s="2">
        <f t="shared" si="19"/>
        <v>47203108.429172598</v>
      </c>
      <c r="F97" s="5">
        <v>60594</v>
      </c>
      <c r="G97" s="5">
        <v>14914509</v>
      </c>
      <c r="H97" s="5">
        <v>5356</v>
      </c>
      <c r="I97" s="2">
        <f>VLOOKUP(B97,CDM!$I$5:$N$15,3,FALSE)/12</f>
        <v>805991.71630048659</v>
      </c>
      <c r="J97" s="2">
        <f t="shared" si="18"/>
        <v>15720500.716300488</v>
      </c>
      <c r="K97" s="5">
        <v>72692802</v>
      </c>
      <c r="L97" s="2">
        <f>VLOOKUP(B97,CDM!$I$5:$N$15,4,FALSE)/12</f>
        <v>3381552.6664580223</v>
      </c>
      <c r="M97" s="87">
        <f t="shared" si="20"/>
        <v>76074354.666458026</v>
      </c>
      <c r="N97" s="5">
        <v>174819</v>
      </c>
      <c r="O97" s="5">
        <v>1003</v>
      </c>
      <c r="P97" s="5">
        <v>1217354.1000000001</v>
      </c>
      <c r="Q97" s="5">
        <v>2029.3</v>
      </c>
      <c r="R97" s="5">
        <v>17184</v>
      </c>
      <c r="S97" s="5">
        <v>264173</v>
      </c>
      <c r="T97" s="1">
        <v>24</v>
      </c>
      <c r="U97" s="1">
        <v>564</v>
      </c>
      <c r="V97" s="37">
        <f>'Economic (2020 Adj.)'!C109</f>
        <v>713254.1</v>
      </c>
      <c r="W97" s="37">
        <f>'Economic (2020 Adj.)'!D109</f>
        <v>7203.1</v>
      </c>
      <c r="X97" s="37">
        <f>'Economic (2020 Adj.)'!F109</f>
        <v>3352.3</v>
      </c>
      <c r="Y97" s="37">
        <f>'Economic (2020 Adj.)'!H109</f>
        <v>421.4</v>
      </c>
      <c r="Z97" s="37">
        <f>'Economic (2020 Adj.)'!E109</f>
        <v>7213.4</v>
      </c>
      <c r="AA97" s="37">
        <f>'Economic (2020 Adj.)'!G109</f>
        <v>3351</v>
      </c>
      <c r="AB97" s="37">
        <f>'Economic (2020 Adj.)'!I109</f>
        <v>423.3</v>
      </c>
      <c r="AC97" s="39">
        <f>Weather!D229</f>
        <v>-2.9419354838709673</v>
      </c>
      <c r="AD97" s="39">
        <f>Weather!E229</f>
        <v>711.20000000000016</v>
      </c>
      <c r="AE97" s="39">
        <f>Weather!F229</f>
        <v>0</v>
      </c>
      <c r="AF97" s="39">
        <f>Weather!G229</f>
        <v>649.20000000000016</v>
      </c>
      <c r="AG97" s="39">
        <f>Weather!H229</f>
        <v>0</v>
      </c>
      <c r="AH97" s="39">
        <f>Weather!I229</f>
        <v>587.20000000000005</v>
      </c>
      <c r="AI97" s="39">
        <f>Weather!J229</f>
        <v>0</v>
      </c>
      <c r="AJ97" s="39">
        <f>Weather!K229</f>
        <v>525.19999999999993</v>
      </c>
      <c r="AK97" s="39">
        <f>Weather!L229</f>
        <v>0</v>
      </c>
      <c r="AL97" s="39">
        <f>Weather!M229</f>
        <v>463.20000000000005</v>
      </c>
      <c r="AM97" s="39">
        <f>Weather!N229</f>
        <v>0</v>
      </c>
      <c r="AN97" s="39">
        <f>Weather!O229</f>
        <v>401.20000000000005</v>
      </c>
      <c r="AO97" s="39">
        <f>Weather!P229</f>
        <v>0</v>
      </c>
      <c r="AP97" s="39">
        <f>Weather!Q229</f>
        <v>339.20000000000005</v>
      </c>
      <c r="AQ97" s="39">
        <f>Weather!R229</f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1</v>
      </c>
      <c r="BD97">
        <v>0</v>
      </c>
      <c r="BE97">
        <v>0</v>
      </c>
      <c r="BF97">
        <v>0</v>
      </c>
      <c r="BG97" s="1">
        <f t="shared" si="21"/>
        <v>96</v>
      </c>
      <c r="BH97">
        <v>31</v>
      </c>
      <c r="BI97">
        <v>19</v>
      </c>
      <c r="BJ97" s="160">
        <f t="shared" si="22"/>
        <v>779.00631133730394</v>
      </c>
      <c r="BK97" s="160">
        <f t="shared" si="23"/>
        <v>25.129235849590451</v>
      </c>
      <c r="BL97" s="159">
        <f t="shared" si="24"/>
        <v>1522680.9170700838</v>
      </c>
      <c r="BM97" s="160">
        <f t="shared" si="25"/>
        <v>2935.1196258962823</v>
      </c>
      <c r="BN97" s="160">
        <f t="shared" si="26"/>
        <v>94.681278254718777</v>
      </c>
      <c r="BO97" s="160">
        <f t="shared" si="27"/>
        <v>507112.92633227381</v>
      </c>
      <c r="BP97" s="160">
        <f t="shared" si="28"/>
        <v>75846.81422378667</v>
      </c>
      <c r="BQ97" s="160">
        <f t="shared" si="29"/>
        <v>2446.6714265737637</v>
      </c>
      <c r="BR97" s="160">
        <f t="shared" si="30"/>
        <v>3991.9375907256144</v>
      </c>
      <c r="BS97" s="160">
        <f t="shared" si="31"/>
        <v>2454011.4408534849</v>
      </c>
      <c r="BT97" s="160">
        <f t="shared" si="32"/>
        <v>4003913.4034977909</v>
      </c>
    </row>
    <row r="98" spans="1:72" x14ac:dyDescent="0.2">
      <c r="A98" s="3">
        <v>43101</v>
      </c>
      <c r="B98" s="4">
        <f t="shared" si="16"/>
        <v>2018</v>
      </c>
      <c r="C98" s="2">
        <v>45520102</v>
      </c>
      <c r="D98" s="2">
        <f>VLOOKUP(B98,CDM!$I$5:$N$15,2,FALSE)/12</f>
        <v>3038147.2214468326</v>
      </c>
      <c r="E98" s="2">
        <f t="shared" si="19"/>
        <v>48558249.221446835</v>
      </c>
      <c r="F98" s="5">
        <v>60779</v>
      </c>
      <c r="G98" s="5">
        <v>15643746</v>
      </c>
      <c r="H98" s="5">
        <v>5365</v>
      </c>
      <c r="I98" s="2">
        <f>VLOOKUP(B98,CDM!$I$5:$N$15,3,FALSE)/12</f>
        <v>1010612.3673393656</v>
      </c>
      <c r="J98" s="2">
        <f t="shared" si="18"/>
        <v>16654358.367339365</v>
      </c>
      <c r="K98" s="5">
        <v>77544300</v>
      </c>
      <c r="L98" s="2">
        <f>VLOOKUP(B98,CDM!$I$5:$N$15,4,FALSE)/12</f>
        <v>3957126.6568425861</v>
      </c>
      <c r="M98" s="87">
        <f t="shared" si="20"/>
        <v>81501426.656842589</v>
      </c>
      <c r="N98" s="5">
        <v>193600</v>
      </c>
      <c r="O98" s="5">
        <v>1002</v>
      </c>
      <c r="P98" s="5">
        <v>867512.8</v>
      </c>
      <c r="Q98" s="5">
        <v>1915.2</v>
      </c>
      <c r="R98" s="5">
        <v>17184</v>
      </c>
      <c r="S98" s="5">
        <v>262149</v>
      </c>
      <c r="T98" s="1">
        <v>24</v>
      </c>
      <c r="U98" s="1">
        <v>564</v>
      </c>
      <c r="V98" s="37">
        <f>'Economic (2020 Adj.)'!C110</f>
        <v>730276.2</v>
      </c>
      <c r="W98" s="37">
        <f>'Economic (2020 Adj.)'!D110</f>
        <v>7199.8</v>
      </c>
      <c r="X98" s="37">
        <f>'Economic (2020 Adj.)'!F110</f>
        <v>3357.1</v>
      </c>
      <c r="Y98" s="37">
        <f>'Economic (2020 Adj.)'!H110</f>
        <v>420.4</v>
      </c>
      <c r="Z98" s="37">
        <f>'Economic (2020 Adj.)'!E110</f>
        <v>7172.6</v>
      </c>
      <c r="AA98" s="37">
        <f>'Economic (2020 Adj.)'!G110</f>
        <v>3347.1</v>
      </c>
      <c r="AB98" s="37">
        <f>'Economic (2020 Adj.)'!I110</f>
        <v>420.7</v>
      </c>
      <c r="AC98" s="39">
        <f>Weather!D230</f>
        <v>-3.9451612903225803</v>
      </c>
      <c r="AD98" s="39">
        <f>Weather!E230</f>
        <v>742.29999999999984</v>
      </c>
      <c r="AE98" s="39">
        <f>Weather!F230</f>
        <v>0</v>
      </c>
      <c r="AF98" s="39">
        <f>Weather!G230</f>
        <v>680.29999999999984</v>
      </c>
      <c r="AG98" s="39">
        <f>Weather!H230</f>
        <v>0</v>
      </c>
      <c r="AH98" s="39">
        <f>Weather!I230</f>
        <v>618.29999999999984</v>
      </c>
      <c r="AI98" s="39">
        <f>Weather!J230</f>
        <v>0</v>
      </c>
      <c r="AJ98" s="39">
        <f>Weather!K230</f>
        <v>556.29999999999995</v>
      </c>
      <c r="AK98" s="39">
        <f>Weather!L230</f>
        <v>0</v>
      </c>
      <c r="AL98" s="39">
        <f>Weather!M230</f>
        <v>494.3</v>
      </c>
      <c r="AM98" s="39">
        <f>Weather!N230</f>
        <v>0</v>
      </c>
      <c r="AN98" s="39">
        <f>Weather!O230</f>
        <v>432.5</v>
      </c>
      <c r="AO98" s="39">
        <f>Weather!P230</f>
        <v>0.19999999999999929</v>
      </c>
      <c r="AP98" s="39">
        <f>Weather!Q230</f>
        <v>372.5</v>
      </c>
      <c r="AQ98" s="39">
        <f>Weather!R230</f>
        <v>2.1999999999999993</v>
      </c>
      <c r="AR98">
        <v>1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 s="1">
        <f t="shared" si="21"/>
        <v>97</v>
      </c>
      <c r="BH98">
        <v>31</v>
      </c>
      <c r="BI98">
        <v>22</v>
      </c>
      <c r="BJ98" s="160">
        <f t="shared" si="22"/>
        <v>798.93136151379315</v>
      </c>
      <c r="BK98" s="160">
        <f t="shared" si="23"/>
        <v>25.771979403670748</v>
      </c>
      <c r="BL98" s="159">
        <f t="shared" si="24"/>
        <v>1566395.1361757044</v>
      </c>
      <c r="BM98" s="160">
        <f t="shared" si="25"/>
        <v>3104.2606462887911</v>
      </c>
      <c r="BN98" s="160">
        <f t="shared" si="26"/>
        <v>100.13744020286423</v>
      </c>
      <c r="BO98" s="160">
        <f t="shared" si="27"/>
        <v>537237.36668836663</v>
      </c>
      <c r="BP98" s="160">
        <f t="shared" si="28"/>
        <v>81338.749158525534</v>
      </c>
      <c r="BQ98" s="160">
        <f t="shared" si="29"/>
        <v>2623.8306180169525</v>
      </c>
      <c r="BR98" s="160">
        <f t="shared" si="30"/>
        <v>3697.2158708420698</v>
      </c>
      <c r="BS98" s="160">
        <f t="shared" si="31"/>
        <v>2629078.2792529869</v>
      </c>
      <c r="BT98" s="160">
        <f t="shared" si="32"/>
        <v>3704610.3025837541</v>
      </c>
    </row>
    <row r="99" spans="1:72" x14ac:dyDescent="0.2">
      <c r="A99" s="3">
        <v>43132</v>
      </c>
      <c r="B99" s="4">
        <f t="shared" si="16"/>
        <v>2018</v>
      </c>
      <c r="C99" s="2">
        <v>37446591</v>
      </c>
      <c r="D99" s="2">
        <f>VLOOKUP(B99,CDM!$I$5:$N$15,2,FALSE)/12</f>
        <v>3038147.2214468326</v>
      </c>
      <c r="E99" s="2">
        <f t="shared" si="19"/>
        <v>40484738.221446835</v>
      </c>
      <c r="F99" s="5">
        <v>60797</v>
      </c>
      <c r="G99" s="5">
        <v>13639150</v>
      </c>
      <c r="H99" s="5">
        <v>5367</v>
      </c>
      <c r="I99" s="2">
        <f>VLOOKUP(B99,CDM!$I$5:$N$15,3,FALSE)/12</f>
        <v>1010612.3673393656</v>
      </c>
      <c r="J99" s="2">
        <f t="shared" si="18"/>
        <v>14649762.367339365</v>
      </c>
      <c r="K99" s="5">
        <v>68432722</v>
      </c>
      <c r="L99" s="2">
        <f>VLOOKUP(B99,CDM!$I$5:$N$15,4,FALSE)/12</f>
        <v>3957126.6568425861</v>
      </c>
      <c r="M99" s="87">
        <f t="shared" si="20"/>
        <v>72389848.656842589</v>
      </c>
      <c r="N99" s="5">
        <v>189385</v>
      </c>
      <c r="O99" s="5">
        <v>1004</v>
      </c>
      <c r="P99" s="5">
        <v>668680.30000000005</v>
      </c>
      <c r="Q99" s="5">
        <v>1770.2</v>
      </c>
      <c r="R99" s="5">
        <v>17184</v>
      </c>
      <c r="S99" s="5">
        <v>261046</v>
      </c>
      <c r="T99" s="1">
        <v>24</v>
      </c>
      <c r="U99" s="1">
        <v>564</v>
      </c>
      <c r="V99" s="37">
        <f>'Economic (2020 Adj.)'!C111</f>
        <v>730276.2</v>
      </c>
      <c r="W99" s="37">
        <f>'Economic (2020 Adj.)'!D111</f>
        <v>7189.2</v>
      </c>
      <c r="X99" s="37">
        <f>'Economic (2020 Adj.)'!F111</f>
        <v>3356.1</v>
      </c>
      <c r="Y99" s="37">
        <f>'Economic (2020 Adj.)'!H111</f>
        <v>415.9</v>
      </c>
      <c r="Z99" s="37">
        <f>'Economic (2020 Adj.)'!E111</f>
        <v>7125.8</v>
      </c>
      <c r="AA99" s="37">
        <f>'Economic (2020 Adj.)'!G111</f>
        <v>3334.6</v>
      </c>
      <c r="AB99" s="37">
        <f>'Economic (2020 Adj.)'!I111</f>
        <v>413.8</v>
      </c>
      <c r="AC99" s="39">
        <f>Weather!D231</f>
        <v>-0.28928571428571387</v>
      </c>
      <c r="AD99" s="39">
        <f>Weather!E231</f>
        <v>568.1</v>
      </c>
      <c r="AE99" s="39">
        <f>Weather!F231</f>
        <v>0</v>
      </c>
      <c r="AF99" s="39">
        <f>Weather!G231</f>
        <v>512.09999999999991</v>
      </c>
      <c r="AG99" s="39">
        <f>Weather!H231</f>
        <v>0</v>
      </c>
      <c r="AH99" s="39">
        <f>Weather!I231</f>
        <v>456.1</v>
      </c>
      <c r="AI99" s="39">
        <f>Weather!J231</f>
        <v>0</v>
      </c>
      <c r="AJ99" s="39">
        <f>Weather!K231</f>
        <v>400.1</v>
      </c>
      <c r="AK99" s="39">
        <f>Weather!L231</f>
        <v>0</v>
      </c>
      <c r="AL99" s="39">
        <f>Weather!M231</f>
        <v>344.10000000000008</v>
      </c>
      <c r="AM99" s="39">
        <f>Weather!N231</f>
        <v>0</v>
      </c>
      <c r="AN99" s="39">
        <f>Weather!O231</f>
        <v>288.50000000000006</v>
      </c>
      <c r="AO99" s="39">
        <f>Weather!P231</f>
        <v>0.40000000000000036</v>
      </c>
      <c r="AP99" s="39">
        <f>Weather!Q231</f>
        <v>235.5</v>
      </c>
      <c r="AQ99" s="39">
        <f>Weather!R231</f>
        <v>3.4000000000000004</v>
      </c>
      <c r="AR99">
        <v>0</v>
      </c>
      <c r="AS99">
        <v>1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 s="1">
        <f t="shared" si="21"/>
        <v>98</v>
      </c>
      <c r="BH99">
        <v>28</v>
      </c>
      <c r="BI99">
        <v>19</v>
      </c>
      <c r="BJ99" s="160">
        <f t="shared" si="22"/>
        <v>665.90026187882358</v>
      </c>
      <c r="BK99" s="160">
        <f t="shared" si="23"/>
        <v>23.782152209957985</v>
      </c>
      <c r="BL99" s="159">
        <f t="shared" si="24"/>
        <v>1445883.5079088155</v>
      </c>
      <c r="BM99" s="160">
        <f t="shared" si="25"/>
        <v>2729.5998448554806</v>
      </c>
      <c r="BN99" s="160">
        <f t="shared" si="26"/>
        <v>97.48570874483859</v>
      </c>
      <c r="BO99" s="160">
        <f t="shared" si="27"/>
        <v>523205.79883354873</v>
      </c>
      <c r="BP99" s="160">
        <f t="shared" si="28"/>
        <v>72101.442885301381</v>
      </c>
      <c r="BQ99" s="160">
        <f t="shared" si="29"/>
        <v>2575.0515316179067</v>
      </c>
      <c r="BR99" s="160">
        <f t="shared" si="30"/>
        <v>3794.8127834369147</v>
      </c>
      <c r="BS99" s="160">
        <f t="shared" si="31"/>
        <v>2585351.7377443784</v>
      </c>
      <c r="BT99" s="160">
        <f t="shared" si="32"/>
        <v>3809992.0345706628</v>
      </c>
    </row>
    <row r="100" spans="1:72" x14ac:dyDescent="0.2">
      <c r="A100" s="3">
        <v>43160</v>
      </c>
      <c r="B100" s="4">
        <f t="shared" si="16"/>
        <v>2018</v>
      </c>
      <c r="C100" s="2">
        <v>38782369</v>
      </c>
      <c r="D100" s="2">
        <f>VLOOKUP(B100,CDM!$I$5:$N$15,2,FALSE)/12</f>
        <v>3038147.2214468326</v>
      </c>
      <c r="E100" s="2">
        <f t="shared" si="19"/>
        <v>41820516.221446835</v>
      </c>
      <c r="F100" s="5">
        <v>60798</v>
      </c>
      <c r="G100" s="5">
        <v>14498535</v>
      </c>
      <c r="H100" s="5">
        <v>5382</v>
      </c>
      <c r="I100" s="2">
        <f>VLOOKUP(B100,CDM!$I$5:$N$15,3,FALSE)/12</f>
        <v>1010612.3673393656</v>
      </c>
      <c r="J100" s="2">
        <f t="shared" si="18"/>
        <v>15509147.367339365</v>
      </c>
      <c r="K100" s="5">
        <v>73851189</v>
      </c>
      <c r="L100" s="2">
        <f>VLOOKUP(B100,CDM!$I$5:$N$15,4,FALSE)/12</f>
        <v>3957126.6568425861</v>
      </c>
      <c r="M100" s="87">
        <f t="shared" si="20"/>
        <v>77808315.656842589</v>
      </c>
      <c r="N100" s="5">
        <v>187159</v>
      </c>
      <c r="O100" s="5">
        <v>1008</v>
      </c>
      <c r="P100" s="5">
        <v>606508.19999999995</v>
      </c>
      <c r="Q100" s="5">
        <v>1627</v>
      </c>
      <c r="R100" s="5">
        <v>17184</v>
      </c>
      <c r="S100" s="5">
        <v>262882</v>
      </c>
      <c r="T100" s="1">
        <v>24</v>
      </c>
      <c r="U100" s="1">
        <v>564</v>
      </c>
      <c r="V100" s="37">
        <f>'Economic (2020 Adj.)'!C112</f>
        <v>730276.2</v>
      </c>
      <c r="W100" s="37">
        <f>'Economic (2020 Adj.)'!D112</f>
        <v>7185</v>
      </c>
      <c r="X100" s="37">
        <f>'Economic (2020 Adj.)'!F112</f>
        <v>3345.3</v>
      </c>
      <c r="Y100" s="37">
        <f>'Economic (2020 Adj.)'!H112</f>
        <v>413.4</v>
      </c>
      <c r="Z100" s="37">
        <f>'Economic (2020 Adj.)'!E112</f>
        <v>7082.3</v>
      </c>
      <c r="AA100" s="37">
        <f>'Economic (2020 Adj.)'!G112</f>
        <v>3305.7</v>
      </c>
      <c r="AB100" s="37">
        <f>'Economic (2020 Adj.)'!I112</f>
        <v>407.7</v>
      </c>
      <c r="AC100" s="39">
        <f>Weather!D232</f>
        <v>0.77741935483870972</v>
      </c>
      <c r="AD100" s="39">
        <f>Weather!E232</f>
        <v>595.9</v>
      </c>
      <c r="AE100" s="39">
        <f>Weather!F232</f>
        <v>0</v>
      </c>
      <c r="AF100" s="39">
        <f>Weather!G232</f>
        <v>533.9</v>
      </c>
      <c r="AG100" s="39">
        <f>Weather!H232</f>
        <v>0</v>
      </c>
      <c r="AH100" s="39">
        <f>Weather!I232</f>
        <v>471.89999999999992</v>
      </c>
      <c r="AI100" s="39">
        <f>Weather!J232</f>
        <v>0</v>
      </c>
      <c r="AJ100" s="39">
        <f>Weather!K232</f>
        <v>409.89999999999986</v>
      </c>
      <c r="AK100" s="39">
        <f>Weather!L232</f>
        <v>0</v>
      </c>
      <c r="AL100" s="39">
        <f>Weather!M232</f>
        <v>347.89999999999986</v>
      </c>
      <c r="AM100" s="39">
        <f>Weather!N232</f>
        <v>0</v>
      </c>
      <c r="AN100" s="39">
        <f>Weather!O232</f>
        <v>285.89999999999992</v>
      </c>
      <c r="AO100" s="39">
        <f>Weather!P232</f>
        <v>0</v>
      </c>
      <c r="AP100" s="39">
        <f>Weather!Q232</f>
        <v>223.89999999999998</v>
      </c>
      <c r="AQ100" s="39">
        <f>Weather!R232</f>
        <v>0</v>
      </c>
      <c r="AR100">
        <v>0</v>
      </c>
      <c r="AS100">
        <v>0</v>
      </c>
      <c r="AT100">
        <v>1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1</v>
      </c>
      <c r="BE100">
        <v>0</v>
      </c>
      <c r="BF100">
        <v>1</v>
      </c>
      <c r="BG100" s="1">
        <f t="shared" si="21"/>
        <v>99</v>
      </c>
      <c r="BH100">
        <v>31</v>
      </c>
      <c r="BI100">
        <v>21</v>
      </c>
      <c r="BJ100" s="160">
        <f t="shared" si="22"/>
        <v>687.86006482856067</v>
      </c>
      <c r="BK100" s="160">
        <f t="shared" si="23"/>
        <v>22.189034349308407</v>
      </c>
      <c r="BL100" s="159">
        <f t="shared" si="24"/>
        <v>1349048.9103692528</v>
      </c>
      <c r="BM100" s="160">
        <f t="shared" si="25"/>
        <v>2881.669893597058</v>
      </c>
      <c r="BN100" s="160">
        <f t="shared" si="26"/>
        <v>92.957093341840576</v>
      </c>
      <c r="BO100" s="160">
        <f t="shared" si="27"/>
        <v>500295.07636578596</v>
      </c>
      <c r="BP100" s="160">
        <f t="shared" si="28"/>
        <v>77190.789342105738</v>
      </c>
      <c r="BQ100" s="160">
        <f t="shared" si="29"/>
        <v>2490.0254626485721</v>
      </c>
      <c r="BR100" s="160">
        <f t="shared" si="30"/>
        <v>3675.7518734336068</v>
      </c>
      <c r="BS100" s="160">
        <f t="shared" si="31"/>
        <v>2509945.6663497607</v>
      </c>
      <c r="BT100" s="160">
        <f t="shared" si="32"/>
        <v>3705157.8884210759</v>
      </c>
    </row>
    <row r="101" spans="1:72" x14ac:dyDescent="0.2">
      <c r="A101" s="3">
        <v>43191</v>
      </c>
      <c r="B101" s="4">
        <f t="shared" si="16"/>
        <v>2018</v>
      </c>
      <c r="C101" s="2">
        <v>35825905</v>
      </c>
      <c r="D101" s="2">
        <f>VLOOKUP(B101,CDM!$I$5:$N$15,2,FALSE)/12</f>
        <v>3038147.2214468326</v>
      </c>
      <c r="E101" s="2">
        <f t="shared" si="19"/>
        <v>38864052.221446835</v>
      </c>
      <c r="F101" s="5">
        <v>60792</v>
      </c>
      <c r="G101" s="5">
        <v>13441312</v>
      </c>
      <c r="H101" s="5">
        <v>5377</v>
      </c>
      <c r="I101" s="2">
        <f>VLOOKUP(B101,CDM!$I$5:$N$15,3,FALSE)/12</f>
        <v>1010612.3673393656</v>
      </c>
      <c r="J101" s="2">
        <f t="shared" si="18"/>
        <v>14451924.367339365</v>
      </c>
      <c r="K101" s="5">
        <v>70289177</v>
      </c>
      <c r="L101" s="2">
        <f>VLOOKUP(B101,CDM!$I$5:$N$15,4,FALSE)/12</f>
        <v>3957126.6568425861</v>
      </c>
      <c r="M101" s="87">
        <f t="shared" si="20"/>
        <v>74246303.656842589</v>
      </c>
      <c r="N101" s="5">
        <v>184065</v>
      </c>
      <c r="O101" s="5">
        <v>1006</v>
      </c>
      <c r="P101" s="5">
        <v>479278.6</v>
      </c>
      <c r="Q101" s="5">
        <v>1515.5</v>
      </c>
      <c r="R101" s="5">
        <v>17184</v>
      </c>
      <c r="S101" s="5">
        <v>260891</v>
      </c>
      <c r="T101" s="1">
        <v>24</v>
      </c>
      <c r="U101" s="1">
        <v>564</v>
      </c>
      <c r="V101" s="37">
        <f>'Economic (2020 Adj.)'!C113</f>
        <v>730276.2</v>
      </c>
      <c r="W101" s="37">
        <f>'Economic (2020 Adj.)'!D113</f>
        <v>7198.2</v>
      </c>
      <c r="X101" s="37">
        <f>'Economic (2020 Adj.)'!F113</f>
        <v>3338.5</v>
      </c>
      <c r="Y101" s="37">
        <f>'Economic (2020 Adj.)'!H113</f>
        <v>410</v>
      </c>
      <c r="Z101" s="37">
        <f>'Economic (2020 Adj.)'!E113</f>
        <v>7108.4</v>
      </c>
      <c r="AA101" s="37">
        <f>'Economic (2020 Adj.)'!G113</f>
        <v>3307.1</v>
      </c>
      <c r="AB101" s="37">
        <f>'Economic (2020 Adj.)'!I113</f>
        <v>403.8</v>
      </c>
      <c r="AC101" s="39">
        <f>Weather!D233</f>
        <v>4.0233333333333334</v>
      </c>
      <c r="AD101" s="39">
        <f>Weather!E233</f>
        <v>479.3</v>
      </c>
      <c r="AE101" s="39">
        <f>Weather!F233</f>
        <v>0</v>
      </c>
      <c r="AF101" s="39">
        <f>Weather!G233</f>
        <v>419.3</v>
      </c>
      <c r="AG101" s="39">
        <f>Weather!H233</f>
        <v>0</v>
      </c>
      <c r="AH101" s="39">
        <f>Weather!I233</f>
        <v>359.3</v>
      </c>
      <c r="AI101" s="39">
        <f>Weather!J233</f>
        <v>0</v>
      </c>
      <c r="AJ101" s="39">
        <f>Weather!K233</f>
        <v>299.3</v>
      </c>
      <c r="AK101" s="39">
        <f>Weather!L233</f>
        <v>0</v>
      </c>
      <c r="AL101" s="39">
        <f>Weather!M233</f>
        <v>239.3</v>
      </c>
      <c r="AM101" s="39">
        <f>Weather!N233</f>
        <v>0</v>
      </c>
      <c r="AN101" s="39">
        <f>Weather!O233</f>
        <v>180.8</v>
      </c>
      <c r="AO101" s="39">
        <f>Weather!P233</f>
        <v>1.5</v>
      </c>
      <c r="AP101" s="39">
        <f>Weather!Q233</f>
        <v>127.50000000000003</v>
      </c>
      <c r="AQ101" s="39">
        <f>Weather!R233</f>
        <v>8.1999999999999993</v>
      </c>
      <c r="AR101">
        <v>0</v>
      </c>
      <c r="AS101">
        <v>0</v>
      </c>
      <c r="AT101">
        <v>0</v>
      </c>
      <c r="AU101">
        <v>1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1</v>
      </c>
      <c r="BE101">
        <v>0</v>
      </c>
      <c r="BF101">
        <v>1</v>
      </c>
      <c r="BG101" s="1">
        <f t="shared" si="21"/>
        <v>100</v>
      </c>
      <c r="BH101">
        <v>30</v>
      </c>
      <c r="BI101">
        <v>21</v>
      </c>
      <c r="BJ101" s="160">
        <f t="shared" si="22"/>
        <v>639.29550305051384</v>
      </c>
      <c r="BK101" s="160">
        <f t="shared" si="23"/>
        <v>21.309850101683796</v>
      </c>
      <c r="BL101" s="159">
        <f t="shared" si="24"/>
        <v>1295468.4073815611</v>
      </c>
      <c r="BM101" s="160">
        <f t="shared" si="25"/>
        <v>2687.7300292615519</v>
      </c>
      <c r="BN101" s="160">
        <f t="shared" si="26"/>
        <v>89.591000975385057</v>
      </c>
      <c r="BO101" s="160">
        <f t="shared" si="27"/>
        <v>481730.81224464549</v>
      </c>
      <c r="BP101" s="160">
        <f t="shared" si="28"/>
        <v>73803.482760280909</v>
      </c>
      <c r="BQ101" s="160">
        <f t="shared" si="29"/>
        <v>2460.1160920093635</v>
      </c>
      <c r="BR101" s="160">
        <f t="shared" si="30"/>
        <v>3514.4515600133768</v>
      </c>
      <c r="BS101" s="160">
        <f t="shared" si="31"/>
        <v>2474876.7885614196</v>
      </c>
      <c r="BT101" s="160">
        <f t="shared" si="32"/>
        <v>3535538.2693734565</v>
      </c>
    </row>
    <row r="102" spans="1:72" x14ac:dyDescent="0.2">
      <c r="A102" s="3">
        <v>43221</v>
      </c>
      <c r="B102" s="4">
        <f t="shared" si="16"/>
        <v>2018</v>
      </c>
      <c r="C102" s="2">
        <v>38850335</v>
      </c>
      <c r="D102" s="2">
        <f>VLOOKUP(B102,CDM!$I$5:$N$15,2,FALSE)/12</f>
        <v>3038147.2214468326</v>
      </c>
      <c r="E102" s="2">
        <f t="shared" si="19"/>
        <v>41888482.221446835</v>
      </c>
      <c r="F102" s="5">
        <v>60822</v>
      </c>
      <c r="G102" s="5">
        <v>13796645</v>
      </c>
      <c r="H102" s="5">
        <v>5371</v>
      </c>
      <c r="I102" s="2">
        <f>VLOOKUP(B102,CDM!$I$5:$N$15,3,FALSE)/12</f>
        <v>1010612.3673393656</v>
      </c>
      <c r="J102" s="2">
        <f t="shared" si="18"/>
        <v>14807257.367339365</v>
      </c>
      <c r="K102" s="5">
        <v>72846017</v>
      </c>
      <c r="L102" s="2">
        <f>VLOOKUP(B102,CDM!$I$5:$N$15,4,FALSE)/12</f>
        <v>3957126.6568425861</v>
      </c>
      <c r="M102" s="87">
        <f t="shared" si="20"/>
        <v>76803143.656842589</v>
      </c>
      <c r="N102" s="5">
        <v>187517</v>
      </c>
      <c r="O102" s="5">
        <v>1008</v>
      </c>
      <c r="P102" s="5">
        <v>435165</v>
      </c>
      <c r="Q102" s="5">
        <v>1511.5</v>
      </c>
      <c r="R102" s="5">
        <v>17184</v>
      </c>
      <c r="S102" s="5">
        <v>261428</v>
      </c>
      <c r="T102" s="1">
        <v>24</v>
      </c>
      <c r="U102" s="1">
        <v>564</v>
      </c>
      <c r="V102" s="37">
        <f>'Economic (2020 Adj.)'!C114</f>
        <v>730276.2</v>
      </c>
      <c r="W102" s="37">
        <f>'Economic (2020 Adj.)'!D114</f>
        <v>7208.1</v>
      </c>
      <c r="X102" s="37">
        <f>'Economic (2020 Adj.)'!F114</f>
        <v>3335</v>
      </c>
      <c r="Y102" s="37">
        <f>'Economic (2020 Adj.)'!H114</f>
        <v>412.2</v>
      </c>
      <c r="Z102" s="37">
        <f>'Economic (2020 Adj.)'!E114</f>
        <v>7174.7</v>
      </c>
      <c r="AA102" s="37">
        <f>'Economic (2020 Adj.)'!G114</f>
        <v>3326.5</v>
      </c>
      <c r="AB102" s="37">
        <f>'Economic (2020 Adj.)'!I114</f>
        <v>408.1</v>
      </c>
      <c r="AC102" s="39">
        <f>Weather!D234</f>
        <v>14.790322580645164</v>
      </c>
      <c r="AD102" s="39">
        <f>Weather!E234</f>
        <v>173.79999999999998</v>
      </c>
      <c r="AE102" s="39">
        <f>Weather!F234</f>
        <v>12.3</v>
      </c>
      <c r="AF102" s="39">
        <f>Weather!G234</f>
        <v>127.7</v>
      </c>
      <c r="AG102" s="39">
        <f>Weather!H234</f>
        <v>28.2</v>
      </c>
      <c r="AH102" s="39">
        <f>Weather!I234</f>
        <v>86</v>
      </c>
      <c r="AI102" s="39">
        <f>Weather!J234</f>
        <v>48.5</v>
      </c>
      <c r="AJ102" s="39">
        <f>Weather!K234</f>
        <v>50.5</v>
      </c>
      <c r="AK102" s="39">
        <f>Weather!L234</f>
        <v>74.999999999999986</v>
      </c>
      <c r="AL102" s="39">
        <f>Weather!M234</f>
        <v>25.199999999999996</v>
      </c>
      <c r="AM102" s="39">
        <f>Weather!N234</f>
        <v>111.69999999999997</v>
      </c>
      <c r="AN102" s="39">
        <f>Weather!O234</f>
        <v>6.8999999999999986</v>
      </c>
      <c r="AO102" s="39">
        <f>Weather!P234</f>
        <v>155.39999999999998</v>
      </c>
      <c r="AP102" s="39">
        <f>Weather!Q234</f>
        <v>0.69999999999999929</v>
      </c>
      <c r="AQ102" s="39">
        <f>Weather!R234</f>
        <v>211.20000000000002</v>
      </c>
      <c r="AR102">
        <v>0</v>
      </c>
      <c r="AS102">
        <v>0</v>
      </c>
      <c r="AT102">
        <v>0</v>
      </c>
      <c r="AU102">
        <v>0</v>
      </c>
      <c r="AV102">
        <v>1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1</v>
      </c>
      <c r="BE102">
        <v>0</v>
      </c>
      <c r="BF102">
        <v>1</v>
      </c>
      <c r="BG102" s="1">
        <f t="shared" si="21"/>
        <v>101</v>
      </c>
      <c r="BH102">
        <v>31</v>
      </c>
      <c r="BI102">
        <v>22</v>
      </c>
      <c r="BJ102" s="160">
        <f t="shared" si="22"/>
        <v>688.70609683086445</v>
      </c>
      <c r="BK102" s="160">
        <f t="shared" si="23"/>
        <v>22.216325704221433</v>
      </c>
      <c r="BL102" s="159">
        <f t="shared" si="24"/>
        <v>1351241.3619821561</v>
      </c>
      <c r="BM102" s="160">
        <f t="shared" si="25"/>
        <v>2756.8902192030096</v>
      </c>
      <c r="BN102" s="160">
        <f t="shared" si="26"/>
        <v>88.931942554935787</v>
      </c>
      <c r="BO102" s="160">
        <f t="shared" si="27"/>
        <v>477653.46346256015</v>
      </c>
      <c r="BP102" s="160">
        <f t="shared" si="28"/>
        <v>76193.5948976613</v>
      </c>
      <c r="BQ102" s="160">
        <f t="shared" si="29"/>
        <v>2457.8578999245578</v>
      </c>
      <c r="BR102" s="160">
        <f t="shared" si="30"/>
        <v>3463.3452226209683</v>
      </c>
      <c r="BS102" s="160">
        <f t="shared" si="31"/>
        <v>2477520.7631239546</v>
      </c>
      <c r="BT102" s="160">
        <f t="shared" si="32"/>
        <v>3491051.9844019357</v>
      </c>
    </row>
    <row r="103" spans="1:72" x14ac:dyDescent="0.2">
      <c r="A103" s="3">
        <v>43252</v>
      </c>
      <c r="B103" s="4">
        <f t="shared" si="16"/>
        <v>2018</v>
      </c>
      <c r="C103" s="2">
        <v>49699411</v>
      </c>
      <c r="D103" s="2">
        <f>VLOOKUP(B103,CDM!$I$5:$N$15,2,FALSE)/12</f>
        <v>3038147.2214468326</v>
      </c>
      <c r="E103" s="2">
        <f t="shared" si="19"/>
        <v>52737558.221446835</v>
      </c>
      <c r="F103" s="5">
        <v>60920</v>
      </c>
      <c r="G103" s="5">
        <v>14595194</v>
      </c>
      <c r="H103" s="5">
        <v>5437</v>
      </c>
      <c r="I103" s="2">
        <f>VLOOKUP(B103,CDM!$I$5:$N$15,3,FALSE)/12</f>
        <v>1010612.3673393656</v>
      </c>
      <c r="J103" s="2">
        <f t="shared" si="18"/>
        <v>15605806.367339365</v>
      </c>
      <c r="K103" s="5">
        <v>74459387</v>
      </c>
      <c r="L103" s="2">
        <f>VLOOKUP(B103,CDM!$I$5:$N$15,4,FALSE)/12</f>
        <v>3957126.6568425861</v>
      </c>
      <c r="M103" s="87">
        <f t="shared" si="20"/>
        <v>78416513.656842589</v>
      </c>
      <c r="N103" s="5">
        <v>205707</v>
      </c>
      <c r="O103" s="5">
        <v>970</v>
      </c>
      <c r="P103" s="5">
        <v>392256</v>
      </c>
      <c r="Q103" s="5">
        <v>1511</v>
      </c>
      <c r="R103" s="5">
        <v>17184</v>
      </c>
      <c r="S103" s="5">
        <v>260815</v>
      </c>
      <c r="T103" s="1">
        <v>24</v>
      </c>
      <c r="U103" s="1">
        <v>564</v>
      </c>
      <c r="V103" s="37">
        <f>'Economic (2020 Adj.)'!C115</f>
        <v>730276.2</v>
      </c>
      <c r="W103" s="37">
        <f>'Economic (2020 Adj.)'!D115</f>
        <v>7224.1</v>
      </c>
      <c r="X103" s="37">
        <f>'Economic (2020 Adj.)'!F115</f>
        <v>3341.9</v>
      </c>
      <c r="Y103" s="37">
        <f>'Economic (2020 Adj.)'!H115</f>
        <v>414.9</v>
      </c>
      <c r="Z103" s="37">
        <f>'Economic (2020 Adj.)'!E115</f>
        <v>7269.2</v>
      </c>
      <c r="AA103" s="37">
        <f>'Economic (2020 Adj.)'!G115</f>
        <v>3363.4</v>
      </c>
      <c r="AB103" s="37">
        <f>'Economic (2020 Adj.)'!I115</f>
        <v>414.3</v>
      </c>
      <c r="AC103" s="39">
        <f>Weather!D235</f>
        <v>19.029999999999998</v>
      </c>
      <c r="AD103" s="39">
        <f>Weather!E235</f>
        <v>64.600000000000009</v>
      </c>
      <c r="AE103" s="39">
        <f>Weather!F235</f>
        <v>35.5</v>
      </c>
      <c r="AF103" s="39">
        <f>Weather!G235</f>
        <v>26.9</v>
      </c>
      <c r="AG103" s="39">
        <f>Weather!H235</f>
        <v>57.800000000000004</v>
      </c>
      <c r="AH103" s="39">
        <f>Weather!I235</f>
        <v>5.0000000000000018</v>
      </c>
      <c r="AI103" s="39">
        <f>Weather!J235</f>
        <v>95.899999999999977</v>
      </c>
      <c r="AJ103" s="39">
        <f>Weather!K235</f>
        <v>0.60000000000000142</v>
      </c>
      <c r="AK103" s="39">
        <f>Weather!L235</f>
        <v>151.49999999999997</v>
      </c>
      <c r="AL103" s="39">
        <f>Weather!M235</f>
        <v>0</v>
      </c>
      <c r="AM103" s="39">
        <f>Weather!N235</f>
        <v>210.90000000000006</v>
      </c>
      <c r="AN103" s="39">
        <f>Weather!O235</f>
        <v>0</v>
      </c>
      <c r="AO103" s="39">
        <f>Weather!P235</f>
        <v>270.90000000000009</v>
      </c>
      <c r="AP103" s="39">
        <f>Weather!Q235</f>
        <v>0</v>
      </c>
      <c r="AQ103" s="39">
        <f>Weather!R235</f>
        <v>330.90000000000009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1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 s="1">
        <f t="shared" si="21"/>
        <v>102</v>
      </c>
      <c r="BH103">
        <v>30</v>
      </c>
      <c r="BI103">
        <v>21</v>
      </c>
      <c r="BJ103" s="160">
        <f t="shared" si="22"/>
        <v>865.6854599712218</v>
      </c>
      <c r="BK103" s="160">
        <f t="shared" si="23"/>
        <v>28.856181999040725</v>
      </c>
      <c r="BL103" s="159">
        <f t="shared" si="24"/>
        <v>1757918.6073815611</v>
      </c>
      <c r="BM103" s="160">
        <f t="shared" si="25"/>
        <v>2870.2972902960023</v>
      </c>
      <c r="BN103" s="160">
        <f t="shared" si="26"/>
        <v>95.676576343200082</v>
      </c>
      <c r="BO103" s="160">
        <f t="shared" si="27"/>
        <v>520193.54557797883</v>
      </c>
      <c r="BP103" s="160">
        <f t="shared" si="28"/>
        <v>80841.766656538748</v>
      </c>
      <c r="BQ103" s="160">
        <f t="shared" si="29"/>
        <v>2694.7255552179581</v>
      </c>
      <c r="BR103" s="160">
        <f t="shared" si="30"/>
        <v>3849.6079360256545</v>
      </c>
      <c r="BS103" s="160">
        <f t="shared" si="31"/>
        <v>2613883.7885614196</v>
      </c>
      <c r="BT103" s="160">
        <f t="shared" si="32"/>
        <v>3734119.6979448851</v>
      </c>
    </row>
    <row r="104" spans="1:72" x14ac:dyDescent="0.2">
      <c r="A104" s="3">
        <v>43282</v>
      </c>
      <c r="B104" s="4">
        <f t="shared" si="16"/>
        <v>2018</v>
      </c>
      <c r="C104" s="2">
        <v>62470256</v>
      </c>
      <c r="D104" s="2">
        <f>VLOOKUP(B104,CDM!$I$5:$N$15,2,FALSE)/12</f>
        <v>3038147.2214468326</v>
      </c>
      <c r="E104" s="2">
        <f t="shared" si="19"/>
        <v>65508403.221446835</v>
      </c>
      <c r="F104" s="5">
        <v>60944</v>
      </c>
      <c r="G104" s="5">
        <v>16326498</v>
      </c>
      <c r="H104" s="5">
        <v>5443</v>
      </c>
      <c r="I104" s="2">
        <f>VLOOKUP(B104,CDM!$I$5:$N$15,3,FALSE)/12</f>
        <v>1010612.3673393656</v>
      </c>
      <c r="J104" s="2">
        <f t="shared" si="18"/>
        <v>17337110.367339365</v>
      </c>
      <c r="K104" s="5">
        <v>79813563</v>
      </c>
      <c r="L104" s="2">
        <f>VLOOKUP(B104,CDM!$I$5:$N$15,4,FALSE)/12</f>
        <v>3957126.6568425861</v>
      </c>
      <c r="M104" s="87">
        <f t="shared" si="20"/>
        <v>83770689.656842589</v>
      </c>
      <c r="N104" s="5">
        <v>212958</v>
      </c>
      <c r="O104" s="5">
        <v>970</v>
      </c>
      <c r="P104" s="5">
        <v>418842.3</v>
      </c>
      <c r="Q104" s="5">
        <v>1502.3</v>
      </c>
      <c r="R104" s="5">
        <v>17184</v>
      </c>
      <c r="S104" s="5">
        <v>261377</v>
      </c>
      <c r="T104" s="1">
        <v>24</v>
      </c>
      <c r="U104" s="1">
        <v>563</v>
      </c>
      <c r="V104" s="37">
        <f>'Economic (2020 Adj.)'!C116</f>
        <v>730276.2</v>
      </c>
      <c r="W104" s="37">
        <f>'Economic (2020 Adj.)'!D116</f>
        <v>7258.6</v>
      </c>
      <c r="X104" s="37">
        <f>'Economic (2020 Adj.)'!F116</f>
        <v>3357.7</v>
      </c>
      <c r="Y104" s="37">
        <f>'Economic (2020 Adj.)'!H116</f>
        <v>416.4</v>
      </c>
      <c r="Z104" s="37">
        <f>'Economic (2020 Adj.)'!E116</f>
        <v>7352.5</v>
      </c>
      <c r="AA104" s="37">
        <f>'Economic (2020 Adj.)'!G116</f>
        <v>3397.6</v>
      </c>
      <c r="AB104" s="37">
        <f>'Economic (2020 Adj.)'!I116</f>
        <v>418.9</v>
      </c>
      <c r="AC104" s="39">
        <f>Weather!D236</f>
        <v>23.296774193548391</v>
      </c>
      <c r="AD104" s="39">
        <f>Weather!E236</f>
        <v>0.5</v>
      </c>
      <c r="AE104" s="39">
        <f>Weather!F236</f>
        <v>102.69999999999999</v>
      </c>
      <c r="AF104" s="39">
        <f>Weather!G236</f>
        <v>0</v>
      </c>
      <c r="AG104" s="39">
        <f>Weather!H236</f>
        <v>164.19999999999996</v>
      </c>
      <c r="AH104" s="39">
        <f>Weather!I236</f>
        <v>0</v>
      </c>
      <c r="AI104" s="39">
        <f>Weather!J236</f>
        <v>226.19999999999996</v>
      </c>
      <c r="AJ104" s="39">
        <f>Weather!K236</f>
        <v>0</v>
      </c>
      <c r="AK104" s="39">
        <f>Weather!L236</f>
        <v>288.2</v>
      </c>
      <c r="AL104" s="39">
        <f>Weather!M236</f>
        <v>0</v>
      </c>
      <c r="AM104" s="39">
        <f>Weather!N236</f>
        <v>350.2</v>
      </c>
      <c r="AN104" s="39">
        <f>Weather!O236</f>
        <v>0</v>
      </c>
      <c r="AO104" s="39">
        <f>Weather!P236</f>
        <v>412.20000000000005</v>
      </c>
      <c r="AP104" s="39">
        <f>Weather!Q236</f>
        <v>0</v>
      </c>
      <c r="AQ104" s="39">
        <f>Weather!R236</f>
        <v>474.2000000000001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1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 s="1">
        <f t="shared" si="21"/>
        <v>103</v>
      </c>
      <c r="BH104">
        <v>31</v>
      </c>
      <c r="BI104">
        <v>21</v>
      </c>
      <c r="BJ104" s="160">
        <f t="shared" si="22"/>
        <v>1074.8950384196448</v>
      </c>
      <c r="BK104" s="160">
        <f t="shared" si="23"/>
        <v>34.674033497407898</v>
      </c>
      <c r="BL104" s="159">
        <f t="shared" si="24"/>
        <v>2113174.2974660271</v>
      </c>
      <c r="BM104" s="160">
        <f t="shared" si="25"/>
        <v>3185.2122666432788</v>
      </c>
      <c r="BN104" s="160">
        <f t="shared" si="26"/>
        <v>102.74878279494447</v>
      </c>
      <c r="BO104" s="160">
        <f t="shared" si="27"/>
        <v>559261.62475288275</v>
      </c>
      <c r="BP104" s="160">
        <f t="shared" si="28"/>
        <v>86361.535728703704</v>
      </c>
      <c r="BQ104" s="160">
        <f t="shared" si="29"/>
        <v>2785.8559912485066</v>
      </c>
      <c r="BR104" s="160">
        <f t="shared" si="30"/>
        <v>4112.4540823192237</v>
      </c>
      <c r="BS104" s="160">
        <f t="shared" si="31"/>
        <v>2702280.3115110514</v>
      </c>
      <c r="BT104" s="160">
        <f t="shared" si="32"/>
        <v>3989080.4598496472</v>
      </c>
    </row>
    <row r="105" spans="1:72" x14ac:dyDescent="0.2">
      <c r="A105" s="3">
        <v>43313</v>
      </c>
      <c r="B105" s="4">
        <f t="shared" si="16"/>
        <v>2018</v>
      </c>
      <c r="C105" s="2">
        <v>60684419</v>
      </c>
      <c r="D105" s="2">
        <f>VLOOKUP(B105,CDM!$I$5:$N$15,2,FALSE)/12</f>
        <v>3038147.2214468326</v>
      </c>
      <c r="E105" s="2">
        <f t="shared" si="19"/>
        <v>63722566.221446835</v>
      </c>
      <c r="F105" s="5">
        <v>60940</v>
      </c>
      <c r="G105" s="5">
        <v>16132239</v>
      </c>
      <c r="H105" s="5">
        <v>5466</v>
      </c>
      <c r="I105" s="2">
        <f>VLOOKUP(B105,CDM!$I$5:$N$15,3,FALSE)/12</f>
        <v>1010612.3673393656</v>
      </c>
      <c r="J105" s="2">
        <f t="shared" si="18"/>
        <v>17142851.367339365</v>
      </c>
      <c r="K105" s="5">
        <v>79970235</v>
      </c>
      <c r="L105" s="2">
        <f>VLOOKUP(B105,CDM!$I$5:$N$15,4,FALSE)/12</f>
        <v>3957126.6568425861</v>
      </c>
      <c r="M105" s="87">
        <f t="shared" si="20"/>
        <v>83927361.656842589</v>
      </c>
      <c r="N105" s="5">
        <v>205769</v>
      </c>
      <c r="O105" s="5">
        <v>970</v>
      </c>
      <c r="P105" s="5">
        <v>468399.7</v>
      </c>
      <c r="Q105" s="5">
        <v>1493.6</v>
      </c>
      <c r="R105" s="5">
        <v>17184</v>
      </c>
      <c r="S105" s="5">
        <v>261095</v>
      </c>
      <c r="T105" s="1">
        <v>24</v>
      </c>
      <c r="U105" s="1">
        <v>563</v>
      </c>
      <c r="V105" s="37">
        <f>'Economic (2020 Adj.)'!C117</f>
        <v>730276.2</v>
      </c>
      <c r="W105" s="37">
        <f>'Economic (2020 Adj.)'!D117</f>
        <v>7264.8</v>
      </c>
      <c r="X105" s="37">
        <f>'Economic (2020 Adj.)'!F117</f>
        <v>3354.6</v>
      </c>
      <c r="Y105" s="37">
        <f>'Economic (2020 Adj.)'!H117</f>
        <v>413.1</v>
      </c>
      <c r="Z105" s="37">
        <f>'Economic (2020 Adj.)'!E117</f>
        <v>7356</v>
      </c>
      <c r="AA105" s="37">
        <f>'Economic (2020 Adj.)'!G117</f>
        <v>3390.3</v>
      </c>
      <c r="AB105" s="37">
        <f>'Economic (2020 Adj.)'!I117</f>
        <v>416.3</v>
      </c>
      <c r="AC105" s="39">
        <f>Weather!D237</f>
        <v>23.283870967741933</v>
      </c>
      <c r="AD105" s="39">
        <f>Weather!E237</f>
        <v>5.8000000000000007</v>
      </c>
      <c r="AE105" s="39">
        <f>Weather!F237</f>
        <v>107.60000000000002</v>
      </c>
      <c r="AF105" s="39">
        <f>Weather!G237</f>
        <v>1.3000000000000007</v>
      </c>
      <c r="AG105" s="39">
        <f>Weather!H237</f>
        <v>165.10000000000002</v>
      </c>
      <c r="AH105" s="39">
        <f>Weather!I237</f>
        <v>0</v>
      </c>
      <c r="AI105" s="39">
        <f>Weather!J237</f>
        <v>225.8</v>
      </c>
      <c r="AJ105" s="39">
        <f>Weather!K237</f>
        <v>0</v>
      </c>
      <c r="AK105" s="39">
        <f>Weather!L237</f>
        <v>287.79999999999995</v>
      </c>
      <c r="AL105" s="39">
        <f>Weather!M237</f>
        <v>0</v>
      </c>
      <c r="AM105" s="39">
        <f>Weather!N237</f>
        <v>349.79999999999995</v>
      </c>
      <c r="AN105" s="39">
        <f>Weather!O237</f>
        <v>0</v>
      </c>
      <c r="AO105" s="39">
        <f>Weather!P237</f>
        <v>411.7999999999999</v>
      </c>
      <c r="AP105" s="39">
        <f>Weather!Q237</f>
        <v>0</v>
      </c>
      <c r="AQ105" s="39">
        <f>Weather!R237</f>
        <v>473.7999999999999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1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 s="1">
        <f t="shared" si="21"/>
        <v>104</v>
      </c>
      <c r="BH105">
        <v>31</v>
      </c>
      <c r="BI105">
        <v>22</v>
      </c>
      <c r="BJ105" s="160">
        <f t="shared" si="22"/>
        <v>1045.6607519108441</v>
      </c>
      <c r="BK105" s="160">
        <f t="shared" si="23"/>
        <v>33.730991997124001</v>
      </c>
      <c r="BL105" s="159">
        <f t="shared" si="24"/>
        <v>2055566.6523047367</v>
      </c>
      <c r="BM105" s="160">
        <f t="shared" si="25"/>
        <v>3136.2699171861259</v>
      </c>
      <c r="BN105" s="160">
        <f t="shared" si="26"/>
        <v>101.1699973285847</v>
      </c>
      <c r="BO105" s="160">
        <f t="shared" si="27"/>
        <v>552995.20539804408</v>
      </c>
      <c r="BP105" s="160">
        <f t="shared" si="28"/>
        <v>86523.053254476894</v>
      </c>
      <c r="BQ105" s="160">
        <f t="shared" si="29"/>
        <v>2791.0662340153835</v>
      </c>
      <c r="BR105" s="160">
        <f t="shared" si="30"/>
        <v>3932.8660570216771</v>
      </c>
      <c r="BS105" s="160">
        <f t="shared" si="31"/>
        <v>2707334.2469949224</v>
      </c>
      <c r="BT105" s="160">
        <f t="shared" si="32"/>
        <v>3814880.075311027</v>
      </c>
    </row>
    <row r="106" spans="1:72" x14ac:dyDescent="0.2">
      <c r="A106" s="3">
        <v>43344</v>
      </c>
      <c r="B106" s="4">
        <f t="shared" ref="B106:B117" si="33">YEAR(A106)</f>
        <v>2018</v>
      </c>
      <c r="C106" s="2">
        <v>48255985</v>
      </c>
      <c r="D106" s="2">
        <f>VLOOKUP(B106,CDM!$I$5:$N$15,2,FALSE)/12</f>
        <v>3038147.2214468326</v>
      </c>
      <c r="E106" s="2">
        <f t="shared" si="19"/>
        <v>51294132.221446835</v>
      </c>
      <c r="F106" s="5">
        <v>60973</v>
      </c>
      <c r="G106" s="5">
        <v>14295949</v>
      </c>
      <c r="H106" s="5">
        <v>5466</v>
      </c>
      <c r="I106" s="2">
        <f>VLOOKUP(B106,CDM!$I$5:$N$15,3,FALSE)/12</f>
        <v>1010612.3673393656</v>
      </c>
      <c r="J106" s="2">
        <f t="shared" si="18"/>
        <v>15306561.367339365</v>
      </c>
      <c r="K106" s="5">
        <v>72439191</v>
      </c>
      <c r="L106" s="2">
        <f>VLOOKUP(B106,CDM!$I$5:$N$15,4,FALSE)/12</f>
        <v>3957126.6568425861</v>
      </c>
      <c r="M106" s="87">
        <f t="shared" si="20"/>
        <v>76396317.656842589</v>
      </c>
      <c r="N106" s="5">
        <v>206092</v>
      </c>
      <c r="O106" s="5">
        <v>974</v>
      </c>
      <c r="P106" s="5">
        <v>487042.4</v>
      </c>
      <c r="Q106" s="5">
        <v>1407</v>
      </c>
      <c r="R106" s="5">
        <v>17184</v>
      </c>
      <c r="S106" s="5">
        <v>260813</v>
      </c>
      <c r="T106" s="1">
        <v>24</v>
      </c>
      <c r="U106" s="1">
        <v>563</v>
      </c>
      <c r="V106" s="37">
        <f>'Economic (2020 Adj.)'!C118</f>
        <v>730276.2</v>
      </c>
      <c r="W106" s="37">
        <f>'Economic (2020 Adj.)'!D118</f>
        <v>7268.1</v>
      </c>
      <c r="X106" s="37">
        <f>'Economic (2020 Adj.)'!F118</f>
        <v>3347.2</v>
      </c>
      <c r="Y106" s="37">
        <f>'Economic (2020 Adj.)'!H118</f>
        <v>411.2</v>
      </c>
      <c r="Z106" s="37">
        <f>'Economic (2020 Adj.)'!E118</f>
        <v>7315.2</v>
      </c>
      <c r="AA106" s="37">
        <f>'Economic (2020 Adj.)'!G118</f>
        <v>3361.9</v>
      </c>
      <c r="AB106" s="37">
        <f>'Economic (2020 Adj.)'!I118</f>
        <v>412.4</v>
      </c>
      <c r="AC106" s="39">
        <f>Weather!D238</f>
        <v>19.446666666666669</v>
      </c>
      <c r="AD106" s="39">
        <f>Weather!E238</f>
        <v>57.199999999999996</v>
      </c>
      <c r="AE106" s="39">
        <f>Weather!F238</f>
        <v>40.599999999999994</v>
      </c>
      <c r="AF106" s="39">
        <f>Weather!G238</f>
        <v>27.800000000000004</v>
      </c>
      <c r="AG106" s="39">
        <f>Weather!H238</f>
        <v>71.199999999999989</v>
      </c>
      <c r="AH106" s="39">
        <f>Weather!I238</f>
        <v>11.300000000000002</v>
      </c>
      <c r="AI106" s="39">
        <f>Weather!J238</f>
        <v>114.70000000000003</v>
      </c>
      <c r="AJ106" s="39">
        <f>Weather!K238</f>
        <v>2.0000000000000018</v>
      </c>
      <c r="AK106" s="39">
        <f>Weather!L238</f>
        <v>165.40000000000003</v>
      </c>
      <c r="AL106" s="39">
        <f>Weather!M238</f>
        <v>0</v>
      </c>
      <c r="AM106" s="39">
        <f>Weather!N238</f>
        <v>223.39999999999998</v>
      </c>
      <c r="AN106" s="39">
        <f>Weather!O238</f>
        <v>0</v>
      </c>
      <c r="AO106" s="39">
        <f>Weather!P238</f>
        <v>283.39999999999998</v>
      </c>
      <c r="AP106" s="39">
        <f>Weather!Q238</f>
        <v>0</v>
      </c>
      <c r="AQ106" s="39">
        <f>Weather!R238</f>
        <v>343.39999999999992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1</v>
      </c>
      <c r="BA106">
        <v>0</v>
      </c>
      <c r="BB106">
        <v>0</v>
      </c>
      <c r="BC106">
        <v>0</v>
      </c>
      <c r="BD106">
        <v>0</v>
      </c>
      <c r="BE106">
        <v>1</v>
      </c>
      <c r="BF106">
        <v>1</v>
      </c>
      <c r="BG106" s="1">
        <f t="shared" si="21"/>
        <v>105</v>
      </c>
      <c r="BH106">
        <v>30</v>
      </c>
      <c r="BI106">
        <v>19</v>
      </c>
      <c r="BJ106" s="160">
        <f t="shared" si="22"/>
        <v>841.2597743500703</v>
      </c>
      <c r="BK106" s="160">
        <f t="shared" si="23"/>
        <v>28.041992478335676</v>
      </c>
      <c r="BL106" s="159">
        <f t="shared" si="24"/>
        <v>1709804.4073815611</v>
      </c>
      <c r="BM106" s="160">
        <f t="shared" si="25"/>
        <v>2800.322240640206</v>
      </c>
      <c r="BN106" s="160">
        <f t="shared" si="26"/>
        <v>93.34407468800687</v>
      </c>
      <c r="BO106" s="160">
        <f t="shared" si="27"/>
        <v>510218.71224464552</v>
      </c>
      <c r="BP106" s="160">
        <f t="shared" si="28"/>
        <v>78435.6444115427</v>
      </c>
      <c r="BQ106" s="160">
        <f t="shared" si="29"/>
        <v>2614.5214803847566</v>
      </c>
      <c r="BR106" s="160">
        <f t="shared" si="30"/>
        <v>4128.1918111338264</v>
      </c>
      <c r="BS106" s="160">
        <f t="shared" si="31"/>
        <v>2546543.9218947529</v>
      </c>
      <c r="BT106" s="160">
        <f t="shared" si="32"/>
        <v>4020858.8240443468</v>
      </c>
    </row>
    <row r="107" spans="1:72" x14ac:dyDescent="0.2">
      <c r="A107" s="3">
        <v>43374</v>
      </c>
      <c r="B107" s="4">
        <f t="shared" si="33"/>
        <v>2018</v>
      </c>
      <c r="C107" s="2">
        <v>37999906</v>
      </c>
      <c r="D107" s="2">
        <f>VLOOKUP(B107,CDM!$I$5:$N$15,2,FALSE)/12</f>
        <v>3038147.2214468326</v>
      </c>
      <c r="E107" s="2">
        <f t="shared" si="19"/>
        <v>41038053.221446835</v>
      </c>
      <c r="F107" s="5">
        <v>60992</v>
      </c>
      <c r="G107" s="5">
        <v>13367196</v>
      </c>
      <c r="H107" s="5">
        <v>5469</v>
      </c>
      <c r="I107" s="2">
        <f>VLOOKUP(B107,CDM!$I$5:$N$15,3,FALSE)/12</f>
        <v>1010612.3673393656</v>
      </c>
      <c r="J107" s="2">
        <f t="shared" si="18"/>
        <v>14377808.367339365</v>
      </c>
      <c r="K107" s="5">
        <v>68627728</v>
      </c>
      <c r="L107" s="2">
        <f>VLOOKUP(B107,CDM!$I$5:$N$15,4,FALSE)/12</f>
        <v>3957126.6568425861</v>
      </c>
      <c r="M107" s="87">
        <f t="shared" si="20"/>
        <v>72584854.656842589</v>
      </c>
      <c r="N107" s="5">
        <v>205563</v>
      </c>
      <c r="O107" s="5">
        <v>972</v>
      </c>
      <c r="P107" s="5">
        <v>541847.9</v>
      </c>
      <c r="Q107" s="5">
        <v>1343.3</v>
      </c>
      <c r="R107" s="5">
        <v>17184</v>
      </c>
      <c r="S107" s="5">
        <v>261271</v>
      </c>
      <c r="T107" s="1">
        <v>24</v>
      </c>
      <c r="U107" s="1">
        <v>563</v>
      </c>
      <c r="V107" s="37">
        <f>'Economic (2020 Adj.)'!C119</f>
        <v>730276.2</v>
      </c>
      <c r="W107" s="37">
        <f>'Economic (2020 Adj.)'!D119</f>
        <v>7253</v>
      </c>
      <c r="X107" s="37">
        <f>'Economic (2020 Adj.)'!F119</f>
        <v>3346.6</v>
      </c>
      <c r="Y107" s="37">
        <f>'Economic (2020 Adj.)'!H119</f>
        <v>411.9</v>
      </c>
      <c r="Z107" s="37">
        <f>'Economic (2020 Adj.)'!E119</f>
        <v>7274.4</v>
      </c>
      <c r="AA107" s="37">
        <f>'Economic (2020 Adj.)'!G119</f>
        <v>3341.9</v>
      </c>
      <c r="AB107" s="37">
        <f>'Economic (2020 Adj.)'!I119</f>
        <v>412.1</v>
      </c>
      <c r="AC107" s="39">
        <f>Weather!D239</f>
        <v>10.645161290322582</v>
      </c>
      <c r="AD107" s="39">
        <f>Weather!E239</f>
        <v>295.49999999999989</v>
      </c>
      <c r="AE107" s="39">
        <f>Weather!F239</f>
        <v>5.5</v>
      </c>
      <c r="AF107" s="39">
        <f>Weather!G239</f>
        <v>237.49999999999997</v>
      </c>
      <c r="AG107" s="39">
        <f>Weather!H239</f>
        <v>9.5</v>
      </c>
      <c r="AH107" s="39">
        <f>Weather!I239</f>
        <v>182.2</v>
      </c>
      <c r="AI107" s="39">
        <f>Weather!J239</f>
        <v>16.2</v>
      </c>
      <c r="AJ107" s="39">
        <f>Weather!K239</f>
        <v>132.70000000000002</v>
      </c>
      <c r="AK107" s="39">
        <f>Weather!L239</f>
        <v>28.7</v>
      </c>
      <c r="AL107" s="39">
        <f>Weather!M239</f>
        <v>88.200000000000031</v>
      </c>
      <c r="AM107" s="39">
        <f>Weather!N239</f>
        <v>46.2</v>
      </c>
      <c r="AN107" s="39">
        <f>Weather!O239</f>
        <v>50.199999999999996</v>
      </c>
      <c r="AO107" s="39">
        <f>Weather!P239</f>
        <v>70.2</v>
      </c>
      <c r="AP107" s="39">
        <f>Weather!Q239</f>
        <v>20.599999999999994</v>
      </c>
      <c r="AQ107" s="39">
        <f>Weather!R239</f>
        <v>102.60000000000001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1</v>
      </c>
      <c r="BB107">
        <v>0</v>
      </c>
      <c r="BC107">
        <v>0</v>
      </c>
      <c r="BD107">
        <v>0</v>
      </c>
      <c r="BE107">
        <v>1</v>
      </c>
      <c r="BF107">
        <v>1</v>
      </c>
      <c r="BG107" s="1">
        <f t="shared" si="21"/>
        <v>106</v>
      </c>
      <c r="BH107">
        <v>31</v>
      </c>
      <c r="BI107">
        <v>22</v>
      </c>
      <c r="BJ107" s="160">
        <f t="shared" si="22"/>
        <v>672.84321257618763</v>
      </c>
      <c r="BK107" s="160">
        <f t="shared" si="23"/>
        <v>21.704619760522181</v>
      </c>
      <c r="BL107" s="159">
        <f t="shared" si="24"/>
        <v>1323808.1684337689</v>
      </c>
      <c r="BM107" s="160">
        <f t="shared" si="25"/>
        <v>2628.9647773522333</v>
      </c>
      <c r="BN107" s="160">
        <f t="shared" si="26"/>
        <v>84.805315398459143</v>
      </c>
      <c r="BO107" s="160">
        <f t="shared" si="27"/>
        <v>463800.26991417306</v>
      </c>
      <c r="BP107" s="160">
        <f t="shared" si="28"/>
        <v>74675.776395928595</v>
      </c>
      <c r="BQ107" s="160">
        <f t="shared" si="29"/>
        <v>2408.8960127718901</v>
      </c>
      <c r="BR107" s="160">
        <f t="shared" si="30"/>
        <v>3394.3534725422087</v>
      </c>
      <c r="BS107" s="160">
        <f t="shared" si="31"/>
        <v>2341446.9244142771</v>
      </c>
      <c r="BT107" s="160">
        <f t="shared" si="32"/>
        <v>3299311.575311027</v>
      </c>
    </row>
    <row r="108" spans="1:72" x14ac:dyDescent="0.2">
      <c r="A108" s="3">
        <v>43405</v>
      </c>
      <c r="B108" s="4">
        <f t="shared" si="33"/>
        <v>2018</v>
      </c>
      <c r="C108" s="2">
        <v>38116428</v>
      </c>
      <c r="D108" s="2">
        <f>VLOOKUP(B108,CDM!$I$5:$N$15,2,FALSE)/12</f>
        <v>3038147.2214468326</v>
      </c>
      <c r="E108" s="2">
        <f t="shared" si="19"/>
        <v>41154575.221446835</v>
      </c>
      <c r="F108" s="5">
        <v>61031</v>
      </c>
      <c r="G108" s="5">
        <v>13835360</v>
      </c>
      <c r="H108" s="5">
        <v>5496</v>
      </c>
      <c r="I108" s="2">
        <f>VLOOKUP(B108,CDM!$I$5:$N$15,3,FALSE)/12</f>
        <v>1010612.3673393656</v>
      </c>
      <c r="J108" s="2">
        <f t="shared" si="18"/>
        <v>14845972.367339365</v>
      </c>
      <c r="K108" s="5">
        <v>68344175</v>
      </c>
      <c r="L108" s="2">
        <f>VLOOKUP(B108,CDM!$I$5:$N$15,4,FALSE)/12</f>
        <v>3957126.6568425861</v>
      </c>
      <c r="M108" s="87">
        <f t="shared" si="20"/>
        <v>72301301.656842589</v>
      </c>
      <c r="N108" s="5">
        <v>205844</v>
      </c>
      <c r="O108" s="5">
        <v>972</v>
      </c>
      <c r="P108" s="5">
        <v>565178.5</v>
      </c>
      <c r="Q108" s="5">
        <v>1317.1</v>
      </c>
      <c r="R108" s="5">
        <v>17184</v>
      </c>
      <c r="S108" s="5">
        <v>260703</v>
      </c>
      <c r="T108" s="1">
        <v>24</v>
      </c>
      <c r="U108" s="1">
        <v>562</v>
      </c>
      <c r="V108" s="37">
        <f>'Economic (2020 Adj.)'!C120</f>
        <v>730276.2</v>
      </c>
      <c r="W108" s="37">
        <f>'Economic (2020 Adj.)'!D120</f>
        <v>7273.5</v>
      </c>
      <c r="X108" s="37">
        <f>'Economic (2020 Adj.)'!F120</f>
        <v>3365.9</v>
      </c>
      <c r="Y108" s="37">
        <f>'Economic (2020 Adj.)'!H120</f>
        <v>416</v>
      </c>
      <c r="Z108" s="37">
        <f>'Economic (2020 Adj.)'!E120</f>
        <v>7279</v>
      </c>
      <c r="AA108" s="37">
        <f>'Economic (2020 Adj.)'!G120</f>
        <v>3354.2</v>
      </c>
      <c r="AB108" s="37">
        <f>'Economic (2020 Adj.)'!I120</f>
        <v>415.5</v>
      </c>
      <c r="AC108" s="39">
        <f>Weather!D240</f>
        <v>2.9200000000000004</v>
      </c>
      <c r="AD108" s="39">
        <f>Weather!E240</f>
        <v>512.4</v>
      </c>
      <c r="AE108" s="39">
        <f>Weather!F240</f>
        <v>0</v>
      </c>
      <c r="AF108" s="39">
        <f>Weather!G240</f>
        <v>452.40000000000003</v>
      </c>
      <c r="AG108" s="39">
        <f>Weather!H240</f>
        <v>0</v>
      </c>
      <c r="AH108" s="39">
        <f>Weather!I240</f>
        <v>392.40000000000003</v>
      </c>
      <c r="AI108" s="39">
        <f>Weather!J240</f>
        <v>0</v>
      </c>
      <c r="AJ108" s="39">
        <f>Weather!K240</f>
        <v>332.40000000000003</v>
      </c>
      <c r="AK108" s="39">
        <f>Weather!L240</f>
        <v>0</v>
      </c>
      <c r="AL108" s="39">
        <f>Weather!M240</f>
        <v>272.40000000000003</v>
      </c>
      <c r="AM108" s="39">
        <f>Weather!N240</f>
        <v>0</v>
      </c>
      <c r="AN108" s="39">
        <f>Weather!O240</f>
        <v>214.10000000000002</v>
      </c>
      <c r="AO108" s="39">
        <f>Weather!P240</f>
        <v>1.6999999999999993</v>
      </c>
      <c r="AP108" s="39">
        <f>Weather!Q240</f>
        <v>157.90000000000003</v>
      </c>
      <c r="AQ108" s="39">
        <f>Weather!R240</f>
        <v>5.5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1</v>
      </c>
      <c r="BC108">
        <v>0</v>
      </c>
      <c r="BD108">
        <v>0</v>
      </c>
      <c r="BE108">
        <v>1</v>
      </c>
      <c r="BF108">
        <v>1</v>
      </c>
      <c r="BG108" s="1">
        <f t="shared" si="21"/>
        <v>107</v>
      </c>
      <c r="BH108">
        <v>30</v>
      </c>
      <c r="BI108">
        <v>22</v>
      </c>
      <c r="BJ108" s="160">
        <f t="shared" si="22"/>
        <v>674.32247909172122</v>
      </c>
      <c r="BK108" s="160">
        <f t="shared" si="23"/>
        <v>22.477415969724042</v>
      </c>
      <c r="BL108" s="159">
        <f t="shared" si="24"/>
        <v>1371819.1740482277</v>
      </c>
      <c r="BM108" s="160">
        <f t="shared" si="25"/>
        <v>2701.2322356876575</v>
      </c>
      <c r="BN108" s="160">
        <f t="shared" si="26"/>
        <v>90.041074522921917</v>
      </c>
      <c r="BO108" s="160">
        <f t="shared" si="27"/>
        <v>494865.74557797884</v>
      </c>
      <c r="BP108" s="160">
        <f t="shared" si="28"/>
        <v>74384.055202512958</v>
      </c>
      <c r="BQ108" s="160">
        <f t="shared" si="29"/>
        <v>2479.468506750432</v>
      </c>
      <c r="BR108" s="160">
        <f t="shared" si="30"/>
        <v>3381.0934182960436</v>
      </c>
      <c r="BS108" s="160">
        <f t="shared" si="31"/>
        <v>2410043.3885614197</v>
      </c>
      <c r="BT108" s="160">
        <f t="shared" si="32"/>
        <v>3286422.8025837541</v>
      </c>
    </row>
    <row r="109" spans="1:72" x14ac:dyDescent="0.2">
      <c r="A109" s="3">
        <v>43435</v>
      </c>
      <c r="B109" s="4">
        <f t="shared" si="33"/>
        <v>2018</v>
      </c>
      <c r="C109" s="2">
        <v>43149882</v>
      </c>
      <c r="D109" s="2">
        <f>VLOOKUP(B109,CDM!$I$5:$N$15,2,FALSE)/12</f>
        <v>3038147.2214468326</v>
      </c>
      <c r="E109" s="2">
        <f t="shared" si="19"/>
        <v>46188029.221446835</v>
      </c>
      <c r="F109" s="5">
        <v>61253</v>
      </c>
      <c r="G109" s="5">
        <v>14685286</v>
      </c>
      <c r="H109" s="5">
        <v>5494</v>
      </c>
      <c r="I109" s="2">
        <f>VLOOKUP(B109,CDM!$I$5:$N$15,3,FALSE)/12</f>
        <v>1010612.3673393656</v>
      </c>
      <c r="J109" s="2">
        <f t="shared" si="18"/>
        <v>15695898.367339365</v>
      </c>
      <c r="K109" s="5">
        <v>67665402</v>
      </c>
      <c r="L109" s="2">
        <f>VLOOKUP(B109,CDM!$I$5:$N$15,4,FALSE)/12</f>
        <v>3957126.6568425861</v>
      </c>
      <c r="M109" s="87">
        <f t="shared" si="20"/>
        <v>71622528.656842589</v>
      </c>
      <c r="N109" s="5">
        <v>169863</v>
      </c>
      <c r="O109" s="5">
        <v>974</v>
      </c>
      <c r="P109" s="5">
        <v>597310.9</v>
      </c>
      <c r="Q109" s="5">
        <v>1287.2</v>
      </c>
      <c r="R109" s="5">
        <v>17184</v>
      </c>
      <c r="S109" s="5">
        <v>264008</v>
      </c>
      <c r="T109" s="1">
        <v>24</v>
      </c>
      <c r="U109" s="1">
        <v>562</v>
      </c>
      <c r="V109" s="37">
        <f>'Economic (2020 Adj.)'!C121</f>
        <v>730276.2</v>
      </c>
      <c r="W109" s="37">
        <f>'Economic (2020 Adj.)'!D121</f>
        <v>7289.2</v>
      </c>
      <c r="X109" s="37">
        <f>'Economic (2020 Adj.)'!F121</f>
        <v>3382.8</v>
      </c>
      <c r="Y109" s="37">
        <f>'Economic (2020 Adj.)'!H121</f>
        <v>419.2</v>
      </c>
      <c r="Z109" s="37">
        <f>'Economic (2020 Adj.)'!E121</f>
        <v>7302.7</v>
      </c>
      <c r="AA109" s="37">
        <f>'Economic (2020 Adj.)'!G121</f>
        <v>3380.9</v>
      </c>
      <c r="AB109" s="37">
        <f>'Economic (2020 Adj.)'!I121</f>
        <v>420.7</v>
      </c>
      <c r="AC109" s="39">
        <f>Weather!D241</f>
        <v>1.3548387096774193</v>
      </c>
      <c r="AD109" s="39">
        <f>Weather!E241</f>
        <v>578.00000000000011</v>
      </c>
      <c r="AE109" s="39">
        <f>Weather!F241</f>
        <v>0</v>
      </c>
      <c r="AF109" s="39">
        <f>Weather!G241</f>
        <v>516.00000000000011</v>
      </c>
      <c r="AG109" s="39">
        <f>Weather!H241</f>
        <v>0</v>
      </c>
      <c r="AH109" s="39">
        <f>Weather!I241</f>
        <v>454.00000000000006</v>
      </c>
      <c r="AI109" s="39">
        <f>Weather!J241</f>
        <v>0</v>
      </c>
      <c r="AJ109" s="39">
        <f>Weather!K241</f>
        <v>392.00000000000006</v>
      </c>
      <c r="AK109" s="39">
        <f>Weather!L241</f>
        <v>0</v>
      </c>
      <c r="AL109" s="39">
        <f>Weather!M241</f>
        <v>330</v>
      </c>
      <c r="AM109" s="39">
        <f>Weather!N241</f>
        <v>0</v>
      </c>
      <c r="AN109" s="39">
        <f>Weather!O241</f>
        <v>267.99999999999994</v>
      </c>
      <c r="AO109" s="39">
        <f>Weather!P241</f>
        <v>0</v>
      </c>
      <c r="AP109" s="39">
        <f>Weather!Q241</f>
        <v>205.99999999999994</v>
      </c>
      <c r="AQ109" s="39">
        <f>Weather!R241</f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1</v>
      </c>
      <c r="BD109">
        <v>0</v>
      </c>
      <c r="BE109">
        <v>0</v>
      </c>
      <c r="BF109">
        <v>0</v>
      </c>
      <c r="BG109" s="1">
        <f t="shared" si="21"/>
        <v>108</v>
      </c>
      <c r="BH109">
        <v>31</v>
      </c>
      <c r="BI109">
        <v>19</v>
      </c>
      <c r="BJ109" s="160">
        <f t="shared" si="22"/>
        <v>754.05333977840814</v>
      </c>
      <c r="BK109" s="160">
        <f t="shared" si="23"/>
        <v>24.324301283174457</v>
      </c>
      <c r="BL109" s="159">
        <f t="shared" si="24"/>
        <v>1489936.426498285</v>
      </c>
      <c r="BM109" s="160">
        <f t="shared" si="25"/>
        <v>2856.9163391589673</v>
      </c>
      <c r="BN109" s="160">
        <f t="shared" si="26"/>
        <v>92.158591585773138</v>
      </c>
      <c r="BO109" s="160">
        <f t="shared" si="27"/>
        <v>506319.3021722376</v>
      </c>
      <c r="BP109" s="160">
        <f t="shared" si="28"/>
        <v>73534.423672322984</v>
      </c>
      <c r="BQ109" s="160">
        <f t="shared" si="29"/>
        <v>2372.0781829781608</v>
      </c>
      <c r="BR109" s="160">
        <f t="shared" si="30"/>
        <v>3870.2328248591043</v>
      </c>
      <c r="BS109" s="160">
        <f t="shared" si="31"/>
        <v>2310404.1502207285</v>
      </c>
      <c r="BT109" s="160">
        <f t="shared" si="32"/>
        <v>3769606.7714127679</v>
      </c>
    </row>
    <row r="110" spans="1:72" x14ac:dyDescent="0.2">
      <c r="A110" s="3">
        <v>43466</v>
      </c>
      <c r="B110" s="4">
        <f t="shared" si="33"/>
        <v>2019</v>
      </c>
      <c r="C110" s="148">
        <v>44752329</v>
      </c>
      <c r="D110" s="172">
        <f>VLOOKUP(B110,CDM!$I$5:$N$15,2,FALSE)/12</f>
        <v>3193894.2267185394</v>
      </c>
      <c r="E110" s="172">
        <f t="shared" si="19"/>
        <v>47946223.226718538</v>
      </c>
      <c r="F110" s="166">
        <v>61267</v>
      </c>
      <c r="G110" s="166">
        <v>15650151</v>
      </c>
      <c r="H110" s="167">
        <v>5499</v>
      </c>
      <c r="I110" s="172">
        <f>VLOOKUP(B110,CDM!$I$5:$N$15,3,FALSE)/12</f>
        <v>1180224.0660787106</v>
      </c>
      <c r="J110" s="172">
        <f t="shared" ref="J110:J121" si="34">G110+I110</f>
        <v>16830375.066078711</v>
      </c>
      <c r="K110" s="168">
        <v>74411457</v>
      </c>
      <c r="L110" s="172">
        <f>VLOOKUP(B110,CDM!$I$5:$N$15,4,FALSE)/12</f>
        <v>4390209.5678070653</v>
      </c>
      <c r="M110" s="87">
        <f t="shared" ref="M110:M121" si="35">K110+L110</f>
        <v>78801666.567807063</v>
      </c>
      <c r="N110" s="168">
        <v>179535</v>
      </c>
      <c r="O110" s="169">
        <v>974</v>
      </c>
      <c r="P110" s="169">
        <v>583065.5</v>
      </c>
      <c r="Q110" s="169">
        <v>1287.2</v>
      </c>
      <c r="R110" s="169">
        <v>17184</v>
      </c>
      <c r="S110" s="173">
        <v>262538</v>
      </c>
      <c r="T110" s="171">
        <v>24</v>
      </c>
      <c r="U110" s="171">
        <v>559</v>
      </c>
      <c r="V110" s="37">
        <f>'Economic (2020 Adj.)'!C122</f>
        <v>744439.6</v>
      </c>
      <c r="W110" s="37">
        <f>'Economic (2020 Adj.)'!D122</f>
        <v>7315.7</v>
      </c>
      <c r="X110" s="37">
        <f>'Economic (2020 Adj.)'!F122</f>
        <v>3394.9</v>
      </c>
      <c r="Y110" s="37">
        <f>'Economic (2020 Adj.)'!H122</f>
        <v>420.6</v>
      </c>
      <c r="Z110" s="37">
        <f>'Economic (2020 Adj.)'!E122</f>
        <v>7293.3</v>
      </c>
      <c r="AA110" s="37">
        <f>'Economic (2020 Adj.)'!G122</f>
        <v>3386.2</v>
      </c>
      <c r="AB110" s="37">
        <f>'Economic (2020 Adj.)'!I122</f>
        <v>420.6</v>
      </c>
      <c r="AC110" s="39">
        <f>Weather!D242</f>
        <v>-4.580645161290323</v>
      </c>
      <c r="AD110" s="39">
        <f>Weather!E242</f>
        <v>762</v>
      </c>
      <c r="AE110" s="39">
        <f>Weather!F242</f>
        <v>0</v>
      </c>
      <c r="AF110" s="39">
        <f>Weather!G242</f>
        <v>700</v>
      </c>
      <c r="AG110" s="39">
        <f>Weather!H242</f>
        <v>0</v>
      </c>
      <c r="AH110" s="39">
        <f>Weather!I242</f>
        <v>638</v>
      </c>
      <c r="AI110" s="39">
        <f>Weather!J242</f>
        <v>0</v>
      </c>
      <c r="AJ110" s="39">
        <f>Weather!K242</f>
        <v>576</v>
      </c>
      <c r="AK110" s="39">
        <f>Weather!L242</f>
        <v>0</v>
      </c>
      <c r="AL110" s="39">
        <f>Weather!M242</f>
        <v>514</v>
      </c>
      <c r="AM110" s="39">
        <f>Weather!N242</f>
        <v>0</v>
      </c>
      <c r="AN110" s="39">
        <f>Weather!O242</f>
        <v>452.00000000000006</v>
      </c>
      <c r="AO110" s="39">
        <f>Weather!P242</f>
        <v>0</v>
      </c>
      <c r="AP110" s="39">
        <f>Weather!Q242</f>
        <v>390.00000000000006</v>
      </c>
      <c r="AQ110" s="39">
        <f>Weather!R242</f>
        <v>0</v>
      </c>
      <c r="AR110">
        <v>1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 s="1">
        <f>BD98</f>
        <v>0</v>
      </c>
      <c r="BE110" s="1">
        <f t="shared" ref="BE110:BF110" si="36">BE98</f>
        <v>0</v>
      </c>
      <c r="BF110" s="1">
        <f t="shared" si="36"/>
        <v>0</v>
      </c>
      <c r="BG110" s="1">
        <f t="shared" si="21"/>
        <v>109</v>
      </c>
      <c r="BH110">
        <f>BH62</f>
        <v>31</v>
      </c>
      <c r="BI110">
        <v>22</v>
      </c>
      <c r="BJ110" s="160">
        <f t="shared" si="22"/>
        <v>782.57827585353516</v>
      </c>
      <c r="BK110" s="160">
        <f t="shared" si="23"/>
        <v>25.244460511404359</v>
      </c>
      <c r="BL110" s="159">
        <f t="shared" si="24"/>
        <v>1546652.3621522109</v>
      </c>
      <c r="BM110" s="160">
        <f t="shared" si="25"/>
        <v>3060.6246710454102</v>
      </c>
      <c r="BN110" s="160">
        <f t="shared" si="26"/>
        <v>98.729828098239039</v>
      </c>
      <c r="BO110" s="160">
        <f t="shared" si="27"/>
        <v>542915.3247122165</v>
      </c>
      <c r="BP110" s="160">
        <f t="shared" si="28"/>
        <v>80905.201814996981</v>
      </c>
      <c r="BQ110" s="160">
        <f t="shared" si="29"/>
        <v>2609.8452198386121</v>
      </c>
      <c r="BR110" s="160">
        <f t="shared" si="30"/>
        <v>3677.5091734089538</v>
      </c>
      <c r="BS110" s="160">
        <f t="shared" si="31"/>
        <v>2541989.2441228083</v>
      </c>
      <c r="BT110" s="160">
        <f t="shared" si="32"/>
        <v>3581893.9349003211</v>
      </c>
    </row>
    <row r="111" spans="1:72" x14ac:dyDescent="0.2">
      <c r="A111" s="3">
        <v>43497</v>
      </c>
      <c r="B111" s="4">
        <f t="shared" si="33"/>
        <v>2019</v>
      </c>
      <c r="C111" s="148">
        <v>39641060</v>
      </c>
      <c r="D111" s="172">
        <f>VLOOKUP(B111,CDM!$I$5:$N$15,2,FALSE)/12</f>
        <v>3193894.2267185394</v>
      </c>
      <c r="E111" s="172">
        <f t="shared" si="19"/>
        <v>42834954.226718538</v>
      </c>
      <c r="F111" s="166">
        <v>61283</v>
      </c>
      <c r="G111" s="166">
        <v>14388779</v>
      </c>
      <c r="H111" s="167">
        <v>5507</v>
      </c>
      <c r="I111" s="172">
        <f>VLOOKUP(B111,CDM!$I$5:$N$15,3,FALSE)/12</f>
        <v>1180224.0660787106</v>
      </c>
      <c r="J111" s="172">
        <f t="shared" si="34"/>
        <v>15569003.066078711</v>
      </c>
      <c r="K111" s="168">
        <v>66941377</v>
      </c>
      <c r="L111" s="172">
        <f>VLOOKUP(B111,CDM!$I$5:$N$15,4,FALSE)/12</f>
        <v>4390209.5678070653</v>
      </c>
      <c r="M111" s="87">
        <f t="shared" si="35"/>
        <v>71331586.567807063</v>
      </c>
      <c r="N111" s="168">
        <v>190349</v>
      </c>
      <c r="O111" s="169">
        <v>972</v>
      </c>
      <c r="P111" s="169">
        <v>486224.5</v>
      </c>
      <c r="Q111" s="169">
        <v>1287.2</v>
      </c>
      <c r="R111" s="169">
        <v>17184</v>
      </c>
      <c r="S111" s="173">
        <v>261673</v>
      </c>
      <c r="T111" s="171">
        <v>24</v>
      </c>
      <c r="U111" s="171">
        <v>563</v>
      </c>
      <c r="V111" s="37">
        <f>'Economic (2020 Adj.)'!C123</f>
        <v>744439.6</v>
      </c>
      <c r="W111" s="37">
        <f>'Economic (2020 Adj.)'!D123</f>
        <v>7346.7</v>
      </c>
      <c r="X111" s="37">
        <f>'Economic (2020 Adj.)'!F123</f>
        <v>3412.3</v>
      </c>
      <c r="Y111" s="37">
        <f>'Economic (2020 Adj.)'!H123</f>
        <v>421.7</v>
      </c>
      <c r="Z111" s="37">
        <f>'Economic (2020 Adj.)'!E123</f>
        <v>7286.5</v>
      </c>
      <c r="AA111" s="37">
        <f>'Economic (2020 Adj.)'!G123</f>
        <v>3393.3</v>
      </c>
      <c r="AB111" s="37">
        <f>'Economic (2020 Adj.)'!I123</f>
        <v>419.8</v>
      </c>
      <c r="AC111" s="39">
        <f>Weather!D243</f>
        <v>-2.4178571428571423</v>
      </c>
      <c r="AD111" s="39">
        <f>Weather!E243</f>
        <v>627.70000000000005</v>
      </c>
      <c r="AE111" s="39">
        <f>Weather!F243</f>
        <v>0</v>
      </c>
      <c r="AF111" s="39">
        <f>Weather!G243</f>
        <v>571.70000000000016</v>
      </c>
      <c r="AG111" s="39">
        <f>Weather!H243</f>
        <v>0</v>
      </c>
      <c r="AH111" s="39">
        <f>Weather!I243</f>
        <v>515.70000000000005</v>
      </c>
      <c r="AI111" s="39">
        <f>Weather!J243</f>
        <v>0</v>
      </c>
      <c r="AJ111" s="39">
        <f>Weather!K243</f>
        <v>459.70000000000005</v>
      </c>
      <c r="AK111" s="39">
        <f>Weather!L243</f>
        <v>0</v>
      </c>
      <c r="AL111" s="39">
        <f>Weather!M243</f>
        <v>403.70000000000005</v>
      </c>
      <c r="AM111" s="39">
        <f>Weather!N243</f>
        <v>0</v>
      </c>
      <c r="AN111" s="39">
        <f>Weather!O243</f>
        <v>347.70000000000005</v>
      </c>
      <c r="AO111" s="39">
        <f>Weather!P243</f>
        <v>0</v>
      </c>
      <c r="AP111" s="39">
        <f>Weather!Q243</f>
        <v>293.70000000000005</v>
      </c>
      <c r="AQ111" s="39">
        <f>Weather!R243</f>
        <v>2</v>
      </c>
      <c r="AR111">
        <v>0</v>
      </c>
      <c r="AS111">
        <v>1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 s="1">
        <f t="shared" ref="BD111:BF111" si="37">BD99</f>
        <v>0</v>
      </c>
      <c r="BE111" s="1">
        <f t="shared" si="37"/>
        <v>0</v>
      </c>
      <c r="BF111" s="1">
        <f t="shared" si="37"/>
        <v>0</v>
      </c>
      <c r="BG111" s="1">
        <f t="shared" si="21"/>
        <v>110</v>
      </c>
      <c r="BH111">
        <f t="shared" ref="BH111:BH121" si="38">BH63</f>
        <v>28</v>
      </c>
      <c r="BI111">
        <v>19</v>
      </c>
      <c r="BJ111" s="160">
        <f t="shared" si="22"/>
        <v>698.9696037517507</v>
      </c>
      <c r="BK111" s="160">
        <f t="shared" si="23"/>
        <v>24.963200133991098</v>
      </c>
      <c r="BL111" s="159">
        <f t="shared" si="24"/>
        <v>1529819.7938113764</v>
      </c>
      <c r="BM111" s="160">
        <f t="shared" si="25"/>
        <v>2827.1296651677339</v>
      </c>
      <c r="BN111" s="160">
        <f t="shared" si="26"/>
        <v>100.96891661313336</v>
      </c>
      <c r="BO111" s="160">
        <f t="shared" si="27"/>
        <v>556035.82378852542</v>
      </c>
      <c r="BP111" s="160">
        <f t="shared" si="28"/>
        <v>73386.405933957882</v>
      </c>
      <c r="BQ111" s="160">
        <f t="shared" si="29"/>
        <v>2620.9430690699241</v>
      </c>
      <c r="BR111" s="160">
        <f t="shared" si="30"/>
        <v>3862.4424175767308</v>
      </c>
      <c r="BS111" s="160">
        <f t="shared" si="31"/>
        <v>2547556.6631359668</v>
      </c>
      <c r="BT111" s="160">
        <f t="shared" si="32"/>
        <v>3754294.0298845824</v>
      </c>
    </row>
    <row r="112" spans="1:72" x14ac:dyDescent="0.2">
      <c r="A112" s="3">
        <v>43525</v>
      </c>
      <c r="B112" s="4">
        <f t="shared" si="33"/>
        <v>2019</v>
      </c>
      <c r="C112" s="148">
        <v>39959681</v>
      </c>
      <c r="D112" s="172">
        <f>VLOOKUP(B112,CDM!$I$5:$N$15,2,FALSE)/12</f>
        <v>3193894.2267185394</v>
      </c>
      <c r="E112" s="172">
        <f t="shared" si="19"/>
        <v>43153575.226718538</v>
      </c>
      <c r="F112" s="166">
        <v>61278</v>
      </c>
      <c r="G112" s="166">
        <v>15138621</v>
      </c>
      <c r="H112" s="167">
        <v>5500</v>
      </c>
      <c r="I112" s="172">
        <f>VLOOKUP(B112,CDM!$I$5:$N$15,3,FALSE)/12</f>
        <v>1180224.0660787106</v>
      </c>
      <c r="J112" s="172">
        <f t="shared" si="34"/>
        <v>16318845.066078711</v>
      </c>
      <c r="K112" s="168">
        <v>71747602</v>
      </c>
      <c r="L112" s="172">
        <f>VLOOKUP(B112,CDM!$I$5:$N$15,4,FALSE)/12</f>
        <v>4390209.5678070653</v>
      </c>
      <c r="M112" s="87">
        <f t="shared" si="35"/>
        <v>76137811.567807063</v>
      </c>
      <c r="N112" s="168">
        <v>186476</v>
      </c>
      <c r="O112" s="169">
        <v>972</v>
      </c>
      <c r="P112" s="169">
        <v>479831.6</v>
      </c>
      <c r="Q112" s="169">
        <v>1287.2</v>
      </c>
      <c r="R112" s="169">
        <v>17184</v>
      </c>
      <c r="S112" s="173">
        <v>263490</v>
      </c>
      <c r="T112" s="171">
        <v>24</v>
      </c>
      <c r="U112" s="171">
        <v>563</v>
      </c>
      <c r="V112" s="37">
        <f>'Economic (2020 Adj.)'!C124</f>
        <v>744439.6</v>
      </c>
      <c r="W112" s="37">
        <f>'Economic (2020 Adj.)'!D124</f>
        <v>7371</v>
      </c>
      <c r="X112" s="37">
        <f>'Economic (2020 Adj.)'!F124</f>
        <v>3430.6</v>
      </c>
      <c r="Y112" s="37">
        <f>'Economic (2020 Adj.)'!H124</f>
        <v>420.5</v>
      </c>
      <c r="Z112" s="37">
        <f>'Economic (2020 Adj.)'!E124</f>
        <v>7268.2</v>
      </c>
      <c r="AA112" s="37">
        <f>'Economic (2020 Adj.)'!G124</f>
        <v>3393.6</v>
      </c>
      <c r="AB112" s="37">
        <f>'Economic (2020 Adj.)'!I124</f>
        <v>415.1</v>
      </c>
      <c r="AC112" s="39">
        <f>Weather!D244</f>
        <v>4.8387096774193415E-2</v>
      </c>
      <c r="AD112" s="39">
        <f>Weather!E244</f>
        <v>618.49999999999989</v>
      </c>
      <c r="AE112" s="39">
        <f>Weather!F244</f>
        <v>0</v>
      </c>
      <c r="AF112" s="39">
        <f>Weather!G244</f>
        <v>556.49999999999989</v>
      </c>
      <c r="AG112" s="39">
        <f>Weather!H244</f>
        <v>0</v>
      </c>
      <c r="AH112" s="39">
        <f>Weather!I244</f>
        <v>494.49999999999989</v>
      </c>
      <c r="AI112" s="39">
        <f>Weather!J244</f>
        <v>0</v>
      </c>
      <c r="AJ112" s="39">
        <f>Weather!K244</f>
        <v>432.49999999999989</v>
      </c>
      <c r="AK112" s="39">
        <f>Weather!L244</f>
        <v>0</v>
      </c>
      <c r="AL112" s="39">
        <f>Weather!M244</f>
        <v>370.49999999999989</v>
      </c>
      <c r="AM112" s="39">
        <f>Weather!N244</f>
        <v>0</v>
      </c>
      <c r="AN112" s="39">
        <f>Weather!O244</f>
        <v>308.49999999999994</v>
      </c>
      <c r="AO112" s="39">
        <f>Weather!P244</f>
        <v>0</v>
      </c>
      <c r="AP112" s="39">
        <f>Weather!Q244</f>
        <v>246.6</v>
      </c>
      <c r="AQ112" s="39">
        <f>Weather!R244</f>
        <v>9.9999999999999645E-2</v>
      </c>
      <c r="AR112">
        <v>0</v>
      </c>
      <c r="AS112">
        <v>0</v>
      </c>
      <c r="AT112">
        <v>1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 s="1">
        <f t="shared" ref="BD112:BF112" si="39">BD100</f>
        <v>1</v>
      </c>
      <c r="BE112" s="1">
        <f t="shared" si="39"/>
        <v>0</v>
      </c>
      <c r="BF112" s="1">
        <f t="shared" si="39"/>
        <v>1</v>
      </c>
      <c r="BG112" s="1">
        <f t="shared" si="21"/>
        <v>111</v>
      </c>
      <c r="BH112">
        <f t="shared" si="38"/>
        <v>31</v>
      </c>
      <c r="BI112">
        <v>22</v>
      </c>
      <c r="BJ112" s="160">
        <f t="shared" si="22"/>
        <v>704.22623497370239</v>
      </c>
      <c r="BK112" s="160">
        <f t="shared" si="23"/>
        <v>22.716975321732335</v>
      </c>
      <c r="BL112" s="159">
        <f t="shared" si="24"/>
        <v>1392050.8137651142</v>
      </c>
      <c r="BM112" s="160">
        <f t="shared" si="25"/>
        <v>2967.0627392870383</v>
      </c>
      <c r="BN112" s="160">
        <f t="shared" si="26"/>
        <v>95.711701267323818</v>
      </c>
      <c r="BO112" s="160">
        <f t="shared" si="27"/>
        <v>526414.35697028099</v>
      </c>
      <c r="BP112" s="160">
        <f t="shared" si="28"/>
        <v>78331.081859883809</v>
      </c>
      <c r="BQ112" s="160">
        <f t="shared" si="29"/>
        <v>2526.8090922543165</v>
      </c>
      <c r="BR112" s="160">
        <f t="shared" si="30"/>
        <v>3560.5037209038096</v>
      </c>
      <c r="BS112" s="160">
        <f t="shared" si="31"/>
        <v>2456058.4376711957</v>
      </c>
      <c r="BT112" s="160">
        <f t="shared" si="32"/>
        <v>3460809.6167185027</v>
      </c>
    </row>
    <row r="113" spans="1:72" x14ac:dyDescent="0.2">
      <c r="A113" s="3">
        <v>43556</v>
      </c>
      <c r="B113" s="4">
        <f t="shared" si="33"/>
        <v>2019</v>
      </c>
      <c r="C113" s="148">
        <v>34942768</v>
      </c>
      <c r="D113" s="172">
        <f>VLOOKUP(B113,CDM!$I$5:$N$15,2,FALSE)/12</f>
        <v>3193894.2267185394</v>
      </c>
      <c r="E113" s="172">
        <f t="shared" si="19"/>
        <v>38136662.226718538</v>
      </c>
      <c r="F113" s="166">
        <v>61471</v>
      </c>
      <c r="G113" s="166">
        <v>13349194</v>
      </c>
      <c r="H113" s="167">
        <v>5496</v>
      </c>
      <c r="I113" s="172">
        <f>VLOOKUP(B113,CDM!$I$5:$N$15,3,FALSE)/12</f>
        <v>1180224.0660787106</v>
      </c>
      <c r="J113" s="172">
        <f t="shared" si="34"/>
        <v>14529418.066078711</v>
      </c>
      <c r="K113" s="168">
        <v>65493567</v>
      </c>
      <c r="L113" s="172">
        <f>VLOOKUP(B113,CDM!$I$5:$N$15,4,FALSE)/12</f>
        <v>4390209.5678070653</v>
      </c>
      <c r="M113" s="87">
        <f t="shared" si="35"/>
        <v>69883776.567807063</v>
      </c>
      <c r="N113" s="168">
        <v>182739</v>
      </c>
      <c r="O113" s="169">
        <v>973</v>
      </c>
      <c r="P113" s="169">
        <v>407082.6</v>
      </c>
      <c r="Q113" s="169">
        <v>1287.2</v>
      </c>
      <c r="R113" s="169">
        <v>17184</v>
      </c>
      <c r="S113" s="173">
        <v>261275</v>
      </c>
      <c r="T113" s="171">
        <v>24</v>
      </c>
      <c r="U113" s="171">
        <v>563</v>
      </c>
      <c r="V113" s="37">
        <f>'Economic (2020 Adj.)'!C125</f>
        <v>744439.6</v>
      </c>
      <c r="W113" s="37">
        <f>'Economic (2020 Adj.)'!D125</f>
        <v>7395.4</v>
      </c>
      <c r="X113" s="37">
        <f>'Economic (2020 Adj.)'!F125</f>
        <v>3447.9</v>
      </c>
      <c r="Y113" s="37">
        <f>'Economic (2020 Adj.)'!H125</f>
        <v>417.5</v>
      </c>
      <c r="Z113" s="37">
        <f>'Economic (2020 Adj.)'!E125</f>
        <v>7304.3</v>
      </c>
      <c r="AA113" s="37">
        <f>'Economic (2020 Adj.)'!G125</f>
        <v>3418.2</v>
      </c>
      <c r="AB113" s="37">
        <f>'Economic (2020 Adj.)'!I125</f>
        <v>411.2</v>
      </c>
      <c r="AC113" s="39">
        <f>Weather!D245</f>
        <v>6.2700000000000005</v>
      </c>
      <c r="AD113" s="39">
        <f>Weather!E245</f>
        <v>411.9</v>
      </c>
      <c r="AE113" s="39">
        <f>Weather!F245</f>
        <v>0</v>
      </c>
      <c r="AF113" s="39">
        <f>Weather!G245</f>
        <v>351.9</v>
      </c>
      <c r="AG113" s="39">
        <f>Weather!H245</f>
        <v>0</v>
      </c>
      <c r="AH113" s="39">
        <f>Weather!I245</f>
        <v>291.89999999999998</v>
      </c>
      <c r="AI113" s="39">
        <f>Weather!J245</f>
        <v>0</v>
      </c>
      <c r="AJ113" s="39">
        <f>Weather!K245</f>
        <v>231.89999999999995</v>
      </c>
      <c r="AK113" s="39">
        <f>Weather!L245</f>
        <v>0</v>
      </c>
      <c r="AL113" s="39">
        <f>Weather!M245</f>
        <v>173.29999999999998</v>
      </c>
      <c r="AM113" s="39">
        <f>Weather!N245</f>
        <v>1.4000000000000004</v>
      </c>
      <c r="AN113" s="39">
        <f>Weather!O245</f>
        <v>116.70000000000002</v>
      </c>
      <c r="AO113" s="39">
        <f>Weather!P245</f>
        <v>4.8000000000000007</v>
      </c>
      <c r="AP113" s="39">
        <f>Weather!Q245</f>
        <v>71.400000000000006</v>
      </c>
      <c r="AQ113" s="39">
        <f>Weather!R245</f>
        <v>19.5</v>
      </c>
      <c r="AR113">
        <v>0</v>
      </c>
      <c r="AS113">
        <v>0</v>
      </c>
      <c r="AT113">
        <v>0</v>
      </c>
      <c r="AU113">
        <v>1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 s="1">
        <f t="shared" ref="BD113:BF113" si="40">BD101</f>
        <v>1</v>
      </c>
      <c r="BE113" s="1">
        <f t="shared" si="40"/>
        <v>0</v>
      </c>
      <c r="BF113" s="1">
        <f t="shared" si="40"/>
        <v>1</v>
      </c>
      <c r="BG113" s="1">
        <f t="shared" si="21"/>
        <v>112</v>
      </c>
      <c r="BH113">
        <f t="shared" si="38"/>
        <v>30</v>
      </c>
      <c r="BI113">
        <v>21</v>
      </c>
      <c r="BJ113" s="160">
        <f t="shared" si="22"/>
        <v>620.40087564410112</v>
      </c>
      <c r="BK113" s="160">
        <f t="shared" si="23"/>
        <v>20.680029188136704</v>
      </c>
      <c r="BL113" s="159">
        <f t="shared" si="24"/>
        <v>1271222.0742239512</v>
      </c>
      <c r="BM113" s="160">
        <f t="shared" si="25"/>
        <v>2643.6350193010758</v>
      </c>
      <c r="BN113" s="160">
        <f t="shared" si="26"/>
        <v>88.121167310035858</v>
      </c>
      <c r="BO113" s="160">
        <f t="shared" si="27"/>
        <v>484313.93553595705</v>
      </c>
      <c r="BP113" s="160">
        <f t="shared" si="28"/>
        <v>71822.997500315585</v>
      </c>
      <c r="BQ113" s="160">
        <f t="shared" si="29"/>
        <v>2394.0999166771862</v>
      </c>
      <c r="BR113" s="160">
        <f t="shared" si="30"/>
        <v>3420.1427381102658</v>
      </c>
      <c r="BS113" s="160">
        <f t="shared" si="31"/>
        <v>2329459.2189269019</v>
      </c>
      <c r="BT113" s="160">
        <f t="shared" si="32"/>
        <v>3327798.8841812885</v>
      </c>
    </row>
    <row r="114" spans="1:72" x14ac:dyDescent="0.2">
      <c r="A114" s="3">
        <v>43586</v>
      </c>
      <c r="B114" s="4">
        <f t="shared" si="33"/>
        <v>2019</v>
      </c>
      <c r="C114" s="148">
        <v>35494086</v>
      </c>
      <c r="D114" s="172">
        <f>VLOOKUP(B114,CDM!$I$5:$N$15,2,FALSE)/12</f>
        <v>3193894.2267185394</v>
      </c>
      <c r="E114" s="172">
        <f t="shared" si="19"/>
        <v>38687980.226718538</v>
      </c>
      <c r="F114" s="166">
        <v>61467</v>
      </c>
      <c r="G114" s="166">
        <v>13091106</v>
      </c>
      <c r="H114" s="167">
        <v>5489</v>
      </c>
      <c r="I114" s="172">
        <f>VLOOKUP(B114,CDM!$I$5:$N$15,3,FALSE)/12</f>
        <v>1180224.0660787106</v>
      </c>
      <c r="J114" s="172">
        <f t="shared" si="34"/>
        <v>14271330.066078711</v>
      </c>
      <c r="K114" s="168">
        <v>66534124</v>
      </c>
      <c r="L114" s="172">
        <f>VLOOKUP(B114,CDM!$I$5:$N$15,4,FALSE)/12</f>
        <v>4390209.5678070653</v>
      </c>
      <c r="M114" s="87">
        <f t="shared" si="35"/>
        <v>70924333.567807063</v>
      </c>
      <c r="N114" s="168">
        <v>180588</v>
      </c>
      <c r="O114" s="169">
        <v>977</v>
      </c>
      <c r="P114" s="169">
        <v>370589.6</v>
      </c>
      <c r="Q114" s="169">
        <v>1287.2</v>
      </c>
      <c r="R114" s="169">
        <v>17184</v>
      </c>
      <c r="S114" s="173">
        <v>261806</v>
      </c>
      <c r="T114" s="171">
        <v>24</v>
      </c>
      <c r="U114" s="171">
        <v>563</v>
      </c>
      <c r="V114" s="37">
        <f>'Economic (2020 Adj.)'!C126</f>
        <v>744439.6</v>
      </c>
      <c r="W114" s="37">
        <f>'Economic (2020 Adj.)'!D126</f>
        <v>7412.6</v>
      </c>
      <c r="X114" s="37">
        <f>'Economic (2020 Adj.)'!F126</f>
        <v>3461.7</v>
      </c>
      <c r="Y114" s="37">
        <f>'Economic (2020 Adj.)'!H126</f>
        <v>415.7</v>
      </c>
      <c r="Z114" s="37">
        <f>'Economic (2020 Adj.)'!E126</f>
        <v>7376.9</v>
      </c>
      <c r="AA114" s="37">
        <f>'Economic (2020 Adj.)'!G126</f>
        <v>3452.9</v>
      </c>
      <c r="AB114" s="37">
        <f>'Economic (2020 Adj.)'!I126</f>
        <v>411.2</v>
      </c>
      <c r="AC114" s="39">
        <f>Weather!D246</f>
        <v>11.058064516129033</v>
      </c>
      <c r="AD114" s="39">
        <f>Weather!E246</f>
        <v>277.2</v>
      </c>
      <c r="AE114" s="39">
        <f>Weather!F246</f>
        <v>0</v>
      </c>
      <c r="AF114" s="39">
        <f>Weather!G246</f>
        <v>215.59999999999997</v>
      </c>
      <c r="AG114" s="39">
        <f>Weather!H246</f>
        <v>0.39999999999999858</v>
      </c>
      <c r="AH114" s="39">
        <f>Weather!I246</f>
        <v>157.79999999999998</v>
      </c>
      <c r="AI114" s="39">
        <f>Weather!J246</f>
        <v>4.5999999999999979</v>
      </c>
      <c r="AJ114" s="39">
        <f>Weather!K246</f>
        <v>105.80000000000003</v>
      </c>
      <c r="AK114" s="39">
        <f>Weather!L246</f>
        <v>14.6</v>
      </c>
      <c r="AL114" s="39">
        <f>Weather!M246</f>
        <v>63.5</v>
      </c>
      <c r="AM114" s="39">
        <f>Weather!N246</f>
        <v>34.299999999999997</v>
      </c>
      <c r="AN114" s="39">
        <f>Weather!O246</f>
        <v>33.1</v>
      </c>
      <c r="AO114" s="39">
        <f>Weather!P246</f>
        <v>65.899999999999991</v>
      </c>
      <c r="AP114" s="39">
        <f>Weather!Q246</f>
        <v>13.399999999999999</v>
      </c>
      <c r="AQ114" s="39">
        <f>Weather!R246</f>
        <v>108.19999999999997</v>
      </c>
      <c r="AR114">
        <v>0</v>
      </c>
      <c r="AS114">
        <v>0</v>
      </c>
      <c r="AT114">
        <v>0</v>
      </c>
      <c r="AU114">
        <v>0</v>
      </c>
      <c r="AV114">
        <v>1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 s="1">
        <f t="shared" ref="BD114:BF114" si="41">BD102</f>
        <v>1</v>
      </c>
      <c r="BE114" s="1">
        <f t="shared" si="41"/>
        <v>0</v>
      </c>
      <c r="BF114" s="1">
        <f t="shared" si="41"/>
        <v>1</v>
      </c>
      <c r="BG114" s="1">
        <f t="shared" si="21"/>
        <v>113</v>
      </c>
      <c r="BH114">
        <f t="shared" si="38"/>
        <v>31</v>
      </c>
      <c r="BI114">
        <v>20</v>
      </c>
      <c r="BJ114" s="160">
        <f t="shared" si="22"/>
        <v>629.41058172220119</v>
      </c>
      <c r="BK114" s="160">
        <f t="shared" si="23"/>
        <v>20.30356715232907</v>
      </c>
      <c r="BL114" s="159">
        <f t="shared" si="24"/>
        <v>1247999.3621522109</v>
      </c>
      <c r="BM114" s="160">
        <f t="shared" si="25"/>
        <v>2599.9872592601041</v>
      </c>
      <c r="BN114" s="160">
        <f t="shared" si="26"/>
        <v>83.870556750325946</v>
      </c>
      <c r="BO114" s="160">
        <f t="shared" si="27"/>
        <v>460365.48600253905</v>
      </c>
      <c r="BP114" s="160">
        <f t="shared" si="28"/>
        <v>72593.995463466796</v>
      </c>
      <c r="BQ114" s="160">
        <f t="shared" si="29"/>
        <v>2341.74178914409</v>
      </c>
      <c r="BR114" s="160">
        <f t="shared" si="30"/>
        <v>3629.69977317334</v>
      </c>
      <c r="BS114" s="160">
        <f t="shared" si="31"/>
        <v>2287881.7279937761</v>
      </c>
      <c r="BT114" s="160">
        <f t="shared" si="32"/>
        <v>3546216.678390353</v>
      </c>
    </row>
    <row r="115" spans="1:72" x14ac:dyDescent="0.2">
      <c r="A115" s="3">
        <v>43617</v>
      </c>
      <c r="B115" s="4">
        <f t="shared" si="33"/>
        <v>2019</v>
      </c>
      <c r="C115" s="148">
        <v>42615902</v>
      </c>
      <c r="D115" s="172">
        <f>VLOOKUP(B115,CDM!$I$5:$N$15,2,FALSE)/12</f>
        <v>3193894.2267185394</v>
      </c>
      <c r="E115" s="172">
        <f t="shared" si="19"/>
        <v>45809796.226718538</v>
      </c>
      <c r="F115" s="166">
        <v>61472</v>
      </c>
      <c r="G115" s="166">
        <v>13624072</v>
      </c>
      <c r="H115" s="167">
        <v>5489</v>
      </c>
      <c r="I115" s="172">
        <f>VLOOKUP(B115,CDM!$I$5:$N$15,3,FALSE)/12</f>
        <v>1180224.0660787106</v>
      </c>
      <c r="J115" s="172">
        <f t="shared" si="34"/>
        <v>14804296.066078711</v>
      </c>
      <c r="K115" s="168">
        <v>67552624</v>
      </c>
      <c r="L115" s="172">
        <f>VLOOKUP(B115,CDM!$I$5:$N$15,4,FALSE)/12</f>
        <v>4390209.5678070653</v>
      </c>
      <c r="M115" s="87">
        <f t="shared" si="35"/>
        <v>71942833.567807063</v>
      </c>
      <c r="N115" s="168">
        <v>184356</v>
      </c>
      <c r="O115" s="169">
        <v>982</v>
      </c>
      <c r="P115" s="169">
        <v>334161.40000000002</v>
      </c>
      <c r="Q115" s="169">
        <v>1287.2</v>
      </c>
      <c r="R115" s="169">
        <v>17184</v>
      </c>
      <c r="S115" s="173">
        <v>261241</v>
      </c>
      <c r="T115" s="171">
        <v>24</v>
      </c>
      <c r="U115" s="171">
        <v>561</v>
      </c>
      <c r="V115" s="37">
        <f>'Economic (2020 Adj.)'!C127</f>
        <v>744439.6</v>
      </c>
      <c r="W115" s="37">
        <f>'Economic (2020 Adj.)'!D127</f>
        <v>7430.3</v>
      </c>
      <c r="X115" s="37">
        <f>'Economic (2020 Adj.)'!F127</f>
        <v>3472.4</v>
      </c>
      <c r="Y115" s="37">
        <f>'Economic (2020 Adj.)'!H127</f>
        <v>416.3</v>
      </c>
      <c r="Z115" s="37">
        <f>'Economic (2020 Adj.)'!E127</f>
        <v>7472.1</v>
      </c>
      <c r="AA115" s="37">
        <f>'Economic (2020 Adj.)'!G127</f>
        <v>3492.2</v>
      </c>
      <c r="AB115" s="37">
        <f>'Economic (2020 Adj.)'!I127</f>
        <v>415.4</v>
      </c>
      <c r="AC115" s="39">
        <f>Weather!D247</f>
        <v>17.306666666666668</v>
      </c>
      <c r="AD115" s="39">
        <f>Weather!E247</f>
        <v>96.9</v>
      </c>
      <c r="AE115" s="39">
        <f>Weather!F247</f>
        <v>16.100000000000001</v>
      </c>
      <c r="AF115" s="39">
        <f>Weather!G247</f>
        <v>54.899999999999991</v>
      </c>
      <c r="AG115" s="39">
        <f>Weather!H247</f>
        <v>34.1</v>
      </c>
      <c r="AH115" s="39">
        <f>Weather!I247</f>
        <v>22</v>
      </c>
      <c r="AI115" s="39">
        <f>Weather!J247</f>
        <v>61.2</v>
      </c>
      <c r="AJ115" s="39">
        <f>Weather!K247</f>
        <v>4.3999999999999986</v>
      </c>
      <c r="AK115" s="39">
        <f>Weather!L247</f>
        <v>103.60000000000002</v>
      </c>
      <c r="AL115" s="39">
        <f>Weather!M247</f>
        <v>0.19999999999999929</v>
      </c>
      <c r="AM115" s="39">
        <f>Weather!N247</f>
        <v>159.4</v>
      </c>
      <c r="AN115" s="39">
        <f>Weather!O247</f>
        <v>0</v>
      </c>
      <c r="AO115" s="39">
        <f>Weather!P247</f>
        <v>219.2</v>
      </c>
      <c r="AP115" s="39">
        <f>Weather!Q247</f>
        <v>0</v>
      </c>
      <c r="AQ115" s="39">
        <f>Weather!R247</f>
        <v>279.2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1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 s="1">
        <f t="shared" ref="BD115:BF115" si="42">BD103</f>
        <v>0</v>
      </c>
      <c r="BE115" s="1">
        <f t="shared" si="42"/>
        <v>0</v>
      </c>
      <c r="BF115" s="1">
        <f t="shared" si="42"/>
        <v>0</v>
      </c>
      <c r="BG115" s="1">
        <f t="shared" si="21"/>
        <v>114</v>
      </c>
      <c r="BH115">
        <f t="shared" si="38"/>
        <v>30</v>
      </c>
      <c r="BI115">
        <v>22</v>
      </c>
      <c r="BJ115" s="160">
        <f t="shared" si="22"/>
        <v>745.21401982558791</v>
      </c>
      <c r="BK115" s="160">
        <f t="shared" si="23"/>
        <v>24.840467327519598</v>
      </c>
      <c r="BL115" s="159">
        <f t="shared" si="24"/>
        <v>1526993.2075572845</v>
      </c>
      <c r="BM115" s="160">
        <f t="shared" si="25"/>
        <v>2697.0843625576081</v>
      </c>
      <c r="BN115" s="160">
        <f t="shared" si="26"/>
        <v>89.902812085253601</v>
      </c>
      <c r="BO115" s="160">
        <f t="shared" si="27"/>
        <v>493476.53553595702</v>
      </c>
      <c r="BP115" s="160">
        <f t="shared" si="28"/>
        <v>73261.541311412482</v>
      </c>
      <c r="BQ115" s="160">
        <f t="shared" si="29"/>
        <v>2442.051377047083</v>
      </c>
      <c r="BR115" s="160">
        <f t="shared" si="30"/>
        <v>3330.0700596096581</v>
      </c>
      <c r="BS115" s="160">
        <f t="shared" si="31"/>
        <v>2398094.4522602353</v>
      </c>
      <c r="BT115" s="160">
        <f t="shared" si="32"/>
        <v>3270128.7985366848</v>
      </c>
    </row>
    <row r="116" spans="1:72" x14ac:dyDescent="0.2">
      <c r="A116" s="3">
        <v>43647</v>
      </c>
      <c r="B116" s="4">
        <f t="shared" si="33"/>
        <v>2019</v>
      </c>
      <c r="C116" s="148">
        <v>60513434</v>
      </c>
      <c r="D116" s="172">
        <f>VLOOKUP(B116,CDM!$I$5:$N$15,2,FALSE)/12</f>
        <v>3193894.2267185394</v>
      </c>
      <c r="E116" s="172">
        <f t="shared" si="19"/>
        <v>63707328.226718538</v>
      </c>
      <c r="F116" s="166">
        <v>61470</v>
      </c>
      <c r="G116" s="166">
        <v>16138863</v>
      </c>
      <c r="H116" s="167">
        <v>5495</v>
      </c>
      <c r="I116" s="172">
        <f>VLOOKUP(B116,CDM!$I$5:$N$15,3,FALSE)/12</f>
        <v>1180224.0660787106</v>
      </c>
      <c r="J116" s="172">
        <f t="shared" si="34"/>
        <v>17319087.066078711</v>
      </c>
      <c r="K116" s="168">
        <v>78868328</v>
      </c>
      <c r="L116" s="172">
        <f>VLOOKUP(B116,CDM!$I$5:$N$15,4,FALSE)/12</f>
        <v>4390209.5678070653</v>
      </c>
      <c r="M116" s="87">
        <f t="shared" si="35"/>
        <v>83258537.567807063</v>
      </c>
      <c r="N116" s="168">
        <v>199980</v>
      </c>
      <c r="O116" s="169">
        <v>982</v>
      </c>
      <c r="P116" s="169">
        <v>358876.3</v>
      </c>
      <c r="Q116" s="169">
        <v>1287.2</v>
      </c>
      <c r="R116" s="169">
        <v>17184</v>
      </c>
      <c r="S116" s="173">
        <v>261806</v>
      </c>
      <c r="T116" s="171">
        <v>24</v>
      </c>
      <c r="U116" s="171">
        <v>561</v>
      </c>
      <c r="V116" s="37">
        <f>'Economic (2020 Adj.)'!C128</f>
        <v>744439.6</v>
      </c>
      <c r="W116" s="37">
        <f>'Economic (2020 Adj.)'!D128</f>
        <v>7432.9</v>
      </c>
      <c r="X116" s="37">
        <f>'Economic (2020 Adj.)'!F128</f>
        <v>3487.5</v>
      </c>
      <c r="Y116" s="37">
        <f>'Economic (2020 Adj.)'!H128</f>
        <v>415.9</v>
      </c>
      <c r="Z116" s="37">
        <f>'Economic (2020 Adj.)'!E128</f>
        <v>7524.4</v>
      </c>
      <c r="AA116" s="37">
        <f>'Economic (2020 Adj.)'!G128</f>
        <v>3526.4</v>
      </c>
      <c r="AB116" s="37">
        <f>'Economic (2020 Adj.)'!I128</f>
        <v>417.8</v>
      </c>
      <c r="AC116" s="39">
        <f>Weather!D248</f>
        <v>22.92258064516129</v>
      </c>
      <c r="AD116" s="39">
        <f>Weather!E248</f>
        <v>1.4000000000000021</v>
      </c>
      <c r="AE116" s="39">
        <f>Weather!F248</f>
        <v>92</v>
      </c>
      <c r="AF116" s="39">
        <f>Weather!G248</f>
        <v>0</v>
      </c>
      <c r="AG116" s="39">
        <f>Weather!H248</f>
        <v>152.6</v>
      </c>
      <c r="AH116" s="39">
        <f>Weather!I248</f>
        <v>0</v>
      </c>
      <c r="AI116" s="39">
        <f>Weather!J248</f>
        <v>214.60000000000002</v>
      </c>
      <c r="AJ116" s="39">
        <f>Weather!K248</f>
        <v>0</v>
      </c>
      <c r="AK116" s="39">
        <f>Weather!L248</f>
        <v>276.59999999999997</v>
      </c>
      <c r="AL116" s="39">
        <f>Weather!M248</f>
        <v>0</v>
      </c>
      <c r="AM116" s="39">
        <f>Weather!N248</f>
        <v>338.59999999999997</v>
      </c>
      <c r="AN116" s="39">
        <f>Weather!O248</f>
        <v>0</v>
      </c>
      <c r="AO116" s="39">
        <f>Weather!P248</f>
        <v>400.59999999999997</v>
      </c>
      <c r="AP116" s="39">
        <f>Weather!Q248</f>
        <v>0</v>
      </c>
      <c r="AQ116" s="39">
        <f>Weather!R248</f>
        <v>462.59999999999997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1</v>
      </c>
      <c r="AY116">
        <v>0</v>
      </c>
      <c r="AZ116">
        <v>0</v>
      </c>
      <c r="BA116">
        <v>0</v>
      </c>
      <c r="BB116">
        <v>0</v>
      </c>
      <c r="BC116">
        <v>0</v>
      </c>
      <c r="BD116" s="1">
        <f t="shared" ref="BD116:BF116" si="43">BD104</f>
        <v>0</v>
      </c>
      <c r="BE116" s="1">
        <f t="shared" si="43"/>
        <v>0</v>
      </c>
      <c r="BF116" s="1">
        <f t="shared" si="43"/>
        <v>0</v>
      </c>
      <c r="BG116" s="1">
        <f t="shared" si="21"/>
        <v>115</v>
      </c>
      <c r="BH116">
        <f t="shared" si="38"/>
        <v>31</v>
      </c>
      <c r="BI116">
        <v>22</v>
      </c>
      <c r="BJ116" s="160">
        <f t="shared" si="22"/>
        <v>1036.3970754305928</v>
      </c>
      <c r="BK116" s="160">
        <f t="shared" si="23"/>
        <v>33.432163723567513</v>
      </c>
      <c r="BL116" s="159">
        <f t="shared" si="24"/>
        <v>2055075.1040876948</v>
      </c>
      <c r="BM116" s="160">
        <f t="shared" si="25"/>
        <v>3151.7901849096834</v>
      </c>
      <c r="BN116" s="160">
        <f t="shared" si="26"/>
        <v>101.67065112611881</v>
      </c>
      <c r="BO116" s="160">
        <f t="shared" si="27"/>
        <v>558680.22793802293</v>
      </c>
      <c r="BP116" s="160">
        <f t="shared" si="28"/>
        <v>84784.661474345281</v>
      </c>
      <c r="BQ116" s="160">
        <f t="shared" si="29"/>
        <v>2734.9890798175898</v>
      </c>
      <c r="BR116" s="160">
        <f t="shared" si="30"/>
        <v>3853.8482488338764</v>
      </c>
      <c r="BS116" s="160">
        <f t="shared" si="31"/>
        <v>2685759.2763808728</v>
      </c>
      <c r="BT116" s="160">
        <f t="shared" si="32"/>
        <v>3784478.9803548665</v>
      </c>
    </row>
    <row r="117" spans="1:72" x14ac:dyDescent="0.2">
      <c r="A117" s="3">
        <v>43678</v>
      </c>
      <c r="B117" s="4">
        <f t="shared" si="33"/>
        <v>2019</v>
      </c>
      <c r="C117" s="148">
        <v>55597872</v>
      </c>
      <c r="D117" s="172">
        <f>VLOOKUP(B117,CDM!$I$5:$N$15,2,FALSE)/12</f>
        <v>3193894.2267185394</v>
      </c>
      <c r="E117" s="172">
        <f t="shared" si="19"/>
        <v>58791766.226718538</v>
      </c>
      <c r="F117" s="166">
        <v>61464</v>
      </c>
      <c r="G117" s="166">
        <v>15404829</v>
      </c>
      <c r="H117" s="167">
        <v>5492</v>
      </c>
      <c r="I117" s="172">
        <f>VLOOKUP(B117,CDM!$I$5:$N$15,3,FALSE)/12</f>
        <v>1180224.0660787106</v>
      </c>
      <c r="J117" s="172">
        <f t="shared" si="34"/>
        <v>16585053.066078711</v>
      </c>
      <c r="K117" s="168">
        <v>75469633</v>
      </c>
      <c r="L117" s="172">
        <f>VLOOKUP(B117,CDM!$I$5:$N$15,4,FALSE)/12</f>
        <v>4390209.5678070653</v>
      </c>
      <c r="M117" s="87">
        <f t="shared" si="35"/>
        <v>79859842.567807063</v>
      </c>
      <c r="N117" s="168">
        <v>205692</v>
      </c>
      <c r="O117" s="169">
        <v>983</v>
      </c>
      <c r="P117" s="169">
        <v>403671.4</v>
      </c>
      <c r="Q117" s="169">
        <v>1287.2</v>
      </c>
      <c r="R117" s="169">
        <v>17184</v>
      </c>
      <c r="S117" s="173">
        <v>261523</v>
      </c>
      <c r="T117" s="171">
        <v>24</v>
      </c>
      <c r="U117" s="171">
        <v>561</v>
      </c>
      <c r="V117" s="37">
        <f>'Economic (2020 Adj.)'!C129</f>
        <v>744439.6</v>
      </c>
      <c r="W117" s="37">
        <f>'Economic (2020 Adj.)'!D129</f>
        <v>7449.6</v>
      </c>
      <c r="X117" s="37">
        <f>'Economic (2020 Adj.)'!F129</f>
        <v>3500.1</v>
      </c>
      <c r="Y117" s="37">
        <f>'Economic (2020 Adj.)'!H129</f>
        <v>418.8</v>
      </c>
      <c r="Z117" s="37">
        <f>'Economic (2020 Adj.)'!E129</f>
        <v>7540.9</v>
      </c>
      <c r="AA117" s="37">
        <f>'Economic (2020 Adj.)'!G129</f>
        <v>3533.8</v>
      </c>
      <c r="AB117" s="37">
        <f>'Economic (2020 Adj.)'!I129</f>
        <v>422.3</v>
      </c>
      <c r="AC117" s="39">
        <f>Weather!D249</f>
        <v>21.267741935483876</v>
      </c>
      <c r="AD117" s="39">
        <f>Weather!E249</f>
        <v>10.700000000000003</v>
      </c>
      <c r="AE117" s="39">
        <f>Weather!F249</f>
        <v>50</v>
      </c>
      <c r="AF117" s="39">
        <f>Weather!G249</f>
        <v>1.4000000000000021</v>
      </c>
      <c r="AG117" s="39">
        <f>Weather!H249</f>
        <v>102.69999999999999</v>
      </c>
      <c r="AH117" s="39">
        <f>Weather!I249</f>
        <v>0</v>
      </c>
      <c r="AI117" s="39">
        <f>Weather!J249</f>
        <v>163.29999999999998</v>
      </c>
      <c r="AJ117" s="39">
        <f>Weather!K249</f>
        <v>0</v>
      </c>
      <c r="AK117" s="39">
        <f>Weather!L249</f>
        <v>225.29999999999998</v>
      </c>
      <c r="AL117" s="39">
        <f>Weather!M249</f>
        <v>0</v>
      </c>
      <c r="AM117" s="39">
        <f>Weather!N249</f>
        <v>287.3</v>
      </c>
      <c r="AN117" s="39">
        <f>Weather!O249</f>
        <v>0</v>
      </c>
      <c r="AO117" s="39">
        <f>Weather!P249</f>
        <v>349.3</v>
      </c>
      <c r="AP117" s="39">
        <f>Weather!Q249</f>
        <v>0</v>
      </c>
      <c r="AQ117" s="39">
        <f>Weather!R249</f>
        <v>411.29999999999995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1</v>
      </c>
      <c r="AZ117">
        <v>0</v>
      </c>
      <c r="BA117">
        <v>0</v>
      </c>
      <c r="BB117">
        <v>0</v>
      </c>
      <c r="BC117">
        <v>0</v>
      </c>
      <c r="BD117" s="1">
        <f t="shared" ref="BD117:BF117" si="44">BD105</f>
        <v>0</v>
      </c>
      <c r="BE117" s="1">
        <f t="shared" si="44"/>
        <v>0</v>
      </c>
      <c r="BF117" s="1">
        <f t="shared" si="44"/>
        <v>0</v>
      </c>
      <c r="BG117" s="1">
        <f t="shared" si="21"/>
        <v>116</v>
      </c>
      <c r="BH117">
        <f t="shared" si="38"/>
        <v>31</v>
      </c>
      <c r="BI117">
        <v>20</v>
      </c>
      <c r="BJ117" s="160">
        <f t="shared" si="22"/>
        <v>956.52359473380409</v>
      </c>
      <c r="BK117" s="160">
        <f t="shared" si="23"/>
        <v>30.855599830122713</v>
      </c>
      <c r="BL117" s="159">
        <f t="shared" si="24"/>
        <v>1896508.5879586625</v>
      </c>
      <c r="BM117" s="160">
        <f t="shared" si="25"/>
        <v>3019.8567126873108</v>
      </c>
      <c r="BN117" s="160">
        <f t="shared" si="26"/>
        <v>97.414732667332615</v>
      </c>
      <c r="BO117" s="160">
        <f t="shared" si="27"/>
        <v>535001.71180899069</v>
      </c>
      <c r="BP117" s="160">
        <f t="shared" si="28"/>
        <v>81240.938522692843</v>
      </c>
      <c r="BQ117" s="160">
        <f t="shared" si="29"/>
        <v>2620.6754362158981</v>
      </c>
      <c r="BR117" s="160">
        <f t="shared" si="30"/>
        <v>4062.046926134642</v>
      </c>
      <c r="BS117" s="160">
        <f t="shared" si="31"/>
        <v>2576123.953800228</v>
      </c>
      <c r="BT117" s="160">
        <f t="shared" si="32"/>
        <v>3992992.1283903532</v>
      </c>
    </row>
    <row r="118" spans="1:72" x14ac:dyDescent="0.2">
      <c r="A118" s="3">
        <v>43709</v>
      </c>
      <c r="B118" s="4">
        <f t="shared" ref="B118:B121" si="45">YEAR(A118)</f>
        <v>2019</v>
      </c>
      <c r="C118" s="148">
        <v>41652448</v>
      </c>
      <c r="D118" s="172">
        <f>VLOOKUP(B118,CDM!$I$5:$N$15,2,FALSE)/12</f>
        <v>3193894.2267185394</v>
      </c>
      <c r="E118" s="172">
        <f t="shared" si="19"/>
        <v>44846342.226718538</v>
      </c>
      <c r="F118" s="166">
        <v>61464</v>
      </c>
      <c r="G118" s="166">
        <v>13545211</v>
      </c>
      <c r="H118" s="167">
        <v>5496</v>
      </c>
      <c r="I118" s="172">
        <f>VLOOKUP(B118,CDM!$I$5:$N$15,3,FALSE)/12</f>
        <v>1180224.0660787106</v>
      </c>
      <c r="J118" s="172">
        <f t="shared" si="34"/>
        <v>14725435.066078711</v>
      </c>
      <c r="K118" s="168">
        <v>68830744</v>
      </c>
      <c r="L118" s="172">
        <f>VLOOKUP(B118,CDM!$I$5:$N$15,4,FALSE)/12</f>
        <v>4390209.5678070653</v>
      </c>
      <c r="M118" s="87">
        <f t="shared" si="35"/>
        <v>73220953.567807063</v>
      </c>
      <c r="N118" s="168">
        <v>201400</v>
      </c>
      <c r="O118" s="169">
        <v>981</v>
      </c>
      <c r="P118" s="169">
        <v>445569.9</v>
      </c>
      <c r="Q118" s="169">
        <v>1287.2</v>
      </c>
      <c r="R118" s="169">
        <v>17184</v>
      </c>
      <c r="S118" s="173">
        <v>261241</v>
      </c>
      <c r="T118" s="171">
        <v>24</v>
      </c>
      <c r="U118" s="171">
        <v>561</v>
      </c>
      <c r="V118" s="37">
        <f>'Economic (2020 Adj.)'!C130</f>
        <v>744439.6</v>
      </c>
      <c r="W118" s="37">
        <f>'Economic (2020 Adj.)'!D130</f>
        <v>7478.3</v>
      </c>
      <c r="X118" s="37">
        <f>'Economic (2020 Adj.)'!F130</f>
        <v>3522.9</v>
      </c>
      <c r="Y118" s="37">
        <f>'Economic (2020 Adj.)'!H130</f>
        <v>419.9</v>
      </c>
      <c r="Z118" s="37">
        <f>'Economic (2020 Adj.)'!E130</f>
        <v>7535</v>
      </c>
      <c r="AA118" s="37">
        <f>'Economic (2020 Adj.)'!G130</f>
        <v>3545.3</v>
      </c>
      <c r="AB118" s="37">
        <f>'Economic (2020 Adj.)'!I130</f>
        <v>423.1</v>
      </c>
      <c r="AC118" s="39">
        <f>Weather!D250</f>
        <v>18.453333333333333</v>
      </c>
      <c r="AD118" s="39">
        <f>Weather!E250</f>
        <v>58</v>
      </c>
      <c r="AE118" s="39">
        <f>Weather!F250</f>
        <v>11.599999999999994</v>
      </c>
      <c r="AF118" s="39">
        <f>Weather!G250</f>
        <v>21.8</v>
      </c>
      <c r="AG118" s="39">
        <f>Weather!H250</f>
        <v>35.4</v>
      </c>
      <c r="AH118" s="39">
        <f>Weather!I250</f>
        <v>5.0999999999999996</v>
      </c>
      <c r="AI118" s="39">
        <f>Weather!J250</f>
        <v>78.7</v>
      </c>
      <c r="AJ118" s="39">
        <f>Weather!K250</f>
        <v>0.30000000000000071</v>
      </c>
      <c r="AK118" s="39">
        <f>Weather!L250</f>
        <v>133.90000000000003</v>
      </c>
      <c r="AL118" s="39">
        <f>Weather!M250</f>
        <v>0</v>
      </c>
      <c r="AM118" s="39">
        <f>Weather!N250</f>
        <v>193.6</v>
      </c>
      <c r="AN118" s="39">
        <f>Weather!O250</f>
        <v>0</v>
      </c>
      <c r="AO118" s="39">
        <f>Weather!P250</f>
        <v>253.59999999999997</v>
      </c>
      <c r="AP118" s="39">
        <f>Weather!Q250</f>
        <v>0</v>
      </c>
      <c r="AQ118" s="39">
        <f>Weather!R250</f>
        <v>313.59999999999997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1</v>
      </c>
      <c r="BA118">
        <v>0</v>
      </c>
      <c r="BB118">
        <v>0</v>
      </c>
      <c r="BC118">
        <v>0</v>
      </c>
      <c r="BD118" s="1">
        <f t="shared" ref="BD118:BF118" si="46">BD106</f>
        <v>0</v>
      </c>
      <c r="BE118" s="1">
        <f t="shared" si="46"/>
        <v>1</v>
      </c>
      <c r="BF118" s="1">
        <f t="shared" si="46"/>
        <v>1</v>
      </c>
      <c r="BG118" s="1">
        <f t="shared" si="21"/>
        <v>117</v>
      </c>
      <c r="BH118">
        <f t="shared" si="38"/>
        <v>30</v>
      </c>
      <c r="BI118">
        <v>21</v>
      </c>
      <c r="BJ118" s="160">
        <f t="shared" si="22"/>
        <v>729.63592064816055</v>
      </c>
      <c r="BK118" s="160">
        <f t="shared" si="23"/>
        <v>24.321197354938686</v>
      </c>
      <c r="BL118" s="159">
        <f t="shared" si="24"/>
        <v>1494878.0742239512</v>
      </c>
      <c r="BM118" s="160">
        <f t="shared" si="25"/>
        <v>2679.3004123141759</v>
      </c>
      <c r="BN118" s="160">
        <f t="shared" si="26"/>
        <v>89.310013743805868</v>
      </c>
      <c r="BO118" s="160">
        <f t="shared" si="27"/>
        <v>490847.83553595707</v>
      </c>
      <c r="BP118" s="160">
        <f t="shared" si="28"/>
        <v>74639.096399395581</v>
      </c>
      <c r="BQ118" s="160">
        <f t="shared" si="29"/>
        <v>2487.9698799798525</v>
      </c>
      <c r="BR118" s="160">
        <f t="shared" si="30"/>
        <v>3554.2426856855041</v>
      </c>
      <c r="BS118" s="160">
        <f t="shared" si="31"/>
        <v>2440698.4522602353</v>
      </c>
      <c r="BT118" s="160">
        <f t="shared" si="32"/>
        <v>3486712.0746574793</v>
      </c>
    </row>
    <row r="119" spans="1:72" x14ac:dyDescent="0.2">
      <c r="A119" s="3">
        <v>43739</v>
      </c>
      <c r="B119" s="4">
        <f t="shared" si="45"/>
        <v>2019</v>
      </c>
      <c r="C119" s="148">
        <v>36759662</v>
      </c>
      <c r="D119" s="172">
        <f>VLOOKUP(B119,CDM!$I$5:$N$15,2,FALSE)/12</f>
        <v>3193894.2267185394</v>
      </c>
      <c r="E119" s="172">
        <f t="shared" ref="E119:E121" si="47">C119+D119</f>
        <v>39953556.226718538</v>
      </c>
      <c r="F119" s="166">
        <v>61500</v>
      </c>
      <c r="G119" s="166">
        <v>12862432</v>
      </c>
      <c r="H119" s="167">
        <v>5495</v>
      </c>
      <c r="I119" s="172">
        <f>VLOOKUP(B119,CDM!$I$5:$N$15,3,FALSE)/12</f>
        <v>1180224.0660787106</v>
      </c>
      <c r="J119" s="172">
        <f t="shared" si="34"/>
        <v>14042656.066078711</v>
      </c>
      <c r="K119" s="168">
        <v>66661539</v>
      </c>
      <c r="L119" s="172">
        <f>VLOOKUP(B119,CDM!$I$5:$N$15,4,FALSE)/12</f>
        <v>4390209.5678070653</v>
      </c>
      <c r="M119" s="87">
        <f t="shared" si="35"/>
        <v>71051748.567807063</v>
      </c>
      <c r="N119" s="168">
        <v>195686</v>
      </c>
      <c r="O119" s="169">
        <v>980</v>
      </c>
      <c r="P119" s="169">
        <v>519107</v>
      </c>
      <c r="Q119" s="169">
        <v>1287</v>
      </c>
      <c r="R119" s="169">
        <v>17184</v>
      </c>
      <c r="S119" s="173">
        <v>261806</v>
      </c>
      <c r="T119" s="171">
        <v>24</v>
      </c>
      <c r="U119" s="171">
        <v>561</v>
      </c>
      <c r="V119" s="37">
        <f>'Economic (2020 Adj.)'!C131</f>
        <v>744439.6</v>
      </c>
      <c r="W119" s="37">
        <f>'Economic (2020 Adj.)'!D131</f>
        <v>7504</v>
      </c>
      <c r="X119" s="37">
        <f>'Economic (2020 Adj.)'!F131</f>
        <v>3525.5</v>
      </c>
      <c r="Y119" s="37">
        <f>'Economic (2020 Adj.)'!H131</f>
        <v>427.3</v>
      </c>
      <c r="Z119" s="37">
        <f>'Economic (2020 Adj.)'!E131</f>
        <v>7538.5</v>
      </c>
      <c r="AA119" s="37">
        <f>'Economic (2020 Adj.)'!G131</f>
        <v>3530.2</v>
      </c>
      <c r="AB119" s="37">
        <f>'Economic (2020 Adj.)'!I131</f>
        <v>433.4</v>
      </c>
      <c r="AC119" s="39">
        <f>Weather!D251</f>
        <v>12.125806451612904</v>
      </c>
      <c r="AD119" s="39">
        <f>Weather!E251</f>
        <v>247.00000000000003</v>
      </c>
      <c r="AE119" s="39">
        <f>Weather!F251</f>
        <v>2.8999999999999986</v>
      </c>
      <c r="AF119" s="39">
        <f>Weather!G251</f>
        <v>187.00000000000003</v>
      </c>
      <c r="AG119" s="39">
        <f>Weather!H251</f>
        <v>4.8999999999999986</v>
      </c>
      <c r="AH119" s="39">
        <f>Weather!I251</f>
        <v>128.5</v>
      </c>
      <c r="AI119" s="39">
        <f>Weather!J251</f>
        <v>8.3999999999999986</v>
      </c>
      <c r="AJ119" s="39">
        <f>Weather!K251</f>
        <v>74.100000000000009</v>
      </c>
      <c r="AK119" s="39">
        <f>Weather!L251</f>
        <v>15.999999999999998</v>
      </c>
      <c r="AL119" s="39">
        <f>Weather!M251</f>
        <v>32</v>
      </c>
      <c r="AM119" s="39">
        <f>Weather!N251</f>
        <v>35.9</v>
      </c>
      <c r="AN119" s="39">
        <f>Weather!O251</f>
        <v>10.4</v>
      </c>
      <c r="AO119" s="39">
        <f>Weather!P251</f>
        <v>76.299999999999983</v>
      </c>
      <c r="AP119" s="39">
        <f>Weather!Q251</f>
        <v>0.29999999999999982</v>
      </c>
      <c r="AQ119" s="39">
        <f>Weather!R251</f>
        <v>128.19999999999999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1</v>
      </c>
      <c r="BB119">
        <v>0</v>
      </c>
      <c r="BC119">
        <v>0</v>
      </c>
      <c r="BD119" s="1">
        <f t="shared" ref="BD119:BF119" si="48">BD107</f>
        <v>0</v>
      </c>
      <c r="BE119" s="1">
        <f t="shared" si="48"/>
        <v>1</v>
      </c>
      <c r="BF119" s="1">
        <f t="shared" si="48"/>
        <v>1</v>
      </c>
      <c r="BG119" s="1">
        <f t="shared" si="21"/>
        <v>118</v>
      </c>
      <c r="BH119">
        <f t="shared" si="38"/>
        <v>31</v>
      </c>
      <c r="BI119">
        <v>21</v>
      </c>
      <c r="BJ119" s="160">
        <f t="shared" si="22"/>
        <v>649.65132075965107</v>
      </c>
      <c r="BK119" s="160">
        <f t="shared" si="23"/>
        <v>20.956494218053262</v>
      </c>
      <c r="BL119" s="159">
        <f t="shared" si="24"/>
        <v>1288824.3944102754</v>
      </c>
      <c r="BM119" s="160">
        <f t="shared" si="25"/>
        <v>2555.5334060197838</v>
      </c>
      <c r="BN119" s="160">
        <f t="shared" si="26"/>
        <v>82.436561484509156</v>
      </c>
      <c r="BO119" s="160">
        <f t="shared" si="27"/>
        <v>452988.90535737778</v>
      </c>
      <c r="BP119" s="160">
        <f t="shared" si="28"/>
        <v>72501.784252864352</v>
      </c>
      <c r="BQ119" s="160">
        <f t="shared" si="29"/>
        <v>2338.7672339633664</v>
      </c>
      <c r="BR119" s="160">
        <f t="shared" si="30"/>
        <v>3452.4659168030644</v>
      </c>
      <c r="BS119" s="160">
        <f t="shared" si="31"/>
        <v>2291991.889284099</v>
      </c>
      <c r="BT119" s="160">
        <f t="shared" si="32"/>
        <v>3383416.5984670031</v>
      </c>
    </row>
    <row r="120" spans="1:72" x14ac:dyDescent="0.2">
      <c r="A120" s="3">
        <v>43770</v>
      </c>
      <c r="B120" s="4">
        <f t="shared" si="45"/>
        <v>2019</v>
      </c>
      <c r="C120" s="148">
        <v>37785130</v>
      </c>
      <c r="D120" s="172">
        <f>VLOOKUP(B120,CDM!$I$5:$N$15,2,FALSE)/12</f>
        <v>3193894.2267185394</v>
      </c>
      <c r="E120" s="172">
        <f t="shared" si="47"/>
        <v>40979024.226718538</v>
      </c>
      <c r="F120" s="166">
        <v>61496</v>
      </c>
      <c r="G120" s="166">
        <v>13334890</v>
      </c>
      <c r="H120" s="167">
        <v>5456</v>
      </c>
      <c r="I120" s="172">
        <f>VLOOKUP(B120,CDM!$I$5:$N$15,3,FALSE)/12</f>
        <v>1180224.0660787106</v>
      </c>
      <c r="J120" s="172">
        <f t="shared" si="34"/>
        <v>14515114.066078711</v>
      </c>
      <c r="K120" s="168">
        <v>67091476</v>
      </c>
      <c r="L120" s="172">
        <f>VLOOKUP(B120,CDM!$I$5:$N$15,4,FALSE)/12</f>
        <v>4390209.5678070653</v>
      </c>
      <c r="M120" s="87">
        <f t="shared" si="35"/>
        <v>71481685.567807063</v>
      </c>
      <c r="N120" s="168">
        <v>196909</v>
      </c>
      <c r="O120" s="169">
        <v>1020</v>
      </c>
      <c r="P120" s="169">
        <v>552268</v>
      </c>
      <c r="Q120" s="169">
        <v>1287</v>
      </c>
      <c r="R120" s="169">
        <v>17184</v>
      </c>
      <c r="S120" s="173">
        <v>261241</v>
      </c>
      <c r="T120" s="171">
        <v>24</v>
      </c>
      <c r="U120" s="171">
        <v>561</v>
      </c>
      <c r="V120" s="37">
        <f>'Economic (2020 Adj.)'!C132</f>
        <v>744439.6</v>
      </c>
      <c r="W120" s="37">
        <f>'Economic (2020 Adj.)'!D132</f>
        <v>7517.3</v>
      </c>
      <c r="X120" s="37">
        <f>'Economic (2020 Adj.)'!F132</f>
        <v>3531.7</v>
      </c>
      <c r="Y120" s="37">
        <f>'Economic (2020 Adj.)'!H132</f>
        <v>427.5</v>
      </c>
      <c r="Z120" s="37">
        <f>'Economic (2020 Adj.)'!E132</f>
        <v>7530.1</v>
      </c>
      <c r="AA120" s="37">
        <f>'Economic (2020 Adj.)'!G132</f>
        <v>3530.8</v>
      </c>
      <c r="AB120" s="37">
        <f>'Economic (2020 Adj.)'!I132</f>
        <v>434.3</v>
      </c>
      <c r="AC120" s="39">
        <f>Weather!D252</f>
        <v>2.5333333333333332</v>
      </c>
      <c r="AD120" s="39">
        <f>Weather!E252</f>
        <v>524</v>
      </c>
      <c r="AE120" s="39">
        <f>Weather!F252</f>
        <v>0</v>
      </c>
      <c r="AF120" s="39">
        <f>Weather!G252</f>
        <v>464</v>
      </c>
      <c r="AG120" s="39">
        <f>Weather!H252</f>
        <v>0</v>
      </c>
      <c r="AH120" s="39">
        <f>Weather!I252</f>
        <v>403.99999999999994</v>
      </c>
      <c r="AI120" s="39">
        <f>Weather!J252</f>
        <v>0</v>
      </c>
      <c r="AJ120" s="39">
        <f>Weather!K252</f>
        <v>343.99999999999994</v>
      </c>
      <c r="AK120" s="39">
        <f>Weather!L252</f>
        <v>0</v>
      </c>
      <c r="AL120" s="39">
        <f>Weather!M252</f>
        <v>284</v>
      </c>
      <c r="AM120" s="39">
        <f>Weather!N252</f>
        <v>0</v>
      </c>
      <c r="AN120" s="39">
        <f>Weather!O252</f>
        <v>224.00000000000006</v>
      </c>
      <c r="AO120" s="39">
        <f>Weather!P252</f>
        <v>0</v>
      </c>
      <c r="AP120" s="39">
        <f>Weather!Q252</f>
        <v>165.8</v>
      </c>
      <c r="AQ120" s="39">
        <f>Weather!R252</f>
        <v>1.8000000000000007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1</v>
      </c>
      <c r="BC120">
        <v>0</v>
      </c>
      <c r="BD120" s="1">
        <f t="shared" ref="BD120:BF120" si="49">BD108</f>
        <v>0</v>
      </c>
      <c r="BE120" s="1">
        <f t="shared" si="49"/>
        <v>1</v>
      </c>
      <c r="BF120" s="1">
        <f t="shared" si="49"/>
        <v>1</v>
      </c>
      <c r="BG120" s="1">
        <f t="shared" ref="BG120:BG121" si="50">1+BG119</f>
        <v>119</v>
      </c>
      <c r="BH120">
        <f t="shared" si="38"/>
        <v>30</v>
      </c>
      <c r="BI120">
        <v>21</v>
      </c>
      <c r="BJ120" s="160">
        <f t="shared" si="22"/>
        <v>666.36893825156983</v>
      </c>
      <c r="BK120" s="160">
        <f t="shared" si="23"/>
        <v>22.212297941718994</v>
      </c>
      <c r="BL120" s="159">
        <f t="shared" si="24"/>
        <v>1365967.4742239513</v>
      </c>
      <c r="BM120" s="160">
        <f t="shared" si="25"/>
        <v>2660.3948068326085</v>
      </c>
      <c r="BN120" s="160">
        <f t="shared" si="26"/>
        <v>88.679826894420287</v>
      </c>
      <c r="BO120" s="160">
        <f t="shared" si="27"/>
        <v>483837.13553595706</v>
      </c>
      <c r="BP120" s="160">
        <f t="shared" si="28"/>
        <v>70080.083890006921</v>
      </c>
      <c r="BQ120" s="160">
        <f t="shared" si="29"/>
        <v>2336.0027963335642</v>
      </c>
      <c r="BR120" s="160">
        <f t="shared" si="30"/>
        <v>3337.1468519050914</v>
      </c>
      <c r="BS120" s="160">
        <f t="shared" si="31"/>
        <v>2382722.8522602352</v>
      </c>
      <c r="BT120" s="160">
        <f t="shared" si="32"/>
        <v>3403889.7889431934</v>
      </c>
    </row>
    <row r="121" spans="1:72" x14ac:dyDescent="0.2">
      <c r="A121" s="3">
        <v>43800</v>
      </c>
      <c r="B121" s="4">
        <f t="shared" si="45"/>
        <v>2019</v>
      </c>
      <c r="C121" s="148">
        <v>42866511</v>
      </c>
      <c r="D121" s="172">
        <f>VLOOKUP(B121,CDM!$I$5:$N$15,2,FALSE)/12</f>
        <v>3193894.2267185394</v>
      </c>
      <c r="E121" s="172">
        <f t="shared" si="47"/>
        <v>46060405.226718538</v>
      </c>
      <c r="F121" s="166">
        <v>61500</v>
      </c>
      <c r="G121" s="166">
        <v>14175336</v>
      </c>
      <c r="H121" s="167">
        <v>5460</v>
      </c>
      <c r="I121" s="172">
        <f>VLOOKUP(B121,CDM!$I$5:$N$15,3,FALSE)/12</f>
        <v>1180224.0660787106</v>
      </c>
      <c r="J121" s="172">
        <f t="shared" si="34"/>
        <v>15355560.066078711</v>
      </c>
      <c r="K121" s="168">
        <v>67934124</v>
      </c>
      <c r="L121" s="172">
        <f>VLOOKUP(B121,CDM!$I$5:$N$15,4,FALSE)/12</f>
        <v>4390209.5678070653</v>
      </c>
      <c r="M121" s="87">
        <f t="shared" si="35"/>
        <v>72324333.567807063</v>
      </c>
      <c r="N121" s="168">
        <v>171774</v>
      </c>
      <c r="O121" s="169">
        <v>1022</v>
      </c>
      <c r="P121" s="169">
        <v>597205.1</v>
      </c>
      <c r="Q121" s="169">
        <v>1287</v>
      </c>
      <c r="R121" s="169">
        <v>17184</v>
      </c>
      <c r="S121" s="173">
        <v>264551</v>
      </c>
      <c r="T121" s="171">
        <v>24</v>
      </c>
      <c r="U121" s="171">
        <v>561</v>
      </c>
      <c r="V121" s="37">
        <f>'Economic (2020 Adj.)'!C133</f>
        <v>744439.6</v>
      </c>
      <c r="W121" s="37">
        <f>'Economic (2020 Adj.)'!D133</f>
        <v>7525</v>
      </c>
      <c r="X121" s="37">
        <f>'Economic (2020 Adj.)'!F133</f>
        <v>3532</v>
      </c>
      <c r="Y121" s="37">
        <f>'Economic (2020 Adj.)'!H133</f>
        <v>429.5</v>
      </c>
      <c r="Z121" s="37">
        <f>'Economic (2020 Adj.)'!E133</f>
        <v>7535.2</v>
      </c>
      <c r="AA121" s="37">
        <f>'Economic (2020 Adj.)'!G133</f>
        <v>3534.9</v>
      </c>
      <c r="AB121" s="37">
        <f>'Economic (2020 Adj.)'!I133</f>
        <v>437.6</v>
      </c>
      <c r="AC121" s="39">
        <f>Weather!D253</f>
        <v>1.2129032258064516</v>
      </c>
      <c r="AD121" s="39">
        <f>Weather!E253</f>
        <v>582.39999999999986</v>
      </c>
      <c r="AE121" s="39">
        <f>Weather!F253</f>
        <v>0</v>
      </c>
      <c r="AF121" s="39">
        <f>Weather!G253</f>
        <v>520.39999999999986</v>
      </c>
      <c r="AG121" s="39">
        <f>Weather!H253</f>
        <v>0</v>
      </c>
      <c r="AH121" s="39">
        <f>Weather!I253</f>
        <v>458.4</v>
      </c>
      <c r="AI121" s="39">
        <f>Weather!J253</f>
        <v>0</v>
      </c>
      <c r="AJ121" s="39">
        <f>Weather!K253</f>
        <v>396.4</v>
      </c>
      <c r="AK121" s="39">
        <f>Weather!L253</f>
        <v>0</v>
      </c>
      <c r="AL121" s="39">
        <f>Weather!M253</f>
        <v>334.40000000000003</v>
      </c>
      <c r="AM121" s="39">
        <f>Weather!N253</f>
        <v>0</v>
      </c>
      <c r="AN121" s="39">
        <f>Weather!O253</f>
        <v>272.40000000000003</v>
      </c>
      <c r="AO121" s="39">
        <f>Weather!P253</f>
        <v>0</v>
      </c>
      <c r="AP121" s="39">
        <f>Weather!Q253</f>
        <v>210.40000000000006</v>
      </c>
      <c r="AQ121" s="39">
        <f>Weather!R253</f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1</v>
      </c>
      <c r="BD121" s="1">
        <f t="shared" ref="BD121:BF121" si="51">BD109</f>
        <v>0</v>
      </c>
      <c r="BE121" s="1">
        <f t="shared" si="51"/>
        <v>0</v>
      </c>
      <c r="BF121" s="1">
        <f t="shared" si="51"/>
        <v>0</v>
      </c>
      <c r="BG121" s="1">
        <f t="shared" si="50"/>
        <v>120</v>
      </c>
      <c r="BH121">
        <f t="shared" si="38"/>
        <v>31</v>
      </c>
      <c r="BI121">
        <v>21</v>
      </c>
      <c r="BJ121" s="160">
        <f t="shared" si="22"/>
        <v>748.94967848322824</v>
      </c>
      <c r="BK121" s="160">
        <f t="shared" si="23"/>
        <v>24.159667047846071</v>
      </c>
      <c r="BL121" s="159">
        <f t="shared" si="24"/>
        <v>1485819.5234425336</v>
      </c>
      <c r="BM121" s="160">
        <f t="shared" si="25"/>
        <v>2812.3736384759545</v>
      </c>
      <c r="BN121" s="160">
        <f t="shared" si="26"/>
        <v>90.72173027341789</v>
      </c>
      <c r="BO121" s="160">
        <f t="shared" si="27"/>
        <v>495340.64729286166</v>
      </c>
      <c r="BP121" s="160">
        <f t="shared" si="28"/>
        <v>70767.449674957985</v>
      </c>
      <c r="BQ121" s="160">
        <f t="shared" si="29"/>
        <v>2282.8209572567093</v>
      </c>
      <c r="BR121" s="160">
        <f t="shared" si="30"/>
        <v>3369.8785559503804</v>
      </c>
      <c r="BS121" s="160">
        <f t="shared" si="31"/>
        <v>2333043.0183163569</v>
      </c>
      <c r="BT121" s="160">
        <f t="shared" si="32"/>
        <v>3444015.8841812885</v>
      </c>
    </row>
    <row r="122" spans="1:72" x14ac:dyDescent="0.2">
      <c r="A122" s="3"/>
      <c r="B122" s="4"/>
      <c r="C122" s="191"/>
      <c r="D122" s="203"/>
      <c r="E122" s="203"/>
      <c r="F122" s="193"/>
      <c r="G122" s="194"/>
      <c r="H122" s="195"/>
      <c r="I122" s="203"/>
      <c r="J122" s="203"/>
      <c r="K122" s="196"/>
      <c r="L122" s="203"/>
      <c r="M122" s="87"/>
      <c r="N122" s="197"/>
      <c r="O122" s="198"/>
      <c r="P122" s="200"/>
      <c r="Q122" s="200"/>
      <c r="R122" s="200"/>
      <c r="S122" s="206"/>
      <c r="T122" s="202"/>
      <c r="U122" s="202"/>
    </row>
    <row r="123" spans="1:72" x14ac:dyDescent="0.2">
      <c r="A123" s="3"/>
      <c r="B123" s="4"/>
      <c r="C123" s="191"/>
      <c r="D123" s="203"/>
      <c r="E123" s="203"/>
      <c r="F123" s="193"/>
      <c r="G123" s="194"/>
      <c r="H123" s="195"/>
      <c r="I123" s="203"/>
      <c r="J123" s="203"/>
      <c r="K123" s="196"/>
      <c r="L123" s="203"/>
      <c r="M123" s="87"/>
      <c r="N123" s="197"/>
      <c r="O123" s="198"/>
      <c r="P123" s="200"/>
      <c r="Q123" s="200"/>
      <c r="R123" s="200"/>
      <c r="S123" s="206"/>
      <c r="T123" s="202"/>
      <c r="U123" s="202"/>
    </row>
    <row r="124" spans="1:72" x14ac:dyDescent="0.2">
      <c r="A124" s="3"/>
      <c r="B124" s="4"/>
      <c r="C124" s="191"/>
      <c r="D124" s="203"/>
      <c r="E124" s="203"/>
      <c r="F124" s="193"/>
      <c r="G124" s="194"/>
      <c r="H124" s="195"/>
      <c r="I124" s="203"/>
      <c r="J124" s="203"/>
      <c r="K124" s="196"/>
      <c r="L124" s="203"/>
      <c r="M124" s="87"/>
      <c r="N124" s="197"/>
      <c r="O124" s="198"/>
      <c r="P124" s="200"/>
      <c r="Q124" s="200"/>
      <c r="R124" s="200"/>
      <c r="S124" s="206"/>
      <c r="T124" s="202"/>
      <c r="U124" s="202"/>
    </row>
    <row r="125" spans="1:72" x14ac:dyDescent="0.2">
      <c r="A125" s="3"/>
      <c r="B125" s="4"/>
      <c r="C125" s="191"/>
      <c r="D125" s="203"/>
      <c r="E125" s="203"/>
      <c r="F125" s="193"/>
      <c r="G125" s="194"/>
      <c r="H125" s="195"/>
      <c r="I125" s="203"/>
      <c r="J125" s="203"/>
      <c r="K125" s="196"/>
      <c r="L125" s="203"/>
      <c r="M125" s="87"/>
      <c r="N125" s="197"/>
      <c r="O125" s="198"/>
      <c r="P125" s="200"/>
      <c r="Q125" s="200"/>
      <c r="R125" s="200"/>
      <c r="S125" s="206"/>
      <c r="T125" s="202"/>
      <c r="U125" s="202"/>
    </row>
    <row r="126" spans="1:72" x14ac:dyDescent="0.2">
      <c r="A126" s="3"/>
      <c r="B126" s="4"/>
      <c r="C126" s="191"/>
      <c r="D126" s="203"/>
      <c r="E126" s="203"/>
      <c r="F126" s="193"/>
      <c r="G126" s="194"/>
      <c r="H126" s="195"/>
      <c r="I126" s="203"/>
      <c r="J126" s="203"/>
      <c r="K126" s="196"/>
      <c r="L126" s="203"/>
      <c r="M126" s="87"/>
      <c r="N126" s="197"/>
      <c r="O126" s="198"/>
      <c r="P126" s="200"/>
      <c r="Q126" s="200"/>
      <c r="R126" s="200"/>
      <c r="S126" s="206"/>
      <c r="T126" s="202"/>
      <c r="U126" s="202"/>
    </row>
    <row r="127" spans="1:72" x14ac:dyDescent="0.2">
      <c r="A127" s="3"/>
      <c r="B127" s="4"/>
      <c r="C127" s="191"/>
      <c r="D127" s="203"/>
      <c r="E127" s="203"/>
      <c r="F127" s="193"/>
      <c r="G127" s="194"/>
      <c r="H127" s="195"/>
      <c r="I127" s="203"/>
      <c r="J127" s="203"/>
      <c r="K127" s="196"/>
      <c r="L127" s="203"/>
      <c r="M127" s="87"/>
      <c r="N127" s="197"/>
      <c r="O127" s="198"/>
      <c r="P127" s="200"/>
      <c r="Q127" s="200"/>
      <c r="R127" s="200"/>
      <c r="S127" s="206"/>
      <c r="T127" s="202"/>
      <c r="U127" s="202"/>
    </row>
    <row r="128" spans="1:72" x14ac:dyDescent="0.2">
      <c r="A128" s="3"/>
      <c r="B128" s="4"/>
      <c r="F128" s="193"/>
      <c r="H128" s="195"/>
      <c r="O128" s="198"/>
      <c r="P128" s="199"/>
      <c r="Q128" s="199"/>
      <c r="R128" s="199"/>
      <c r="S128" s="201"/>
      <c r="T128" s="202"/>
      <c r="U128" s="201"/>
    </row>
    <row r="129" spans="1:2" x14ac:dyDescent="0.2">
      <c r="A129" s="3"/>
      <c r="B129" s="4"/>
    </row>
  </sheetData>
  <pageMargins left="0.75" right="0.75" top="1" bottom="1" header="0.5" footer="0.5"/>
  <pageSetup scale="44" fitToHeight="0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7" tint="0.79998168889431442"/>
  </sheetPr>
  <dimension ref="A1:AA305"/>
  <sheetViews>
    <sheetView workbookViewId="0">
      <selection activeCell="D156" sqref="D156"/>
    </sheetView>
  </sheetViews>
  <sheetFormatPr defaultRowHeight="12.75" x14ac:dyDescent="0.2"/>
  <cols>
    <col min="1" max="1" width="11.33203125" style="201" bestFit="1" customWidth="1"/>
    <col min="2" max="10" width="9.33203125" style="201"/>
    <col min="11" max="11" width="12" style="201" customWidth="1"/>
    <col min="12" max="12" width="13.6640625" style="201" customWidth="1"/>
    <col min="13" max="13" width="14" style="201" bestFit="1" customWidth="1"/>
    <col min="14" max="14" width="13.5" style="201" bestFit="1" customWidth="1"/>
    <col min="15" max="15" width="13" style="201" bestFit="1" customWidth="1"/>
    <col min="16" max="16" width="18.83203125" style="201" customWidth="1"/>
    <col min="17" max="17" width="9.33203125" style="201"/>
    <col min="18" max="18" width="9.33203125" style="217"/>
    <col min="19" max="19" width="12.5" style="217" customWidth="1"/>
    <col min="20" max="20" width="14.33203125" style="217" bestFit="1" customWidth="1"/>
    <col min="21" max="21" width="11.33203125" style="217" customWidth="1"/>
    <col min="22" max="23" width="14.33203125" style="217" bestFit="1" customWidth="1"/>
    <col min="24" max="25" width="9.5" style="217" bestFit="1" customWidth="1"/>
    <col min="26" max="26" width="9.33203125" style="217"/>
    <col min="27" max="16384" width="9.33203125" style="201"/>
  </cols>
  <sheetData>
    <row r="1" spans="1:27" x14ac:dyDescent="0.2">
      <c r="A1" s="201" t="s">
        <v>16</v>
      </c>
      <c r="B1" s="201" t="s">
        <v>0</v>
      </c>
      <c r="C1" s="201" t="s">
        <v>17</v>
      </c>
      <c r="D1" s="201" t="s">
        <v>18</v>
      </c>
      <c r="E1" s="201" t="s">
        <v>21</v>
      </c>
      <c r="F1" s="201" t="s">
        <v>19</v>
      </c>
      <c r="G1" s="201" t="s">
        <v>22</v>
      </c>
      <c r="H1" s="201" t="s">
        <v>20</v>
      </c>
      <c r="I1" s="201" t="s">
        <v>23</v>
      </c>
      <c r="R1" s="179"/>
      <c r="S1" s="13"/>
      <c r="T1" s="13"/>
      <c r="U1" s="13"/>
      <c r="V1" s="13"/>
      <c r="W1" s="13"/>
      <c r="X1" s="13"/>
      <c r="Y1" s="13"/>
      <c r="Z1" s="13"/>
      <c r="AA1" s="13"/>
    </row>
    <row r="2" spans="1:27" x14ac:dyDescent="0.2">
      <c r="A2" s="13">
        <v>39814</v>
      </c>
      <c r="B2" s="14">
        <f>YEAR(A2)</f>
        <v>2009</v>
      </c>
      <c r="C2" s="201">
        <v>591636.5</v>
      </c>
      <c r="D2" s="143">
        <v>6541.6</v>
      </c>
      <c r="E2" s="143">
        <v>6506.5</v>
      </c>
      <c r="F2" s="143">
        <v>2842.1</v>
      </c>
      <c r="G2" s="143">
        <v>2835.9</v>
      </c>
      <c r="H2" s="143">
        <v>361.3</v>
      </c>
      <c r="I2" s="143">
        <v>358.8</v>
      </c>
      <c r="K2" s="201" t="s">
        <v>252</v>
      </c>
      <c r="R2" s="201"/>
      <c r="S2" s="13"/>
      <c r="T2" s="14"/>
      <c r="U2" s="14"/>
      <c r="V2" s="14"/>
      <c r="W2" s="14"/>
      <c r="X2" s="14"/>
      <c r="Y2" s="14"/>
      <c r="Z2" s="14"/>
      <c r="AA2" s="14"/>
    </row>
    <row r="3" spans="1:27" x14ac:dyDescent="0.2">
      <c r="A3" s="13">
        <v>39845</v>
      </c>
      <c r="B3" s="14">
        <f t="shared" ref="B3:B66" si="0">YEAR(A3)</f>
        <v>2009</v>
      </c>
      <c r="C3" s="201">
        <v>591636.5</v>
      </c>
      <c r="D3" s="143">
        <v>6506</v>
      </c>
      <c r="E3" s="143">
        <v>6436.2</v>
      </c>
      <c r="F3" s="143">
        <v>2838</v>
      </c>
      <c r="G3" s="143">
        <v>2820.5</v>
      </c>
      <c r="H3" s="143">
        <v>364.6</v>
      </c>
      <c r="I3" s="143">
        <v>357.3</v>
      </c>
      <c r="K3" s="253" t="s">
        <v>223</v>
      </c>
      <c r="L3" s="253"/>
      <c r="M3" s="253"/>
      <c r="N3" s="253"/>
      <c r="O3" s="253"/>
      <c r="P3" s="253"/>
      <c r="R3" s="201"/>
      <c r="S3" s="13"/>
      <c r="T3" s="14"/>
      <c r="U3" s="14"/>
      <c r="V3" s="14"/>
      <c r="W3" s="14"/>
      <c r="X3" s="14"/>
      <c r="Y3" s="14"/>
      <c r="Z3" s="14"/>
      <c r="AA3" s="14"/>
    </row>
    <row r="4" spans="1:27" x14ac:dyDescent="0.2">
      <c r="A4" s="13">
        <v>39873</v>
      </c>
      <c r="B4" s="14">
        <f t="shared" si="0"/>
        <v>2009</v>
      </c>
      <c r="C4" s="201">
        <v>591636.5</v>
      </c>
      <c r="D4" s="143">
        <v>6466.8</v>
      </c>
      <c r="E4" s="143">
        <v>6363.8</v>
      </c>
      <c r="F4" s="143">
        <v>2839.9</v>
      </c>
      <c r="G4" s="143">
        <v>2804.5</v>
      </c>
      <c r="H4" s="143">
        <v>369.7</v>
      </c>
      <c r="I4" s="143">
        <v>359.9</v>
      </c>
      <c r="L4" s="15" t="s">
        <v>25</v>
      </c>
      <c r="M4" s="15" t="s">
        <v>26</v>
      </c>
      <c r="N4" s="15" t="s">
        <v>27</v>
      </c>
      <c r="O4" s="15" t="s">
        <v>28</v>
      </c>
      <c r="P4" s="15" t="s">
        <v>29</v>
      </c>
      <c r="Q4" s="15"/>
      <c r="R4" s="201"/>
      <c r="S4" s="13"/>
      <c r="T4" s="14"/>
      <c r="U4" s="14"/>
      <c r="V4" s="14"/>
      <c r="W4" s="14"/>
      <c r="X4" s="14"/>
      <c r="Y4" s="14"/>
      <c r="Z4" s="14"/>
      <c r="AA4" s="14"/>
    </row>
    <row r="5" spans="1:27" x14ac:dyDescent="0.2">
      <c r="A5" s="13">
        <v>39904</v>
      </c>
      <c r="B5" s="14">
        <f t="shared" si="0"/>
        <v>2009</v>
      </c>
      <c r="C5" s="201">
        <v>591636.5</v>
      </c>
      <c r="D5" s="143">
        <v>6445.5</v>
      </c>
      <c r="E5" s="143">
        <v>6359.6</v>
      </c>
      <c r="F5" s="143">
        <v>2843.4</v>
      </c>
      <c r="G5" s="143">
        <v>2816.6</v>
      </c>
      <c r="H5" s="143">
        <v>374.2</v>
      </c>
      <c r="I5" s="143">
        <v>366.2</v>
      </c>
      <c r="K5" s="15" t="s">
        <v>30</v>
      </c>
      <c r="L5" s="16">
        <v>43993</v>
      </c>
      <c r="M5" s="16">
        <v>43999</v>
      </c>
      <c r="N5" s="16">
        <v>44047</v>
      </c>
      <c r="O5" s="16">
        <v>43992</v>
      </c>
      <c r="P5" s="17"/>
      <c r="R5" s="201"/>
      <c r="S5" s="13"/>
      <c r="T5" s="14"/>
      <c r="U5" s="14"/>
      <c r="V5" s="14"/>
      <c r="W5" s="14"/>
      <c r="X5" s="14"/>
      <c r="Y5" s="14"/>
      <c r="Z5" s="14"/>
      <c r="AA5" s="14"/>
    </row>
    <row r="6" spans="1:27" x14ac:dyDescent="0.2">
      <c r="A6" s="13">
        <v>39934</v>
      </c>
      <c r="B6" s="14">
        <f t="shared" si="0"/>
        <v>2009</v>
      </c>
      <c r="C6" s="201">
        <v>591636.5</v>
      </c>
      <c r="D6" s="143">
        <v>6420.3</v>
      </c>
      <c r="E6" s="143">
        <v>6382.1</v>
      </c>
      <c r="F6" s="143">
        <v>2837.3</v>
      </c>
      <c r="G6" s="143">
        <v>2824.5</v>
      </c>
      <c r="H6" s="143">
        <v>376.7</v>
      </c>
      <c r="I6" s="143">
        <v>374.5</v>
      </c>
      <c r="K6" s="15" t="s">
        <v>24</v>
      </c>
      <c r="L6" s="18"/>
      <c r="N6" s="18"/>
      <c r="O6" s="18"/>
      <c r="P6" s="18"/>
      <c r="R6" s="201"/>
      <c r="S6" s="13"/>
      <c r="T6" s="14"/>
      <c r="U6" s="14"/>
      <c r="V6" s="14"/>
      <c r="W6" s="14"/>
      <c r="X6" s="14"/>
      <c r="Y6" s="14"/>
      <c r="Z6" s="14"/>
      <c r="AA6" s="14"/>
    </row>
    <row r="7" spans="1:27" x14ac:dyDescent="0.2">
      <c r="A7" s="13">
        <v>39965</v>
      </c>
      <c r="B7" s="14">
        <f t="shared" si="0"/>
        <v>2009</v>
      </c>
      <c r="C7" s="201">
        <v>591636.5</v>
      </c>
      <c r="D7" s="143">
        <v>6393.2</v>
      </c>
      <c r="E7" s="143">
        <v>6429.4</v>
      </c>
      <c r="F7" s="143">
        <v>2810.4</v>
      </c>
      <c r="G7" s="143">
        <v>2820.1</v>
      </c>
      <c r="H7" s="143">
        <v>373.4</v>
      </c>
      <c r="I7" s="143">
        <v>376.9</v>
      </c>
      <c r="K7" s="15">
        <v>2019</v>
      </c>
      <c r="L7" s="18">
        <v>2.9000000000000001E-2</v>
      </c>
      <c r="M7" s="18">
        <v>2.9000000000000001E-2</v>
      </c>
      <c r="N7" s="18">
        <v>2.9000000000000001E-2</v>
      </c>
      <c r="O7" s="18">
        <v>2.9000000000000001E-2</v>
      </c>
      <c r="P7" s="18">
        <f>AVERAGE(L7,M7,N7,O7)</f>
        <v>2.9000000000000001E-2</v>
      </c>
      <c r="R7" s="201"/>
      <c r="S7" s="13"/>
      <c r="T7" s="14"/>
      <c r="U7" s="14"/>
      <c r="V7" s="14"/>
      <c r="W7" s="14"/>
      <c r="X7" s="14"/>
      <c r="Y7" s="14"/>
      <c r="Z7" s="14"/>
      <c r="AA7" s="14"/>
    </row>
    <row r="8" spans="1:27" x14ac:dyDescent="0.2">
      <c r="A8" s="13">
        <v>39995</v>
      </c>
      <c r="B8" s="14">
        <f t="shared" si="0"/>
        <v>2009</v>
      </c>
      <c r="C8" s="201">
        <v>591636.5</v>
      </c>
      <c r="D8" s="143">
        <v>6390.2</v>
      </c>
      <c r="E8" s="143">
        <v>6467</v>
      </c>
      <c r="F8" s="143">
        <v>2796.2</v>
      </c>
      <c r="G8" s="143">
        <v>2818</v>
      </c>
      <c r="H8" s="143">
        <v>370</v>
      </c>
      <c r="I8" s="143">
        <v>375.1</v>
      </c>
      <c r="K8" s="15">
        <v>2020</v>
      </c>
      <c r="L8" s="18">
        <v>-3.9E-2</v>
      </c>
      <c r="M8" s="18">
        <v>-0.06</v>
      </c>
      <c r="N8" s="18">
        <v>-5.8000000000000003E-2</v>
      </c>
      <c r="O8" s="18">
        <v>-4.7E-2</v>
      </c>
      <c r="P8" s="18">
        <f>AVERAGE(L8,M8,N8,O8)</f>
        <v>-5.1000000000000004E-2</v>
      </c>
      <c r="R8" s="201"/>
      <c r="S8" s="13"/>
      <c r="T8" s="14"/>
      <c r="U8" s="14"/>
      <c r="V8" s="14"/>
      <c r="W8" s="14"/>
      <c r="X8" s="14"/>
      <c r="Y8" s="14"/>
      <c r="Z8" s="14"/>
      <c r="AA8" s="14"/>
    </row>
    <row r="9" spans="1:27" x14ac:dyDescent="0.2">
      <c r="A9" s="13">
        <v>40026</v>
      </c>
      <c r="B9" s="14">
        <f t="shared" si="0"/>
        <v>2009</v>
      </c>
      <c r="C9" s="201">
        <v>591636.5</v>
      </c>
      <c r="D9" s="143">
        <v>6401</v>
      </c>
      <c r="E9" s="143">
        <v>6487.6</v>
      </c>
      <c r="F9" s="143">
        <v>2791.5</v>
      </c>
      <c r="G9" s="143">
        <v>2817</v>
      </c>
      <c r="H9" s="143">
        <v>365.6</v>
      </c>
      <c r="I9" s="143">
        <v>372.7</v>
      </c>
      <c r="K9" s="201">
        <v>2021</v>
      </c>
      <c r="L9" s="18">
        <v>5.6000000000000001E-2</v>
      </c>
      <c r="M9" s="18">
        <v>5.8999999999999997E-2</v>
      </c>
      <c r="N9" s="18">
        <v>0.06</v>
      </c>
      <c r="O9" s="18">
        <v>5.3999999999999999E-2</v>
      </c>
      <c r="P9" s="18">
        <f>AVERAGE(L9,M9,N9,O9)</f>
        <v>5.7249999999999995E-2</v>
      </c>
      <c r="R9" s="201"/>
      <c r="S9" s="13"/>
      <c r="T9" s="14"/>
      <c r="U9" s="14"/>
      <c r="V9" s="14"/>
      <c r="W9" s="14"/>
      <c r="X9" s="14"/>
      <c r="Y9" s="14"/>
      <c r="Z9" s="14"/>
      <c r="AA9" s="14"/>
    </row>
    <row r="10" spans="1:27" x14ac:dyDescent="0.2">
      <c r="A10" s="13">
        <v>40057</v>
      </c>
      <c r="B10" s="14">
        <f t="shared" si="0"/>
        <v>2009</v>
      </c>
      <c r="C10" s="201">
        <v>591636.5</v>
      </c>
      <c r="D10" s="143">
        <v>6421.2</v>
      </c>
      <c r="E10" s="143">
        <v>6470.2</v>
      </c>
      <c r="F10" s="143">
        <v>2796.5</v>
      </c>
      <c r="G10" s="143">
        <v>2808.4</v>
      </c>
      <c r="H10" s="143">
        <v>367.1</v>
      </c>
      <c r="I10" s="143">
        <v>371.5</v>
      </c>
      <c r="L10" s="18"/>
      <c r="N10" s="18"/>
      <c r="O10" s="18"/>
      <c r="P10" s="18"/>
      <c r="R10" s="201"/>
      <c r="S10" s="13"/>
      <c r="T10" s="14"/>
      <c r="U10" s="14"/>
      <c r="V10" s="14"/>
      <c r="W10" s="14"/>
      <c r="X10" s="14"/>
      <c r="Y10" s="14"/>
      <c r="Z10" s="14"/>
      <c r="AA10" s="14"/>
    </row>
    <row r="11" spans="1:27" x14ac:dyDescent="0.2">
      <c r="A11" s="13">
        <v>40087</v>
      </c>
      <c r="B11" s="14">
        <f t="shared" si="0"/>
        <v>2009</v>
      </c>
      <c r="C11" s="201">
        <v>591636.5</v>
      </c>
      <c r="D11" s="143">
        <v>6438.2</v>
      </c>
      <c r="E11" s="143">
        <v>6472.1</v>
      </c>
      <c r="F11" s="143">
        <v>2803.9</v>
      </c>
      <c r="G11" s="143">
        <v>2811.8</v>
      </c>
      <c r="H11" s="143">
        <v>370.5</v>
      </c>
      <c r="I11" s="143">
        <v>374.6</v>
      </c>
      <c r="K11" s="15" t="s">
        <v>17</v>
      </c>
      <c r="L11" s="16">
        <v>43993</v>
      </c>
      <c r="M11" s="16">
        <v>43999</v>
      </c>
      <c r="N11" s="16">
        <v>44047</v>
      </c>
      <c r="O11" s="16">
        <v>43992</v>
      </c>
      <c r="P11" s="18"/>
      <c r="R11" s="201"/>
      <c r="S11" s="13"/>
      <c r="T11" s="14"/>
      <c r="U11" s="14"/>
      <c r="V11" s="14"/>
      <c r="W11" s="14"/>
      <c r="X11" s="14"/>
      <c r="Y11" s="14"/>
      <c r="Z11" s="14"/>
      <c r="AA11" s="14"/>
    </row>
    <row r="12" spans="1:27" x14ac:dyDescent="0.2">
      <c r="A12" s="13">
        <v>40118</v>
      </c>
      <c r="B12" s="14">
        <f t="shared" si="0"/>
        <v>2009</v>
      </c>
      <c r="C12" s="201">
        <v>591636.5</v>
      </c>
      <c r="D12" s="143">
        <v>6454</v>
      </c>
      <c r="E12" s="143">
        <v>6465.6</v>
      </c>
      <c r="F12" s="143">
        <v>2815.8</v>
      </c>
      <c r="G12" s="143">
        <v>2817.5</v>
      </c>
      <c r="H12" s="143">
        <v>373</v>
      </c>
      <c r="I12" s="143">
        <v>373.5</v>
      </c>
      <c r="K12" s="15">
        <v>2019</v>
      </c>
      <c r="L12" s="18">
        <v>1.9E-2</v>
      </c>
      <c r="M12" s="18">
        <v>1.9E-2</v>
      </c>
      <c r="N12" s="18">
        <v>1.6E-2</v>
      </c>
      <c r="O12" s="18">
        <v>1.9E-2</v>
      </c>
      <c r="P12" s="18">
        <f>AVERAGE(L12,M12,N12,O12)</f>
        <v>1.8249999999999999E-2</v>
      </c>
      <c r="R12" s="201"/>
      <c r="S12" s="13"/>
      <c r="T12" s="14"/>
      <c r="U12" s="14"/>
      <c r="V12" s="14"/>
      <c r="W12" s="14"/>
      <c r="X12" s="14"/>
      <c r="Y12" s="14"/>
      <c r="Z12" s="14"/>
      <c r="AA12" s="14"/>
    </row>
    <row r="13" spans="1:27" x14ac:dyDescent="0.2">
      <c r="A13" s="13">
        <v>40148</v>
      </c>
      <c r="B13" s="14">
        <f t="shared" si="0"/>
        <v>2009</v>
      </c>
      <c r="C13" s="201">
        <v>591636.5</v>
      </c>
      <c r="D13" s="143">
        <v>6458.5</v>
      </c>
      <c r="E13" s="143">
        <v>6467.5</v>
      </c>
      <c r="F13" s="143">
        <v>2823.8</v>
      </c>
      <c r="G13" s="143">
        <v>2834.8</v>
      </c>
      <c r="H13" s="143">
        <v>370.8</v>
      </c>
      <c r="I13" s="143">
        <v>370.8</v>
      </c>
      <c r="K13" s="15">
        <v>2020</v>
      </c>
      <c r="L13" s="18">
        <v>-0.06</v>
      </c>
      <c r="M13" s="18">
        <f>-0.062</f>
        <v>-6.2E-2</v>
      </c>
      <c r="N13" s="18">
        <v>-6.4000000000000001E-2</v>
      </c>
      <c r="O13" s="18">
        <v>-5.8000000000000003E-2</v>
      </c>
      <c r="P13" s="18">
        <f>AVERAGE(L13,M13,N13,O13)</f>
        <v>-6.0999999999999999E-2</v>
      </c>
      <c r="R13" s="201"/>
      <c r="S13" s="13"/>
      <c r="T13" s="14"/>
      <c r="U13" s="14"/>
      <c r="V13" s="14"/>
      <c r="W13" s="14"/>
      <c r="X13" s="14"/>
      <c r="Y13" s="14"/>
      <c r="Z13" s="14"/>
      <c r="AA13" s="14"/>
    </row>
    <row r="14" spans="1:27" x14ac:dyDescent="0.2">
      <c r="A14" s="13">
        <v>40179</v>
      </c>
      <c r="B14" s="14">
        <f t="shared" si="0"/>
        <v>2010</v>
      </c>
      <c r="C14" s="201">
        <v>609770.30000000005</v>
      </c>
      <c r="D14" s="143">
        <v>6466.9</v>
      </c>
      <c r="E14" s="143">
        <v>6434.5</v>
      </c>
      <c r="F14" s="143">
        <v>2836.8</v>
      </c>
      <c r="G14" s="143">
        <v>2831.9</v>
      </c>
      <c r="H14" s="143">
        <v>368.4</v>
      </c>
      <c r="I14" s="143">
        <v>365.5</v>
      </c>
      <c r="K14" s="15">
        <v>2021</v>
      </c>
      <c r="L14" s="18">
        <v>0.06</v>
      </c>
      <c r="M14" s="18">
        <v>5.0999999999999997E-2</v>
      </c>
      <c r="N14" s="18">
        <v>5.2999999999999999E-2</v>
      </c>
      <c r="O14" s="18">
        <v>4.2000000000000003E-2</v>
      </c>
      <c r="P14" s="18">
        <f>AVERAGE(L14,M14,N14,O14)</f>
        <v>5.1499999999999997E-2</v>
      </c>
      <c r="R14" s="201"/>
      <c r="S14" s="13"/>
      <c r="T14" s="14"/>
      <c r="U14" s="14"/>
      <c r="V14" s="14"/>
      <c r="W14" s="14"/>
      <c r="X14" s="14"/>
      <c r="Y14" s="14"/>
      <c r="Z14" s="14"/>
      <c r="AA14" s="14"/>
    </row>
    <row r="15" spans="1:27" x14ac:dyDescent="0.2">
      <c r="A15" s="13">
        <v>40210</v>
      </c>
      <c r="B15" s="14">
        <f t="shared" si="0"/>
        <v>2010</v>
      </c>
      <c r="C15" s="201">
        <v>609770.30000000005</v>
      </c>
      <c r="D15" s="143">
        <v>6471</v>
      </c>
      <c r="E15" s="143">
        <v>6404.1</v>
      </c>
      <c r="F15" s="143">
        <v>2842.3</v>
      </c>
      <c r="G15" s="143">
        <v>2825.6</v>
      </c>
      <c r="H15" s="143">
        <v>366.3</v>
      </c>
      <c r="I15" s="143">
        <v>360.3</v>
      </c>
      <c r="R15" s="201"/>
      <c r="S15" s="13"/>
      <c r="T15" s="14"/>
      <c r="U15" s="14"/>
      <c r="V15" s="14"/>
      <c r="W15" s="14"/>
      <c r="X15" s="14"/>
      <c r="Y15" s="14"/>
      <c r="Z15" s="14"/>
      <c r="AA15" s="14"/>
    </row>
    <row r="16" spans="1:27" x14ac:dyDescent="0.2">
      <c r="A16" s="13">
        <v>40238</v>
      </c>
      <c r="B16" s="14">
        <f t="shared" si="0"/>
        <v>2010</v>
      </c>
      <c r="C16" s="201">
        <v>609770.30000000005</v>
      </c>
      <c r="D16" s="143">
        <v>6477.5</v>
      </c>
      <c r="E16" s="143">
        <v>6377.2</v>
      </c>
      <c r="F16" s="143">
        <v>2849.8</v>
      </c>
      <c r="G16" s="143">
        <v>2813.8</v>
      </c>
      <c r="H16" s="143">
        <v>367.5</v>
      </c>
      <c r="I16" s="143">
        <v>359.4</v>
      </c>
      <c r="R16" s="201"/>
      <c r="S16" s="13"/>
      <c r="T16" s="14"/>
      <c r="U16" s="14"/>
      <c r="V16" s="14"/>
      <c r="W16" s="14"/>
      <c r="X16" s="14"/>
      <c r="Y16" s="14"/>
      <c r="Z16" s="14"/>
      <c r="AA16" s="14"/>
    </row>
    <row r="17" spans="1:27" x14ac:dyDescent="0.2">
      <c r="A17" s="13">
        <v>40269</v>
      </c>
      <c r="B17" s="14">
        <f t="shared" si="0"/>
        <v>2010</v>
      </c>
      <c r="C17" s="201">
        <v>609770.30000000005</v>
      </c>
      <c r="D17" s="143">
        <v>6485</v>
      </c>
      <c r="E17" s="143">
        <v>6401.7</v>
      </c>
      <c r="F17" s="143">
        <v>2844.4</v>
      </c>
      <c r="G17" s="143">
        <v>2815.5</v>
      </c>
      <c r="H17" s="143">
        <v>364.7</v>
      </c>
      <c r="I17" s="143">
        <v>358.4</v>
      </c>
      <c r="K17" s="242"/>
      <c r="L17" s="242"/>
      <c r="M17" s="242"/>
      <c r="N17" s="242"/>
      <c r="O17" s="242"/>
      <c r="P17" s="242"/>
      <c r="R17" s="201"/>
      <c r="S17" s="13"/>
      <c r="T17" s="14"/>
      <c r="U17" s="14"/>
      <c r="V17" s="14"/>
      <c r="W17" s="14"/>
      <c r="X17" s="14"/>
      <c r="Y17" s="14"/>
      <c r="Z17" s="14"/>
      <c r="AA17" s="14"/>
    </row>
    <row r="18" spans="1:27" x14ac:dyDescent="0.2">
      <c r="A18" s="13">
        <v>40299</v>
      </c>
      <c r="B18" s="14">
        <f t="shared" si="0"/>
        <v>2010</v>
      </c>
      <c r="C18" s="201">
        <v>609770.30000000005</v>
      </c>
      <c r="D18" s="143">
        <v>6506.8</v>
      </c>
      <c r="E18" s="143">
        <v>6468.9</v>
      </c>
      <c r="F18" s="143">
        <v>2847.5</v>
      </c>
      <c r="G18" s="143">
        <v>2831.7</v>
      </c>
      <c r="H18" s="143">
        <v>364.3</v>
      </c>
      <c r="I18" s="143">
        <v>362.4</v>
      </c>
      <c r="N18" s="16"/>
      <c r="O18" s="13"/>
      <c r="R18" s="201"/>
      <c r="S18" s="13"/>
      <c r="T18" s="14"/>
      <c r="U18" s="14"/>
      <c r="V18" s="14"/>
      <c r="W18" s="14"/>
      <c r="X18" s="14"/>
      <c r="Y18" s="14"/>
      <c r="Z18" s="14"/>
      <c r="AA18" s="14"/>
    </row>
    <row r="19" spans="1:27" x14ac:dyDescent="0.2">
      <c r="A19" s="13">
        <v>40330</v>
      </c>
      <c r="B19" s="14">
        <f t="shared" si="0"/>
        <v>2010</v>
      </c>
      <c r="C19" s="201">
        <v>609770.30000000005</v>
      </c>
      <c r="D19" s="143">
        <v>6540.8</v>
      </c>
      <c r="E19" s="143">
        <v>6578.9</v>
      </c>
      <c r="F19" s="143">
        <v>2859.9</v>
      </c>
      <c r="G19" s="143">
        <v>2867.7</v>
      </c>
      <c r="H19" s="143">
        <v>367.2</v>
      </c>
      <c r="I19" s="143">
        <v>370.1</v>
      </c>
      <c r="K19" s="15"/>
      <c r="L19" s="18"/>
      <c r="M19" s="18"/>
      <c r="N19" s="18"/>
      <c r="O19" s="18"/>
      <c r="P19" s="18"/>
      <c r="R19" s="201"/>
      <c r="S19" s="13"/>
      <c r="T19" s="14"/>
      <c r="U19" s="14"/>
      <c r="V19" s="14"/>
      <c r="W19" s="14"/>
      <c r="X19" s="14"/>
      <c r="Y19" s="14"/>
      <c r="Z19" s="14"/>
      <c r="AA19" s="14"/>
    </row>
    <row r="20" spans="1:27" x14ac:dyDescent="0.2">
      <c r="A20" s="13">
        <v>40360</v>
      </c>
      <c r="B20" s="14">
        <f t="shared" si="0"/>
        <v>2010</v>
      </c>
      <c r="C20" s="201">
        <v>609770.30000000005</v>
      </c>
      <c r="D20" s="143">
        <v>6561</v>
      </c>
      <c r="E20" s="143">
        <v>6640.9</v>
      </c>
      <c r="F20" s="143">
        <v>2878.7</v>
      </c>
      <c r="G20" s="143">
        <v>2899.6</v>
      </c>
      <c r="H20" s="143">
        <v>372.2</v>
      </c>
      <c r="I20" s="143">
        <v>375.7</v>
      </c>
      <c r="K20" s="15"/>
      <c r="L20" s="18"/>
      <c r="M20" s="18"/>
      <c r="N20" s="18"/>
      <c r="O20" s="18"/>
      <c r="P20" s="18"/>
      <c r="R20" s="201"/>
      <c r="S20" s="13"/>
      <c r="T20" s="14"/>
      <c r="U20" s="14"/>
      <c r="V20" s="14"/>
      <c r="W20" s="14"/>
      <c r="X20" s="14"/>
      <c r="Y20" s="14"/>
      <c r="Z20" s="14"/>
      <c r="AA20" s="14"/>
    </row>
    <row r="21" spans="1:27" ht="15" x14ac:dyDescent="0.2">
      <c r="A21" s="13">
        <v>40391</v>
      </c>
      <c r="B21" s="14">
        <f t="shared" si="0"/>
        <v>2010</v>
      </c>
      <c r="C21" s="201">
        <v>609770.30000000005</v>
      </c>
      <c r="D21" s="143">
        <v>6568.9</v>
      </c>
      <c r="E21" s="143">
        <v>6662.6</v>
      </c>
      <c r="F21" s="143">
        <v>2895.3</v>
      </c>
      <c r="G21" s="143">
        <v>2928.4</v>
      </c>
      <c r="H21" s="143">
        <v>377</v>
      </c>
      <c r="I21" s="143">
        <v>379.1</v>
      </c>
      <c r="K21" s="147"/>
      <c r="L21" s="145"/>
      <c r="M21" s="145"/>
      <c r="N21" s="146"/>
      <c r="O21" s="146"/>
      <c r="R21" s="201"/>
      <c r="S21" s="13"/>
      <c r="T21" s="14"/>
      <c r="U21" s="14"/>
      <c r="V21" s="14"/>
      <c r="W21" s="14"/>
      <c r="X21" s="14"/>
      <c r="Y21" s="14"/>
      <c r="Z21" s="14"/>
      <c r="AA21" s="14"/>
    </row>
    <row r="22" spans="1:27" x14ac:dyDescent="0.2">
      <c r="A22" s="13">
        <v>40422</v>
      </c>
      <c r="B22" s="14">
        <f t="shared" si="0"/>
        <v>2010</v>
      </c>
      <c r="C22" s="201">
        <v>609770.30000000005</v>
      </c>
      <c r="D22" s="143">
        <v>6556</v>
      </c>
      <c r="E22" s="143">
        <v>6611.2</v>
      </c>
      <c r="F22" s="143">
        <v>2891.8</v>
      </c>
      <c r="G22" s="143">
        <v>2912</v>
      </c>
      <c r="H22" s="143">
        <v>377.3</v>
      </c>
      <c r="I22" s="143">
        <v>376.7</v>
      </c>
      <c r="L22" s="16"/>
      <c r="M22" s="16"/>
      <c r="N22" s="16"/>
      <c r="O22" s="13"/>
      <c r="R22" s="201"/>
      <c r="S22" s="13"/>
      <c r="T22" s="14"/>
      <c r="U22" s="14"/>
      <c r="V22" s="14"/>
      <c r="W22" s="14"/>
      <c r="X22" s="14"/>
      <c r="Y22" s="14"/>
      <c r="Z22" s="14"/>
      <c r="AA22" s="14"/>
    </row>
    <row r="23" spans="1:27" x14ac:dyDescent="0.2">
      <c r="A23" s="13">
        <v>40452</v>
      </c>
      <c r="B23" s="14">
        <f t="shared" si="0"/>
        <v>2010</v>
      </c>
      <c r="C23" s="201">
        <v>609770.30000000005</v>
      </c>
      <c r="D23" s="143">
        <v>6551.6</v>
      </c>
      <c r="E23" s="143">
        <v>6587.1</v>
      </c>
      <c r="F23" s="143">
        <v>2893.7</v>
      </c>
      <c r="G23" s="143">
        <v>2907.8</v>
      </c>
      <c r="H23" s="143">
        <v>373.6</v>
      </c>
      <c r="I23" s="143">
        <v>372.9</v>
      </c>
      <c r="K23" s="15"/>
      <c r="L23" s="18"/>
      <c r="M23" s="18"/>
      <c r="N23" s="18"/>
      <c r="O23" s="18"/>
      <c r="P23" s="18"/>
      <c r="R23" s="201"/>
      <c r="S23" s="13"/>
      <c r="T23" s="14"/>
      <c r="U23" s="14"/>
      <c r="V23" s="14"/>
      <c r="W23" s="14"/>
      <c r="X23" s="14"/>
      <c r="Y23" s="14"/>
      <c r="Z23" s="14"/>
      <c r="AA23" s="14"/>
    </row>
    <row r="24" spans="1:27" x14ac:dyDescent="0.2">
      <c r="A24" s="13">
        <v>40483</v>
      </c>
      <c r="B24" s="14">
        <f t="shared" si="0"/>
        <v>2010</v>
      </c>
      <c r="C24" s="201">
        <v>609770.30000000005</v>
      </c>
      <c r="D24" s="143">
        <v>6555.7</v>
      </c>
      <c r="E24" s="143">
        <v>6566.6</v>
      </c>
      <c r="F24" s="143">
        <v>2893.6</v>
      </c>
      <c r="G24" s="143">
        <v>2895.2</v>
      </c>
      <c r="H24" s="143">
        <v>372.3</v>
      </c>
      <c r="I24" s="143">
        <v>371.5</v>
      </c>
      <c r="K24" s="15"/>
      <c r="L24" s="18"/>
      <c r="M24" s="18"/>
      <c r="N24" s="18"/>
      <c r="O24" s="18"/>
      <c r="P24" s="18"/>
      <c r="R24" s="201"/>
      <c r="S24" s="13"/>
      <c r="T24" s="14"/>
      <c r="U24" s="14"/>
      <c r="V24" s="14"/>
      <c r="W24" s="14"/>
      <c r="X24" s="14"/>
      <c r="Y24" s="14"/>
      <c r="Z24" s="14"/>
      <c r="AA24" s="14"/>
    </row>
    <row r="25" spans="1:27" x14ac:dyDescent="0.2">
      <c r="A25" s="13">
        <v>40513</v>
      </c>
      <c r="B25" s="14">
        <f t="shared" si="0"/>
        <v>2010</v>
      </c>
      <c r="C25" s="201">
        <v>609770.30000000005</v>
      </c>
      <c r="D25" s="143">
        <v>6578.3</v>
      </c>
      <c r="E25" s="143">
        <v>6584.1</v>
      </c>
      <c r="F25" s="143">
        <v>2918.5</v>
      </c>
      <c r="G25" s="143">
        <v>2927.8</v>
      </c>
      <c r="H25" s="143">
        <v>370.9</v>
      </c>
      <c r="I25" s="143">
        <v>370.2</v>
      </c>
      <c r="O25" s="144"/>
      <c r="R25" s="201"/>
      <c r="S25" s="13"/>
      <c r="T25" s="14"/>
      <c r="U25" s="14"/>
      <c r="V25" s="14"/>
      <c r="W25" s="14"/>
      <c r="X25" s="14"/>
      <c r="Y25" s="14"/>
      <c r="Z25" s="14"/>
      <c r="AA25" s="14"/>
    </row>
    <row r="26" spans="1:27" x14ac:dyDescent="0.2">
      <c r="A26" s="13">
        <v>40544</v>
      </c>
      <c r="B26" s="14">
        <f t="shared" si="0"/>
        <v>2011</v>
      </c>
      <c r="C26" s="201">
        <v>625936.9</v>
      </c>
      <c r="D26" s="143">
        <v>6606.3</v>
      </c>
      <c r="E26" s="143">
        <v>6571.2</v>
      </c>
      <c r="F26" s="143">
        <v>2938.5</v>
      </c>
      <c r="G26" s="143">
        <v>2934.1</v>
      </c>
      <c r="H26" s="143">
        <v>372.1</v>
      </c>
      <c r="I26" s="143">
        <v>369.4</v>
      </c>
      <c r="R26" s="201"/>
      <c r="S26" s="13"/>
      <c r="T26" s="14"/>
      <c r="U26" s="14"/>
      <c r="V26" s="14"/>
      <c r="W26" s="14"/>
      <c r="X26" s="14"/>
      <c r="Y26" s="14"/>
      <c r="Z26" s="14"/>
      <c r="AA26" s="14"/>
    </row>
    <row r="27" spans="1:27" x14ac:dyDescent="0.2">
      <c r="A27" s="13">
        <v>40575</v>
      </c>
      <c r="B27" s="14">
        <f t="shared" si="0"/>
        <v>2011</v>
      </c>
      <c r="C27" s="201">
        <v>625936.9</v>
      </c>
      <c r="D27" s="143">
        <v>6619.5</v>
      </c>
      <c r="E27" s="143">
        <v>6548.1</v>
      </c>
      <c r="F27" s="143">
        <v>2947.4</v>
      </c>
      <c r="G27" s="143">
        <v>2929.4</v>
      </c>
      <c r="H27" s="143">
        <v>369.6</v>
      </c>
      <c r="I27" s="143">
        <v>365.4</v>
      </c>
      <c r="R27" s="201"/>
      <c r="S27" s="13"/>
      <c r="T27" s="14"/>
      <c r="U27" s="14"/>
      <c r="V27" s="14"/>
      <c r="W27" s="14"/>
      <c r="X27" s="14"/>
      <c r="Y27" s="14"/>
      <c r="Z27" s="14"/>
      <c r="AA27" s="14"/>
    </row>
    <row r="28" spans="1:27" x14ac:dyDescent="0.2">
      <c r="A28" s="13">
        <v>40603</v>
      </c>
      <c r="B28" s="14">
        <f t="shared" si="0"/>
        <v>2011</v>
      </c>
      <c r="C28" s="201">
        <v>625936.9</v>
      </c>
      <c r="D28" s="143">
        <v>6628.6</v>
      </c>
      <c r="E28" s="143">
        <v>6523.7</v>
      </c>
      <c r="F28" s="143">
        <v>2938.7</v>
      </c>
      <c r="G28" s="143">
        <v>2901.9</v>
      </c>
      <c r="H28" s="143">
        <v>369.8</v>
      </c>
      <c r="I28" s="143">
        <v>363.6</v>
      </c>
      <c r="K28" s="15"/>
      <c r="R28" s="201"/>
      <c r="S28" s="13"/>
      <c r="T28" s="14"/>
      <c r="U28" s="14"/>
      <c r="V28" s="14"/>
      <c r="W28" s="14"/>
      <c r="X28" s="14"/>
      <c r="Y28" s="14"/>
      <c r="Z28" s="14"/>
      <c r="AA28" s="14"/>
    </row>
    <row r="29" spans="1:27" x14ac:dyDescent="0.2">
      <c r="A29" s="13">
        <v>40634</v>
      </c>
      <c r="B29" s="14">
        <f t="shared" si="0"/>
        <v>2011</v>
      </c>
      <c r="C29" s="201">
        <v>625936.9</v>
      </c>
      <c r="D29" s="143">
        <v>6635.5</v>
      </c>
      <c r="E29" s="143">
        <v>6550</v>
      </c>
      <c r="F29" s="143">
        <v>2929.9</v>
      </c>
      <c r="G29" s="143">
        <v>2898.7</v>
      </c>
      <c r="H29" s="143">
        <v>372</v>
      </c>
      <c r="I29" s="143">
        <v>367.1</v>
      </c>
      <c r="P29" s="233"/>
      <c r="R29" s="201"/>
      <c r="S29" s="13"/>
      <c r="T29" s="14"/>
      <c r="U29" s="14"/>
      <c r="V29" s="14"/>
      <c r="W29" s="14"/>
      <c r="X29" s="14"/>
      <c r="Y29" s="14"/>
      <c r="Z29" s="14"/>
      <c r="AA29" s="14"/>
    </row>
    <row r="30" spans="1:27" x14ac:dyDescent="0.2">
      <c r="A30" s="13">
        <v>40664</v>
      </c>
      <c r="B30" s="14">
        <f t="shared" si="0"/>
        <v>2011</v>
      </c>
      <c r="C30" s="201">
        <v>625936.9</v>
      </c>
      <c r="D30" s="143">
        <v>6645.8</v>
      </c>
      <c r="E30" s="143">
        <v>6612</v>
      </c>
      <c r="F30" s="143">
        <v>2930.2</v>
      </c>
      <c r="G30" s="143">
        <v>2912</v>
      </c>
      <c r="H30" s="143">
        <v>375</v>
      </c>
      <c r="I30" s="143">
        <v>374.6</v>
      </c>
      <c r="R30" s="201"/>
      <c r="S30" s="13"/>
      <c r="T30" s="14"/>
      <c r="U30" s="14"/>
      <c r="V30" s="14"/>
      <c r="W30" s="14"/>
      <c r="X30" s="14"/>
      <c r="Y30" s="14"/>
      <c r="Z30" s="14"/>
      <c r="AA30" s="14"/>
    </row>
    <row r="31" spans="1:27" x14ac:dyDescent="0.2">
      <c r="A31" s="13">
        <v>40695</v>
      </c>
      <c r="B31" s="14">
        <f t="shared" si="0"/>
        <v>2011</v>
      </c>
      <c r="C31" s="201">
        <v>625936.9</v>
      </c>
      <c r="D31" s="143">
        <v>6662</v>
      </c>
      <c r="E31" s="143">
        <v>6706.8</v>
      </c>
      <c r="F31" s="143">
        <v>2934.9</v>
      </c>
      <c r="G31" s="143">
        <v>2941</v>
      </c>
      <c r="H31" s="143">
        <v>375.2</v>
      </c>
      <c r="I31" s="143">
        <v>379.2</v>
      </c>
      <c r="P31" s="144"/>
      <c r="R31" s="201"/>
      <c r="S31" s="13"/>
      <c r="T31" s="14"/>
      <c r="U31" s="14"/>
      <c r="V31" s="14"/>
      <c r="W31" s="14"/>
      <c r="X31" s="14"/>
      <c r="Y31" s="14"/>
      <c r="Z31" s="14"/>
      <c r="AA31" s="14"/>
    </row>
    <row r="32" spans="1:27" x14ac:dyDescent="0.2">
      <c r="A32" s="13">
        <v>40725</v>
      </c>
      <c r="B32" s="14">
        <f t="shared" si="0"/>
        <v>2011</v>
      </c>
      <c r="C32" s="201">
        <v>625936.9</v>
      </c>
      <c r="D32" s="143">
        <v>6665.8</v>
      </c>
      <c r="E32" s="143">
        <v>6755.3</v>
      </c>
      <c r="F32" s="143">
        <v>2928.1</v>
      </c>
      <c r="G32" s="143">
        <v>2949.3</v>
      </c>
      <c r="H32" s="143">
        <v>375.3</v>
      </c>
      <c r="I32" s="143">
        <v>379.4</v>
      </c>
      <c r="P32" s="144"/>
      <c r="R32" s="201"/>
      <c r="S32" s="13"/>
      <c r="T32" s="14"/>
      <c r="U32" s="14"/>
      <c r="V32" s="14"/>
      <c r="W32" s="14"/>
      <c r="X32" s="14"/>
      <c r="Y32" s="14"/>
      <c r="Z32" s="14"/>
      <c r="AA32" s="14"/>
    </row>
    <row r="33" spans="1:27" x14ac:dyDescent="0.2">
      <c r="A33" s="13">
        <v>40756</v>
      </c>
      <c r="B33" s="14">
        <f t="shared" si="0"/>
        <v>2011</v>
      </c>
      <c r="C33" s="201">
        <v>625936.9</v>
      </c>
      <c r="D33" s="143">
        <v>6677.5</v>
      </c>
      <c r="E33" s="143">
        <v>6778</v>
      </c>
      <c r="F33" s="143">
        <v>2922.7</v>
      </c>
      <c r="G33" s="143">
        <v>2957.5</v>
      </c>
      <c r="H33" s="143">
        <v>371.4</v>
      </c>
      <c r="I33" s="143">
        <v>372.8</v>
      </c>
      <c r="R33" s="201"/>
      <c r="S33" s="13"/>
      <c r="T33" s="14"/>
      <c r="U33" s="14"/>
      <c r="V33" s="14"/>
      <c r="W33" s="14"/>
      <c r="X33" s="14"/>
      <c r="Y33" s="14"/>
      <c r="Z33" s="14"/>
      <c r="AA33" s="14"/>
    </row>
    <row r="34" spans="1:27" x14ac:dyDescent="0.2">
      <c r="A34" s="13">
        <v>40787</v>
      </c>
      <c r="B34" s="14">
        <f t="shared" si="0"/>
        <v>2011</v>
      </c>
      <c r="C34" s="201">
        <v>625936.9</v>
      </c>
      <c r="D34" s="143">
        <v>6674.4</v>
      </c>
      <c r="E34" s="143">
        <v>6734.6</v>
      </c>
      <c r="F34" s="143">
        <v>2918.3</v>
      </c>
      <c r="G34" s="143">
        <v>2940.6</v>
      </c>
      <c r="H34" s="143">
        <v>372.6</v>
      </c>
      <c r="I34" s="143">
        <v>371.1</v>
      </c>
      <c r="R34" s="201"/>
      <c r="S34" s="13"/>
      <c r="T34" s="14"/>
      <c r="U34" s="14"/>
      <c r="V34" s="14"/>
      <c r="W34" s="14"/>
      <c r="X34" s="14"/>
      <c r="Y34" s="14"/>
      <c r="Z34" s="14"/>
      <c r="AA34" s="14"/>
    </row>
    <row r="35" spans="1:27" x14ac:dyDescent="0.2">
      <c r="A35" s="13">
        <v>40817</v>
      </c>
      <c r="B35" s="14">
        <f t="shared" si="0"/>
        <v>2011</v>
      </c>
      <c r="C35" s="201">
        <v>625936.9</v>
      </c>
      <c r="D35" s="143">
        <v>6668.1</v>
      </c>
      <c r="E35" s="143">
        <v>6702.2</v>
      </c>
      <c r="F35" s="143">
        <v>2912.1</v>
      </c>
      <c r="G35" s="143">
        <v>2925.9</v>
      </c>
      <c r="H35" s="143">
        <v>374.6</v>
      </c>
      <c r="I35" s="143">
        <v>373.4</v>
      </c>
      <c r="R35" s="201"/>
      <c r="S35" s="13"/>
      <c r="T35" s="14"/>
      <c r="U35" s="14"/>
      <c r="V35" s="14"/>
      <c r="W35" s="14"/>
      <c r="X35" s="14"/>
      <c r="Y35" s="14"/>
      <c r="Z35" s="14"/>
      <c r="AA35" s="14"/>
    </row>
    <row r="36" spans="1:27" x14ac:dyDescent="0.2">
      <c r="A36" s="13">
        <v>40848</v>
      </c>
      <c r="B36" s="14">
        <f t="shared" si="0"/>
        <v>2011</v>
      </c>
      <c r="C36" s="201">
        <v>625936.9</v>
      </c>
      <c r="D36" s="143">
        <v>6662.8</v>
      </c>
      <c r="E36" s="143">
        <v>6669.4</v>
      </c>
      <c r="F36" s="143">
        <v>2908.5</v>
      </c>
      <c r="G36" s="143">
        <v>2909.9</v>
      </c>
      <c r="H36" s="143">
        <v>383.7</v>
      </c>
      <c r="I36" s="143">
        <v>381.7</v>
      </c>
      <c r="R36" s="201"/>
      <c r="S36" s="13"/>
      <c r="T36" s="14"/>
      <c r="U36" s="14"/>
      <c r="V36" s="14"/>
      <c r="W36" s="14"/>
      <c r="X36" s="14"/>
      <c r="Y36" s="14"/>
      <c r="Z36" s="14"/>
      <c r="AA36" s="14"/>
    </row>
    <row r="37" spans="1:27" x14ac:dyDescent="0.2">
      <c r="A37" s="13">
        <v>40878</v>
      </c>
      <c r="B37" s="14">
        <f t="shared" si="0"/>
        <v>2011</v>
      </c>
      <c r="C37" s="201">
        <v>625936.9</v>
      </c>
      <c r="D37" s="143">
        <v>6667.5</v>
      </c>
      <c r="E37" s="143">
        <v>6668.3</v>
      </c>
      <c r="F37" s="143">
        <v>2903</v>
      </c>
      <c r="G37" s="143">
        <v>2910.1</v>
      </c>
      <c r="H37" s="143">
        <v>387.6</v>
      </c>
      <c r="I37" s="143">
        <v>386.4</v>
      </c>
      <c r="N37" s="16"/>
      <c r="R37" s="201"/>
      <c r="S37" s="13"/>
      <c r="T37" s="14"/>
      <c r="U37" s="14"/>
      <c r="V37" s="14"/>
      <c r="W37" s="14"/>
      <c r="X37" s="14"/>
      <c r="Y37" s="14"/>
      <c r="Z37" s="14"/>
      <c r="AA37" s="14"/>
    </row>
    <row r="38" spans="1:27" x14ac:dyDescent="0.2">
      <c r="A38" s="13">
        <v>40909</v>
      </c>
      <c r="B38" s="14">
        <f t="shared" si="0"/>
        <v>2012</v>
      </c>
      <c r="C38" s="201">
        <v>634944.30000000005</v>
      </c>
      <c r="D38" s="143">
        <v>6673.6</v>
      </c>
      <c r="E38" s="143">
        <v>6635.9</v>
      </c>
      <c r="F38" s="143">
        <v>2903.3</v>
      </c>
      <c r="G38" s="143">
        <v>2898.2</v>
      </c>
      <c r="H38" s="143">
        <v>390.1</v>
      </c>
      <c r="I38" s="143">
        <v>387.2</v>
      </c>
      <c r="N38" s="144"/>
      <c r="P38" s="48"/>
      <c r="R38" s="201"/>
      <c r="S38" s="13"/>
      <c r="T38" s="14"/>
      <c r="U38" s="14"/>
      <c r="V38" s="14"/>
      <c r="W38" s="14"/>
      <c r="X38" s="14"/>
      <c r="Y38" s="14"/>
      <c r="Z38" s="14"/>
      <c r="AA38" s="14"/>
    </row>
    <row r="39" spans="1:27" x14ac:dyDescent="0.2">
      <c r="A39" s="13">
        <v>40940</v>
      </c>
      <c r="B39" s="14">
        <f t="shared" si="0"/>
        <v>2012</v>
      </c>
      <c r="C39" s="201">
        <v>634944.30000000005</v>
      </c>
      <c r="D39" s="143">
        <v>6670.7</v>
      </c>
      <c r="E39" s="143">
        <v>6598</v>
      </c>
      <c r="F39" s="143">
        <v>2901.2</v>
      </c>
      <c r="G39" s="143">
        <v>2881</v>
      </c>
      <c r="H39" s="143">
        <v>388.4</v>
      </c>
      <c r="I39" s="143">
        <v>385.8</v>
      </c>
      <c r="N39" s="144"/>
      <c r="P39" s="48"/>
      <c r="Q39" s="221"/>
      <c r="R39" s="201"/>
      <c r="S39" s="13"/>
      <c r="T39" s="14"/>
      <c r="U39" s="14"/>
      <c r="V39" s="14"/>
      <c r="W39" s="14"/>
      <c r="X39" s="14"/>
      <c r="Y39" s="14"/>
      <c r="Z39" s="14"/>
      <c r="AA39" s="14"/>
    </row>
    <row r="40" spans="1:27" x14ac:dyDescent="0.2">
      <c r="A40" s="13">
        <v>40969</v>
      </c>
      <c r="B40" s="14">
        <f t="shared" si="0"/>
        <v>2012</v>
      </c>
      <c r="C40" s="201">
        <v>634944.30000000005</v>
      </c>
      <c r="D40" s="143">
        <v>6674</v>
      </c>
      <c r="E40" s="143">
        <v>6569.8</v>
      </c>
      <c r="F40" s="143">
        <v>2907.4</v>
      </c>
      <c r="G40" s="143">
        <v>2869.6</v>
      </c>
      <c r="H40" s="143">
        <v>385</v>
      </c>
      <c r="I40" s="143">
        <v>380.7</v>
      </c>
      <c r="N40" s="178"/>
      <c r="P40" s="48"/>
      <c r="Q40" s="221"/>
      <c r="R40" s="201"/>
      <c r="S40" s="13"/>
      <c r="T40" s="14"/>
      <c r="U40" s="14"/>
      <c r="V40" s="14"/>
      <c r="W40" s="14"/>
      <c r="X40" s="14"/>
      <c r="Y40" s="14"/>
      <c r="Z40" s="14"/>
      <c r="AA40" s="14"/>
    </row>
    <row r="41" spans="1:27" x14ac:dyDescent="0.2">
      <c r="A41" s="13">
        <v>41000</v>
      </c>
      <c r="B41" s="14">
        <f t="shared" si="0"/>
        <v>2012</v>
      </c>
      <c r="C41" s="201">
        <v>634944.30000000005</v>
      </c>
      <c r="D41" s="143">
        <v>6685.8</v>
      </c>
      <c r="E41" s="143">
        <v>6603.3</v>
      </c>
      <c r="F41" s="143">
        <v>2912.5</v>
      </c>
      <c r="G41" s="143">
        <v>2883</v>
      </c>
      <c r="H41" s="143">
        <v>382.5</v>
      </c>
      <c r="I41" s="143">
        <v>378.9</v>
      </c>
      <c r="N41" s="144"/>
      <c r="P41" s="48"/>
      <c r="Q41" s="221"/>
      <c r="R41" s="201"/>
      <c r="S41" s="13"/>
      <c r="T41" s="14"/>
      <c r="U41" s="14"/>
      <c r="V41" s="14"/>
      <c r="W41" s="14"/>
      <c r="X41" s="14"/>
      <c r="Y41" s="14"/>
      <c r="Z41" s="14"/>
      <c r="AA41" s="14"/>
    </row>
    <row r="42" spans="1:27" x14ac:dyDescent="0.2">
      <c r="A42" s="13">
        <v>41030</v>
      </c>
      <c r="B42" s="14">
        <f t="shared" si="0"/>
        <v>2012</v>
      </c>
      <c r="C42" s="201">
        <v>634944.30000000005</v>
      </c>
      <c r="D42" s="143">
        <v>6690.1</v>
      </c>
      <c r="E42" s="143">
        <v>6658.1</v>
      </c>
      <c r="F42" s="143">
        <v>2917.9</v>
      </c>
      <c r="G42" s="143">
        <v>2902.3</v>
      </c>
      <c r="H42" s="143">
        <v>376.3</v>
      </c>
      <c r="I42" s="143">
        <v>375.1</v>
      </c>
      <c r="N42" s="144"/>
      <c r="P42" s="48"/>
      <c r="Q42" s="221"/>
      <c r="R42" s="201"/>
      <c r="S42" s="13"/>
      <c r="T42" s="14"/>
      <c r="U42" s="14"/>
      <c r="V42" s="14"/>
      <c r="W42" s="14"/>
      <c r="X42" s="14"/>
      <c r="Y42" s="14"/>
      <c r="Z42" s="14"/>
      <c r="AA42" s="14"/>
    </row>
    <row r="43" spans="1:27" x14ac:dyDescent="0.2">
      <c r="A43" s="13">
        <v>41061</v>
      </c>
      <c r="B43" s="14">
        <f t="shared" si="0"/>
        <v>2012</v>
      </c>
      <c r="C43" s="201">
        <v>634944.30000000005</v>
      </c>
      <c r="D43" s="143">
        <v>6693.3</v>
      </c>
      <c r="E43" s="143">
        <v>6737.2</v>
      </c>
      <c r="F43" s="143">
        <v>2928.6</v>
      </c>
      <c r="G43" s="143">
        <v>2937.8</v>
      </c>
      <c r="H43" s="143">
        <v>371.5</v>
      </c>
      <c r="I43" s="143">
        <v>373.8</v>
      </c>
      <c r="R43" s="201"/>
      <c r="S43" s="13"/>
      <c r="T43" s="14"/>
      <c r="U43" s="14"/>
      <c r="V43" s="14"/>
      <c r="W43" s="14"/>
      <c r="X43" s="14"/>
      <c r="Y43" s="14"/>
      <c r="Z43" s="14"/>
      <c r="AA43" s="14"/>
    </row>
    <row r="44" spans="1:27" x14ac:dyDescent="0.2">
      <c r="A44" s="13">
        <v>41091</v>
      </c>
      <c r="B44" s="14">
        <f t="shared" si="0"/>
        <v>2012</v>
      </c>
      <c r="C44" s="201">
        <v>634944.30000000005</v>
      </c>
      <c r="D44" s="143">
        <v>6694.6</v>
      </c>
      <c r="E44" s="143">
        <v>6778.6</v>
      </c>
      <c r="F44" s="143">
        <v>2949.2</v>
      </c>
      <c r="G44" s="143">
        <v>2965.9</v>
      </c>
      <c r="H44" s="143">
        <v>368.7</v>
      </c>
      <c r="I44" s="143">
        <v>372.6</v>
      </c>
      <c r="P44" s="48"/>
      <c r="Q44" s="48"/>
      <c r="R44" s="201"/>
      <c r="S44" s="13"/>
      <c r="T44" s="14"/>
      <c r="U44" s="14"/>
      <c r="V44" s="14"/>
      <c r="W44" s="14"/>
      <c r="X44" s="14"/>
      <c r="Y44" s="14"/>
      <c r="Z44" s="14"/>
      <c r="AA44" s="14"/>
    </row>
    <row r="45" spans="1:27" x14ac:dyDescent="0.2">
      <c r="A45" s="13">
        <v>41122</v>
      </c>
      <c r="B45" s="14">
        <f t="shared" si="0"/>
        <v>2012</v>
      </c>
      <c r="C45" s="201">
        <v>634944.30000000005</v>
      </c>
      <c r="D45" s="143">
        <v>6703.3</v>
      </c>
      <c r="E45" s="143">
        <v>6797.9</v>
      </c>
      <c r="F45" s="143">
        <v>2968.4</v>
      </c>
      <c r="G45" s="143">
        <v>2997.9</v>
      </c>
      <c r="H45" s="143">
        <v>371.3</v>
      </c>
      <c r="I45" s="143">
        <v>374.1</v>
      </c>
      <c r="P45" s="144"/>
      <c r="Q45" s="144"/>
      <c r="R45" s="201"/>
      <c r="S45" s="13"/>
      <c r="T45" s="14"/>
      <c r="U45" s="14"/>
      <c r="V45" s="14"/>
      <c r="W45" s="14"/>
      <c r="X45" s="14"/>
      <c r="Y45" s="14"/>
      <c r="Z45" s="14"/>
      <c r="AA45" s="14"/>
    </row>
    <row r="46" spans="1:27" x14ac:dyDescent="0.2">
      <c r="A46" s="13">
        <v>41153</v>
      </c>
      <c r="B46" s="14">
        <f t="shared" si="0"/>
        <v>2012</v>
      </c>
      <c r="C46" s="201">
        <v>634944.30000000005</v>
      </c>
      <c r="D46" s="143">
        <v>6707.4</v>
      </c>
      <c r="E46" s="143">
        <v>6763.1</v>
      </c>
      <c r="F46" s="143">
        <v>2985.6</v>
      </c>
      <c r="G46" s="143">
        <v>3001.5</v>
      </c>
      <c r="H46" s="143">
        <v>376.3</v>
      </c>
      <c r="I46" s="143">
        <v>376.1</v>
      </c>
      <c r="P46" s="144"/>
      <c r="R46" s="201"/>
      <c r="S46" s="13"/>
      <c r="T46" s="14"/>
      <c r="U46" s="14"/>
      <c r="V46" s="14"/>
      <c r="W46" s="14"/>
      <c r="X46" s="14"/>
      <c r="Y46" s="14"/>
      <c r="Z46" s="14"/>
      <c r="AA46" s="14"/>
    </row>
    <row r="47" spans="1:27" x14ac:dyDescent="0.2">
      <c r="A47" s="13">
        <v>41183</v>
      </c>
      <c r="B47" s="14">
        <f t="shared" si="0"/>
        <v>2012</v>
      </c>
      <c r="C47" s="201">
        <v>634944.30000000005</v>
      </c>
      <c r="D47" s="143">
        <v>6710</v>
      </c>
      <c r="E47" s="143">
        <v>6740.9</v>
      </c>
      <c r="F47" s="143">
        <v>3002.1</v>
      </c>
      <c r="G47" s="143">
        <v>3012.7</v>
      </c>
      <c r="H47" s="143">
        <v>377.5</v>
      </c>
      <c r="I47" s="143">
        <v>375.9</v>
      </c>
      <c r="R47" s="201"/>
      <c r="S47" s="13"/>
      <c r="T47" s="14"/>
      <c r="U47" s="14"/>
      <c r="V47" s="14"/>
      <c r="W47" s="14"/>
      <c r="X47" s="14"/>
      <c r="Y47" s="14"/>
      <c r="Z47" s="14"/>
      <c r="AA47" s="14"/>
    </row>
    <row r="48" spans="1:27" x14ac:dyDescent="0.2">
      <c r="A48" s="13">
        <v>41214</v>
      </c>
      <c r="B48" s="14">
        <f t="shared" si="0"/>
        <v>2012</v>
      </c>
      <c r="C48" s="201">
        <v>634944.30000000005</v>
      </c>
      <c r="D48" s="143">
        <v>6722.4</v>
      </c>
      <c r="E48" s="143">
        <v>6727.4</v>
      </c>
      <c r="F48" s="143">
        <v>3019.5</v>
      </c>
      <c r="G48" s="143">
        <v>3019</v>
      </c>
      <c r="H48" s="143">
        <v>377.9</v>
      </c>
      <c r="I48" s="143">
        <v>373.6</v>
      </c>
      <c r="R48" s="201"/>
      <c r="S48" s="13"/>
      <c r="T48" s="14"/>
      <c r="U48" s="14"/>
      <c r="V48" s="14"/>
      <c r="W48" s="14"/>
      <c r="X48" s="14"/>
      <c r="Y48" s="14"/>
      <c r="Z48" s="14"/>
      <c r="AA48" s="14"/>
    </row>
    <row r="49" spans="1:27" x14ac:dyDescent="0.2">
      <c r="A49" s="13">
        <v>41244</v>
      </c>
      <c r="B49" s="14">
        <f t="shared" si="0"/>
        <v>2012</v>
      </c>
      <c r="C49" s="201">
        <v>634944.30000000005</v>
      </c>
      <c r="D49" s="143">
        <v>6740.6</v>
      </c>
      <c r="E49" s="143">
        <v>6740.2</v>
      </c>
      <c r="F49" s="143">
        <v>3030.3</v>
      </c>
      <c r="G49" s="143">
        <v>3033.6</v>
      </c>
      <c r="H49" s="143">
        <v>378.6</v>
      </c>
      <c r="I49" s="143">
        <v>375.8</v>
      </c>
      <c r="R49" s="201"/>
      <c r="S49" s="13"/>
      <c r="T49" s="14"/>
      <c r="U49" s="14"/>
      <c r="V49" s="14"/>
      <c r="W49" s="14"/>
      <c r="X49" s="14"/>
      <c r="Y49" s="14"/>
      <c r="Z49" s="14"/>
      <c r="AA49" s="14"/>
    </row>
    <row r="50" spans="1:27" x14ac:dyDescent="0.2">
      <c r="A50" s="13">
        <v>41275</v>
      </c>
      <c r="B50" s="14">
        <f t="shared" si="0"/>
        <v>2013</v>
      </c>
      <c r="C50" s="201">
        <v>643937</v>
      </c>
      <c r="D50" s="143">
        <v>6758.8</v>
      </c>
      <c r="E50" s="143">
        <v>6721.7</v>
      </c>
      <c r="F50" s="143">
        <v>3038</v>
      </c>
      <c r="G50" s="143">
        <v>3030.3</v>
      </c>
      <c r="H50" s="143">
        <v>380.4</v>
      </c>
      <c r="I50" s="143">
        <v>378.6</v>
      </c>
      <c r="R50" s="201"/>
      <c r="S50" s="13"/>
      <c r="T50" s="14"/>
      <c r="U50" s="14"/>
      <c r="V50" s="14"/>
      <c r="W50" s="14"/>
      <c r="X50" s="14"/>
      <c r="Y50" s="14"/>
      <c r="Z50" s="14"/>
      <c r="AA50" s="14"/>
    </row>
    <row r="51" spans="1:27" x14ac:dyDescent="0.2">
      <c r="A51" s="13">
        <v>41306</v>
      </c>
      <c r="B51" s="14">
        <f t="shared" si="0"/>
        <v>2013</v>
      </c>
      <c r="C51" s="201">
        <v>643937</v>
      </c>
      <c r="D51" s="143">
        <v>6775.5</v>
      </c>
      <c r="E51" s="143">
        <v>6702</v>
      </c>
      <c r="F51" s="143">
        <v>3041.7</v>
      </c>
      <c r="G51" s="143">
        <v>3018.2</v>
      </c>
      <c r="H51" s="143">
        <v>381.8</v>
      </c>
      <c r="I51" s="143">
        <v>382.7</v>
      </c>
      <c r="R51" s="201"/>
      <c r="S51" s="13"/>
      <c r="T51" s="14"/>
      <c r="U51" s="14"/>
      <c r="V51" s="14"/>
      <c r="W51" s="14"/>
      <c r="X51" s="14"/>
      <c r="Y51" s="14"/>
      <c r="Z51" s="14"/>
      <c r="AA51" s="14"/>
    </row>
    <row r="52" spans="1:27" x14ac:dyDescent="0.2">
      <c r="A52" s="13">
        <v>41334</v>
      </c>
      <c r="B52" s="14">
        <f t="shared" si="0"/>
        <v>2013</v>
      </c>
      <c r="C52" s="201">
        <v>643937</v>
      </c>
      <c r="D52" s="143">
        <v>6781.1</v>
      </c>
      <c r="E52" s="143">
        <v>6675.8</v>
      </c>
      <c r="F52" s="143">
        <v>3045.3</v>
      </c>
      <c r="G52" s="143">
        <v>3007</v>
      </c>
      <c r="H52" s="143">
        <v>380.1</v>
      </c>
      <c r="I52" s="143">
        <v>379.3</v>
      </c>
      <c r="R52" s="201"/>
      <c r="S52" s="13"/>
      <c r="T52" s="14"/>
      <c r="U52" s="14"/>
      <c r="V52" s="14"/>
      <c r="W52" s="14"/>
      <c r="X52" s="14"/>
      <c r="Y52" s="14"/>
      <c r="Z52" s="14"/>
      <c r="AA52" s="14"/>
    </row>
    <row r="53" spans="1:27" x14ac:dyDescent="0.2">
      <c r="A53" s="13">
        <v>41365</v>
      </c>
      <c r="B53" s="14">
        <f t="shared" si="0"/>
        <v>2013</v>
      </c>
      <c r="C53" s="201">
        <v>643937</v>
      </c>
      <c r="D53" s="143">
        <v>6788.9</v>
      </c>
      <c r="E53" s="143">
        <v>6703.7</v>
      </c>
      <c r="F53" s="143">
        <v>3057</v>
      </c>
      <c r="G53" s="143">
        <v>3026.3</v>
      </c>
      <c r="H53" s="143">
        <v>377.1</v>
      </c>
      <c r="I53" s="143">
        <v>375.4</v>
      </c>
      <c r="R53" s="201"/>
      <c r="S53" s="13"/>
      <c r="T53" s="14"/>
      <c r="U53" s="14"/>
      <c r="V53" s="14"/>
      <c r="W53" s="14"/>
      <c r="X53" s="14"/>
      <c r="Y53" s="14"/>
      <c r="Z53" s="14"/>
      <c r="AA53" s="14"/>
    </row>
    <row r="54" spans="1:27" x14ac:dyDescent="0.2">
      <c r="A54" s="13">
        <v>41395</v>
      </c>
      <c r="B54" s="14">
        <f t="shared" si="0"/>
        <v>2013</v>
      </c>
      <c r="C54" s="201">
        <v>643937</v>
      </c>
      <c r="D54" s="143">
        <v>6801.1</v>
      </c>
      <c r="E54" s="143">
        <v>6770.3</v>
      </c>
      <c r="F54" s="143">
        <v>3073.7</v>
      </c>
      <c r="G54" s="143">
        <v>3059.1</v>
      </c>
      <c r="H54" s="143">
        <v>378.2</v>
      </c>
      <c r="I54" s="143">
        <v>376.4</v>
      </c>
      <c r="R54" s="201"/>
      <c r="S54" s="13"/>
      <c r="T54" s="14"/>
      <c r="U54" s="14"/>
      <c r="V54" s="14"/>
      <c r="W54" s="14"/>
      <c r="X54" s="14"/>
      <c r="Y54" s="14"/>
      <c r="Z54" s="14"/>
      <c r="AA54" s="14"/>
    </row>
    <row r="55" spans="1:27" x14ac:dyDescent="0.2">
      <c r="A55" s="13">
        <v>41426</v>
      </c>
      <c r="B55" s="14">
        <f t="shared" si="0"/>
        <v>2013</v>
      </c>
      <c r="C55" s="201">
        <v>643937</v>
      </c>
      <c r="D55" s="143">
        <v>6815.2</v>
      </c>
      <c r="E55" s="143">
        <v>6861.8</v>
      </c>
      <c r="F55" s="143">
        <v>3092.4</v>
      </c>
      <c r="G55" s="143">
        <v>3103.8</v>
      </c>
      <c r="H55" s="143">
        <v>376.8</v>
      </c>
      <c r="I55" s="143">
        <v>378.6</v>
      </c>
      <c r="R55" s="201"/>
      <c r="S55" s="13"/>
      <c r="T55" s="14"/>
      <c r="U55" s="14"/>
      <c r="V55" s="14"/>
      <c r="W55" s="14"/>
      <c r="X55" s="14"/>
      <c r="Y55" s="14"/>
      <c r="Z55" s="14"/>
      <c r="AA55" s="14"/>
    </row>
    <row r="56" spans="1:27" x14ac:dyDescent="0.2">
      <c r="A56" s="13">
        <v>41456</v>
      </c>
      <c r="B56" s="14">
        <f t="shared" si="0"/>
        <v>2013</v>
      </c>
      <c r="C56" s="201">
        <v>643937</v>
      </c>
      <c r="D56" s="143">
        <v>6826.2</v>
      </c>
      <c r="E56" s="143">
        <v>6917.1</v>
      </c>
      <c r="F56" s="143">
        <v>3100</v>
      </c>
      <c r="G56" s="143">
        <v>3122.7</v>
      </c>
      <c r="H56" s="143">
        <v>375.3</v>
      </c>
      <c r="I56" s="143">
        <v>378.7</v>
      </c>
      <c r="R56" s="201"/>
      <c r="S56" s="13"/>
      <c r="T56" s="14"/>
      <c r="U56" s="14"/>
      <c r="V56" s="14"/>
      <c r="W56" s="14"/>
      <c r="X56" s="14"/>
      <c r="Y56" s="14"/>
      <c r="Z56" s="14"/>
      <c r="AA56" s="14"/>
    </row>
    <row r="57" spans="1:27" x14ac:dyDescent="0.2">
      <c r="A57" s="13">
        <v>41487</v>
      </c>
      <c r="B57" s="14">
        <f t="shared" si="0"/>
        <v>2013</v>
      </c>
      <c r="C57" s="201">
        <v>643937</v>
      </c>
      <c r="D57" s="143">
        <v>6833.9</v>
      </c>
      <c r="E57" s="143">
        <v>6934.7</v>
      </c>
      <c r="F57" s="143">
        <v>3110.2</v>
      </c>
      <c r="G57" s="143">
        <v>3145.2</v>
      </c>
      <c r="H57" s="143">
        <v>364.2</v>
      </c>
      <c r="I57" s="143">
        <v>368.3</v>
      </c>
      <c r="R57" s="201"/>
      <c r="S57" s="13"/>
      <c r="T57" s="14"/>
      <c r="U57" s="14"/>
      <c r="V57" s="14"/>
      <c r="W57" s="14"/>
      <c r="X57" s="14"/>
      <c r="Y57" s="14"/>
      <c r="Z57" s="14"/>
      <c r="AA57" s="14"/>
    </row>
    <row r="58" spans="1:27" x14ac:dyDescent="0.2">
      <c r="A58" s="13">
        <v>41518</v>
      </c>
      <c r="B58" s="14">
        <f t="shared" si="0"/>
        <v>2013</v>
      </c>
      <c r="C58" s="201">
        <v>643937</v>
      </c>
      <c r="D58" s="143">
        <v>6843.3</v>
      </c>
      <c r="E58" s="143">
        <v>6906.9</v>
      </c>
      <c r="F58" s="143">
        <v>3116.8</v>
      </c>
      <c r="G58" s="143">
        <v>3143.4</v>
      </c>
      <c r="H58" s="143">
        <v>362.4</v>
      </c>
      <c r="I58" s="143">
        <v>364.6</v>
      </c>
      <c r="R58" s="201"/>
      <c r="S58" s="13"/>
      <c r="T58" s="14"/>
      <c r="U58" s="14"/>
      <c r="V58" s="14"/>
      <c r="W58" s="14"/>
      <c r="X58" s="14"/>
      <c r="Y58" s="14"/>
      <c r="Z58" s="14"/>
      <c r="AA58" s="14"/>
    </row>
    <row r="59" spans="1:27" x14ac:dyDescent="0.2">
      <c r="A59" s="13">
        <v>41548</v>
      </c>
      <c r="B59" s="14">
        <f t="shared" si="0"/>
        <v>2013</v>
      </c>
      <c r="C59" s="201">
        <v>643937</v>
      </c>
      <c r="D59" s="143">
        <v>6850.3</v>
      </c>
      <c r="E59" s="143">
        <v>6889</v>
      </c>
      <c r="F59" s="143">
        <v>3116</v>
      </c>
      <c r="G59" s="143">
        <v>3136</v>
      </c>
      <c r="H59" s="143">
        <v>363.6</v>
      </c>
      <c r="I59" s="143">
        <v>366.5</v>
      </c>
      <c r="R59" s="201"/>
      <c r="S59" s="13"/>
      <c r="T59" s="14"/>
      <c r="U59" s="14"/>
      <c r="V59" s="14"/>
      <c r="W59" s="14"/>
      <c r="X59" s="14"/>
      <c r="Y59" s="14"/>
      <c r="Z59" s="14"/>
      <c r="AA59" s="14"/>
    </row>
    <row r="60" spans="1:27" x14ac:dyDescent="0.2">
      <c r="A60" s="13">
        <v>41579</v>
      </c>
      <c r="B60" s="14">
        <f t="shared" si="0"/>
        <v>2013</v>
      </c>
      <c r="C60" s="201">
        <v>643937</v>
      </c>
      <c r="D60" s="143">
        <v>6854</v>
      </c>
      <c r="E60" s="143">
        <v>6863.8</v>
      </c>
      <c r="F60" s="143">
        <v>3113.4</v>
      </c>
      <c r="G60" s="143">
        <v>3119.8</v>
      </c>
      <c r="H60" s="143">
        <v>369.8</v>
      </c>
      <c r="I60" s="143">
        <v>371.8</v>
      </c>
      <c r="R60" s="201"/>
      <c r="S60" s="13"/>
      <c r="T60" s="14"/>
      <c r="U60" s="14"/>
      <c r="V60" s="14"/>
      <c r="W60" s="14"/>
      <c r="X60" s="14"/>
      <c r="Y60" s="14"/>
      <c r="Z60" s="14"/>
      <c r="AA60" s="14"/>
    </row>
    <row r="61" spans="1:27" x14ac:dyDescent="0.2">
      <c r="A61" s="13">
        <v>41609</v>
      </c>
      <c r="B61" s="14">
        <f t="shared" si="0"/>
        <v>2013</v>
      </c>
      <c r="C61" s="201">
        <v>643937</v>
      </c>
      <c r="D61" s="143">
        <v>6850.4</v>
      </c>
      <c r="E61" s="143">
        <v>6849.3</v>
      </c>
      <c r="F61" s="143">
        <v>3108.4</v>
      </c>
      <c r="G61" s="143">
        <v>3114.3</v>
      </c>
      <c r="H61" s="143">
        <v>373.6</v>
      </c>
      <c r="I61" s="143">
        <v>376.6</v>
      </c>
      <c r="R61" s="201"/>
      <c r="S61" s="13"/>
      <c r="T61" s="14"/>
      <c r="U61" s="14"/>
      <c r="V61" s="14"/>
      <c r="W61" s="14"/>
      <c r="X61" s="14"/>
      <c r="Y61" s="14"/>
      <c r="Z61" s="14"/>
      <c r="AA61" s="14"/>
    </row>
    <row r="62" spans="1:27" x14ac:dyDescent="0.2">
      <c r="A62" s="13">
        <v>41640</v>
      </c>
      <c r="B62" s="14">
        <f t="shared" si="0"/>
        <v>2014</v>
      </c>
      <c r="C62" s="201">
        <v>659861.19999999995</v>
      </c>
      <c r="D62" s="143">
        <v>6848.3</v>
      </c>
      <c r="E62" s="143">
        <v>6806.1</v>
      </c>
      <c r="F62" s="143">
        <v>3105.1</v>
      </c>
      <c r="G62" s="143">
        <v>3097</v>
      </c>
      <c r="H62" s="143">
        <v>375.1</v>
      </c>
      <c r="I62" s="143">
        <v>376.3</v>
      </c>
      <c r="R62" s="201"/>
      <c r="S62" s="13"/>
      <c r="T62" s="14"/>
      <c r="U62" s="14"/>
      <c r="V62" s="14"/>
      <c r="W62" s="14"/>
      <c r="X62" s="14"/>
      <c r="Y62" s="14"/>
      <c r="Z62" s="14"/>
      <c r="AA62" s="14"/>
    </row>
    <row r="63" spans="1:27" x14ac:dyDescent="0.2">
      <c r="A63" s="13">
        <v>41671</v>
      </c>
      <c r="B63" s="14">
        <f t="shared" si="0"/>
        <v>2014</v>
      </c>
      <c r="C63" s="201">
        <v>659861.19999999995</v>
      </c>
      <c r="D63" s="143">
        <v>6850</v>
      </c>
      <c r="E63" s="143">
        <v>6772.3</v>
      </c>
      <c r="F63" s="143">
        <v>3109.9</v>
      </c>
      <c r="G63" s="143">
        <v>3085.6</v>
      </c>
      <c r="H63" s="143">
        <v>379.9</v>
      </c>
      <c r="I63" s="143">
        <v>382.3</v>
      </c>
      <c r="R63" s="201"/>
      <c r="S63" s="13"/>
      <c r="T63" s="14"/>
      <c r="U63" s="14"/>
      <c r="V63" s="14"/>
      <c r="W63" s="14"/>
      <c r="X63" s="14"/>
      <c r="Y63" s="14"/>
      <c r="Z63" s="14"/>
      <c r="AA63" s="14"/>
    </row>
    <row r="64" spans="1:27" x14ac:dyDescent="0.2">
      <c r="A64" s="13">
        <v>41699</v>
      </c>
      <c r="B64" s="14">
        <f t="shared" si="0"/>
        <v>2014</v>
      </c>
      <c r="C64" s="201">
        <v>659861.19999999995</v>
      </c>
      <c r="D64" s="143">
        <v>6856.4</v>
      </c>
      <c r="E64" s="143">
        <v>6751.3</v>
      </c>
      <c r="F64" s="143">
        <v>3115.2</v>
      </c>
      <c r="G64" s="143">
        <v>3073.7</v>
      </c>
      <c r="H64" s="143">
        <v>382.2</v>
      </c>
      <c r="I64" s="143">
        <v>382.2</v>
      </c>
      <c r="R64" s="201"/>
      <c r="S64" s="13"/>
      <c r="T64" s="14"/>
      <c r="U64" s="14"/>
      <c r="V64" s="14"/>
      <c r="W64" s="14"/>
      <c r="X64" s="14"/>
      <c r="Y64" s="14"/>
      <c r="Z64" s="14"/>
      <c r="AA64" s="14"/>
    </row>
    <row r="65" spans="1:27" x14ac:dyDescent="0.2">
      <c r="A65" s="13">
        <v>41730</v>
      </c>
      <c r="B65" s="14">
        <f t="shared" si="0"/>
        <v>2014</v>
      </c>
      <c r="C65" s="201">
        <v>659861.19999999995</v>
      </c>
      <c r="D65" s="143">
        <v>6869.6</v>
      </c>
      <c r="E65" s="143">
        <v>6785</v>
      </c>
      <c r="F65" s="143">
        <v>3126.8</v>
      </c>
      <c r="G65" s="143">
        <v>3095.4</v>
      </c>
      <c r="H65" s="143">
        <v>383.2</v>
      </c>
      <c r="I65" s="143">
        <v>382.5</v>
      </c>
      <c r="R65" s="201"/>
      <c r="S65" s="13"/>
      <c r="T65" s="14"/>
      <c r="U65" s="14"/>
      <c r="V65" s="14"/>
      <c r="W65" s="14"/>
      <c r="X65" s="14"/>
      <c r="Y65" s="14"/>
      <c r="Z65" s="14"/>
      <c r="AA65" s="14"/>
    </row>
    <row r="66" spans="1:27" x14ac:dyDescent="0.2">
      <c r="A66" s="13">
        <v>41760</v>
      </c>
      <c r="B66" s="14">
        <f t="shared" si="0"/>
        <v>2014</v>
      </c>
      <c r="C66" s="201">
        <v>659861.19999999995</v>
      </c>
      <c r="D66" s="143">
        <v>6870.6</v>
      </c>
      <c r="E66" s="143">
        <v>6842.6</v>
      </c>
      <c r="F66" s="143">
        <v>3114.3</v>
      </c>
      <c r="G66" s="143">
        <v>3103</v>
      </c>
      <c r="H66" s="143">
        <v>381.5</v>
      </c>
      <c r="I66" s="143">
        <v>379.7</v>
      </c>
      <c r="R66" s="201"/>
      <c r="S66" s="13"/>
      <c r="T66" s="14"/>
      <c r="U66" s="14"/>
      <c r="V66" s="14"/>
      <c r="W66" s="14"/>
      <c r="X66" s="14"/>
      <c r="Y66" s="14"/>
      <c r="Z66" s="14"/>
      <c r="AA66" s="14"/>
    </row>
    <row r="67" spans="1:27" x14ac:dyDescent="0.2">
      <c r="A67" s="13">
        <v>41791</v>
      </c>
      <c r="B67" s="14">
        <f t="shared" ref="B67:B130" si="1">YEAR(A67)</f>
        <v>2014</v>
      </c>
      <c r="C67" s="201">
        <v>659861.19999999995</v>
      </c>
      <c r="D67" s="143">
        <v>6865.4</v>
      </c>
      <c r="E67" s="143">
        <v>6912.9</v>
      </c>
      <c r="F67" s="143">
        <v>3091.8</v>
      </c>
      <c r="G67" s="143">
        <v>3107.5</v>
      </c>
      <c r="H67" s="143">
        <v>382</v>
      </c>
      <c r="I67" s="143">
        <v>383.3</v>
      </c>
      <c r="R67" s="201"/>
      <c r="S67" s="13"/>
      <c r="T67" s="14"/>
      <c r="U67" s="14"/>
      <c r="V67" s="14"/>
      <c r="W67" s="14"/>
      <c r="X67" s="14"/>
      <c r="Y67" s="14"/>
      <c r="Z67" s="14"/>
      <c r="AA67" s="14"/>
    </row>
    <row r="68" spans="1:27" x14ac:dyDescent="0.2">
      <c r="A68" s="13">
        <v>41821</v>
      </c>
      <c r="B68" s="14">
        <f t="shared" si="1"/>
        <v>2014</v>
      </c>
      <c r="C68" s="201">
        <v>659861.19999999995</v>
      </c>
      <c r="D68" s="143">
        <v>6864.4</v>
      </c>
      <c r="E68" s="143">
        <v>6957.8</v>
      </c>
      <c r="F68" s="143">
        <v>3067.1</v>
      </c>
      <c r="G68" s="143">
        <v>3095.5</v>
      </c>
      <c r="H68" s="143">
        <v>383.8</v>
      </c>
      <c r="I68" s="143">
        <v>386.4</v>
      </c>
      <c r="R68" s="201"/>
      <c r="S68" s="13"/>
      <c r="T68" s="14"/>
      <c r="U68" s="14"/>
      <c r="V68" s="14"/>
      <c r="W68" s="14"/>
      <c r="X68" s="14"/>
      <c r="Y68" s="14"/>
      <c r="Z68" s="14"/>
      <c r="AA68" s="14"/>
    </row>
    <row r="69" spans="1:27" x14ac:dyDescent="0.2">
      <c r="A69" s="13">
        <v>41852</v>
      </c>
      <c r="B69" s="14">
        <f t="shared" si="1"/>
        <v>2014</v>
      </c>
      <c r="C69" s="201">
        <v>659861.19999999995</v>
      </c>
      <c r="D69" s="143">
        <v>6869.9</v>
      </c>
      <c r="E69" s="143">
        <v>6969.7</v>
      </c>
      <c r="F69" s="143">
        <v>3056.5</v>
      </c>
      <c r="G69" s="143">
        <v>3094.2</v>
      </c>
      <c r="H69" s="143">
        <v>385.2</v>
      </c>
      <c r="I69" s="143">
        <v>388.9</v>
      </c>
      <c r="R69" s="201"/>
      <c r="S69" s="13"/>
      <c r="T69" s="14"/>
      <c r="U69" s="14"/>
      <c r="V69" s="14"/>
      <c r="W69" s="14"/>
      <c r="X69" s="14"/>
      <c r="Y69" s="14"/>
      <c r="Z69" s="14"/>
      <c r="AA69" s="14"/>
    </row>
    <row r="70" spans="1:27" x14ac:dyDescent="0.2">
      <c r="A70" s="13">
        <v>41883</v>
      </c>
      <c r="B70" s="14">
        <f t="shared" si="1"/>
        <v>2014</v>
      </c>
      <c r="C70" s="201">
        <v>659861.19999999995</v>
      </c>
      <c r="D70" s="143">
        <v>6884.5</v>
      </c>
      <c r="E70" s="143">
        <v>6944.1</v>
      </c>
      <c r="F70" s="143">
        <v>3058.5</v>
      </c>
      <c r="G70" s="143">
        <v>3085.3</v>
      </c>
      <c r="H70" s="143">
        <v>385.2</v>
      </c>
      <c r="I70" s="143">
        <v>386.9</v>
      </c>
      <c r="R70" s="201"/>
      <c r="S70" s="13"/>
      <c r="T70" s="14"/>
      <c r="U70" s="14"/>
      <c r="V70" s="14"/>
      <c r="W70" s="14"/>
      <c r="X70" s="14"/>
      <c r="Y70" s="14"/>
      <c r="Z70" s="14"/>
      <c r="AA70" s="14"/>
    </row>
    <row r="71" spans="1:27" x14ac:dyDescent="0.2">
      <c r="A71" s="13">
        <v>41913</v>
      </c>
      <c r="B71" s="14">
        <f t="shared" si="1"/>
        <v>2014</v>
      </c>
      <c r="C71" s="201">
        <v>659861.19999999995</v>
      </c>
      <c r="D71" s="143">
        <v>6901.5</v>
      </c>
      <c r="E71" s="143">
        <v>6936.6</v>
      </c>
      <c r="F71" s="143">
        <v>3072.7</v>
      </c>
      <c r="G71" s="143">
        <v>3089.4</v>
      </c>
      <c r="H71" s="143">
        <v>385.1</v>
      </c>
      <c r="I71" s="143">
        <v>387.2</v>
      </c>
      <c r="R71" s="201"/>
      <c r="S71" s="13"/>
      <c r="T71" s="14"/>
      <c r="U71" s="14"/>
      <c r="V71" s="14"/>
      <c r="W71" s="14"/>
      <c r="X71" s="14"/>
      <c r="Y71" s="14"/>
      <c r="Z71" s="14"/>
      <c r="AA71" s="14"/>
    </row>
    <row r="72" spans="1:27" x14ac:dyDescent="0.2">
      <c r="A72" s="13">
        <v>41944</v>
      </c>
      <c r="B72" s="14">
        <f t="shared" si="1"/>
        <v>2014</v>
      </c>
      <c r="C72" s="201">
        <v>659861.19999999995</v>
      </c>
      <c r="D72" s="143">
        <v>6907.5</v>
      </c>
      <c r="E72" s="143">
        <v>6914.3</v>
      </c>
      <c r="F72" s="143">
        <v>3082</v>
      </c>
      <c r="G72" s="143">
        <v>3084.8</v>
      </c>
      <c r="H72" s="143">
        <v>383</v>
      </c>
      <c r="I72" s="143">
        <v>384.2</v>
      </c>
      <c r="R72" s="201"/>
      <c r="S72" s="13"/>
      <c r="T72" s="14"/>
      <c r="U72" s="14"/>
      <c r="V72" s="14"/>
      <c r="W72" s="14"/>
      <c r="X72" s="14"/>
      <c r="Y72" s="14"/>
      <c r="Z72" s="14"/>
      <c r="AA72" s="14"/>
    </row>
    <row r="73" spans="1:27" x14ac:dyDescent="0.2">
      <c r="A73" s="13">
        <v>41974</v>
      </c>
      <c r="B73" s="14">
        <f t="shared" si="1"/>
        <v>2014</v>
      </c>
      <c r="C73" s="201">
        <v>659861.19999999995</v>
      </c>
      <c r="D73" s="143">
        <v>6903.1</v>
      </c>
      <c r="E73" s="143">
        <v>6903.2</v>
      </c>
      <c r="F73" s="143">
        <v>3080.1</v>
      </c>
      <c r="G73" s="143">
        <v>3082.8</v>
      </c>
      <c r="H73" s="143">
        <v>380</v>
      </c>
      <c r="I73" s="143">
        <v>382.5</v>
      </c>
      <c r="R73" s="201"/>
      <c r="S73" s="13"/>
      <c r="T73" s="14"/>
      <c r="U73" s="14"/>
      <c r="V73" s="14"/>
      <c r="W73" s="14"/>
      <c r="X73" s="14"/>
      <c r="Y73" s="14"/>
      <c r="Z73" s="14"/>
      <c r="AA73" s="14"/>
    </row>
    <row r="74" spans="1:27" x14ac:dyDescent="0.2">
      <c r="A74" s="13">
        <v>42005</v>
      </c>
      <c r="B74" s="14">
        <f t="shared" si="1"/>
        <v>2015</v>
      </c>
      <c r="C74" s="201">
        <v>677384</v>
      </c>
      <c r="D74" s="143">
        <v>6885.7</v>
      </c>
      <c r="E74" s="143">
        <v>6845.1</v>
      </c>
      <c r="F74" s="143">
        <v>3076.8</v>
      </c>
      <c r="G74" s="143">
        <v>3066.1</v>
      </c>
      <c r="H74" s="143">
        <v>379.5</v>
      </c>
      <c r="I74" s="143">
        <v>379.3</v>
      </c>
      <c r="R74" s="201"/>
      <c r="S74" s="13"/>
      <c r="T74" s="14"/>
      <c r="U74" s="14"/>
      <c r="V74" s="14"/>
      <c r="W74" s="14"/>
      <c r="X74" s="14"/>
      <c r="Y74" s="14"/>
      <c r="Z74" s="14"/>
      <c r="AA74" s="14"/>
    </row>
    <row r="75" spans="1:27" x14ac:dyDescent="0.2">
      <c r="A75" s="13">
        <v>42036</v>
      </c>
      <c r="B75" s="14">
        <f t="shared" si="1"/>
        <v>2015</v>
      </c>
      <c r="C75" s="201">
        <v>677384</v>
      </c>
      <c r="D75" s="143">
        <v>6885.3</v>
      </c>
      <c r="E75" s="143">
        <v>6810.3</v>
      </c>
      <c r="F75" s="143">
        <v>3085.5</v>
      </c>
      <c r="G75" s="143">
        <v>3057.4</v>
      </c>
      <c r="H75" s="143">
        <v>378.6</v>
      </c>
      <c r="I75" s="143">
        <v>376.2</v>
      </c>
      <c r="R75" s="201"/>
      <c r="S75" s="13"/>
      <c r="T75" s="14"/>
      <c r="U75" s="14"/>
      <c r="V75" s="14"/>
      <c r="W75" s="14"/>
      <c r="X75" s="14"/>
      <c r="Y75" s="14"/>
      <c r="Z75" s="14"/>
      <c r="AA75" s="14"/>
    </row>
    <row r="76" spans="1:27" x14ac:dyDescent="0.2">
      <c r="A76" s="13">
        <v>42064</v>
      </c>
      <c r="B76" s="14">
        <f t="shared" si="1"/>
        <v>2015</v>
      </c>
      <c r="C76" s="201">
        <v>677384</v>
      </c>
      <c r="D76" s="143">
        <v>6892.1</v>
      </c>
      <c r="E76" s="143">
        <v>6783.7</v>
      </c>
      <c r="F76" s="143">
        <v>3108.7</v>
      </c>
      <c r="G76" s="143">
        <v>3060.7</v>
      </c>
      <c r="H76" s="143">
        <v>379.4</v>
      </c>
      <c r="I76" s="143">
        <v>373.1</v>
      </c>
      <c r="R76" s="201"/>
      <c r="S76" s="13"/>
      <c r="T76" s="14"/>
      <c r="U76" s="14"/>
      <c r="V76" s="14"/>
      <c r="W76" s="14"/>
      <c r="X76" s="14"/>
      <c r="Y76" s="14"/>
      <c r="Z76" s="14"/>
      <c r="AA76" s="14"/>
    </row>
    <row r="77" spans="1:27" x14ac:dyDescent="0.2">
      <c r="A77" s="13">
        <v>42095</v>
      </c>
      <c r="B77" s="14">
        <f t="shared" si="1"/>
        <v>2015</v>
      </c>
      <c r="C77" s="201">
        <v>677384</v>
      </c>
      <c r="D77" s="143">
        <v>6897.3</v>
      </c>
      <c r="E77" s="143">
        <v>6805.6</v>
      </c>
      <c r="F77" s="143">
        <v>3122.7</v>
      </c>
      <c r="G77" s="143">
        <v>3086.6</v>
      </c>
      <c r="H77" s="143">
        <v>379.6</v>
      </c>
      <c r="I77" s="143">
        <v>374.7</v>
      </c>
      <c r="R77" s="201"/>
      <c r="S77" s="13"/>
      <c r="T77" s="14"/>
      <c r="U77" s="14"/>
      <c r="V77" s="14"/>
      <c r="W77" s="14"/>
      <c r="X77" s="14"/>
      <c r="Y77" s="14"/>
      <c r="Z77" s="14"/>
      <c r="AA77" s="14"/>
    </row>
    <row r="78" spans="1:27" x14ac:dyDescent="0.2">
      <c r="A78" s="13">
        <v>42125</v>
      </c>
      <c r="B78" s="14">
        <f t="shared" si="1"/>
        <v>2015</v>
      </c>
      <c r="C78" s="201">
        <v>677384</v>
      </c>
      <c r="D78" s="143">
        <v>6906.5</v>
      </c>
      <c r="E78" s="143">
        <v>6870.9</v>
      </c>
      <c r="F78" s="143">
        <v>3142.3</v>
      </c>
      <c r="G78" s="143">
        <v>3130.7</v>
      </c>
      <c r="H78" s="143">
        <v>385</v>
      </c>
      <c r="I78" s="143">
        <v>382.4</v>
      </c>
      <c r="R78" s="201"/>
      <c r="S78" s="13"/>
      <c r="T78" s="14"/>
      <c r="U78" s="14"/>
      <c r="V78" s="14"/>
      <c r="W78" s="14"/>
      <c r="X78" s="14"/>
      <c r="Y78" s="14"/>
      <c r="Z78" s="14"/>
      <c r="AA78" s="14"/>
    </row>
    <row r="79" spans="1:27" x14ac:dyDescent="0.2">
      <c r="A79" s="13">
        <v>42156</v>
      </c>
      <c r="B79" s="14">
        <f t="shared" si="1"/>
        <v>2015</v>
      </c>
      <c r="C79" s="201">
        <v>677384</v>
      </c>
      <c r="D79" s="143">
        <v>6921.3</v>
      </c>
      <c r="E79" s="143">
        <v>6965.8</v>
      </c>
      <c r="F79" s="143">
        <v>3163.2</v>
      </c>
      <c r="G79" s="143">
        <v>3182.8</v>
      </c>
      <c r="H79" s="143">
        <v>387.9</v>
      </c>
      <c r="I79" s="143">
        <v>389.3</v>
      </c>
      <c r="R79" s="201"/>
      <c r="S79" s="13"/>
      <c r="T79" s="14"/>
      <c r="U79" s="14"/>
      <c r="V79" s="14"/>
      <c r="W79" s="14"/>
      <c r="X79" s="14"/>
      <c r="Y79" s="14"/>
      <c r="Z79" s="14"/>
      <c r="AA79" s="14"/>
    </row>
    <row r="80" spans="1:27" x14ac:dyDescent="0.2">
      <c r="A80" s="13">
        <v>42186</v>
      </c>
      <c r="B80" s="14">
        <f t="shared" si="1"/>
        <v>2015</v>
      </c>
      <c r="C80" s="201">
        <v>677384</v>
      </c>
      <c r="D80" s="143">
        <v>6941.2</v>
      </c>
      <c r="E80" s="143">
        <v>7032.3</v>
      </c>
      <c r="F80" s="143">
        <v>3194.9</v>
      </c>
      <c r="G80" s="143">
        <v>3226.4</v>
      </c>
      <c r="H80" s="143">
        <v>392.4</v>
      </c>
      <c r="I80" s="143">
        <v>395.3</v>
      </c>
      <c r="R80" s="201"/>
      <c r="S80" s="13"/>
      <c r="T80" s="14"/>
      <c r="U80" s="14"/>
      <c r="V80" s="14"/>
      <c r="W80" s="14"/>
      <c r="X80" s="14"/>
      <c r="Y80" s="14"/>
      <c r="Z80" s="14"/>
      <c r="AA80" s="14"/>
    </row>
    <row r="81" spans="1:27" x14ac:dyDescent="0.2">
      <c r="A81" s="13">
        <v>42217</v>
      </c>
      <c r="B81" s="14">
        <f t="shared" si="1"/>
        <v>2015</v>
      </c>
      <c r="C81" s="201">
        <v>677384</v>
      </c>
      <c r="D81" s="143">
        <v>6949.2</v>
      </c>
      <c r="E81" s="143">
        <v>7045.7</v>
      </c>
      <c r="F81" s="143">
        <v>3214.6</v>
      </c>
      <c r="G81" s="143">
        <v>3251.2</v>
      </c>
      <c r="H81" s="143">
        <v>392.6</v>
      </c>
      <c r="I81" s="143">
        <v>397.2</v>
      </c>
      <c r="R81" s="201"/>
      <c r="S81" s="13"/>
      <c r="T81" s="14"/>
      <c r="U81" s="14"/>
      <c r="V81" s="14"/>
      <c r="W81" s="14"/>
      <c r="X81" s="14"/>
      <c r="Y81" s="14"/>
      <c r="Z81" s="14"/>
      <c r="AA81" s="14"/>
    </row>
    <row r="82" spans="1:27" x14ac:dyDescent="0.2">
      <c r="A82" s="13">
        <v>42248</v>
      </c>
      <c r="B82" s="14">
        <f t="shared" si="1"/>
        <v>2015</v>
      </c>
      <c r="C82" s="201">
        <v>677384</v>
      </c>
      <c r="D82" s="143">
        <v>6941.1</v>
      </c>
      <c r="E82" s="143">
        <v>6994.9</v>
      </c>
      <c r="F82" s="143">
        <v>3220.3</v>
      </c>
      <c r="G82" s="143">
        <v>3243.3</v>
      </c>
      <c r="H82" s="143">
        <v>390.5</v>
      </c>
      <c r="I82" s="143">
        <v>393.9</v>
      </c>
      <c r="R82" s="201"/>
      <c r="S82" s="13"/>
      <c r="T82" s="14"/>
      <c r="U82" s="14"/>
      <c r="V82" s="14"/>
      <c r="W82" s="14"/>
      <c r="X82" s="14"/>
      <c r="Y82" s="14"/>
      <c r="Z82" s="14"/>
      <c r="AA82" s="14"/>
    </row>
    <row r="83" spans="1:27" x14ac:dyDescent="0.2">
      <c r="A83" s="13">
        <v>42278</v>
      </c>
      <c r="B83" s="14">
        <f t="shared" si="1"/>
        <v>2015</v>
      </c>
      <c r="C83" s="201">
        <v>677384</v>
      </c>
      <c r="D83" s="143">
        <v>6934.8</v>
      </c>
      <c r="E83" s="143">
        <v>6969</v>
      </c>
      <c r="F83" s="143">
        <v>3216.5</v>
      </c>
      <c r="G83" s="143">
        <v>3229.5</v>
      </c>
      <c r="H83" s="143">
        <v>385.6</v>
      </c>
      <c r="I83" s="143">
        <v>388.2</v>
      </c>
      <c r="R83" s="201"/>
      <c r="S83" s="13"/>
      <c r="T83" s="14"/>
      <c r="U83" s="14"/>
      <c r="V83" s="14"/>
      <c r="W83" s="14"/>
      <c r="X83" s="14"/>
      <c r="Y83" s="14"/>
      <c r="Z83" s="14"/>
      <c r="AA83" s="14"/>
    </row>
    <row r="84" spans="1:27" x14ac:dyDescent="0.2">
      <c r="A84" s="13">
        <v>42309</v>
      </c>
      <c r="B84" s="14">
        <f t="shared" si="1"/>
        <v>2015</v>
      </c>
      <c r="C84" s="201">
        <v>677384</v>
      </c>
      <c r="D84" s="143">
        <v>6928.3</v>
      </c>
      <c r="E84" s="143">
        <v>6936.9</v>
      </c>
      <c r="F84" s="143">
        <v>3211.5</v>
      </c>
      <c r="G84" s="143">
        <v>3211.5</v>
      </c>
      <c r="H84" s="143">
        <v>384.5</v>
      </c>
      <c r="I84" s="143">
        <v>385.6</v>
      </c>
      <c r="R84" s="201"/>
      <c r="S84" s="13"/>
      <c r="T84" s="14"/>
      <c r="U84" s="14"/>
      <c r="V84" s="14"/>
      <c r="W84" s="14"/>
      <c r="X84" s="14"/>
      <c r="Y84" s="14"/>
      <c r="Z84" s="14"/>
      <c r="AA84" s="14"/>
    </row>
    <row r="85" spans="1:27" x14ac:dyDescent="0.2">
      <c r="A85" s="13">
        <v>42339</v>
      </c>
      <c r="B85" s="14">
        <f t="shared" si="1"/>
        <v>2015</v>
      </c>
      <c r="C85" s="201">
        <v>677384</v>
      </c>
      <c r="D85" s="143">
        <v>6942.8</v>
      </c>
      <c r="E85" s="143">
        <v>6948.2</v>
      </c>
      <c r="F85" s="143">
        <v>3220.1</v>
      </c>
      <c r="G85" s="143">
        <v>3220</v>
      </c>
      <c r="H85" s="143">
        <v>383.7</v>
      </c>
      <c r="I85" s="143">
        <v>385.4</v>
      </c>
      <c r="R85" s="201"/>
      <c r="S85" s="13"/>
      <c r="T85" s="14"/>
      <c r="U85" s="14"/>
      <c r="V85" s="14"/>
      <c r="W85" s="14"/>
      <c r="X85" s="14"/>
      <c r="Y85" s="14"/>
      <c r="Z85" s="14"/>
      <c r="AA85" s="14"/>
    </row>
    <row r="86" spans="1:27" x14ac:dyDescent="0.2">
      <c r="A86" s="13">
        <v>42370</v>
      </c>
      <c r="B86" s="14">
        <f t="shared" si="1"/>
        <v>2016</v>
      </c>
      <c r="C86" s="201">
        <v>692620.80000000005</v>
      </c>
      <c r="D86" s="143">
        <v>6957.7</v>
      </c>
      <c r="E86" s="143">
        <v>6919.2</v>
      </c>
      <c r="F86" s="143">
        <v>3227</v>
      </c>
      <c r="G86" s="143">
        <v>3213.9</v>
      </c>
      <c r="H86" s="143">
        <v>382.6</v>
      </c>
      <c r="I86" s="143">
        <v>381.7</v>
      </c>
      <c r="R86" s="201"/>
      <c r="S86" s="13"/>
      <c r="T86" s="14"/>
      <c r="U86" s="14"/>
      <c r="V86" s="14"/>
      <c r="W86" s="14"/>
      <c r="X86" s="14"/>
      <c r="Y86" s="14"/>
      <c r="Z86" s="14"/>
      <c r="AA86" s="14"/>
    </row>
    <row r="87" spans="1:27" x14ac:dyDescent="0.2">
      <c r="A87" s="13">
        <v>42401</v>
      </c>
      <c r="B87" s="14">
        <f t="shared" si="1"/>
        <v>2016</v>
      </c>
      <c r="C87" s="201">
        <v>692620.80000000005</v>
      </c>
      <c r="D87" s="143">
        <v>6970.6</v>
      </c>
      <c r="E87" s="143">
        <v>6896.8</v>
      </c>
      <c r="F87" s="143">
        <v>3221.1</v>
      </c>
      <c r="G87" s="143">
        <v>3193.2</v>
      </c>
      <c r="H87" s="143">
        <v>384.2</v>
      </c>
      <c r="I87" s="143">
        <v>380.8</v>
      </c>
      <c r="R87" s="201"/>
      <c r="S87" s="13"/>
      <c r="T87" s="14"/>
      <c r="U87" s="14"/>
      <c r="V87" s="14"/>
      <c r="W87" s="14"/>
      <c r="X87" s="14"/>
      <c r="Y87" s="14"/>
      <c r="Z87" s="14"/>
      <c r="AA87" s="14"/>
    </row>
    <row r="88" spans="1:27" x14ac:dyDescent="0.2">
      <c r="A88" s="13">
        <v>42430</v>
      </c>
      <c r="B88" s="14">
        <f t="shared" si="1"/>
        <v>2016</v>
      </c>
      <c r="C88" s="201">
        <v>692620.80000000005</v>
      </c>
      <c r="D88" s="143">
        <v>6978.1</v>
      </c>
      <c r="E88" s="143">
        <v>6872.4</v>
      </c>
      <c r="F88" s="143">
        <v>3210.6</v>
      </c>
      <c r="G88" s="143">
        <v>3165.9</v>
      </c>
      <c r="H88" s="143">
        <v>385.2</v>
      </c>
      <c r="I88" s="143">
        <v>378.9</v>
      </c>
      <c r="R88" s="201"/>
      <c r="S88" s="13"/>
      <c r="T88" s="14"/>
      <c r="U88" s="14"/>
      <c r="V88" s="14"/>
      <c r="W88" s="14"/>
      <c r="X88" s="14"/>
      <c r="Y88" s="14"/>
      <c r="Z88" s="14"/>
      <c r="AA88" s="14"/>
    </row>
    <row r="89" spans="1:27" x14ac:dyDescent="0.2">
      <c r="A89" s="13">
        <v>42461</v>
      </c>
      <c r="B89" s="14">
        <f t="shared" si="1"/>
        <v>2016</v>
      </c>
      <c r="C89" s="201">
        <v>692620.80000000005</v>
      </c>
      <c r="D89" s="143">
        <v>6981.8</v>
      </c>
      <c r="E89" s="143">
        <v>6890.3</v>
      </c>
      <c r="F89" s="143">
        <v>3208.5</v>
      </c>
      <c r="G89" s="143">
        <v>3172.5</v>
      </c>
      <c r="H89" s="143">
        <v>387.9</v>
      </c>
      <c r="I89" s="143">
        <v>383.7</v>
      </c>
      <c r="R89" s="201"/>
      <c r="S89" s="13"/>
      <c r="T89" s="14"/>
      <c r="U89" s="14"/>
      <c r="V89" s="14"/>
      <c r="W89" s="14"/>
      <c r="X89" s="14"/>
      <c r="Y89" s="14"/>
      <c r="Z89" s="14"/>
      <c r="AA89" s="14"/>
    </row>
    <row r="90" spans="1:27" x14ac:dyDescent="0.2">
      <c r="A90" s="13">
        <v>42491</v>
      </c>
      <c r="B90" s="14">
        <f t="shared" si="1"/>
        <v>2016</v>
      </c>
      <c r="C90" s="201">
        <v>692620.80000000005</v>
      </c>
      <c r="D90" s="143">
        <v>6994.4</v>
      </c>
      <c r="E90" s="143">
        <v>6962.5</v>
      </c>
      <c r="F90" s="143">
        <v>3217.7</v>
      </c>
      <c r="G90" s="143">
        <v>3207.8</v>
      </c>
      <c r="H90" s="143">
        <v>383.2</v>
      </c>
      <c r="I90" s="143">
        <v>382.3</v>
      </c>
      <c r="R90" s="201"/>
      <c r="S90" s="13"/>
      <c r="T90" s="14"/>
      <c r="U90" s="14"/>
      <c r="V90" s="14"/>
      <c r="W90" s="14"/>
      <c r="X90" s="14"/>
      <c r="Y90" s="14"/>
      <c r="Z90" s="14"/>
      <c r="AA90" s="14"/>
    </row>
    <row r="91" spans="1:27" x14ac:dyDescent="0.2">
      <c r="A91" s="13">
        <v>42522</v>
      </c>
      <c r="B91" s="14">
        <f t="shared" si="1"/>
        <v>2016</v>
      </c>
      <c r="C91" s="201">
        <v>692620.80000000005</v>
      </c>
      <c r="D91" s="143">
        <v>7001.9</v>
      </c>
      <c r="E91" s="143">
        <v>7047.3</v>
      </c>
      <c r="F91" s="143">
        <v>3230.3</v>
      </c>
      <c r="G91" s="143">
        <v>3251.8</v>
      </c>
      <c r="H91" s="143">
        <v>382.1</v>
      </c>
      <c r="I91" s="143">
        <v>384.6</v>
      </c>
      <c r="R91" s="201"/>
      <c r="S91" s="13"/>
      <c r="T91" s="14"/>
      <c r="U91" s="14"/>
      <c r="V91" s="14"/>
      <c r="W91" s="14"/>
      <c r="X91" s="14"/>
      <c r="Y91" s="14"/>
      <c r="Z91" s="14"/>
      <c r="AA91" s="14"/>
    </row>
    <row r="92" spans="1:27" x14ac:dyDescent="0.2">
      <c r="A92" s="13">
        <v>42552</v>
      </c>
      <c r="B92" s="14">
        <f t="shared" si="1"/>
        <v>2016</v>
      </c>
      <c r="C92" s="201">
        <v>692620.80000000005</v>
      </c>
      <c r="D92" s="143">
        <v>6995.7</v>
      </c>
      <c r="E92" s="143">
        <v>7090.8</v>
      </c>
      <c r="F92" s="143">
        <v>3229.4</v>
      </c>
      <c r="G92" s="143">
        <v>3265.5</v>
      </c>
      <c r="H92" s="143">
        <v>379.1</v>
      </c>
      <c r="I92" s="143">
        <v>382.2</v>
      </c>
      <c r="R92" s="201"/>
      <c r="S92" s="13"/>
      <c r="T92" s="14"/>
      <c r="U92" s="14"/>
      <c r="V92" s="14"/>
      <c r="W92" s="14"/>
      <c r="X92" s="14"/>
      <c r="Y92" s="14"/>
      <c r="Z92" s="14"/>
      <c r="AA92" s="14"/>
    </row>
    <row r="93" spans="1:27" x14ac:dyDescent="0.2">
      <c r="A93" s="13">
        <v>42583</v>
      </c>
      <c r="B93" s="14">
        <f t="shared" si="1"/>
        <v>2016</v>
      </c>
      <c r="C93" s="201">
        <v>692620.80000000005</v>
      </c>
      <c r="D93" s="143">
        <v>6990.6</v>
      </c>
      <c r="E93" s="143">
        <v>7083.3</v>
      </c>
      <c r="F93" s="143">
        <v>3224.8</v>
      </c>
      <c r="G93" s="143">
        <v>3263</v>
      </c>
      <c r="H93" s="143">
        <v>379.5</v>
      </c>
      <c r="I93" s="143">
        <v>380.6</v>
      </c>
      <c r="R93" s="201"/>
      <c r="S93" s="13"/>
      <c r="T93" s="14"/>
      <c r="U93" s="14"/>
      <c r="V93" s="14"/>
      <c r="W93" s="14"/>
      <c r="X93" s="14"/>
      <c r="Y93" s="14"/>
      <c r="Z93" s="14"/>
      <c r="AA93" s="14"/>
    </row>
    <row r="94" spans="1:27" x14ac:dyDescent="0.2">
      <c r="A94" s="13">
        <v>42614</v>
      </c>
      <c r="B94" s="14">
        <f t="shared" si="1"/>
        <v>2016</v>
      </c>
      <c r="C94" s="201">
        <v>692620.80000000005</v>
      </c>
      <c r="D94" s="143">
        <v>6988.9</v>
      </c>
      <c r="E94" s="143">
        <v>7037</v>
      </c>
      <c r="F94" s="143">
        <v>3216.9</v>
      </c>
      <c r="G94" s="143">
        <v>3236.1</v>
      </c>
      <c r="H94" s="143">
        <v>382.3</v>
      </c>
      <c r="I94" s="143">
        <v>381.7</v>
      </c>
      <c r="R94" s="201"/>
      <c r="S94" s="13"/>
      <c r="T94" s="14"/>
      <c r="U94" s="14"/>
      <c r="V94" s="14"/>
      <c r="W94" s="14"/>
      <c r="X94" s="14"/>
      <c r="Y94" s="14"/>
      <c r="Z94" s="14"/>
      <c r="AA94" s="14"/>
    </row>
    <row r="95" spans="1:27" x14ac:dyDescent="0.2">
      <c r="A95" s="13">
        <v>42644</v>
      </c>
      <c r="B95" s="14">
        <f t="shared" si="1"/>
        <v>2016</v>
      </c>
      <c r="C95" s="201">
        <v>692620.80000000005</v>
      </c>
      <c r="D95" s="143">
        <v>7006.2</v>
      </c>
      <c r="E95" s="143">
        <v>7033.4</v>
      </c>
      <c r="F95" s="143">
        <v>3209.8</v>
      </c>
      <c r="G95" s="143">
        <v>3217.5</v>
      </c>
      <c r="H95" s="143">
        <v>386.2</v>
      </c>
      <c r="I95" s="143">
        <v>384.6</v>
      </c>
      <c r="R95" s="201"/>
      <c r="S95" s="13"/>
      <c r="T95" s="14"/>
      <c r="U95" s="14"/>
      <c r="V95" s="14"/>
      <c r="W95" s="14"/>
      <c r="X95" s="14"/>
      <c r="Y95" s="14"/>
      <c r="Z95" s="14"/>
      <c r="AA95" s="14"/>
    </row>
    <row r="96" spans="1:27" x14ac:dyDescent="0.2">
      <c r="A96" s="13">
        <v>42675</v>
      </c>
      <c r="B96" s="14">
        <f t="shared" si="1"/>
        <v>2016</v>
      </c>
      <c r="C96" s="201">
        <v>692620.80000000005</v>
      </c>
      <c r="D96" s="143">
        <v>7018.5</v>
      </c>
      <c r="E96" s="143">
        <v>7026.9</v>
      </c>
      <c r="F96" s="143">
        <v>3207.3</v>
      </c>
      <c r="G96" s="143">
        <v>3203.3</v>
      </c>
      <c r="H96" s="143">
        <v>392.2</v>
      </c>
      <c r="I96" s="143">
        <v>391.8</v>
      </c>
      <c r="R96" s="201"/>
      <c r="S96" s="13"/>
      <c r="T96" s="14"/>
      <c r="U96" s="14"/>
      <c r="V96" s="14"/>
      <c r="W96" s="14"/>
      <c r="X96" s="14"/>
      <c r="Y96" s="14"/>
      <c r="Z96" s="14"/>
      <c r="AA96" s="14"/>
    </row>
    <row r="97" spans="1:27" x14ac:dyDescent="0.2">
      <c r="A97" s="13">
        <v>42705</v>
      </c>
      <c r="B97" s="14">
        <f t="shared" si="1"/>
        <v>2016</v>
      </c>
      <c r="C97" s="201">
        <v>692620.80000000005</v>
      </c>
      <c r="D97" s="143">
        <v>7028.8</v>
      </c>
      <c r="E97" s="143">
        <v>7041.6</v>
      </c>
      <c r="F97" s="143">
        <v>3203.9</v>
      </c>
      <c r="G97" s="143">
        <v>3206.3</v>
      </c>
      <c r="H97" s="143">
        <v>397.1</v>
      </c>
      <c r="I97" s="143">
        <v>398</v>
      </c>
      <c r="R97" s="201"/>
      <c r="S97" s="13"/>
      <c r="T97" s="14"/>
      <c r="U97" s="14"/>
      <c r="V97" s="14"/>
      <c r="W97" s="14"/>
      <c r="X97" s="14"/>
      <c r="Y97" s="14"/>
      <c r="Z97" s="14"/>
      <c r="AA97" s="14"/>
    </row>
    <row r="98" spans="1:27" x14ac:dyDescent="0.2">
      <c r="A98" s="13">
        <v>42736</v>
      </c>
      <c r="B98" s="14">
        <f t="shared" si="1"/>
        <v>2017</v>
      </c>
      <c r="C98" s="201">
        <v>713254.1</v>
      </c>
      <c r="D98" s="143">
        <v>7045.6</v>
      </c>
      <c r="E98" s="143">
        <v>7018.6</v>
      </c>
      <c r="F98" s="143">
        <v>3213.3</v>
      </c>
      <c r="G98" s="143">
        <v>3203.7</v>
      </c>
      <c r="H98" s="143">
        <v>398.1</v>
      </c>
      <c r="I98" s="143">
        <v>397.6</v>
      </c>
      <c r="R98" s="201"/>
      <c r="S98" s="13"/>
      <c r="T98" s="14"/>
      <c r="U98" s="14"/>
      <c r="V98" s="14"/>
      <c r="W98" s="14"/>
      <c r="X98" s="14"/>
      <c r="Y98" s="14"/>
      <c r="Z98" s="14"/>
      <c r="AA98" s="14"/>
    </row>
    <row r="99" spans="1:27" x14ac:dyDescent="0.2">
      <c r="A99" s="13">
        <v>42767</v>
      </c>
      <c r="B99" s="14">
        <f t="shared" si="1"/>
        <v>2017</v>
      </c>
      <c r="C99" s="201">
        <v>713254.1</v>
      </c>
      <c r="D99" s="143">
        <v>7060.7</v>
      </c>
      <c r="E99" s="143">
        <v>6996</v>
      </c>
      <c r="F99" s="143">
        <v>3230.3</v>
      </c>
      <c r="G99" s="143">
        <v>3206.5</v>
      </c>
      <c r="H99" s="143">
        <v>398.6</v>
      </c>
      <c r="I99" s="143">
        <v>396.1</v>
      </c>
      <c r="R99" s="201"/>
      <c r="S99" s="13"/>
      <c r="T99" s="14"/>
      <c r="U99" s="14"/>
      <c r="V99" s="14"/>
      <c r="W99" s="14"/>
      <c r="X99" s="14"/>
      <c r="Y99" s="14"/>
      <c r="Z99" s="14"/>
      <c r="AA99" s="14"/>
    </row>
    <row r="100" spans="1:27" x14ac:dyDescent="0.2">
      <c r="A100" s="13">
        <v>42795</v>
      </c>
      <c r="B100" s="14">
        <f t="shared" si="1"/>
        <v>2017</v>
      </c>
      <c r="C100" s="201">
        <v>713254.1</v>
      </c>
      <c r="D100" s="143">
        <v>7074.2</v>
      </c>
      <c r="E100" s="143">
        <v>6972</v>
      </c>
      <c r="F100" s="143">
        <v>3247.6</v>
      </c>
      <c r="G100" s="143">
        <v>3204.7</v>
      </c>
      <c r="H100" s="143">
        <v>402</v>
      </c>
      <c r="I100" s="143">
        <v>396.5</v>
      </c>
      <c r="R100" s="201"/>
      <c r="S100" s="13"/>
      <c r="T100" s="14"/>
      <c r="U100" s="14"/>
      <c r="V100" s="14"/>
      <c r="W100" s="14"/>
      <c r="X100" s="14"/>
      <c r="Y100" s="14"/>
      <c r="Z100" s="14"/>
      <c r="AA100" s="14"/>
    </row>
    <row r="101" spans="1:27" x14ac:dyDescent="0.2">
      <c r="A101" s="13">
        <v>42826</v>
      </c>
      <c r="B101" s="14">
        <f t="shared" si="1"/>
        <v>2017</v>
      </c>
      <c r="C101" s="201">
        <v>713254.1</v>
      </c>
      <c r="D101" s="143">
        <v>7074.8</v>
      </c>
      <c r="E101" s="143">
        <v>6982.8</v>
      </c>
      <c r="F101" s="143">
        <v>3257.7</v>
      </c>
      <c r="G101" s="143">
        <v>3222.4</v>
      </c>
      <c r="H101" s="143">
        <v>411</v>
      </c>
      <c r="I101" s="143">
        <v>406.8</v>
      </c>
      <c r="R101" s="201"/>
      <c r="S101" s="13"/>
      <c r="T101" s="14"/>
      <c r="U101" s="14"/>
      <c r="V101" s="14"/>
      <c r="W101" s="14"/>
      <c r="X101" s="14"/>
      <c r="Y101" s="14"/>
      <c r="Z101" s="14"/>
      <c r="AA101" s="14"/>
    </row>
    <row r="102" spans="1:27" x14ac:dyDescent="0.2">
      <c r="A102" s="13">
        <v>42856</v>
      </c>
      <c r="B102" s="14">
        <f t="shared" si="1"/>
        <v>2017</v>
      </c>
      <c r="C102" s="201">
        <v>713254.1</v>
      </c>
      <c r="D102" s="143">
        <v>7080.7</v>
      </c>
      <c r="E102" s="143">
        <v>7047.4</v>
      </c>
      <c r="F102" s="143">
        <v>3266.8</v>
      </c>
      <c r="G102" s="143">
        <v>3255.9</v>
      </c>
      <c r="H102" s="143">
        <v>416.7</v>
      </c>
      <c r="I102" s="143">
        <v>414.8</v>
      </c>
      <c r="R102" s="201"/>
      <c r="S102" s="13"/>
      <c r="T102" s="14"/>
      <c r="U102" s="14"/>
      <c r="V102" s="14"/>
      <c r="W102" s="14"/>
      <c r="X102" s="14"/>
      <c r="Y102" s="14"/>
      <c r="Z102" s="14"/>
      <c r="AA102" s="14"/>
    </row>
    <row r="103" spans="1:27" x14ac:dyDescent="0.2">
      <c r="A103" s="13">
        <v>42887</v>
      </c>
      <c r="B103" s="14">
        <f t="shared" si="1"/>
        <v>2017</v>
      </c>
      <c r="C103" s="201">
        <v>713254.1</v>
      </c>
      <c r="D103" s="143">
        <v>7085.4</v>
      </c>
      <c r="E103" s="143">
        <v>7129.6</v>
      </c>
      <c r="F103" s="143">
        <v>3268.7</v>
      </c>
      <c r="G103" s="143">
        <v>3289.1</v>
      </c>
      <c r="H103" s="143">
        <v>417.8</v>
      </c>
      <c r="I103" s="143">
        <v>419.3</v>
      </c>
      <c r="R103" s="201"/>
      <c r="S103" s="13"/>
      <c r="T103" s="14"/>
      <c r="U103" s="14"/>
      <c r="V103" s="14"/>
      <c r="W103" s="14"/>
      <c r="X103" s="14"/>
      <c r="Y103" s="14"/>
      <c r="Z103" s="14"/>
      <c r="AA103" s="14"/>
    </row>
    <row r="104" spans="1:27" x14ac:dyDescent="0.2">
      <c r="A104" s="13">
        <v>42917</v>
      </c>
      <c r="B104" s="14">
        <f t="shared" si="1"/>
        <v>2017</v>
      </c>
      <c r="C104" s="201">
        <v>713254.1</v>
      </c>
      <c r="D104" s="143">
        <v>7099.9</v>
      </c>
      <c r="E104" s="143">
        <v>7195</v>
      </c>
      <c r="F104" s="143">
        <v>3270</v>
      </c>
      <c r="G104" s="143">
        <v>3308.7</v>
      </c>
      <c r="H104" s="143">
        <v>421.3</v>
      </c>
      <c r="I104" s="143">
        <v>422.9</v>
      </c>
      <c r="R104" s="201"/>
      <c r="S104" s="13"/>
      <c r="T104" s="14"/>
      <c r="U104" s="14"/>
      <c r="V104" s="14"/>
      <c r="W104" s="14"/>
      <c r="X104" s="14"/>
      <c r="Y104" s="14"/>
      <c r="Z104" s="14"/>
      <c r="AA104" s="14"/>
    </row>
    <row r="105" spans="1:27" x14ac:dyDescent="0.2">
      <c r="A105" s="13">
        <v>42948</v>
      </c>
      <c r="B105" s="14">
        <f t="shared" si="1"/>
        <v>2017</v>
      </c>
      <c r="C105" s="201">
        <v>713254.1</v>
      </c>
      <c r="D105" s="143">
        <v>7121.3</v>
      </c>
      <c r="E105" s="143">
        <v>7213.7</v>
      </c>
      <c r="F105" s="143">
        <v>3278.6</v>
      </c>
      <c r="G105" s="143">
        <v>3315.2</v>
      </c>
      <c r="H105" s="143">
        <v>427.8</v>
      </c>
      <c r="I105" s="143">
        <v>429.1</v>
      </c>
      <c r="R105" s="201"/>
      <c r="S105" s="13"/>
      <c r="T105" s="14"/>
      <c r="U105" s="14"/>
      <c r="V105" s="14"/>
      <c r="W105" s="14"/>
      <c r="X105" s="14"/>
      <c r="Y105" s="14"/>
      <c r="Z105" s="14"/>
      <c r="AA105" s="14"/>
    </row>
    <row r="106" spans="1:27" x14ac:dyDescent="0.2">
      <c r="A106" s="13">
        <v>42979</v>
      </c>
      <c r="B106" s="14">
        <f t="shared" si="1"/>
        <v>2017</v>
      </c>
      <c r="C106" s="201">
        <v>713254.1</v>
      </c>
      <c r="D106" s="143">
        <v>7150.1</v>
      </c>
      <c r="E106" s="143">
        <v>7197</v>
      </c>
      <c r="F106" s="143">
        <v>3297.7</v>
      </c>
      <c r="G106" s="143">
        <v>3313.7</v>
      </c>
      <c r="H106" s="143">
        <v>432.9</v>
      </c>
      <c r="I106" s="143">
        <v>432.4</v>
      </c>
      <c r="R106" s="201"/>
      <c r="S106" s="13"/>
      <c r="T106" s="14"/>
      <c r="U106" s="14"/>
      <c r="V106" s="14"/>
      <c r="W106" s="14"/>
      <c r="X106" s="14"/>
      <c r="Y106" s="14"/>
      <c r="Z106" s="14"/>
      <c r="AA106" s="14"/>
    </row>
    <row r="107" spans="1:27" x14ac:dyDescent="0.2">
      <c r="A107" s="13">
        <v>43009</v>
      </c>
      <c r="B107" s="14">
        <f t="shared" si="1"/>
        <v>2017</v>
      </c>
      <c r="C107" s="201">
        <v>713254.1</v>
      </c>
      <c r="D107" s="143">
        <v>7170.5</v>
      </c>
      <c r="E107" s="143">
        <v>7193.7</v>
      </c>
      <c r="F107" s="143">
        <v>3320.8</v>
      </c>
      <c r="G107" s="143">
        <v>3320.5</v>
      </c>
      <c r="H107" s="143">
        <v>430.7</v>
      </c>
      <c r="I107" s="143">
        <v>430.3</v>
      </c>
      <c r="R107" s="201"/>
      <c r="S107" s="13"/>
      <c r="T107" s="14"/>
      <c r="U107" s="14"/>
      <c r="V107" s="14"/>
      <c r="W107" s="14"/>
      <c r="X107" s="14"/>
      <c r="Y107" s="14"/>
      <c r="Z107" s="14"/>
      <c r="AA107" s="14"/>
    </row>
    <row r="108" spans="1:27" x14ac:dyDescent="0.2">
      <c r="A108" s="13">
        <v>43040</v>
      </c>
      <c r="B108" s="14">
        <f t="shared" si="1"/>
        <v>2017</v>
      </c>
      <c r="C108" s="201">
        <v>713254.1</v>
      </c>
      <c r="D108" s="143">
        <v>7189.6</v>
      </c>
      <c r="E108" s="143">
        <v>7194.2</v>
      </c>
      <c r="F108" s="143">
        <v>3335.4</v>
      </c>
      <c r="G108" s="143">
        <v>3326.2</v>
      </c>
      <c r="H108" s="143">
        <v>426.2</v>
      </c>
      <c r="I108" s="143">
        <v>426.2</v>
      </c>
      <c r="R108" s="201"/>
      <c r="S108" s="13"/>
      <c r="T108" s="14"/>
      <c r="U108" s="14"/>
      <c r="V108" s="14"/>
      <c r="W108" s="14"/>
      <c r="X108" s="14"/>
      <c r="Y108" s="14"/>
      <c r="Z108" s="14"/>
      <c r="AA108" s="14"/>
    </row>
    <row r="109" spans="1:27" x14ac:dyDescent="0.2">
      <c r="A109" s="13">
        <v>43070</v>
      </c>
      <c r="B109" s="14">
        <f t="shared" si="1"/>
        <v>2017</v>
      </c>
      <c r="C109" s="201">
        <v>713254.1</v>
      </c>
      <c r="D109" s="143">
        <v>7203.1</v>
      </c>
      <c r="E109" s="143">
        <v>7213.4</v>
      </c>
      <c r="F109" s="143">
        <v>3352.3</v>
      </c>
      <c r="G109" s="143">
        <v>3351</v>
      </c>
      <c r="H109" s="143">
        <v>421.4</v>
      </c>
      <c r="I109" s="143">
        <v>423.3</v>
      </c>
      <c r="R109" s="201"/>
      <c r="S109" s="13"/>
      <c r="T109" s="14"/>
      <c r="U109" s="14"/>
      <c r="V109" s="14"/>
      <c r="W109" s="14"/>
      <c r="X109" s="14"/>
      <c r="Y109" s="14"/>
      <c r="Z109" s="14"/>
      <c r="AA109" s="14"/>
    </row>
    <row r="110" spans="1:27" x14ac:dyDescent="0.2">
      <c r="A110" s="13">
        <v>43101</v>
      </c>
      <c r="B110" s="14">
        <f t="shared" si="1"/>
        <v>2018</v>
      </c>
      <c r="C110" s="201">
        <v>730276.2</v>
      </c>
      <c r="D110" s="143">
        <v>7199.8</v>
      </c>
      <c r="E110" s="143">
        <v>7172.6</v>
      </c>
      <c r="F110" s="143">
        <v>3357.1</v>
      </c>
      <c r="G110" s="143">
        <v>3347.1</v>
      </c>
      <c r="H110" s="143">
        <v>420.4</v>
      </c>
      <c r="I110" s="143">
        <v>420.7</v>
      </c>
      <c r="R110" s="201"/>
      <c r="S110" s="13"/>
      <c r="T110" s="14"/>
      <c r="U110" s="14"/>
      <c r="V110" s="14"/>
      <c r="W110" s="14"/>
      <c r="X110" s="14"/>
      <c r="Y110" s="14"/>
      <c r="Z110" s="14"/>
      <c r="AA110" s="14"/>
    </row>
    <row r="111" spans="1:27" x14ac:dyDescent="0.2">
      <c r="A111" s="13">
        <v>43132</v>
      </c>
      <c r="B111" s="14">
        <f t="shared" si="1"/>
        <v>2018</v>
      </c>
      <c r="C111" s="201">
        <v>730276.2</v>
      </c>
      <c r="D111" s="143">
        <v>7189.2</v>
      </c>
      <c r="E111" s="143">
        <v>7125.8</v>
      </c>
      <c r="F111" s="143">
        <v>3356.1</v>
      </c>
      <c r="G111" s="143">
        <v>3334.6</v>
      </c>
      <c r="H111" s="143">
        <v>415.9</v>
      </c>
      <c r="I111" s="143">
        <v>413.8</v>
      </c>
      <c r="R111" s="201"/>
      <c r="S111" s="13"/>
      <c r="T111" s="14"/>
      <c r="U111" s="14"/>
      <c r="V111" s="14"/>
      <c r="W111" s="14"/>
      <c r="X111" s="14"/>
      <c r="Y111" s="14"/>
      <c r="Z111" s="14"/>
      <c r="AA111" s="14"/>
    </row>
    <row r="112" spans="1:27" x14ac:dyDescent="0.2">
      <c r="A112" s="13">
        <v>43160</v>
      </c>
      <c r="B112" s="14">
        <f t="shared" si="1"/>
        <v>2018</v>
      </c>
      <c r="C112" s="201">
        <v>730276.2</v>
      </c>
      <c r="D112" s="143">
        <v>7185</v>
      </c>
      <c r="E112" s="143">
        <v>7082.3</v>
      </c>
      <c r="F112" s="143">
        <v>3345.3</v>
      </c>
      <c r="G112" s="143">
        <v>3305.7</v>
      </c>
      <c r="H112" s="143">
        <v>413.4</v>
      </c>
      <c r="I112" s="143">
        <v>407.7</v>
      </c>
      <c r="R112" s="201"/>
      <c r="S112" s="13"/>
      <c r="T112" s="14"/>
      <c r="U112" s="14"/>
      <c r="V112" s="14"/>
      <c r="W112" s="14"/>
      <c r="X112" s="14"/>
      <c r="Y112" s="14"/>
      <c r="Z112" s="14"/>
      <c r="AA112" s="14"/>
    </row>
    <row r="113" spans="1:27" x14ac:dyDescent="0.2">
      <c r="A113" s="13">
        <v>43191</v>
      </c>
      <c r="B113" s="14">
        <f t="shared" si="1"/>
        <v>2018</v>
      </c>
      <c r="C113" s="201">
        <v>730276.2</v>
      </c>
      <c r="D113" s="143">
        <v>7198.2</v>
      </c>
      <c r="E113" s="143">
        <v>7108.4</v>
      </c>
      <c r="F113" s="143">
        <v>3338.5</v>
      </c>
      <c r="G113" s="143">
        <v>3307.1</v>
      </c>
      <c r="H113" s="143">
        <v>410</v>
      </c>
      <c r="I113" s="143">
        <v>403.8</v>
      </c>
      <c r="R113" s="201"/>
      <c r="S113" s="13"/>
      <c r="T113" s="14"/>
      <c r="U113" s="14"/>
      <c r="V113" s="14"/>
      <c r="W113" s="14"/>
      <c r="X113" s="14"/>
      <c r="Y113" s="14"/>
      <c r="Z113" s="14"/>
      <c r="AA113" s="14"/>
    </row>
    <row r="114" spans="1:27" x14ac:dyDescent="0.2">
      <c r="A114" s="13">
        <v>43221</v>
      </c>
      <c r="B114" s="14">
        <f t="shared" si="1"/>
        <v>2018</v>
      </c>
      <c r="C114" s="201">
        <v>730276.2</v>
      </c>
      <c r="D114" s="143">
        <v>7208.1</v>
      </c>
      <c r="E114" s="143">
        <v>7174.7</v>
      </c>
      <c r="F114" s="143">
        <v>3335</v>
      </c>
      <c r="G114" s="143">
        <v>3326.5</v>
      </c>
      <c r="H114" s="143">
        <v>412.2</v>
      </c>
      <c r="I114" s="143">
        <v>408.1</v>
      </c>
      <c r="R114" s="201"/>
      <c r="S114" s="13"/>
      <c r="T114" s="14"/>
      <c r="U114" s="14"/>
      <c r="V114" s="14"/>
      <c r="W114" s="14"/>
      <c r="X114" s="14"/>
      <c r="Y114" s="14"/>
      <c r="Z114" s="14"/>
      <c r="AA114" s="14"/>
    </row>
    <row r="115" spans="1:27" x14ac:dyDescent="0.2">
      <c r="A115" s="13">
        <v>43252</v>
      </c>
      <c r="B115" s="14">
        <f t="shared" si="1"/>
        <v>2018</v>
      </c>
      <c r="C115" s="201">
        <v>730276.2</v>
      </c>
      <c r="D115" s="143">
        <v>7224.1</v>
      </c>
      <c r="E115" s="143">
        <v>7269.2</v>
      </c>
      <c r="F115" s="143">
        <v>3341.9</v>
      </c>
      <c r="G115" s="143">
        <v>3363.4</v>
      </c>
      <c r="H115" s="143">
        <v>414.9</v>
      </c>
      <c r="I115" s="143">
        <v>414.3</v>
      </c>
      <c r="R115" s="201"/>
      <c r="S115" s="13"/>
      <c r="T115" s="14"/>
      <c r="U115" s="14"/>
      <c r="V115" s="14"/>
      <c r="W115" s="14"/>
      <c r="X115" s="14"/>
      <c r="Y115" s="14"/>
      <c r="Z115" s="14"/>
      <c r="AA115" s="14"/>
    </row>
    <row r="116" spans="1:27" x14ac:dyDescent="0.2">
      <c r="A116" s="13">
        <v>43282</v>
      </c>
      <c r="B116" s="14">
        <f t="shared" si="1"/>
        <v>2018</v>
      </c>
      <c r="C116" s="201">
        <v>730276.2</v>
      </c>
      <c r="D116" s="143">
        <v>7258.6</v>
      </c>
      <c r="E116" s="143">
        <v>7352.5</v>
      </c>
      <c r="F116" s="143">
        <v>3357.7</v>
      </c>
      <c r="G116" s="143">
        <v>3397.6</v>
      </c>
      <c r="H116" s="143">
        <v>416.4</v>
      </c>
      <c r="I116" s="143">
        <v>418.9</v>
      </c>
      <c r="R116" s="201"/>
      <c r="S116" s="13"/>
      <c r="T116" s="14"/>
      <c r="U116" s="14"/>
      <c r="V116" s="14"/>
      <c r="W116" s="14"/>
      <c r="X116" s="14"/>
      <c r="Y116" s="14"/>
      <c r="Z116" s="14"/>
      <c r="AA116" s="14"/>
    </row>
    <row r="117" spans="1:27" x14ac:dyDescent="0.2">
      <c r="A117" s="13">
        <v>43313</v>
      </c>
      <c r="B117" s="14">
        <f t="shared" si="1"/>
        <v>2018</v>
      </c>
      <c r="C117" s="201">
        <v>730276.2</v>
      </c>
      <c r="D117" s="143">
        <v>7264.8</v>
      </c>
      <c r="E117" s="143">
        <v>7356</v>
      </c>
      <c r="F117" s="143">
        <v>3354.6</v>
      </c>
      <c r="G117" s="143">
        <v>3390.3</v>
      </c>
      <c r="H117" s="143">
        <v>413.1</v>
      </c>
      <c r="I117" s="143">
        <v>416.3</v>
      </c>
      <c r="R117" s="201"/>
      <c r="S117" s="13"/>
      <c r="T117" s="14"/>
      <c r="U117" s="14"/>
      <c r="V117" s="14"/>
      <c r="W117" s="14"/>
      <c r="X117" s="14"/>
      <c r="Y117" s="14"/>
      <c r="Z117" s="14"/>
      <c r="AA117" s="14"/>
    </row>
    <row r="118" spans="1:27" x14ac:dyDescent="0.2">
      <c r="A118" s="13">
        <v>43344</v>
      </c>
      <c r="B118" s="14">
        <f t="shared" si="1"/>
        <v>2018</v>
      </c>
      <c r="C118" s="201">
        <v>730276.2</v>
      </c>
      <c r="D118" s="143">
        <v>7268.1</v>
      </c>
      <c r="E118" s="143">
        <v>7315.2</v>
      </c>
      <c r="F118" s="143">
        <v>3347.2</v>
      </c>
      <c r="G118" s="143">
        <v>3361.9</v>
      </c>
      <c r="H118" s="143">
        <v>411.2</v>
      </c>
      <c r="I118" s="143">
        <v>412.4</v>
      </c>
      <c r="R118" s="201"/>
      <c r="S118" s="13"/>
      <c r="T118" s="14"/>
      <c r="U118" s="14"/>
      <c r="V118" s="14"/>
      <c r="W118" s="14"/>
      <c r="X118" s="14"/>
      <c r="Y118" s="14"/>
      <c r="Z118" s="14"/>
      <c r="AA118" s="14"/>
    </row>
    <row r="119" spans="1:27" x14ac:dyDescent="0.2">
      <c r="A119" s="13">
        <v>43374</v>
      </c>
      <c r="B119" s="14">
        <f t="shared" si="1"/>
        <v>2018</v>
      </c>
      <c r="C119" s="201">
        <v>730276.2</v>
      </c>
      <c r="D119" s="143">
        <v>7253</v>
      </c>
      <c r="E119" s="143">
        <v>7274.4</v>
      </c>
      <c r="F119" s="143">
        <v>3346.6</v>
      </c>
      <c r="G119" s="143">
        <v>3341.9</v>
      </c>
      <c r="H119" s="143">
        <v>411.9</v>
      </c>
      <c r="I119" s="143">
        <v>412.1</v>
      </c>
      <c r="R119" s="201"/>
      <c r="S119" s="13"/>
      <c r="T119" s="14"/>
      <c r="U119" s="14"/>
      <c r="V119" s="14"/>
      <c r="W119" s="14"/>
      <c r="X119" s="14"/>
      <c r="Y119" s="14"/>
      <c r="Z119" s="14"/>
      <c r="AA119" s="14"/>
    </row>
    <row r="120" spans="1:27" x14ac:dyDescent="0.2">
      <c r="A120" s="13">
        <v>43405</v>
      </c>
      <c r="B120" s="14">
        <f t="shared" si="1"/>
        <v>2018</v>
      </c>
      <c r="C120" s="201">
        <v>730276.2</v>
      </c>
      <c r="D120" s="143">
        <v>7273.5</v>
      </c>
      <c r="E120" s="143">
        <v>7279</v>
      </c>
      <c r="F120" s="143">
        <v>3365.9</v>
      </c>
      <c r="G120" s="143">
        <v>3354.2</v>
      </c>
      <c r="H120" s="143">
        <v>416</v>
      </c>
      <c r="I120" s="143">
        <v>415.5</v>
      </c>
      <c r="R120" s="201"/>
      <c r="S120" s="13"/>
      <c r="T120" s="14"/>
      <c r="U120" s="14"/>
      <c r="V120" s="14"/>
      <c r="W120" s="14"/>
      <c r="X120" s="14"/>
      <c r="Y120" s="14"/>
      <c r="Z120" s="14"/>
      <c r="AA120" s="14"/>
    </row>
    <row r="121" spans="1:27" x14ac:dyDescent="0.2">
      <c r="A121" s="13">
        <v>43435</v>
      </c>
      <c r="B121" s="14">
        <f t="shared" si="1"/>
        <v>2018</v>
      </c>
      <c r="C121" s="201">
        <v>730276.2</v>
      </c>
      <c r="D121" s="143">
        <v>7289.2</v>
      </c>
      <c r="E121" s="143">
        <v>7302.7</v>
      </c>
      <c r="F121" s="143">
        <v>3382.8</v>
      </c>
      <c r="G121" s="143">
        <v>3380.9</v>
      </c>
      <c r="H121" s="143">
        <v>419.2</v>
      </c>
      <c r="I121" s="143">
        <v>420.7</v>
      </c>
      <c r="R121" s="201"/>
      <c r="S121" s="13"/>
      <c r="T121" s="14"/>
      <c r="U121" s="14"/>
      <c r="V121" s="14"/>
      <c r="W121" s="14"/>
      <c r="X121" s="14"/>
      <c r="Y121" s="14"/>
      <c r="Z121" s="14"/>
      <c r="AA121" s="14"/>
    </row>
    <row r="122" spans="1:27" x14ac:dyDescent="0.2">
      <c r="A122" s="22">
        <v>43466</v>
      </c>
      <c r="B122" s="23">
        <f t="shared" si="1"/>
        <v>2019</v>
      </c>
      <c r="C122" s="201">
        <v>744439.6</v>
      </c>
      <c r="D122" s="143">
        <v>7315.7</v>
      </c>
      <c r="E122" s="143">
        <v>7293.3</v>
      </c>
      <c r="F122" s="143">
        <v>3394.9</v>
      </c>
      <c r="G122" s="143">
        <v>3386.2</v>
      </c>
      <c r="H122" s="143">
        <v>420.6</v>
      </c>
      <c r="I122" s="143">
        <v>420.6</v>
      </c>
      <c r="R122" s="201"/>
      <c r="S122" s="13"/>
      <c r="T122" s="14"/>
      <c r="U122" s="14"/>
      <c r="V122" s="14"/>
      <c r="W122" s="14"/>
      <c r="X122" s="14"/>
      <c r="Y122" s="14"/>
      <c r="Z122" s="14"/>
      <c r="AA122" s="14"/>
    </row>
    <row r="123" spans="1:27" x14ac:dyDescent="0.2">
      <c r="A123" s="22">
        <v>43497</v>
      </c>
      <c r="B123" s="23">
        <f t="shared" si="1"/>
        <v>2019</v>
      </c>
      <c r="C123" s="201">
        <v>744439.6</v>
      </c>
      <c r="D123" s="143">
        <v>7346.7</v>
      </c>
      <c r="E123" s="143">
        <v>7286.5</v>
      </c>
      <c r="F123" s="143">
        <v>3412.3</v>
      </c>
      <c r="G123" s="143">
        <v>3393.3</v>
      </c>
      <c r="H123" s="143">
        <v>421.7</v>
      </c>
      <c r="I123" s="143">
        <v>419.8</v>
      </c>
      <c r="R123" s="201"/>
      <c r="S123" s="13"/>
      <c r="T123" s="14"/>
      <c r="U123" s="14"/>
      <c r="V123" s="14"/>
      <c r="W123" s="14"/>
      <c r="X123" s="14"/>
      <c r="Y123" s="14"/>
      <c r="Z123" s="14"/>
      <c r="AA123" s="14"/>
    </row>
    <row r="124" spans="1:27" x14ac:dyDescent="0.2">
      <c r="A124" s="22">
        <v>43525</v>
      </c>
      <c r="B124" s="23">
        <f t="shared" si="1"/>
        <v>2019</v>
      </c>
      <c r="C124" s="201">
        <v>744439.6</v>
      </c>
      <c r="D124" s="143">
        <v>7371</v>
      </c>
      <c r="E124" s="143">
        <v>7268.2</v>
      </c>
      <c r="F124" s="143">
        <v>3430.6</v>
      </c>
      <c r="G124" s="143">
        <v>3393.6</v>
      </c>
      <c r="H124" s="143">
        <v>420.5</v>
      </c>
      <c r="I124" s="143">
        <v>415.1</v>
      </c>
      <c r="R124" s="201"/>
      <c r="S124" s="13"/>
      <c r="T124" s="14"/>
      <c r="U124" s="14"/>
      <c r="V124" s="14"/>
      <c r="W124" s="14"/>
      <c r="X124" s="14"/>
      <c r="Y124" s="14"/>
      <c r="Z124" s="14"/>
      <c r="AA124" s="14"/>
    </row>
    <row r="125" spans="1:27" x14ac:dyDescent="0.2">
      <c r="A125" s="22">
        <v>43556</v>
      </c>
      <c r="B125" s="23">
        <f t="shared" si="1"/>
        <v>2019</v>
      </c>
      <c r="C125" s="201">
        <v>744439.6</v>
      </c>
      <c r="D125" s="143">
        <v>7395.4</v>
      </c>
      <c r="E125" s="143">
        <v>7304.3</v>
      </c>
      <c r="F125" s="143">
        <v>3447.9</v>
      </c>
      <c r="G125" s="143">
        <v>3418.2</v>
      </c>
      <c r="H125" s="143">
        <v>417.5</v>
      </c>
      <c r="I125" s="143">
        <v>411.2</v>
      </c>
      <c r="L125" s="222"/>
      <c r="R125" s="201"/>
      <c r="S125" s="13"/>
      <c r="T125" s="14"/>
      <c r="U125" s="14"/>
      <c r="V125" s="14"/>
      <c r="W125" s="14"/>
      <c r="X125" s="14"/>
      <c r="Y125" s="14"/>
      <c r="Z125" s="14"/>
      <c r="AA125" s="14"/>
    </row>
    <row r="126" spans="1:27" x14ac:dyDescent="0.2">
      <c r="A126" s="22">
        <v>43586</v>
      </c>
      <c r="B126" s="23">
        <f t="shared" si="1"/>
        <v>2019</v>
      </c>
      <c r="C126" s="201">
        <v>744439.6</v>
      </c>
      <c r="D126" s="143">
        <v>7412.6</v>
      </c>
      <c r="E126" s="143">
        <v>7376.9</v>
      </c>
      <c r="F126" s="143">
        <v>3461.7</v>
      </c>
      <c r="G126" s="143">
        <v>3452.9</v>
      </c>
      <c r="H126" s="143">
        <v>415.7</v>
      </c>
      <c r="I126" s="143">
        <v>411.2</v>
      </c>
      <c r="L126" s="222"/>
      <c r="R126" s="201"/>
      <c r="S126" s="13"/>
      <c r="T126" s="14"/>
      <c r="U126" s="14"/>
      <c r="V126" s="14"/>
      <c r="W126" s="14"/>
      <c r="X126" s="14"/>
      <c r="Y126" s="14"/>
      <c r="Z126" s="14"/>
      <c r="AA126" s="14"/>
    </row>
    <row r="127" spans="1:27" x14ac:dyDescent="0.2">
      <c r="A127" s="22">
        <v>43617</v>
      </c>
      <c r="B127" s="23">
        <f t="shared" si="1"/>
        <v>2019</v>
      </c>
      <c r="C127" s="201">
        <v>744439.6</v>
      </c>
      <c r="D127" s="143">
        <v>7430.3</v>
      </c>
      <c r="E127" s="143">
        <v>7472.1</v>
      </c>
      <c r="F127" s="143">
        <v>3472.4</v>
      </c>
      <c r="G127" s="143">
        <v>3492.2</v>
      </c>
      <c r="H127" s="143">
        <v>416.3</v>
      </c>
      <c r="I127" s="143">
        <v>415.4</v>
      </c>
      <c r="L127" s="222"/>
      <c r="R127" s="201"/>
      <c r="S127" s="13"/>
      <c r="T127" s="14"/>
      <c r="U127" s="14"/>
      <c r="V127" s="14"/>
      <c r="W127" s="14"/>
      <c r="X127" s="14"/>
      <c r="Y127" s="14"/>
      <c r="Z127" s="14"/>
      <c r="AA127" s="14"/>
    </row>
    <row r="128" spans="1:27" x14ac:dyDescent="0.2">
      <c r="A128" s="22">
        <v>43647</v>
      </c>
      <c r="B128" s="23">
        <f t="shared" si="1"/>
        <v>2019</v>
      </c>
      <c r="C128" s="201">
        <v>744439.6</v>
      </c>
      <c r="D128" s="143">
        <v>7432.9</v>
      </c>
      <c r="E128" s="143">
        <v>7524.4</v>
      </c>
      <c r="F128" s="143">
        <v>3487.5</v>
      </c>
      <c r="G128" s="143">
        <v>3526.4</v>
      </c>
      <c r="H128" s="143">
        <v>415.9</v>
      </c>
      <c r="I128" s="143">
        <v>417.8</v>
      </c>
      <c r="R128" s="201"/>
      <c r="S128" s="13"/>
      <c r="T128" s="14"/>
      <c r="U128" s="14"/>
      <c r="V128" s="14"/>
      <c r="W128" s="14"/>
      <c r="X128" s="14"/>
      <c r="Y128" s="14"/>
      <c r="Z128" s="14"/>
      <c r="AA128" s="14"/>
    </row>
    <row r="129" spans="1:27" x14ac:dyDescent="0.2">
      <c r="A129" s="22">
        <v>43678</v>
      </c>
      <c r="B129" s="23">
        <f t="shared" si="1"/>
        <v>2019</v>
      </c>
      <c r="C129" s="201">
        <v>744439.6</v>
      </c>
      <c r="D129" s="143">
        <v>7449.6</v>
      </c>
      <c r="E129" s="143">
        <v>7540.9</v>
      </c>
      <c r="F129" s="143">
        <v>3500.1</v>
      </c>
      <c r="G129" s="143">
        <v>3533.8</v>
      </c>
      <c r="H129" s="143">
        <v>418.8</v>
      </c>
      <c r="I129" s="143">
        <v>422.3</v>
      </c>
      <c r="R129" s="201"/>
      <c r="S129" s="13"/>
      <c r="T129" s="14"/>
      <c r="U129" s="14"/>
      <c r="V129" s="14"/>
      <c r="W129" s="14"/>
      <c r="X129" s="14"/>
      <c r="Y129" s="14"/>
      <c r="Z129" s="14"/>
      <c r="AA129" s="14"/>
    </row>
    <row r="130" spans="1:27" x14ac:dyDescent="0.2">
      <c r="A130" s="22">
        <v>43709</v>
      </c>
      <c r="B130" s="23">
        <f t="shared" si="1"/>
        <v>2019</v>
      </c>
      <c r="C130" s="201">
        <v>744439.6</v>
      </c>
      <c r="D130" s="143">
        <v>7478.3</v>
      </c>
      <c r="E130" s="143">
        <v>7535</v>
      </c>
      <c r="F130" s="143">
        <v>3522.9</v>
      </c>
      <c r="G130" s="143">
        <v>3545.3</v>
      </c>
      <c r="H130" s="143">
        <v>419.9</v>
      </c>
      <c r="I130" s="143">
        <v>423.1</v>
      </c>
      <c r="R130" s="201"/>
      <c r="S130" s="13"/>
      <c r="T130" s="14"/>
      <c r="U130" s="14"/>
      <c r="V130" s="14"/>
      <c r="W130" s="14"/>
      <c r="X130" s="14"/>
      <c r="Y130" s="14"/>
      <c r="Z130" s="14"/>
      <c r="AA130" s="14"/>
    </row>
    <row r="131" spans="1:27" x14ac:dyDescent="0.2">
      <c r="A131" s="22">
        <v>43739</v>
      </c>
      <c r="B131" s="23">
        <f t="shared" ref="B131:B157" si="2">YEAR(A131)</f>
        <v>2019</v>
      </c>
      <c r="C131" s="201">
        <v>744439.6</v>
      </c>
      <c r="D131" s="143">
        <v>7504</v>
      </c>
      <c r="E131" s="143">
        <v>7538.5</v>
      </c>
      <c r="F131" s="143">
        <v>3525.5</v>
      </c>
      <c r="G131" s="143">
        <v>3530.2</v>
      </c>
      <c r="H131" s="143">
        <v>427.3</v>
      </c>
      <c r="I131" s="143">
        <v>433.4</v>
      </c>
      <c r="R131" s="201"/>
      <c r="S131" s="13"/>
      <c r="T131" s="14"/>
      <c r="U131" s="14"/>
      <c r="V131" s="14"/>
      <c r="W131" s="14"/>
      <c r="X131" s="14"/>
      <c r="Y131" s="14"/>
      <c r="Z131" s="14"/>
      <c r="AA131" s="14"/>
    </row>
    <row r="132" spans="1:27" x14ac:dyDescent="0.2">
      <c r="A132" s="22">
        <v>43770</v>
      </c>
      <c r="B132" s="23">
        <f t="shared" si="2"/>
        <v>2019</v>
      </c>
      <c r="C132" s="201">
        <v>744439.6</v>
      </c>
      <c r="D132" s="143">
        <v>7517.3</v>
      </c>
      <c r="E132" s="143">
        <v>7530.1</v>
      </c>
      <c r="F132" s="143">
        <v>3531.7</v>
      </c>
      <c r="G132" s="143">
        <v>3530.8</v>
      </c>
      <c r="H132" s="143">
        <v>427.5</v>
      </c>
      <c r="I132" s="143">
        <v>434.3</v>
      </c>
      <c r="R132" s="201"/>
      <c r="S132" s="13"/>
      <c r="T132" s="14"/>
      <c r="U132" s="14"/>
      <c r="V132" s="14"/>
      <c r="W132" s="14"/>
      <c r="X132" s="14"/>
      <c r="Y132" s="14"/>
      <c r="Z132" s="14"/>
      <c r="AA132" s="14"/>
    </row>
    <row r="133" spans="1:27" x14ac:dyDescent="0.2">
      <c r="A133" s="22">
        <v>43800</v>
      </c>
      <c r="B133" s="23">
        <f t="shared" si="2"/>
        <v>2019</v>
      </c>
      <c r="C133" s="201">
        <v>744439.6</v>
      </c>
      <c r="D133" s="143">
        <v>7525</v>
      </c>
      <c r="E133" s="143">
        <v>7535.2</v>
      </c>
      <c r="F133" s="143">
        <v>3532</v>
      </c>
      <c r="G133" s="143">
        <v>3534.9</v>
      </c>
      <c r="H133" s="143">
        <v>429.5</v>
      </c>
      <c r="I133" s="143">
        <v>437.6</v>
      </c>
      <c r="R133" s="201"/>
      <c r="S133" s="13"/>
      <c r="T133" s="14"/>
      <c r="U133" s="14"/>
      <c r="V133" s="14"/>
      <c r="W133" s="14"/>
      <c r="X133" s="14"/>
      <c r="Y133" s="14"/>
      <c r="Z133" s="14"/>
      <c r="AA133" s="14"/>
    </row>
    <row r="134" spans="1:27" x14ac:dyDescent="0.2">
      <c r="A134" s="22">
        <v>43831</v>
      </c>
      <c r="B134" s="23">
        <f t="shared" si="2"/>
        <v>2020</v>
      </c>
      <c r="C134" s="24">
        <f>C122*(1+$P$13)</f>
        <v>699028.7844</v>
      </c>
      <c r="D134" s="143">
        <v>7542</v>
      </c>
      <c r="E134" s="143">
        <v>7512.5</v>
      </c>
      <c r="F134" s="143">
        <v>3555.9</v>
      </c>
      <c r="G134" s="143">
        <v>3552.2</v>
      </c>
      <c r="H134" s="143">
        <v>426.7</v>
      </c>
      <c r="I134" s="143">
        <v>430.1</v>
      </c>
      <c r="K134" s="188"/>
      <c r="L134" s="26"/>
      <c r="M134" s="26"/>
      <c r="N134" s="26"/>
      <c r="O134" s="26"/>
      <c r="P134" s="26"/>
      <c r="R134" s="201"/>
      <c r="S134" s="13"/>
      <c r="T134" s="14"/>
      <c r="U134" s="25"/>
      <c r="V134" s="25"/>
      <c r="W134" s="25"/>
      <c r="X134" s="25"/>
      <c r="Y134" s="25"/>
      <c r="Z134" s="25"/>
      <c r="AA134" s="25"/>
    </row>
    <row r="135" spans="1:27" x14ac:dyDescent="0.2">
      <c r="A135" s="22">
        <v>43862</v>
      </c>
      <c r="B135" s="23">
        <f t="shared" si="2"/>
        <v>2020</v>
      </c>
      <c r="C135" s="24">
        <f>C123*(1+$P$13)</f>
        <v>699028.7844</v>
      </c>
      <c r="D135" s="143">
        <v>7551.9</v>
      </c>
      <c r="E135" s="143">
        <v>7488.9</v>
      </c>
      <c r="F135" s="143">
        <v>3562.1</v>
      </c>
      <c r="G135" s="143">
        <v>3548.8</v>
      </c>
      <c r="H135" s="143">
        <v>427.9</v>
      </c>
      <c r="I135" s="143">
        <v>427.9</v>
      </c>
      <c r="K135" s="188"/>
      <c r="L135" s="26"/>
      <c r="M135" s="26"/>
      <c r="N135" s="26"/>
      <c r="O135" s="26"/>
      <c r="P135" s="26"/>
      <c r="R135" s="201"/>
      <c r="S135" s="13"/>
      <c r="T135" s="14"/>
      <c r="U135" s="25"/>
      <c r="V135" s="25"/>
      <c r="W135" s="25"/>
      <c r="X135" s="25"/>
      <c r="Y135" s="25"/>
      <c r="Z135" s="25"/>
      <c r="AA135" s="25"/>
    </row>
    <row r="136" spans="1:27" x14ac:dyDescent="0.2">
      <c r="A136" s="22">
        <v>43891</v>
      </c>
      <c r="B136" s="23">
        <f t="shared" si="2"/>
        <v>2020</v>
      </c>
      <c r="C136" s="24">
        <f t="shared" ref="C136:C145" si="3">C124*(1+$P$13)</f>
        <v>699028.7844</v>
      </c>
      <c r="D136" s="143">
        <v>7421.9</v>
      </c>
      <c r="E136" s="143">
        <v>7317</v>
      </c>
      <c r="F136" s="143">
        <v>3489.5</v>
      </c>
      <c r="G136" s="143">
        <v>3454.3</v>
      </c>
      <c r="H136" s="143">
        <v>424</v>
      </c>
      <c r="I136" s="143">
        <v>417</v>
      </c>
      <c r="K136" s="188"/>
      <c r="L136" s="26"/>
      <c r="M136" s="26"/>
      <c r="N136" s="26"/>
      <c r="O136" s="26"/>
      <c r="P136" s="26"/>
      <c r="R136" s="201"/>
      <c r="S136" s="13"/>
      <c r="T136" s="14"/>
      <c r="U136" s="25"/>
      <c r="V136" s="25"/>
      <c r="W136" s="25"/>
      <c r="X136" s="25"/>
      <c r="Y136" s="25"/>
      <c r="Z136" s="25"/>
      <c r="AA136" s="25"/>
    </row>
    <row r="137" spans="1:27" x14ac:dyDescent="0.2">
      <c r="A137" s="22">
        <v>43922</v>
      </c>
      <c r="B137" s="23">
        <f t="shared" si="2"/>
        <v>2020</v>
      </c>
      <c r="C137" s="24">
        <f t="shared" si="3"/>
        <v>699028.7844</v>
      </c>
      <c r="D137" s="143">
        <v>7056.8</v>
      </c>
      <c r="E137" s="143">
        <v>6968.7</v>
      </c>
      <c r="F137" s="143">
        <v>3298.9</v>
      </c>
      <c r="G137" s="143">
        <v>3268.1</v>
      </c>
      <c r="H137" s="143">
        <v>407.4</v>
      </c>
      <c r="I137" s="143">
        <v>399</v>
      </c>
      <c r="K137" s="188"/>
      <c r="L137" s="26"/>
      <c r="M137" s="26"/>
      <c r="N137" s="26"/>
      <c r="O137" s="26"/>
      <c r="P137" s="26"/>
      <c r="R137" s="201"/>
      <c r="S137" s="13"/>
      <c r="T137" s="14"/>
      <c r="U137" s="25"/>
      <c r="V137" s="25"/>
      <c r="W137" s="25"/>
      <c r="X137" s="25"/>
      <c r="Y137" s="25"/>
      <c r="Z137" s="25"/>
      <c r="AA137" s="25"/>
    </row>
    <row r="138" spans="1:27" x14ac:dyDescent="0.2">
      <c r="A138" s="22">
        <v>43952</v>
      </c>
      <c r="B138" s="23">
        <f t="shared" si="2"/>
        <v>2020</v>
      </c>
      <c r="C138" s="24">
        <f t="shared" si="3"/>
        <v>699028.7844</v>
      </c>
      <c r="D138" s="143">
        <v>6671.4</v>
      </c>
      <c r="E138" s="143">
        <v>6632</v>
      </c>
      <c r="F138" s="143">
        <v>3089.7</v>
      </c>
      <c r="G138" s="143">
        <v>3077.6</v>
      </c>
      <c r="H138" s="143">
        <v>382</v>
      </c>
      <c r="I138" s="143">
        <v>374</v>
      </c>
      <c r="K138" s="188"/>
      <c r="L138" s="26"/>
      <c r="M138" s="26"/>
      <c r="N138" s="26"/>
      <c r="O138" s="26"/>
      <c r="P138" s="26"/>
      <c r="R138" s="201"/>
      <c r="S138" s="13"/>
      <c r="T138" s="14"/>
      <c r="U138" s="25"/>
      <c r="V138" s="25"/>
      <c r="W138" s="25"/>
      <c r="X138" s="25"/>
      <c r="Y138" s="25"/>
      <c r="Z138" s="25"/>
      <c r="AA138" s="25"/>
    </row>
    <row r="139" spans="1:27" x14ac:dyDescent="0.2">
      <c r="A139" s="22">
        <v>43983</v>
      </c>
      <c r="B139" s="23">
        <f t="shared" si="2"/>
        <v>2020</v>
      </c>
      <c r="C139" s="24">
        <f t="shared" si="3"/>
        <v>699028.7844</v>
      </c>
      <c r="D139" s="143">
        <v>6546.1</v>
      </c>
      <c r="E139" s="143">
        <v>6583</v>
      </c>
      <c r="F139" s="143">
        <v>3022.6</v>
      </c>
      <c r="G139" s="143">
        <v>3040</v>
      </c>
      <c r="H139" s="143">
        <v>371</v>
      </c>
      <c r="I139" s="143">
        <v>368.4</v>
      </c>
      <c r="K139" s="188"/>
      <c r="L139" s="26"/>
      <c r="M139" s="26"/>
      <c r="N139" s="26"/>
      <c r="O139" s="26"/>
      <c r="P139" s="26"/>
      <c r="R139" s="201"/>
      <c r="S139" s="13"/>
      <c r="T139" s="14"/>
      <c r="U139" s="25"/>
      <c r="V139" s="25"/>
      <c r="W139" s="25"/>
      <c r="X139" s="25"/>
      <c r="Y139" s="25"/>
      <c r="Z139" s="25"/>
      <c r="AA139" s="25"/>
    </row>
    <row r="140" spans="1:27" x14ac:dyDescent="0.2">
      <c r="A140" s="22">
        <v>44013</v>
      </c>
      <c r="B140" s="23">
        <f t="shared" si="2"/>
        <v>2020</v>
      </c>
      <c r="C140" s="24">
        <f t="shared" si="3"/>
        <v>699028.7844</v>
      </c>
      <c r="D140" s="143">
        <v>6700.8</v>
      </c>
      <c r="E140" s="143">
        <v>6777</v>
      </c>
      <c r="F140" s="143">
        <v>3082.3</v>
      </c>
      <c r="G140" s="143">
        <v>3119.9</v>
      </c>
      <c r="H140" s="143">
        <v>380.3</v>
      </c>
      <c r="I140" s="143">
        <v>379.6</v>
      </c>
      <c r="K140" s="188"/>
      <c r="L140" s="26"/>
      <c r="M140" s="26"/>
      <c r="N140" s="26"/>
      <c r="O140" s="26"/>
      <c r="P140" s="26"/>
      <c r="R140" s="201"/>
      <c r="S140" s="13"/>
      <c r="T140" s="14"/>
      <c r="U140" s="25"/>
      <c r="V140" s="25"/>
      <c r="W140" s="25"/>
      <c r="X140" s="25"/>
      <c r="Y140" s="25"/>
      <c r="Z140" s="25"/>
      <c r="AA140" s="25"/>
    </row>
    <row r="141" spans="1:27" x14ac:dyDescent="0.2">
      <c r="A141" s="22">
        <v>44044</v>
      </c>
      <c r="B141" s="23">
        <f t="shared" si="2"/>
        <v>2020</v>
      </c>
      <c r="C141" s="24">
        <f t="shared" si="3"/>
        <v>699028.7844</v>
      </c>
      <c r="D141" s="25">
        <f t="shared" ref="D141:I145" si="4">D129*(1+$P$8)</f>
        <v>7069.6704</v>
      </c>
      <c r="E141" s="25">
        <f t="shared" si="4"/>
        <v>7156.3140999999996</v>
      </c>
      <c r="F141" s="25">
        <f t="shared" si="4"/>
        <v>3321.5948999999996</v>
      </c>
      <c r="G141" s="25">
        <f t="shared" si="4"/>
        <v>3353.5762</v>
      </c>
      <c r="H141" s="25">
        <f t="shared" si="4"/>
        <v>397.44119999999998</v>
      </c>
      <c r="I141" s="25">
        <f t="shared" si="4"/>
        <v>400.7627</v>
      </c>
      <c r="K141" s="188"/>
      <c r="L141" s="188"/>
      <c r="M141" s="188"/>
      <c r="N141" s="188"/>
      <c r="O141" s="188"/>
      <c r="P141" s="188"/>
      <c r="R141" s="201"/>
      <c r="S141" s="13"/>
      <c r="T141" s="14"/>
      <c r="U141" s="25"/>
      <c r="V141" s="25"/>
      <c r="W141" s="25"/>
      <c r="X141" s="25"/>
      <c r="Y141" s="25"/>
      <c r="Z141" s="25"/>
      <c r="AA141" s="25"/>
    </row>
    <row r="142" spans="1:27" x14ac:dyDescent="0.2">
      <c r="A142" s="22">
        <v>44075</v>
      </c>
      <c r="B142" s="23">
        <f t="shared" si="2"/>
        <v>2020</v>
      </c>
      <c r="C142" s="24">
        <f t="shared" si="3"/>
        <v>699028.7844</v>
      </c>
      <c r="D142" s="25">
        <f t="shared" si="4"/>
        <v>7096.9066999999995</v>
      </c>
      <c r="E142" s="25">
        <f t="shared" si="4"/>
        <v>7150.7149999999992</v>
      </c>
      <c r="F142" s="25">
        <f t="shared" si="4"/>
        <v>3343.2320999999997</v>
      </c>
      <c r="G142" s="25">
        <f t="shared" si="4"/>
        <v>3364.4897000000001</v>
      </c>
      <c r="H142" s="25">
        <f t="shared" si="4"/>
        <v>398.48509999999993</v>
      </c>
      <c r="I142" s="25">
        <f t="shared" si="4"/>
        <v>401.52190000000002</v>
      </c>
      <c r="K142" s="188"/>
      <c r="L142" s="188"/>
      <c r="M142" s="188"/>
      <c r="N142" s="188"/>
      <c r="O142" s="188"/>
      <c r="P142" s="188"/>
      <c r="R142" s="201"/>
      <c r="S142" s="13"/>
      <c r="T142" s="14"/>
      <c r="U142" s="25"/>
      <c r="V142" s="25"/>
      <c r="W142" s="25"/>
      <c r="X142" s="25"/>
      <c r="Y142" s="25"/>
      <c r="Z142" s="25"/>
      <c r="AA142" s="25"/>
    </row>
    <row r="143" spans="1:27" x14ac:dyDescent="0.2">
      <c r="A143" s="22">
        <v>44105</v>
      </c>
      <c r="B143" s="23">
        <f t="shared" si="2"/>
        <v>2020</v>
      </c>
      <c r="C143" s="24">
        <f t="shared" si="3"/>
        <v>699028.7844</v>
      </c>
      <c r="D143" s="25">
        <f t="shared" si="4"/>
        <v>7121.2959999999994</v>
      </c>
      <c r="E143" s="25">
        <f t="shared" si="4"/>
        <v>7154.0364999999993</v>
      </c>
      <c r="F143" s="25">
        <f t="shared" si="4"/>
        <v>3345.6994999999997</v>
      </c>
      <c r="G143" s="25">
        <f t="shared" si="4"/>
        <v>3350.1597999999994</v>
      </c>
      <c r="H143" s="25">
        <f t="shared" si="4"/>
        <v>405.5077</v>
      </c>
      <c r="I143" s="25">
        <f t="shared" si="4"/>
        <v>411.29659999999996</v>
      </c>
      <c r="K143" s="188"/>
      <c r="L143" s="188"/>
      <c r="M143" s="188"/>
      <c r="N143" s="188"/>
      <c r="O143" s="188"/>
      <c r="P143" s="188"/>
      <c r="R143" s="201"/>
      <c r="S143" s="13"/>
      <c r="T143" s="14"/>
      <c r="U143" s="25"/>
      <c r="V143" s="25"/>
      <c r="W143" s="25"/>
      <c r="X143" s="25"/>
      <c r="Y143" s="25"/>
      <c r="Z143" s="25"/>
      <c r="AA143" s="25"/>
    </row>
    <row r="144" spans="1:27" x14ac:dyDescent="0.2">
      <c r="A144" s="22">
        <v>44136</v>
      </c>
      <c r="B144" s="23">
        <f t="shared" si="2"/>
        <v>2020</v>
      </c>
      <c r="C144" s="24">
        <f t="shared" si="3"/>
        <v>699028.7844</v>
      </c>
      <c r="D144" s="25">
        <f t="shared" si="4"/>
        <v>7133.9177</v>
      </c>
      <c r="E144" s="25">
        <f t="shared" si="4"/>
        <v>7146.0649000000003</v>
      </c>
      <c r="F144" s="25">
        <f t="shared" si="4"/>
        <v>3351.5832999999998</v>
      </c>
      <c r="G144" s="25">
        <f t="shared" si="4"/>
        <v>3350.7292000000002</v>
      </c>
      <c r="H144" s="25">
        <f t="shared" si="4"/>
        <v>405.69749999999999</v>
      </c>
      <c r="I144" s="25">
        <f t="shared" si="4"/>
        <v>412.15069999999997</v>
      </c>
      <c r="K144" s="188"/>
      <c r="L144" s="188"/>
      <c r="M144" s="188"/>
      <c r="N144" s="188"/>
      <c r="O144" s="188"/>
      <c r="P144" s="188"/>
      <c r="R144" s="201"/>
      <c r="S144" s="13"/>
      <c r="T144" s="14"/>
      <c r="U144" s="25"/>
      <c r="V144" s="25"/>
      <c r="W144" s="25"/>
      <c r="X144" s="25"/>
      <c r="Y144" s="25"/>
      <c r="Z144" s="25"/>
      <c r="AA144" s="25"/>
    </row>
    <row r="145" spans="1:27" x14ac:dyDescent="0.2">
      <c r="A145" s="22">
        <v>44166</v>
      </c>
      <c r="B145" s="23">
        <f t="shared" si="2"/>
        <v>2020</v>
      </c>
      <c r="C145" s="24">
        <f t="shared" si="3"/>
        <v>699028.7844</v>
      </c>
      <c r="D145" s="25">
        <f t="shared" si="4"/>
        <v>7141.2249999999995</v>
      </c>
      <c r="E145" s="25">
        <f t="shared" si="4"/>
        <v>7150.9047999999993</v>
      </c>
      <c r="F145" s="25">
        <f t="shared" si="4"/>
        <v>3351.8679999999999</v>
      </c>
      <c r="G145" s="25">
        <f t="shared" si="4"/>
        <v>3354.6201000000001</v>
      </c>
      <c r="H145" s="25">
        <f t="shared" si="4"/>
        <v>407.59549999999996</v>
      </c>
      <c r="I145" s="25">
        <f t="shared" si="4"/>
        <v>415.2824</v>
      </c>
      <c r="K145" s="188"/>
      <c r="L145" s="188"/>
      <c r="M145" s="188"/>
      <c r="N145" s="188"/>
      <c r="O145" s="188"/>
      <c r="P145" s="188"/>
      <c r="R145" s="201"/>
      <c r="S145" s="13"/>
      <c r="T145" s="14"/>
      <c r="U145" s="25"/>
      <c r="V145" s="25"/>
      <c r="W145" s="25"/>
      <c r="X145" s="25"/>
      <c r="Y145" s="25"/>
      <c r="Z145" s="25"/>
      <c r="AA145" s="25"/>
    </row>
    <row r="146" spans="1:27" x14ac:dyDescent="0.2">
      <c r="A146" s="22">
        <v>44197</v>
      </c>
      <c r="B146" s="23">
        <f t="shared" si="2"/>
        <v>2021</v>
      </c>
      <c r="C146" s="24">
        <f>C134*(1+$P$14)</f>
        <v>735028.76679660007</v>
      </c>
      <c r="D146" s="25">
        <f>D122*(1+$P$8)*(1+$P$9)</f>
        <v>7340.0631099250004</v>
      </c>
      <c r="E146" s="25">
        <f t="shared" ref="E146:I146" si="5">E122*(1+$P$8)*(1+$P$9)</f>
        <v>7317.588512325</v>
      </c>
      <c r="F146" s="25">
        <f t="shared" si="5"/>
        <v>3406.205865725</v>
      </c>
      <c r="G146" s="25">
        <f t="shared" si="5"/>
        <v>3397.4768925499993</v>
      </c>
      <c r="H146" s="25">
        <f t="shared" si="5"/>
        <v>422.00070315000005</v>
      </c>
      <c r="I146" s="25">
        <f t="shared" si="5"/>
        <v>422.00070315000005</v>
      </c>
      <c r="K146" s="188"/>
      <c r="L146" s="188"/>
      <c r="M146" s="188"/>
      <c r="N146" s="188"/>
      <c r="O146" s="188"/>
      <c r="P146" s="188"/>
      <c r="R146" s="201"/>
      <c r="S146" s="13"/>
      <c r="T146" s="14"/>
      <c r="U146" s="25"/>
      <c r="V146" s="25"/>
      <c r="W146" s="25"/>
      <c r="X146" s="25"/>
      <c r="Y146" s="25"/>
      <c r="Z146" s="25"/>
      <c r="AA146" s="25"/>
    </row>
    <row r="147" spans="1:27" x14ac:dyDescent="0.2">
      <c r="A147" s="22">
        <v>44228</v>
      </c>
      <c r="B147" s="23">
        <f t="shared" si="2"/>
        <v>2021</v>
      </c>
      <c r="C147" s="24">
        <f t="shared" ref="C147:C157" si="6">C135*(1+$P$14)</f>
        <v>735028.76679660007</v>
      </c>
      <c r="D147" s="25">
        <f>D123*(1+$P$8)*(1+$P$9)</f>
        <v>7371.166347675</v>
      </c>
      <c r="E147" s="25">
        <f t="shared" ref="E147:I147" si="7">E123*(1+$P$8)*(1+$P$9)</f>
        <v>7310.7658666249999</v>
      </c>
      <c r="F147" s="25">
        <f t="shared" si="7"/>
        <v>3423.6638120749999</v>
      </c>
      <c r="G147" s="25">
        <f t="shared" si="7"/>
        <v>3404.600537325</v>
      </c>
      <c r="H147" s="25">
        <f t="shared" si="7"/>
        <v>423.10436642499997</v>
      </c>
      <c r="I147" s="25">
        <f t="shared" si="7"/>
        <v>421.19803895000001</v>
      </c>
      <c r="K147" s="188"/>
      <c r="L147" s="188"/>
      <c r="M147" s="188"/>
      <c r="N147" s="188"/>
      <c r="O147" s="188"/>
      <c r="P147" s="188"/>
      <c r="R147" s="201"/>
      <c r="S147" s="13"/>
      <c r="T147" s="14"/>
      <c r="U147" s="25"/>
      <c r="V147" s="25"/>
      <c r="W147" s="25"/>
      <c r="X147" s="25"/>
      <c r="Y147" s="25"/>
      <c r="Z147" s="25"/>
      <c r="AA147" s="25"/>
    </row>
    <row r="148" spans="1:27" x14ac:dyDescent="0.2">
      <c r="A148" s="22">
        <v>44256</v>
      </c>
      <c r="B148" s="23">
        <f t="shared" si="2"/>
        <v>2021</v>
      </c>
      <c r="C148" s="24">
        <f t="shared" si="6"/>
        <v>735028.76679660007</v>
      </c>
      <c r="D148" s="25">
        <f t="shared" ref="D148:I148" si="8">D124*(1+$P$8)*(1+$P$9)</f>
        <v>7395.54727275</v>
      </c>
      <c r="E148" s="25">
        <f t="shared" si="8"/>
        <v>7292.4049230499995</v>
      </c>
      <c r="F148" s="25">
        <f t="shared" si="8"/>
        <v>3442.0247556499994</v>
      </c>
      <c r="G148" s="25">
        <f t="shared" si="8"/>
        <v>3404.9015363999997</v>
      </c>
      <c r="H148" s="25">
        <f t="shared" si="8"/>
        <v>421.90037012499999</v>
      </c>
      <c r="I148" s="25">
        <f t="shared" si="8"/>
        <v>416.48238677500001</v>
      </c>
      <c r="K148" s="188"/>
      <c r="L148" s="188"/>
      <c r="M148" s="188"/>
      <c r="N148" s="188"/>
      <c r="O148" s="188"/>
      <c r="P148" s="188"/>
      <c r="R148" s="201"/>
      <c r="S148" s="13"/>
      <c r="T148" s="14"/>
      <c r="U148" s="25"/>
      <c r="V148" s="25"/>
      <c r="W148" s="25"/>
      <c r="X148" s="25"/>
      <c r="Y148" s="25"/>
      <c r="Z148" s="25"/>
      <c r="AA148" s="25"/>
    </row>
    <row r="149" spans="1:27" x14ac:dyDescent="0.2">
      <c r="A149" s="22">
        <v>44287</v>
      </c>
      <c r="B149" s="23">
        <f t="shared" si="2"/>
        <v>2021</v>
      </c>
      <c r="C149" s="24">
        <f t="shared" si="6"/>
        <v>735028.76679660007</v>
      </c>
      <c r="D149" s="25">
        <f t="shared" ref="D149:I149" si="9">D125*(1+$P$8)*(1+$P$9)</f>
        <v>7420.0285308499997</v>
      </c>
      <c r="E149" s="25">
        <f t="shared" si="9"/>
        <v>7328.6251450750005</v>
      </c>
      <c r="F149" s="25">
        <f t="shared" si="9"/>
        <v>3459.3823689750002</v>
      </c>
      <c r="G149" s="25">
        <f t="shared" si="9"/>
        <v>3429.5834605499999</v>
      </c>
      <c r="H149" s="25">
        <f t="shared" si="9"/>
        <v>418.89037937500001</v>
      </c>
      <c r="I149" s="25">
        <f t="shared" si="9"/>
        <v>412.56939879999999</v>
      </c>
      <c r="K149" s="188"/>
      <c r="L149" s="188"/>
      <c r="M149" s="188"/>
      <c r="N149" s="188"/>
      <c r="O149" s="188"/>
      <c r="P149" s="188"/>
      <c r="R149" s="201"/>
      <c r="S149" s="13"/>
      <c r="T149" s="14"/>
      <c r="U149" s="25"/>
      <c r="V149" s="25"/>
      <c r="W149" s="25"/>
      <c r="X149" s="25"/>
      <c r="Y149" s="25"/>
      <c r="Z149" s="25"/>
      <c r="AA149" s="25"/>
    </row>
    <row r="150" spans="1:27" x14ac:dyDescent="0.2">
      <c r="A150" s="22">
        <v>44317</v>
      </c>
      <c r="B150" s="23">
        <f t="shared" si="2"/>
        <v>2021</v>
      </c>
      <c r="C150" s="24">
        <f t="shared" si="6"/>
        <v>735028.76679660007</v>
      </c>
      <c r="D150" s="25">
        <f t="shared" ref="D150:I150" si="10">D126*(1+$P$8)*(1+$P$9)</f>
        <v>7437.28581115</v>
      </c>
      <c r="E150" s="25">
        <f t="shared" si="10"/>
        <v>7401.4669212249992</v>
      </c>
      <c r="F150" s="25">
        <f t="shared" si="10"/>
        <v>3473.2283264249995</v>
      </c>
      <c r="G150" s="25">
        <f t="shared" si="10"/>
        <v>3464.3990202249997</v>
      </c>
      <c r="H150" s="25">
        <f t="shared" si="10"/>
        <v>417.08438492499994</v>
      </c>
      <c r="I150" s="25">
        <f t="shared" si="10"/>
        <v>412.56939879999999</v>
      </c>
      <c r="K150" s="188"/>
      <c r="L150" s="188"/>
      <c r="M150" s="188"/>
      <c r="N150" s="188"/>
      <c r="O150" s="188"/>
      <c r="P150" s="188"/>
      <c r="R150" s="201"/>
      <c r="S150" s="13"/>
      <c r="T150" s="14"/>
      <c r="U150" s="25"/>
      <c r="V150" s="25"/>
      <c r="W150" s="25"/>
      <c r="X150" s="25"/>
      <c r="Y150" s="25"/>
      <c r="Z150" s="25"/>
      <c r="AA150" s="25"/>
    </row>
    <row r="151" spans="1:27" x14ac:dyDescent="0.2">
      <c r="A151" s="22">
        <v>44348</v>
      </c>
      <c r="B151" s="23">
        <f t="shared" si="2"/>
        <v>2021</v>
      </c>
      <c r="C151" s="24">
        <f t="shared" si="6"/>
        <v>735028.76679660007</v>
      </c>
      <c r="D151" s="25">
        <f t="shared" ref="D151:I151" si="11">D127*(1+$P$8)*(1+$P$9)</f>
        <v>7455.0447565750001</v>
      </c>
      <c r="E151" s="25">
        <f t="shared" si="11"/>
        <v>7496.9839610250001</v>
      </c>
      <c r="F151" s="25">
        <f t="shared" si="11"/>
        <v>3483.9639601000003</v>
      </c>
      <c r="G151" s="25">
        <f t="shared" si="11"/>
        <v>3503.8298990499998</v>
      </c>
      <c r="H151" s="25">
        <f t="shared" si="11"/>
        <v>417.68638307499998</v>
      </c>
      <c r="I151" s="25">
        <f t="shared" si="11"/>
        <v>416.78338584999995</v>
      </c>
      <c r="K151" s="188"/>
      <c r="L151" s="188"/>
      <c r="M151" s="188"/>
      <c r="N151" s="188"/>
      <c r="O151" s="188"/>
      <c r="P151" s="188"/>
      <c r="R151" s="201"/>
      <c r="S151" s="13"/>
      <c r="T151" s="14"/>
      <c r="U151" s="25"/>
      <c r="V151" s="25"/>
      <c r="W151" s="25"/>
      <c r="X151" s="25"/>
      <c r="Y151" s="25"/>
      <c r="Z151" s="25"/>
      <c r="AA151" s="25"/>
    </row>
    <row r="152" spans="1:27" x14ac:dyDescent="0.2">
      <c r="A152" s="22">
        <v>44378</v>
      </c>
      <c r="B152" s="23">
        <f t="shared" si="2"/>
        <v>2021</v>
      </c>
      <c r="C152" s="24">
        <f t="shared" si="6"/>
        <v>735028.76679660007</v>
      </c>
      <c r="D152" s="25">
        <f t="shared" ref="D152:I152" si="12">D128*(1+$P$8)*(1+$P$9)</f>
        <v>7457.6534152249997</v>
      </c>
      <c r="E152" s="25">
        <f t="shared" si="12"/>
        <v>7549.458133099999</v>
      </c>
      <c r="F152" s="25">
        <f t="shared" si="12"/>
        <v>3499.1142468749999</v>
      </c>
      <c r="G152" s="25">
        <f t="shared" si="12"/>
        <v>3538.1437935999998</v>
      </c>
      <c r="H152" s="25">
        <f t="shared" si="12"/>
        <v>417.28505097499993</v>
      </c>
      <c r="I152" s="25">
        <f t="shared" si="12"/>
        <v>419.19137845</v>
      </c>
      <c r="K152" s="188"/>
      <c r="L152" s="188"/>
      <c r="M152" s="188"/>
      <c r="N152" s="188"/>
      <c r="O152" s="188"/>
      <c r="P152" s="188"/>
      <c r="R152" s="201"/>
      <c r="S152" s="13"/>
      <c r="T152" s="14"/>
      <c r="U152" s="25"/>
      <c r="V152" s="25"/>
      <c r="W152" s="25"/>
      <c r="X152" s="25"/>
      <c r="Y152" s="25"/>
      <c r="Z152" s="25"/>
      <c r="AA152" s="25"/>
    </row>
    <row r="153" spans="1:27" x14ac:dyDescent="0.2">
      <c r="A153" s="22">
        <v>44409</v>
      </c>
      <c r="B153" s="23">
        <f t="shared" si="2"/>
        <v>2021</v>
      </c>
      <c r="C153" s="24">
        <f t="shared" si="6"/>
        <v>735028.76679660007</v>
      </c>
      <c r="D153" s="25">
        <f t="shared" ref="D153:I153" si="13">D129*(1+$P$8)*(1+$P$9)</f>
        <v>7474.4090304000001</v>
      </c>
      <c r="E153" s="25">
        <f t="shared" si="13"/>
        <v>7566.0130822249994</v>
      </c>
      <c r="F153" s="25">
        <f t="shared" si="13"/>
        <v>3511.7562080249995</v>
      </c>
      <c r="G153" s="25">
        <f t="shared" si="13"/>
        <v>3545.5684374500001</v>
      </c>
      <c r="H153" s="25">
        <f t="shared" si="13"/>
        <v>420.19470869999998</v>
      </c>
      <c r="I153" s="25">
        <f t="shared" si="13"/>
        <v>423.70636457500001</v>
      </c>
      <c r="K153" s="188"/>
      <c r="L153" s="188"/>
      <c r="M153" s="188"/>
      <c r="N153" s="188"/>
      <c r="O153" s="188"/>
      <c r="P153" s="188"/>
      <c r="R153" s="201"/>
      <c r="S153" s="13"/>
      <c r="T153" s="14"/>
      <c r="U153" s="25"/>
      <c r="V153" s="25"/>
      <c r="W153" s="25"/>
      <c r="X153" s="25"/>
      <c r="Y153" s="25"/>
      <c r="Z153" s="25"/>
      <c r="AA153" s="25"/>
    </row>
    <row r="154" spans="1:27" x14ac:dyDescent="0.2">
      <c r="A154" s="22">
        <v>44440</v>
      </c>
      <c r="B154" s="23">
        <f t="shared" si="2"/>
        <v>2021</v>
      </c>
      <c r="C154" s="24">
        <f t="shared" si="6"/>
        <v>735028.76679660007</v>
      </c>
      <c r="D154" s="25">
        <f t="shared" ref="D154:I154" si="14">D130*(1+$P$8)*(1+$P$9)</f>
        <v>7503.2046085749998</v>
      </c>
      <c r="E154" s="25">
        <f t="shared" si="14"/>
        <v>7560.0934337499993</v>
      </c>
      <c r="F154" s="25">
        <f t="shared" si="14"/>
        <v>3534.6321377249997</v>
      </c>
      <c r="G154" s="25">
        <f t="shared" si="14"/>
        <v>3557.106735325</v>
      </c>
      <c r="H154" s="25">
        <f t="shared" si="14"/>
        <v>421.29837197499995</v>
      </c>
      <c r="I154" s="25">
        <f t="shared" si="14"/>
        <v>424.50902877500005</v>
      </c>
      <c r="K154" s="188"/>
      <c r="L154" s="188"/>
      <c r="M154" s="188"/>
      <c r="N154" s="188"/>
      <c r="O154" s="188"/>
      <c r="P154" s="188"/>
      <c r="R154" s="201"/>
      <c r="S154" s="13"/>
      <c r="T154" s="14"/>
      <c r="U154" s="25"/>
      <c r="V154" s="25"/>
      <c r="W154" s="25"/>
      <c r="X154" s="25"/>
      <c r="Y154" s="25"/>
      <c r="Z154" s="25"/>
      <c r="AA154" s="25"/>
    </row>
    <row r="155" spans="1:27" x14ac:dyDescent="0.2">
      <c r="A155" s="22">
        <v>44470</v>
      </c>
      <c r="B155" s="23">
        <f t="shared" si="2"/>
        <v>2021</v>
      </c>
      <c r="C155" s="24">
        <f t="shared" si="6"/>
        <v>735028.76679660007</v>
      </c>
      <c r="D155" s="25">
        <f t="shared" ref="D155:I155" si="15">D131*(1+$P$8)*(1+$P$9)</f>
        <v>7528.9901959999997</v>
      </c>
      <c r="E155" s="25">
        <f t="shared" si="15"/>
        <v>7563.605089624999</v>
      </c>
      <c r="F155" s="25">
        <f t="shared" si="15"/>
        <v>3537.2407963749997</v>
      </c>
      <c r="G155" s="25">
        <f t="shared" si="15"/>
        <v>3541.9564485499995</v>
      </c>
      <c r="H155" s="25">
        <f t="shared" si="15"/>
        <v>428.723015825</v>
      </c>
      <c r="I155" s="25">
        <f t="shared" si="15"/>
        <v>434.84333034999997</v>
      </c>
      <c r="K155" s="188"/>
      <c r="L155" s="188"/>
      <c r="M155" s="188"/>
      <c r="N155" s="188"/>
      <c r="O155" s="188"/>
      <c r="P155" s="188"/>
      <c r="R155" s="201"/>
      <c r="S155" s="13"/>
      <c r="T155" s="14"/>
      <c r="U155" s="25"/>
      <c r="V155" s="25"/>
      <c r="W155" s="25"/>
      <c r="X155" s="25"/>
      <c r="Y155" s="25"/>
      <c r="Z155" s="25"/>
      <c r="AA155" s="25"/>
    </row>
    <row r="156" spans="1:27" x14ac:dyDescent="0.2">
      <c r="A156" s="22">
        <v>44501</v>
      </c>
      <c r="B156" s="23">
        <f t="shared" si="2"/>
        <v>2021</v>
      </c>
      <c r="C156" s="24">
        <f t="shared" si="6"/>
        <v>735028.76679660007</v>
      </c>
      <c r="D156" s="25">
        <f t="shared" ref="D156:I156" si="16">D132*(1+$P$8)*(1+$P$9)</f>
        <v>7542.3344883250002</v>
      </c>
      <c r="E156" s="25">
        <f t="shared" si="16"/>
        <v>7555.1771155250008</v>
      </c>
      <c r="F156" s="25">
        <f t="shared" si="16"/>
        <v>3543.4614439249999</v>
      </c>
      <c r="G156" s="25">
        <f t="shared" si="16"/>
        <v>3542.5584467000003</v>
      </c>
      <c r="H156" s="25">
        <f t="shared" si="16"/>
        <v>428.923681875</v>
      </c>
      <c r="I156" s="25">
        <f t="shared" si="16"/>
        <v>435.74632757499995</v>
      </c>
      <c r="K156" s="188"/>
      <c r="L156" s="188"/>
      <c r="M156" s="188"/>
      <c r="N156" s="188"/>
      <c r="O156" s="188"/>
      <c r="P156" s="188"/>
      <c r="R156" s="201"/>
      <c r="S156" s="13"/>
      <c r="T156" s="14"/>
      <c r="U156" s="25"/>
      <c r="V156" s="25"/>
      <c r="W156" s="25"/>
      <c r="X156" s="25"/>
      <c r="Y156" s="25"/>
      <c r="Z156" s="25"/>
      <c r="AA156" s="25"/>
    </row>
    <row r="157" spans="1:27" x14ac:dyDescent="0.2">
      <c r="A157" s="22">
        <v>44531</v>
      </c>
      <c r="B157" s="23">
        <f t="shared" si="2"/>
        <v>2021</v>
      </c>
      <c r="C157" s="24">
        <f t="shared" si="6"/>
        <v>735028.76679660007</v>
      </c>
      <c r="D157" s="25">
        <f t="shared" ref="D157:I157" si="17">D133*(1+$P$8)*(1+$P$9)</f>
        <v>7550.0601312499994</v>
      </c>
      <c r="E157" s="25">
        <f t="shared" si="17"/>
        <v>7560.2940997999995</v>
      </c>
      <c r="F157" s="25">
        <f t="shared" si="17"/>
        <v>3543.7624430000001</v>
      </c>
      <c r="G157" s="25">
        <f t="shared" si="17"/>
        <v>3546.6721007250003</v>
      </c>
      <c r="H157" s="25">
        <f t="shared" si="17"/>
        <v>430.93034237499995</v>
      </c>
      <c r="I157" s="25">
        <f t="shared" si="17"/>
        <v>439.05731739999999</v>
      </c>
      <c r="K157" s="188"/>
      <c r="L157" s="188"/>
      <c r="M157" s="188"/>
      <c r="N157" s="188"/>
      <c r="O157" s="188"/>
      <c r="P157" s="188"/>
      <c r="R157" s="201"/>
      <c r="S157" s="13"/>
      <c r="T157" s="14"/>
      <c r="U157" s="25"/>
      <c r="V157" s="25"/>
      <c r="W157" s="25"/>
      <c r="X157" s="25"/>
      <c r="Y157" s="25"/>
      <c r="Z157" s="25"/>
      <c r="AA157" s="25"/>
    </row>
    <row r="158" spans="1:27" x14ac:dyDescent="0.2">
      <c r="D158" s="25"/>
      <c r="E158" s="25"/>
      <c r="F158" s="25"/>
      <c r="G158" s="25"/>
      <c r="H158" s="25"/>
      <c r="I158" s="25"/>
      <c r="R158" s="201"/>
      <c r="S158" s="201"/>
      <c r="T158" s="201"/>
      <c r="U158" s="201"/>
      <c r="V158" s="201"/>
      <c r="W158" s="201"/>
      <c r="X158" s="201"/>
      <c r="Y158" s="201"/>
      <c r="Z158" s="201"/>
    </row>
    <row r="159" spans="1:27" x14ac:dyDescent="0.2">
      <c r="K159" s="26"/>
      <c r="L159" s="26"/>
      <c r="M159" s="26"/>
      <c r="N159" s="26"/>
      <c r="O159" s="26"/>
      <c r="P159" s="26"/>
      <c r="R159" s="201"/>
      <c r="S159" s="201"/>
      <c r="T159" s="201"/>
      <c r="U159" s="201"/>
      <c r="V159" s="201"/>
      <c r="W159" s="201"/>
      <c r="X159" s="201"/>
      <c r="Y159" s="201"/>
      <c r="Z159" s="201"/>
    </row>
    <row r="160" spans="1:27" x14ac:dyDescent="0.2">
      <c r="D160" s="216"/>
      <c r="K160" s="26"/>
      <c r="L160" s="26"/>
      <c r="M160" s="26"/>
      <c r="N160" s="26"/>
      <c r="O160" s="26"/>
      <c r="P160" s="26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4:26" x14ac:dyDescent="0.2">
      <c r="D161" s="20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4:26" x14ac:dyDescent="0.2">
      <c r="R162" s="201"/>
      <c r="S162" s="201"/>
      <c r="T162" s="201"/>
      <c r="U162" s="201"/>
      <c r="V162" s="201"/>
      <c r="W162" s="201"/>
      <c r="X162" s="201"/>
      <c r="Y162" s="201"/>
      <c r="Z162" s="201"/>
    </row>
    <row r="163" spans="4:26" x14ac:dyDescent="0.2">
      <c r="R163" s="201"/>
      <c r="S163" s="201"/>
      <c r="T163" s="201"/>
      <c r="U163" s="201"/>
      <c r="V163" s="201"/>
      <c r="W163" s="201"/>
      <c r="X163" s="201"/>
      <c r="Y163" s="201"/>
      <c r="Z163" s="201"/>
    </row>
    <row r="164" spans="4:26" x14ac:dyDescent="0.2">
      <c r="R164" s="201"/>
      <c r="S164" s="201"/>
      <c r="T164" s="201"/>
      <c r="U164" s="201"/>
      <c r="V164" s="201"/>
      <c r="W164" s="201"/>
      <c r="X164" s="201"/>
      <c r="Y164" s="201"/>
      <c r="Z164" s="201"/>
    </row>
    <row r="167" spans="4:26" ht="18.75" x14ac:dyDescent="0.2">
      <c r="S167" s="218"/>
      <c r="T167" s="219"/>
      <c r="U167" s="219"/>
      <c r="V167" s="219"/>
      <c r="W167" s="219"/>
      <c r="X167" s="220"/>
      <c r="Y167" s="220"/>
    </row>
    <row r="168" spans="4:26" ht="18.75" x14ac:dyDescent="0.2">
      <c r="S168" s="218"/>
      <c r="T168" s="219"/>
      <c r="U168" s="219"/>
      <c r="V168" s="219"/>
      <c r="W168" s="219"/>
      <c r="X168" s="220"/>
      <c r="Y168" s="220"/>
    </row>
    <row r="169" spans="4:26" ht="18.75" x14ac:dyDescent="0.2">
      <c r="S169" s="218"/>
      <c r="T169" s="219"/>
      <c r="U169" s="219"/>
      <c r="V169" s="219"/>
      <c r="W169" s="219"/>
      <c r="X169" s="220"/>
      <c r="Y169" s="220"/>
    </row>
    <row r="170" spans="4:26" ht="18.75" x14ac:dyDescent="0.2">
      <c r="S170" s="218"/>
      <c r="T170" s="219"/>
      <c r="U170" s="219"/>
      <c r="V170" s="219"/>
      <c r="W170" s="219"/>
      <c r="X170" s="220"/>
      <c r="Y170" s="220"/>
    </row>
    <row r="171" spans="4:26" ht="18.75" x14ac:dyDescent="0.2">
      <c r="S171" s="218"/>
      <c r="T171" s="219"/>
      <c r="U171" s="219"/>
      <c r="V171" s="219"/>
      <c r="W171" s="219"/>
      <c r="X171" s="220"/>
      <c r="Y171" s="220"/>
    </row>
    <row r="172" spans="4:26" ht="18.75" x14ac:dyDescent="0.2">
      <c r="S172" s="218"/>
      <c r="T172" s="219"/>
      <c r="U172" s="219"/>
      <c r="V172" s="219"/>
      <c r="W172" s="219"/>
      <c r="X172" s="220"/>
      <c r="Y172" s="220"/>
    </row>
    <row r="173" spans="4:26" ht="18.75" x14ac:dyDescent="0.2">
      <c r="S173" s="218"/>
      <c r="T173" s="219"/>
      <c r="U173" s="219"/>
      <c r="V173" s="219"/>
      <c r="W173" s="219"/>
      <c r="X173" s="220"/>
      <c r="Y173" s="220"/>
    </row>
    <row r="174" spans="4:26" ht="18.75" x14ac:dyDescent="0.2">
      <c r="S174" s="218"/>
      <c r="T174" s="219"/>
      <c r="U174" s="219"/>
      <c r="V174" s="219"/>
      <c r="W174" s="219"/>
      <c r="X174" s="220"/>
      <c r="Y174" s="220"/>
    </row>
    <row r="175" spans="4:26" ht="18.75" x14ac:dyDescent="0.2">
      <c r="S175" s="218"/>
      <c r="T175" s="219"/>
      <c r="U175" s="219"/>
      <c r="V175" s="219"/>
      <c r="W175" s="219"/>
      <c r="X175" s="220"/>
      <c r="Y175" s="220"/>
    </row>
    <row r="176" spans="4:26" ht="18.75" x14ac:dyDescent="0.2">
      <c r="S176" s="218"/>
      <c r="T176" s="219"/>
      <c r="U176" s="219"/>
      <c r="V176" s="219"/>
      <c r="W176" s="219"/>
      <c r="X176" s="220"/>
      <c r="Y176" s="220"/>
    </row>
    <row r="177" spans="19:25" ht="18.75" x14ac:dyDescent="0.2">
      <c r="S177" s="218"/>
      <c r="T177" s="219"/>
      <c r="U177" s="219"/>
      <c r="V177" s="219"/>
      <c r="W177" s="219"/>
      <c r="X177" s="220"/>
      <c r="Y177" s="220"/>
    </row>
    <row r="178" spans="19:25" ht="18.75" x14ac:dyDescent="0.2">
      <c r="S178" s="218"/>
      <c r="T178" s="219"/>
      <c r="U178" s="219"/>
      <c r="V178" s="219"/>
      <c r="W178" s="219"/>
      <c r="X178" s="220"/>
      <c r="Y178" s="220"/>
    </row>
    <row r="179" spans="19:25" ht="18.75" x14ac:dyDescent="0.2">
      <c r="S179" s="218"/>
      <c r="T179" s="219"/>
      <c r="U179" s="219"/>
      <c r="V179" s="219"/>
      <c r="W179" s="219"/>
      <c r="X179" s="220"/>
      <c r="Y179" s="220"/>
    </row>
    <row r="180" spans="19:25" ht="18.75" x14ac:dyDescent="0.2">
      <c r="S180" s="218"/>
      <c r="T180" s="219"/>
      <c r="U180" s="219"/>
      <c r="V180" s="219"/>
      <c r="W180" s="219"/>
      <c r="X180" s="220"/>
      <c r="Y180" s="220"/>
    </row>
    <row r="181" spans="19:25" ht="18.75" x14ac:dyDescent="0.2">
      <c r="S181" s="218"/>
      <c r="T181" s="219"/>
      <c r="U181" s="219"/>
      <c r="V181" s="219"/>
      <c r="W181" s="219"/>
      <c r="X181" s="220"/>
      <c r="Y181" s="220"/>
    </row>
    <row r="182" spans="19:25" ht="18.75" x14ac:dyDescent="0.2">
      <c r="S182" s="218"/>
      <c r="T182" s="219"/>
      <c r="U182" s="219"/>
      <c r="V182" s="219"/>
      <c r="W182" s="219"/>
      <c r="X182" s="220"/>
      <c r="Y182" s="220"/>
    </row>
    <row r="183" spans="19:25" ht="18.75" x14ac:dyDescent="0.2">
      <c r="S183" s="218"/>
      <c r="T183" s="219"/>
      <c r="U183" s="219"/>
      <c r="V183" s="219"/>
      <c r="W183" s="219"/>
      <c r="X183" s="220"/>
      <c r="Y183" s="220"/>
    </row>
    <row r="184" spans="19:25" ht="18.75" x14ac:dyDescent="0.2">
      <c r="S184" s="218"/>
      <c r="T184" s="219"/>
      <c r="U184" s="219"/>
      <c r="V184" s="219"/>
      <c r="W184" s="219"/>
      <c r="X184" s="220"/>
      <c r="Y184" s="220"/>
    </row>
    <row r="185" spans="19:25" ht="18.75" x14ac:dyDescent="0.2">
      <c r="S185" s="218"/>
      <c r="T185" s="219"/>
      <c r="U185" s="219"/>
      <c r="V185" s="219"/>
      <c r="W185" s="219"/>
      <c r="X185" s="220"/>
      <c r="Y185" s="220"/>
    </row>
    <row r="186" spans="19:25" ht="18.75" x14ac:dyDescent="0.2">
      <c r="S186" s="218"/>
      <c r="T186" s="219"/>
      <c r="U186" s="219"/>
      <c r="V186" s="219"/>
      <c r="W186" s="219"/>
      <c r="X186" s="220"/>
      <c r="Y186" s="220"/>
    </row>
    <row r="187" spans="19:25" ht="18.75" x14ac:dyDescent="0.2">
      <c r="S187" s="218"/>
      <c r="T187" s="219"/>
      <c r="U187" s="219"/>
      <c r="V187" s="219"/>
      <c r="W187" s="219"/>
      <c r="X187" s="220"/>
      <c r="Y187" s="220"/>
    </row>
    <row r="188" spans="19:25" ht="18.75" x14ac:dyDescent="0.2">
      <c r="S188" s="218"/>
      <c r="T188" s="219"/>
      <c r="U188" s="219"/>
      <c r="V188" s="219"/>
      <c r="W188" s="219"/>
      <c r="X188" s="220"/>
      <c r="Y188" s="220"/>
    </row>
    <row r="189" spans="19:25" ht="18.75" x14ac:dyDescent="0.2">
      <c r="S189" s="218"/>
      <c r="T189" s="219"/>
      <c r="U189" s="219"/>
      <c r="V189" s="219"/>
      <c r="W189" s="219"/>
      <c r="X189" s="220"/>
      <c r="Y189" s="220"/>
    </row>
    <row r="190" spans="19:25" ht="18.75" x14ac:dyDescent="0.2">
      <c r="S190" s="218"/>
      <c r="T190" s="219"/>
      <c r="U190" s="219"/>
      <c r="V190" s="219"/>
      <c r="W190" s="219"/>
      <c r="X190" s="220"/>
      <c r="Y190" s="220"/>
    </row>
    <row r="191" spans="19:25" ht="18.75" x14ac:dyDescent="0.2">
      <c r="S191" s="218"/>
      <c r="T191" s="219"/>
      <c r="U191" s="219"/>
      <c r="V191" s="219"/>
      <c r="W191" s="219"/>
      <c r="X191" s="220"/>
      <c r="Y191" s="220"/>
    </row>
    <row r="192" spans="19:25" ht="18.75" x14ac:dyDescent="0.2">
      <c r="S192" s="218"/>
      <c r="T192" s="219"/>
      <c r="U192" s="219"/>
      <c r="V192" s="219"/>
      <c r="W192" s="219"/>
      <c r="X192" s="220"/>
      <c r="Y192" s="220"/>
    </row>
    <row r="193" spans="19:25" ht="18.75" x14ac:dyDescent="0.2">
      <c r="S193" s="218"/>
      <c r="T193" s="219"/>
      <c r="U193" s="219"/>
      <c r="V193" s="219"/>
      <c r="W193" s="219"/>
      <c r="X193" s="220"/>
      <c r="Y193" s="220"/>
    </row>
    <row r="194" spans="19:25" ht="18.75" x14ac:dyDescent="0.2">
      <c r="S194" s="218"/>
      <c r="T194" s="219"/>
      <c r="U194" s="219"/>
      <c r="V194" s="219"/>
      <c r="W194" s="219"/>
      <c r="X194" s="220"/>
      <c r="Y194" s="220"/>
    </row>
    <row r="195" spans="19:25" ht="18.75" x14ac:dyDescent="0.2">
      <c r="S195" s="218"/>
      <c r="T195" s="219"/>
      <c r="U195" s="219"/>
      <c r="V195" s="219"/>
      <c r="W195" s="219"/>
      <c r="X195" s="220"/>
      <c r="Y195" s="220"/>
    </row>
    <row r="196" spans="19:25" ht="18.75" x14ac:dyDescent="0.2">
      <c r="S196" s="218"/>
      <c r="T196" s="219"/>
      <c r="U196" s="219"/>
      <c r="V196" s="219"/>
      <c r="W196" s="219"/>
      <c r="X196" s="220"/>
      <c r="Y196" s="220"/>
    </row>
    <row r="197" spans="19:25" ht="18.75" x14ac:dyDescent="0.2">
      <c r="S197" s="218"/>
      <c r="T197" s="219"/>
      <c r="U197" s="219"/>
      <c r="V197" s="219"/>
      <c r="W197" s="219"/>
      <c r="X197" s="220"/>
      <c r="Y197" s="220"/>
    </row>
    <row r="198" spans="19:25" ht="18.75" x14ac:dyDescent="0.2">
      <c r="S198" s="218"/>
      <c r="T198" s="219"/>
      <c r="U198" s="219"/>
      <c r="V198" s="219"/>
      <c r="W198" s="219"/>
      <c r="X198" s="220"/>
      <c r="Y198" s="220"/>
    </row>
    <row r="199" spans="19:25" ht="18.75" x14ac:dyDescent="0.2">
      <c r="S199" s="218"/>
      <c r="T199" s="219"/>
      <c r="U199" s="219"/>
      <c r="V199" s="219"/>
      <c r="W199" s="219"/>
      <c r="X199" s="220"/>
      <c r="Y199" s="220"/>
    </row>
    <row r="200" spans="19:25" ht="18.75" x14ac:dyDescent="0.2">
      <c r="S200" s="218"/>
      <c r="T200" s="219"/>
      <c r="U200" s="219"/>
      <c r="V200" s="219"/>
      <c r="W200" s="219"/>
      <c r="X200" s="220"/>
      <c r="Y200" s="220"/>
    </row>
    <row r="201" spans="19:25" ht="18.75" x14ac:dyDescent="0.2">
      <c r="S201" s="218"/>
      <c r="T201" s="219"/>
      <c r="U201" s="219"/>
      <c r="V201" s="219"/>
      <c r="W201" s="219"/>
      <c r="X201" s="220"/>
      <c r="Y201" s="220"/>
    </row>
    <row r="202" spans="19:25" ht="18.75" x14ac:dyDescent="0.2">
      <c r="S202" s="218"/>
      <c r="T202" s="219"/>
      <c r="U202" s="219"/>
      <c r="V202" s="219"/>
      <c r="W202" s="219"/>
      <c r="X202" s="220"/>
      <c r="Y202" s="220"/>
    </row>
    <row r="203" spans="19:25" ht="18.75" x14ac:dyDescent="0.2">
      <c r="S203" s="218"/>
      <c r="T203" s="219"/>
      <c r="U203" s="219"/>
      <c r="V203" s="219"/>
      <c r="W203" s="219"/>
      <c r="X203" s="220"/>
      <c r="Y203" s="220"/>
    </row>
    <row r="204" spans="19:25" ht="18.75" x14ac:dyDescent="0.2">
      <c r="S204" s="218"/>
      <c r="T204" s="219"/>
      <c r="U204" s="219"/>
      <c r="V204" s="219"/>
      <c r="W204" s="219"/>
      <c r="X204" s="220"/>
      <c r="Y204" s="220"/>
    </row>
    <row r="205" spans="19:25" ht="18.75" x14ac:dyDescent="0.2">
      <c r="S205" s="218"/>
      <c r="T205" s="219"/>
      <c r="U205" s="219"/>
      <c r="V205" s="219"/>
      <c r="W205" s="219"/>
      <c r="X205" s="220"/>
      <c r="Y205" s="220"/>
    </row>
    <row r="206" spans="19:25" ht="18.75" x14ac:dyDescent="0.2">
      <c r="S206" s="218"/>
      <c r="T206" s="219"/>
      <c r="U206" s="219"/>
      <c r="V206" s="219"/>
      <c r="W206" s="219"/>
      <c r="X206" s="220"/>
      <c r="Y206" s="220"/>
    </row>
    <row r="207" spans="19:25" ht="18.75" x14ac:dyDescent="0.2">
      <c r="S207" s="218"/>
      <c r="T207" s="219"/>
      <c r="U207" s="219"/>
      <c r="V207" s="219"/>
      <c r="W207" s="219"/>
      <c r="X207" s="220"/>
      <c r="Y207" s="220"/>
    </row>
    <row r="208" spans="19:25" ht="18.75" x14ac:dyDescent="0.2">
      <c r="S208" s="218"/>
      <c r="T208" s="219"/>
      <c r="U208" s="219"/>
      <c r="V208" s="219"/>
      <c r="W208" s="219"/>
      <c r="X208" s="220"/>
      <c r="Y208" s="220"/>
    </row>
    <row r="209" spans="19:25" ht="18.75" x14ac:dyDescent="0.2">
      <c r="S209" s="218"/>
      <c r="T209" s="219"/>
      <c r="U209" s="219"/>
      <c r="V209" s="219"/>
      <c r="W209" s="219"/>
      <c r="X209" s="220"/>
      <c r="Y209" s="220"/>
    </row>
    <row r="210" spans="19:25" ht="18.75" x14ac:dyDescent="0.2">
      <c r="S210" s="218"/>
      <c r="T210" s="219"/>
      <c r="U210" s="219"/>
      <c r="V210" s="219"/>
      <c r="W210" s="219"/>
      <c r="X210" s="220"/>
      <c r="Y210" s="220"/>
    </row>
    <row r="211" spans="19:25" ht="18.75" x14ac:dyDescent="0.2">
      <c r="S211" s="218"/>
      <c r="T211" s="219"/>
      <c r="U211" s="219"/>
      <c r="V211" s="219"/>
      <c r="W211" s="219"/>
      <c r="X211" s="220"/>
      <c r="Y211" s="220"/>
    </row>
    <row r="212" spans="19:25" ht="18.75" x14ac:dyDescent="0.2">
      <c r="S212" s="218"/>
      <c r="T212" s="219"/>
      <c r="U212" s="219"/>
      <c r="V212" s="219"/>
      <c r="W212" s="219"/>
      <c r="X212" s="220"/>
      <c r="Y212" s="220"/>
    </row>
    <row r="213" spans="19:25" ht="18.75" x14ac:dyDescent="0.2">
      <c r="S213" s="218"/>
      <c r="T213" s="219"/>
      <c r="U213" s="219"/>
      <c r="V213" s="219"/>
      <c r="W213" s="219"/>
      <c r="X213" s="220"/>
      <c r="Y213" s="220"/>
    </row>
    <row r="214" spans="19:25" ht="18.75" x14ac:dyDescent="0.2">
      <c r="S214" s="218"/>
      <c r="T214" s="219"/>
      <c r="U214" s="219"/>
      <c r="V214" s="219"/>
      <c r="W214" s="219"/>
      <c r="X214" s="220"/>
      <c r="Y214" s="220"/>
    </row>
    <row r="215" spans="19:25" ht="18.75" x14ac:dyDescent="0.2">
      <c r="S215" s="218"/>
      <c r="T215" s="219"/>
      <c r="U215" s="219"/>
      <c r="V215" s="219"/>
      <c r="W215" s="219"/>
      <c r="X215" s="220"/>
      <c r="Y215" s="220"/>
    </row>
    <row r="216" spans="19:25" ht="18.75" x14ac:dyDescent="0.2">
      <c r="S216" s="218"/>
      <c r="T216" s="219"/>
      <c r="U216" s="219"/>
      <c r="V216" s="219"/>
      <c r="W216" s="219"/>
      <c r="X216" s="220"/>
      <c r="Y216" s="220"/>
    </row>
    <row r="217" spans="19:25" ht="18.75" x14ac:dyDescent="0.2">
      <c r="S217" s="218"/>
      <c r="T217" s="219"/>
      <c r="U217" s="219"/>
      <c r="V217" s="219"/>
      <c r="W217" s="219"/>
      <c r="X217" s="220"/>
      <c r="Y217" s="220"/>
    </row>
    <row r="218" spans="19:25" ht="18.75" x14ac:dyDescent="0.2">
      <c r="S218" s="218"/>
      <c r="T218" s="219"/>
      <c r="U218" s="219"/>
      <c r="V218" s="219"/>
      <c r="W218" s="219"/>
      <c r="X218" s="220"/>
      <c r="Y218" s="220"/>
    </row>
    <row r="219" spans="19:25" ht="18.75" x14ac:dyDescent="0.2">
      <c r="S219" s="218"/>
      <c r="T219" s="219"/>
      <c r="U219" s="219"/>
      <c r="V219" s="219"/>
      <c r="W219" s="219"/>
      <c r="X219" s="220"/>
      <c r="Y219" s="220"/>
    </row>
    <row r="220" spans="19:25" ht="18.75" x14ac:dyDescent="0.2">
      <c r="S220" s="218"/>
      <c r="T220" s="219"/>
      <c r="U220" s="219"/>
      <c r="V220" s="219"/>
      <c r="W220" s="219"/>
      <c r="X220" s="220"/>
      <c r="Y220" s="220"/>
    </row>
    <row r="221" spans="19:25" ht="18.75" x14ac:dyDescent="0.2">
      <c r="S221" s="218"/>
      <c r="T221" s="219"/>
      <c r="U221" s="219"/>
      <c r="V221" s="219"/>
      <c r="W221" s="219"/>
      <c r="X221" s="220"/>
      <c r="Y221" s="220"/>
    </row>
    <row r="222" spans="19:25" ht="18.75" x14ac:dyDescent="0.2">
      <c r="S222" s="218"/>
      <c r="T222" s="219"/>
      <c r="U222" s="219"/>
      <c r="V222" s="219"/>
      <c r="W222" s="219"/>
      <c r="X222" s="220"/>
      <c r="Y222" s="220"/>
    </row>
    <row r="223" spans="19:25" ht="18.75" x14ac:dyDescent="0.2">
      <c r="S223" s="218"/>
      <c r="T223" s="219"/>
      <c r="U223" s="219"/>
      <c r="V223" s="219"/>
      <c r="W223" s="219"/>
      <c r="X223" s="220"/>
      <c r="Y223" s="220"/>
    </row>
    <row r="224" spans="19:25" ht="18.75" x14ac:dyDescent="0.2">
      <c r="S224" s="218"/>
      <c r="T224" s="219"/>
      <c r="U224" s="219"/>
      <c r="V224" s="219"/>
      <c r="W224" s="219"/>
      <c r="X224" s="220"/>
      <c r="Y224" s="220"/>
    </row>
    <row r="225" spans="19:25" ht="18.75" x14ac:dyDescent="0.2">
      <c r="S225" s="218"/>
      <c r="T225" s="219"/>
      <c r="U225" s="219"/>
      <c r="V225" s="219"/>
      <c r="W225" s="219"/>
      <c r="X225" s="220"/>
      <c r="Y225" s="220"/>
    </row>
    <row r="226" spans="19:25" ht="18.75" x14ac:dyDescent="0.2">
      <c r="S226" s="218"/>
      <c r="T226" s="219"/>
      <c r="U226" s="219"/>
      <c r="V226" s="219"/>
      <c r="W226" s="219"/>
      <c r="X226" s="220"/>
      <c r="Y226" s="220"/>
    </row>
    <row r="227" spans="19:25" ht="18.75" x14ac:dyDescent="0.2">
      <c r="S227" s="218"/>
      <c r="T227" s="219"/>
      <c r="U227" s="219"/>
      <c r="V227" s="219"/>
      <c r="W227" s="219"/>
      <c r="X227" s="220"/>
      <c r="Y227" s="220"/>
    </row>
    <row r="228" spans="19:25" ht="18.75" x14ac:dyDescent="0.2">
      <c r="S228" s="218"/>
      <c r="T228" s="219"/>
      <c r="U228" s="219"/>
      <c r="V228" s="219"/>
      <c r="W228" s="219"/>
      <c r="X228" s="220"/>
      <c r="Y228" s="220"/>
    </row>
    <row r="229" spans="19:25" ht="18.75" x14ac:dyDescent="0.2">
      <c r="S229" s="218"/>
      <c r="T229" s="219"/>
      <c r="U229" s="219"/>
      <c r="V229" s="219"/>
      <c r="W229" s="219"/>
      <c r="X229" s="220"/>
      <c r="Y229" s="220"/>
    </row>
    <row r="230" spans="19:25" ht="18.75" x14ac:dyDescent="0.2">
      <c r="S230" s="218"/>
      <c r="T230" s="219"/>
      <c r="U230" s="219"/>
      <c r="V230" s="219"/>
      <c r="W230" s="219"/>
      <c r="X230" s="220"/>
      <c r="Y230" s="220"/>
    </row>
    <row r="231" spans="19:25" ht="18.75" x14ac:dyDescent="0.2">
      <c r="S231" s="218"/>
      <c r="T231" s="219"/>
      <c r="U231" s="219"/>
      <c r="V231" s="219"/>
      <c r="W231" s="219"/>
      <c r="X231" s="220"/>
      <c r="Y231" s="220"/>
    </row>
    <row r="232" spans="19:25" ht="18.75" x14ac:dyDescent="0.2">
      <c r="S232" s="218"/>
      <c r="T232" s="219"/>
      <c r="U232" s="219"/>
      <c r="V232" s="219"/>
      <c r="W232" s="219"/>
      <c r="X232" s="220"/>
      <c r="Y232" s="220"/>
    </row>
    <row r="233" spans="19:25" ht="18.75" x14ac:dyDescent="0.2">
      <c r="S233" s="218"/>
      <c r="T233" s="219"/>
      <c r="U233" s="219"/>
      <c r="V233" s="219"/>
      <c r="W233" s="219"/>
      <c r="X233" s="220"/>
      <c r="Y233" s="220"/>
    </row>
    <row r="234" spans="19:25" ht="18.75" x14ac:dyDescent="0.2">
      <c r="S234" s="218"/>
      <c r="T234" s="219"/>
      <c r="U234" s="219"/>
      <c r="V234" s="219"/>
      <c r="W234" s="219"/>
      <c r="X234" s="220"/>
      <c r="Y234" s="220"/>
    </row>
    <row r="235" spans="19:25" ht="18.75" x14ac:dyDescent="0.2">
      <c r="S235" s="218"/>
      <c r="T235" s="219"/>
      <c r="U235" s="219"/>
      <c r="V235" s="219"/>
      <c r="W235" s="219"/>
      <c r="X235" s="220"/>
      <c r="Y235" s="220"/>
    </row>
    <row r="236" spans="19:25" ht="18.75" x14ac:dyDescent="0.2">
      <c r="S236" s="218"/>
      <c r="T236" s="219"/>
      <c r="U236" s="219"/>
      <c r="V236" s="219"/>
      <c r="W236" s="219"/>
      <c r="X236" s="220"/>
      <c r="Y236" s="220"/>
    </row>
    <row r="237" spans="19:25" ht="18.75" x14ac:dyDescent="0.2">
      <c r="S237" s="218"/>
      <c r="T237" s="219"/>
      <c r="U237" s="219"/>
      <c r="V237" s="219"/>
      <c r="W237" s="219"/>
      <c r="X237" s="220"/>
      <c r="Y237" s="220"/>
    </row>
    <row r="238" spans="19:25" ht="18.75" x14ac:dyDescent="0.2">
      <c r="S238" s="218"/>
      <c r="T238" s="219"/>
      <c r="U238" s="219"/>
      <c r="V238" s="219"/>
      <c r="W238" s="219"/>
      <c r="X238" s="220"/>
      <c r="Y238" s="220"/>
    </row>
    <row r="239" spans="19:25" ht="18.75" x14ac:dyDescent="0.2">
      <c r="S239" s="218"/>
      <c r="T239" s="219"/>
      <c r="U239" s="219"/>
      <c r="V239" s="219"/>
      <c r="W239" s="219"/>
      <c r="X239" s="220"/>
      <c r="Y239" s="220"/>
    </row>
    <row r="240" spans="19:25" ht="18.75" x14ac:dyDescent="0.2">
      <c r="S240" s="218"/>
      <c r="T240" s="219"/>
      <c r="U240" s="219"/>
      <c r="V240" s="219"/>
      <c r="W240" s="219"/>
      <c r="X240" s="220"/>
      <c r="Y240" s="220"/>
    </row>
    <row r="241" spans="19:25" ht="18.75" x14ac:dyDescent="0.2">
      <c r="S241" s="218"/>
      <c r="T241" s="219"/>
      <c r="U241" s="219"/>
      <c r="V241" s="219"/>
      <c r="W241" s="219"/>
      <c r="X241" s="220"/>
      <c r="Y241" s="220"/>
    </row>
    <row r="242" spans="19:25" ht="18.75" x14ac:dyDescent="0.2">
      <c r="S242" s="218"/>
      <c r="T242" s="219"/>
      <c r="U242" s="219"/>
      <c r="V242" s="219"/>
      <c r="W242" s="219"/>
      <c r="X242" s="220"/>
      <c r="Y242" s="220"/>
    </row>
    <row r="243" spans="19:25" ht="18.75" x14ac:dyDescent="0.2">
      <c r="S243" s="218"/>
      <c r="T243" s="219"/>
      <c r="U243" s="219"/>
      <c r="V243" s="219"/>
      <c r="W243" s="219"/>
      <c r="X243" s="220"/>
      <c r="Y243" s="220"/>
    </row>
    <row r="244" spans="19:25" ht="18.75" x14ac:dyDescent="0.2">
      <c r="S244" s="218"/>
      <c r="T244" s="219"/>
      <c r="U244" s="219"/>
      <c r="V244" s="219"/>
      <c r="W244" s="219"/>
      <c r="X244" s="220"/>
      <c r="Y244" s="220"/>
    </row>
    <row r="245" spans="19:25" ht="18.75" x14ac:dyDescent="0.2">
      <c r="S245" s="218"/>
      <c r="T245" s="219"/>
      <c r="U245" s="219"/>
      <c r="V245" s="219"/>
      <c r="W245" s="219"/>
      <c r="X245" s="220"/>
      <c r="Y245" s="220"/>
    </row>
    <row r="246" spans="19:25" ht="18.75" x14ac:dyDescent="0.2">
      <c r="S246" s="218"/>
      <c r="T246" s="219"/>
      <c r="U246" s="219"/>
      <c r="V246" s="219"/>
      <c r="W246" s="219"/>
      <c r="X246" s="220"/>
      <c r="Y246" s="220"/>
    </row>
    <row r="247" spans="19:25" ht="18.75" x14ac:dyDescent="0.2">
      <c r="S247" s="218"/>
      <c r="T247" s="219"/>
      <c r="U247" s="219"/>
      <c r="V247" s="219"/>
      <c r="W247" s="219"/>
      <c r="X247" s="220"/>
      <c r="Y247" s="220"/>
    </row>
    <row r="248" spans="19:25" ht="18.75" x14ac:dyDescent="0.2">
      <c r="S248" s="218"/>
      <c r="T248" s="219"/>
      <c r="U248" s="219"/>
      <c r="V248" s="219"/>
      <c r="W248" s="219"/>
      <c r="X248" s="220"/>
      <c r="Y248" s="220"/>
    </row>
    <row r="249" spans="19:25" ht="18.75" x14ac:dyDescent="0.2">
      <c r="S249" s="218"/>
      <c r="T249" s="219"/>
      <c r="U249" s="219"/>
      <c r="V249" s="219"/>
      <c r="W249" s="219"/>
      <c r="X249" s="220"/>
      <c r="Y249" s="220"/>
    </row>
    <row r="250" spans="19:25" ht="18.75" x14ac:dyDescent="0.2">
      <c r="S250" s="218"/>
      <c r="T250" s="219"/>
      <c r="U250" s="219"/>
      <c r="V250" s="219"/>
      <c r="W250" s="219"/>
      <c r="X250" s="220"/>
      <c r="Y250" s="220"/>
    </row>
    <row r="251" spans="19:25" ht="18.75" x14ac:dyDescent="0.2">
      <c r="S251" s="218"/>
      <c r="T251" s="219"/>
      <c r="U251" s="219"/>
      <c r="V251" s="219"/>
      <c r="W251" s="219"/>
      <c r="X251" s="220"/>
      <c r="Y251" s="220"/>
    </row>
    <row r="252" spans="19:25" ht="18.75" x14ac:dyDescent="0.2">
      <c r="S252" s="218"/>
      <c r="T252" s="219"/>
      <c r="U252" s="219"/>
      <c r="V252" s="219"/>
      <c r="W252" s="219"/>
      <c r="X252" s="220"/>
      <c r="Y252" s="220"/>
    </row>
    <row r="253" spans="19:25" ht="18.75" x14ac:dyDescent="0.2">
      <c r="S253" s="218"/>
      <c r="T253" s="219"/>
      <c r="U253" s="219"/>
      <c r="V253" s="219"/>
      <c r="W253" s="219"/>
      <c r="X253" s="220"/>
      <c r="Y253" s="220"/>
    </row>
    <row r="254" spans="19:25" ht="18.75" x14ac:dyDescent="0.2">
      <c r="S254" s="218"/>
      <c r="T254" s="219"/>
      <c r="U254" s="219"/>
      <c r="V254" s="219"/>
      <c r="W254" s="219"/>
      <c r="X254" s="220"/>
      <c r="Y254" s="220"/>
    </row>
    <row r="255" spans="19:25" ht="18.75" x14ac:dyDescent="0.2">
      <c r="S255" s="218"/>
      <c r="T255" s="219"/>
      <c r="U255" s="219"/>
      <c r="V255" s="219"/>
      <c r="W255" s="219"/>
      <c r="X255" s="220"/>
      <c r="Y255" s="220"/>
    </row>
    <row r="256" spans="19:25" ht="18.75" x14ac:dyDescent="0.2">
      <c r="S256" s="218"/>
      <c r="T256" s="219"/>
      <c r="U256" s="219"/>
      <c r="V256" s="219"/>
      <c r="W256" s="219"/>
      <c r="X256" s="220"/>
      <c r="Y256" s="220"/>
    </row>
    <row r="257" spans="19:25" ht="18.75" x14ac:dyDescent="0.2">
      <c r="S257" s="218"/>
      <c r="T257" s="219"/>
      <c r="U257" s="219"/>
      <c r="V257" s="219"/>
      <c r="W257" s="219"/>
      <c r="X257" s="220"/>
      <c r="Y257" s="220"/>
    </row>
    <row r="258" spans="19:25" ht="18.75" x14ac:dyDescent="0.2">
      <c r="S258" s="218"/>
      <c r="T258" s="219"/>
      <c r="U258" s="219"/>
      <c r="V258" s="219"/>
      <c r="W258" s="219"/>
      <c r="X258" s="220"/>
      <c r="Y258" s="220"/>
    </row>
    <row r="259" spans="19:25" ht="18.75" x14ac:dyDescent="0.2">
      <c r="S259" s="218"/>
      <c r="T259" s="219"/>
      <c r="U259" s="219"/>
      <c r="V259" s="219"/>
      <c r="W259" s="219"/>
      <c r="X259" s="220"/>
      <c r="Y259" s="220"/>
    </row>
    <row r="260" spans="19:25" ht="18.75" x14ac:dyDescent="0.2">
      <c r="S260" s="218"/>
      <c r="T260" s="219"/>
      <c r="U260" s="219"/>
      <c r="V260" s="219"/>
      <c r="W260" s="219"/>
      <c r="X260" s="220"/>
      <c r="Y260" s="220"/>
    </row>
    <row r="261" spans="19:25" ht="18.75" x14ac:dyDescent="0.2">
      <c r="S261" s="218"/>
      <c r="T261" s="219"/>
      <c r="U261" s="219"/>
      <c r="V261" s="219"/>
      <c r="W261" s="219"/>
      <c r="X261" s="220"/>
      <c r="Y261" s="220"/>
    </row>
    <row r="262" spans="19:25" ht="18.75" x14ac:dyDescent="0.2">
      <c r="S262" s="218"/>
      <c r="T262" s="219"/>
      <c r="U262" s="219"/>
      <c r="V262" s="219"/>
      <c r="W262" s="219"/>
      <c r="X262" s="220"/>
      <c r="Y262" s="220"/>
    </row>
    <row r="263" spans="19:25" ht="18.75" x14ac:dyDescent="0.2">
      <c r="S263" s="218"/>
      <c r="T263" s="219"/>
      <c r="U263" s="219"/>
      <c r="V263" s="219"/>
      <c r="W263" s="219"/>
      <c r="X263" s="220"/>
      <c r="Y263" s="220"/>
    </row>
    <row r="264" spans="19:25" ht="18.75" x14ac:dyDescent="0.2">
      <c r="S264" s="218"/>
      <c r="T264" s="219"/>
      <c r="U264" s="219"/>
      <c r="V264" s="219"/>
      <c r="W264" s="219"/>
      <c r="X264" s="220"/>
      <c r="Y264" s="220"/>
    </row>
    <row r="265" spans="19:25" ht="18.75" x14ac:dyDescent="0.2">
      <c r="S265" s="218"/>
      <c r="T265" s="219"/>
      <c r="U265" s="219"/>
      <c r="V265" s="219"/>
      <c r="W265" s="219"/>
      <c r="X265" s="220"/>
      <c r="Y265" s="220"/>
    </row>
    <row r="266" spans="19:25" ht="18.75" x14ac:dyDescent="0.2">
      <c r="S266" s="218"/>
      <c r="T266" s="219"/>
      <c r="U266" s="219"/>
      <c r="V266" s="219"/>
      <c r="W266" s="219"/>
      <c r="X266" s="220"/>
      <c r="Y266" s="220"/>
    </row>
    <row r="267" spans="19:25" ht="18.75" x14ac:dyDescent="0.2">
      <c r="S267" s="218"/>
      <c r="T267" s="219"/>
      <c r="U267" s="219"/>
      <c r="V267" s="219"/>
      <c r="W267" s="219"/>
      <c r="X267" s="220"/>
      <c r="Y267" s="220"/>
    </row>
    <row r="268" spans="19:25" ht="18.75" x14ac:dyDescent="0.2">
      <c r="S268" s="218"/>
      <c r="T268" s="219"/>
      <c r="U268" s="219"/>
      <c r="V268" s="219"/>
      <c r="W268" s="219"/>
      <c r="X268" s="220"/>
      <c r="Y268" s="220"/>
    </row>
    <row r="269" spans="19:25" ht="18.75" x14ac:dyDescent="0.2">
      <c r="S269" s="218"/>
      <c r="T269" s="219"/>
      <c r="U269" s="219"/>
      <c r="V269" s="219"/>
      <c r="W269" s="219"/>
      <c r="X269" s="220"/>
      <c r="Y269" s="220"/>
    </row>
    <row r="270" spans="19:25" ht="18.75" x14ac:dyDescent="0.2">
      <c r="S270" s="218"/>
      <c r="T270" s="219"/>
      <c r="U270" s="219"/>
      <c r="V270" s="219"/>
      <c r="W270" s="219"/>
      <c r="X270" s="220"/>
      <c r="Y270" s="220"/>
    </row>
    <row r="271" spans="19:25" ht="18.75" x14ac:dyDescent="0.2">
      <c r="S271" s="218"/>
      <c r="T271" s="219"/>
      <c r="U271" s="219"/>
      <c r="V271" s="219"/>
      <c r="W271" s="219"/>
      <c r="X271" s="220"/>
      <c r="Y271" s="220"/>
    </row>
    <row r="272" spans="19:25" ht="18.75" x14ac:dyDescent="0.2">
      <c r="S272" s="218"/>
      <c r="T272" s="219"/>
      <c r="U272" s="219"/>
      <c r="V272" s="219"/>
      <c r="W272" s="219"/>
      <c r="X272" s="220"/>
      <c r="Y272" s="220"/>
    </row>
    <row r="273" spans="19:25" ht="18.75" x14ac:dyDescent="0.2">
      <c r="S273" s="218"/>
      <c r="T273" s="219"/>
      <c r="U273" s="219"/>
      <c r="V273" s="219"/>
      <c r="W273" s="219"/>
      <c r="X273" s="220"/>
      <c r="Y273" s="220"/>
    </row>
    <row r="274" spans="19:25" ht="18.75" x14ac:dyDescent="0.2">
      <c r="S274" s="218"/>
      <c r="T274" s="219"/>
      <c r="U274" s="219"/>
      <c r="V274" s="219"/>
      <c r="W274" s="219"/>
      <c r="X274" s="220"/>
      <c r="Y274" s="220"/>
    </row>
    <row r="275" spans="19:25" ht="18.75" x14ac:dyDescent="0.2">
      <c r="S275" s="218"/>
      <c r="T275" s="219"/>
      <c r="U275" s="219"/>
      <c r="V275" s="219"/>
      <c r="W275" s="219"/>
      <c r="X275" s="220"/>
      <c r="Y275" s="220"/>
    </row>
    <row r="276" spans="19:25" ht="18.75" x14ac:dyDescent="0.2">
      <c r="S276" s="218"/>
      <c r="T276" s="219"/>
      <c r="U276" s="219"/>
      <c r="V276" s="219"/>
      <c r="W276" s="219"/>
      <c r="X276" s="220"/>
      <c r="Y276" s="220"/>
    </row>
    <row r="277" spans="19:25" ht="18.75" x14ac:dyDescent="0.2">
      <c r="S277" s="218"/>
      <c r="T277" s="219"/>
      <c r="U277" s="219"/>
      <c r="V277" s="219"/>
      <c r="W277" s="219"/>
      <c r="X277" s="220"/>
      <c r="Y277" s="220"/>
    </row>
    <row r="278" spans="19:25" ht="18.75" x14ac:dyDescent="0.2">
      <c r="S278" s="218"/>
      <c r="T278" s="219"/>
      <c r="U278" s="219"/>
      <c r="V278" s="219"/>
      <c r="W278" s="219"/>
      <c r="X278" s="220"/>
      <c r="Y278" s="220"/>
    </row>
    <row r="279" spans="19:25" ht="18.75" x14ac:dyDescent="0.2">
      <c r="S279" s="218"/>
      <c r="T279" s="219"/>
      <c r="U279" s="219"/>
      <c r="V279" s="219"/>
      <c r="W279" s="219"/>
      <c r="X279" s="220"/>
      <c r="Y279" s="220"/>
    </row>
    <row r="280" spans="19:25" ht="18.75" x14ac:dyDescent="0.2">
      <c r="S280" s="218"/>
      <c r="T280" s="219"/>
      <c r="U280" s="219"/>
      <c r="V280" s="219"/>
      <c r="W280" s="219"/>
      <c r="X280" s="220"/>
      <c r="Y280" s="220"/>
    </row>
    <row r="281" spans="19:25" ht="18.75" x14ac:dyDescent="0.2">
      <c r="S281" s="218"/>
      <c r="T281" s="219"/>
      <c r="U281" s="219"/>
      <c r="V281" s="219"/>
      <c r="W281" s="219"/>
      <c r="X281" s="220"/>
      <c r="Y281" s="220"/>
    </row>
    <row r="282" spans="19:25" ht="18.75" x14ac:dyDescent="0.2">
      <c r="S282" s="218"/>
      <c r="T282" s="219"/>
      <c r="U282" s="219"/>
      <c r="V282" s="219"/>
      <c r="W282" s="219"/>
      <c r="X282" s="220"/>
      <c r="Y282" s="220"/>
    </row>
    <row r="283" spans="19:25" ht="18.75" x14ac:dyDescent="0.2">
      <c r="S283" s="218"/>
      <c r="T283" s="219"/>
      <c r="U283" s="219"/>
      <c r="V283" s="219"/>
      <c r="W283" s="219"/>
      <c r="X283" s="220"/>
      <c r="Y283" s="220"/>
    </row>
    <row r="284" spans="19:25" ht="18.75" x14ac:dyDescent="0.2">
      <c r="S284" s="218"/>
      <c r="T284" s="219"/>
      <c r="U284" s="219"/>
      <c r="V284" s="219"/>
      <c r="W284" s="219"/>
      <c r="X284" s="220"/>
      <c r="Y284" s="220"/>
    </row>
    <row r="285" spans="19:25" ht="18.75" x14ac:dyDescent="0.2">
      <c r="S285" s="218"/>
      <c r="T285" s="219"/>
      <c r="U285" s="219"/>
      <c r="V285" s="219"/>
      <c r="W285" s="219"/>
      <c r="X285" s="220"/>
      <c r="Y285" s="220"/>
    </row>
    <row r="286" spans="19:25" ht="18.75" x14ac:dyDescent="0.2">
      <c r="S286" s="218"/>
      <c r="T286" s="219"/>
      <c r="U286" s="219"/>
      <c r="V286" s="219"/>
      <c r="W286" s="219"/>
      <c r="X286" s="220"/>
      <c r="Y286" s="220"/>
    </row>
    <row r="287" spans="19:25" ht="18.75" x14ac:dyDescent="0.2">
      <c r="S287" s="218"/>
      <c r="T287" s="219"/>
      <c r="U287" s="219"/>
      <c r="V287" s="219"/>
      <c r="W287" s="219"/>
      <c r="X287" s="220"/>
      <c r="Y287" s="220"/>
    </row>
    <row r="288" spans="19:25" ht="18.75" x14ac:dyDescent="0.2">
      <c r="S288" s="218"/>
      <c r="T288" s="219"/>
      <c r="U288" s="219"/>
      <c r="V288" s="219"/>
      <c r="W288" s="219"/>
      <c r="X288" s="220"/>
      <c r="Y288" s="220"/>
    </row>
    <row r="289" spans="19:25" ht="18.75" x14ac:dyDescent="0.2">
      <c r="S289" s="218"/>
      <c r="T289" s="219"/>
      <c r="U289" s="219"/>
      <c r="V289" s="219"/>
      <c r="W289" s="219"/>
      <c r="X289" s="220"/>
      <c r="Y289" s="220"/>
    </row>
    <row r="290" spans="19:25" ht="18.75" x14ac:dyDescent="0.2">
      <c r="S290" s="218"/>
      <c r="T290" s="219"/>
      <c r="U290" s="219"/>
      <c r="V290" s="219"/>
      <c r="W290" s="219"/>
      <c r="X290" s="220"/>
      <c r="Y290" s="220"/>
    </row>
    <row r="291" spans="19:25" ht="18.75" x14ac:dyDescent="0.2">
      <c r="S291" s="218"/>
      <c r="T291" s="219"/>
      <c r="U291" s="219"/>
      <c r="V291" s="219"/>
      <c r="W291" s="219"/>
      <c r="X291" s="220"/>
      <c r="Y291" s="220"/>
    </row>
    <row r="292" spans="19:25" ht="18.75" x14ac:dyDescent="0.2">
      <c r="S292" s="218"/>
      <c r="T292" s="219"/>
      <c r="U292" s="219"/>
      <c r="V292" s="219"/>
      <c r="W292" s="219"/>
      <c r="X292" s="220"/>
      <c r="Y292" s="220"/>
    </row>
    <row r="293" spans="19:25" ht="18.75" x14ac:dyDescent="0.2">
      <c r="S293" s="218"/>
      <c r="T293" s="219"/>
      <c r="U293" s="219"/>
      <c r="V293" s="219"/>
      <c r="W293" s="219"/>
      <c r="X293" s="220"/>
      <c r="Y293" s="220"/>
    </row>
    <row r="294" spans="19:25" ht="18.75" x14ac:dyDescent="0.2">
      <c r="S294" s="218"/>
      <c r="T294" s="219"/>
      <c r="U294" s="219"/>
      <c r="V294" s="219"/>
      <c r="W294" s="219"/>
      <c r="X294" s="220"/>
      <c r="Y294" s="220"/>
    </row>
    <row r="295" spans="19:25" ht="18.75" x14ac:dyDescent="0.2">
      <c r="S295" s="218"/>
      <c r="T295" s="219"/>
      <c r="U295" s="219"/>
      <c r="V295" s="219"/>
      <c r="W295" s="219"/>
      <c r="X295" s="220"/>
      <c r="Y295" s="220"/>
    </row>
    <row r="296" spans="19:25" ht="18.75" x14ac:dyDescent="0.2">
      <c r="S296" s="218"/>
      <c r="T296" s="219"/>
      <c r="U296" s="219"/>
      <c r="V296" s="219"/>
      <c r="W296" s="219"/>
      <c r="X296" s="220"/>
      <c r="Y296" s="220"/>
    </row>
    <row r="297" spans="19:25" ht="18.75" x14ac:dyDescent="0.2">
      <c r="S297" s="218"/>
      <c r="T297" s="219"/>
      <c r="U297" s="219"/>
      <c r="V297" s="219"/>
      <c r="W297" s="219"/>
      <c r="X297" s="220"/>
      <c r="Y297" s="220"/>
    </row>
    <row r="298" spans="19:25" ht="18.75" x14ac:dyDescent="0.2">
      <c r="S298" s="218"/>
      <c r="T298" s="219"/>
      <c r="U298" s="219"/>
      <c r="V298" s="219"/>
      <c r="W298" s="219"/>
      <c r="X298" s="220"/>
      <c r="Y298" s="220"/>
    </row>
    <row r="299" spans="19:25" ht="18.75" x14ac:dyDescent="0.2">
      <c r="S299" s="218"/>
      <c r="T299" s="219"/>
      <c r="U299" s="219"/>
      <c r="V299" s="219"/>
      <c r="W299" s="219"/>
      <c r="X299" s="220"/>
      <c r="Y299" s="220"/>
    </row>
    <row r="300" spans="19:25" ht="18.75" x14ac:dyDescent="0.2">
      <c r="S300" s="218"/>
      <c r="T300" s="219"/>
      <c r="U300" s="219"/>
      <c r="V300" s="219"/>
      <c r="W300" s="219"/>
      <c r="X300" s="220"/>
      <c r="Y300" s="220"/>
    </row>
    <row r="301" spans="19:25" ht="18.75" x14ac:dyDescent="0.2">
      <c r="S301" s="218"/>
      <c r="T301" s="219"/>
      <c r="U301" s="219"/>
      <c r="V301" s="219"/>
      <c r="W301" s="219"/>
      <c r="X301" s="220"/>
      <c r="Y301" s="220"/>
    </row>
    <row r="302" spans="19:25" ht="18.75" x14ac:dyDescent="0.2">
      <c r="S302" s="218"/>
      <c r="T302" s="219"/>
      <c r="U302" s="219"/>
      <c r="V302" s="219"/>
      <c r="W302" s="219"/>
      <c r="X302" s="220"/>
      <c r="Y302" s="220"/>
    </row>
    <row r="303" spans="19:25" ht="18.75" x14ac:dyDescent="0.2">
      <c r="S303" s="218"/>
      <c r="T303" s="219"/>
      <c r="U303" s="219"/>
      <c r="V303" s="219"/>
      <c r="W303" s="219"/>
      <c r="X303" s="220"/>
      <c r="Y303" s="220"/>
    </row>
    <row r="304" spans="19:25" ht="18.75" x14ac:dyDescent="0.2">
      <c r="S304" s="218"/>
      <c r="T304" s="219"/>
      <c r="U304" s="219"/>
      <c r="V304" s="219"/>
      <c r="W304" s="219"/>
      <c r="X304" s="220"/>
      <c r="Y304" s="220"/>
    </row>
    <row r="305" spans="19:25" ht="18.75" x14ac:dyDescent="0.2">
      <c r="S305" s="218"/>
      <c r="T305" s="219"/>
      <c r="U305" s="219"/>
      <c r="V305" s="219"/>
      <c r="W305" s="219"/>
      <c r="X305" s="220"/>
      <c r="Y305" s="220"/>
    </row>
  </sheetData>
  <mergeCells count="1">
    <mergeCell ref="K3:P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7" tint="0.79998168889431442"/>
    <pageSetUpPr fitToPage="1"/>
  </sheetPr>
  <dimension ref="A1:BT129"/>
  <sheetViews>
    <sheetView workbookViewId="0">
      <pane xSplit="1" ySplit="1" topLeftCell="B97" activePane="bottomRight" state="frozen"/>
      <selection pane="topRight"/>
      <selection pane="bottomLeft"/>
      <selection pane="bottomRight"/>
    </sheetView>
  </sheetViews>
  <sheetFormatPr defaultColWidth="8.83203125" defaultRowHeight="12.75" x14ac:dyDescent="0.2"/>
  <cols>
    <col min="1" max="1" width="11.83203125" style="202" bestFit="1" customWidth="1"/>
    <col min="2" max="2" width="10.33203125" style="202" customWidth="1"/>
    <col min="3" max="3" width="19.1640625" style="203" bestFit="1" customWidth="1"/>
    <col min="4" max="5" width="19.1640625" style="203" customWidth="1"/>
    <col min="6" max="6" width="17.83203125" style="206" bestFit="1" customWidth="1"/>
    <col min="7" max="8" width="17.5" style="206" bestFit="1" customWidth="1"/>
    <col min="9" max="9" width="17.83203125" style="202" bestFit="1" customWidth="1"/>
    <col min="10" max="10" width="17.83203125" style="202" customWidth="1"/>
    <col min="11" max="11" width="18.1640625" style="206" bestFit="1" customWidth="1"/>
    <col min="12" max="13" width="18.1640625" style="206" customWidth="1"/>
    <col min="14" max="14" width="16.83203125" style="206" customWidth="1"/>
    <col min="15" max="15" width="18.1640625" style="206" bestFit="1" customWidth="1"/>
    <col min="16" max="16" width="19.5" style="206" bestFit="1" customWidth="1"/>
    <col min="17" max="17" width="18.33203125" style="206" customWidth="1"/>
    <col min="18" max="18" width="20" style="206" bestFit="1" customWidth="1"/>
    <col min="19" max="19" width="12.33203125" style="206" bestFit="1" customWidth="1"/>
    <col min="20" max="20" width="15.5" style="202" bestFit="1" customWidth="1"/>
    <col min="21" max="21" width="18.33203125" style="202" bestFit="1" customWidth="1"/>
    <col min="22" max="28" width="8.83203125" style="37"/>
    <col min="29" max="43" width="8.83203125" style="38"/>
    <col min="44" max="61" width="8.83203125" style="202"/>
    <col min="62" max="62" width="10.6640625" style="202" customWidth="1"/>
    <col min="63" max="63" width="8.83203125" style="202"/>
    <col min="64" max="64" width="12.83203125" style="202" customWidth="1"/>
    <col min="65" max="65" width="10.83203125" style="202" bestFit="1" customWidth="1"/>
    <col min="66" max="66" width="8.83203125" style="202"/>
    <col min="67" max="68" width="12" style="202" bestFit="1" customWidth="1"/>
    <col min="69" max="70" width="10.83203125" style="202" bestFit="1" customWidth="1"/>
    <col min="71" max="72" width="14" style="202" bestFit="1" customWidth="1"/>
    <col min="73" max="16384" width="8.83203125" style="202"/>
  </cols>
  <sheetData>
    <row r="1" spans="1:72" x14ac:dyDescent="0.2">
      <c r="A1" s="202" t="s">
        <v>16</v>
      </c>
      <c r="B1" s="202" t="s">
        <v>0</v>
      </c>
      <c r="C1" s="203" t="s">
        <v>1</v>
      </c>
      <c r="D1" s="203" t="s">
        <v>47</v>
      </c>
      <c r="E1" s="203" t="s">
        <v>49</v>
      </c>
      <c r="F1" s="206" t="s">
        <v>9</v>
      </c>
      <c r="G1" s="209" t="s">
        <v>2</v>
      </c>
      <c r="H1" s="209" t="s">
        <v>10</v>
      </c>
      <c r="I1" s="203" t="s">
        <v>3</v>
      </c>
      <c r="J1" s="203" t="s">
        <v>48</v>
      </c>
      <c r="K1" s="209" t="s">
        <v>4</v>
      </c>
      <c r="L1" s="209" t="s">
        <v>50</v>
      </c>
      <c r="M1" s="209" t="s">
        <v>51</v>
      </c>
      <c r="N1" s="209" t="s">
        <v>5</v>
      </c>
      <c r="O1" s="209" t="s">
        <v>11</v>
      </c>
      <c r="P1" s="209" t="s">
        <v>6</v>
      </c>
      <c r="Q1" s="209" t="s">
        <v>7</v>
      </c>
      <c r="R1" s="209" t="s">
        <v>13</v>
      </c>
      <c r="S1" s="209" t="s">
        <v>8</v>
      </c>
      <c r="T1" s="203" t="s">
        <v>12</v>
      </c>
      <c r="U1" s="202" t="s">
        <v>14</v>
      </c>
      <c r="V1" s="37" t="str">
        <f>'Economic (2020 Adj.)'!C1</f>
        <v>GDP</v>
      </c>
      <c r="W1" s="37" t="str">
        <f>'Economic (2020 Adj.)'!D1</f>
        <v>Ont_FTEAdj</v>
      </c>
      <c r="X1" s="37" t="str">
        <f>'Economic (2020 Adj.)'!F1</f>
        <v>Tor_FTEAdj</v>
      </c>
      <c r="Y1" s="37" t="str">
        <f>'Economic (2020 Adj.)'!H1</f>
        <v>Ham_FTEAdj</v>
      </c>
      <c r="Z1" s="37" t="str">
        <f>'Economic (2020 Adj.)'!E1</f>
        <v>Ont_FTE</v>
      </c>
      <c r="AA1" s="37" t="str">
        <f>'Economic (2020 Adj.)'!G1</f>
        <v>Tor_FTE</v>
      </c>
      <c r="AB1" s="37" t="str">
        <f>'Economic (2020 Adj.)'!I1</f>
        <v>Ham_FTE</v>
      </c>
      <c r="AC1" s="38" t="str">
        <f>Weather!D1</f>
        <v>MeanTemp</v>
      </c>
      <c r="AD1" s="38" t="str">
        <f>Weather!E1</f>
        <v>HDD20</v>
      </c>
      <c r="AE1" s="38" t="str">
        <f>Weather!F1</f>
        <v>CDD20</v>
      </c>
      <c r="AF1" s="38" t="str">
        <f>Weather!G1</f>
        <v>HDD18</v>
      </c>
      <c r="AG1" s="38" t="str">
        <f>Weather!H1</f>
        <v>CDD18</v>
      </c>
      <c r="AH1" s="38" t="str">
        <f>Weather!I1</f>
        <v>HDD16</v>
      </c>
      <c r="AI1" s="38" t="str">
        <f>Weather!J1</f>
        <v>CDD16</v>
      </c>
      <c r="AJ1" s="38" t="str">
        <f>Weather!K1</f>
        <v>HDD14</v>
      </c>
      <c r="AK1" s="38" t="str">
        <f>Weather!L1</f>
        <v>CDD14</v>
      </c>
      <c r="AL1" s="38" t="str">
        <f>Weather!M1</f>
        <v>HDD12</v>
      </c>
      <c r="AM1" s="38" t="str">
        <f>Weather!N1</f>
        <v>CDD12</v>
      </c>
      <c r="AN1" s="38" t="str">
        <f>Weather!O1</f>
        <v>HDD10</v>
      </c>
      <c r="AO1" s="38" t="str">
        <f>Weather!P1</f>
        <v>CDD10</v>
      </c>
      <c r="AP1" s="38" t="str">
        <f>Weather!Q1</f>
        <v>HDD8</v>
      </c>
      <c r="AQ1" s="38" t="str">
        <f>Weather!R1</f>
        <v>CDD8</v>
      </c>
      <c r="AR1" s="40" t="s">
        <v>54</v>
      </c>
      <c r="AS1" s="40" t="s">
        <v>55</v>
      </c>
      <c r="AT1" s="40" t="s">
        <v>56</v>
      </c>
      <c r="AU1" s="40" t="s">
        <v>57</v>
      </c>
      <c r="AV1" s="40" t="s">
        <v>58</v>
      </c>
      <c r="AW1" s="40" t="s">
        <v>59</v>
      </c>
      <c r="AX1" s="40" t="s">
        <v>60</v>
      </c>
      <c r="AY1" s="40" t="s">
        <v>61</v>
      </c>
      <c r="AZ1" s="40" t="s">
        <v>62</v>
      </c>
      <c r="BA1" s="40" t="s">
        <v>63</v>
      </c>
      <c r="BB1" s="40" t="s">
        <v>64</v>
      </c>
      <c r="BC1" s="40" t="s">
        <v>65</v>
      </c>
      <c r="BD1" s="40" t="s">
        <v>66</v>
      </c>
      <c r="BE1" s="40" t="s">
        <v>67</v>
      </c>
      <c r="BF1" s="40" t="s">
        <v>68</v>
      </c>
      <c r="BG1" s="202" t="s">
        <v>69</v>
      </c>
      <c r="BH1" s="40" t="s">
        <v>70</v>
      </c>
      <c r="BI1" s="40" t="s">
        <v>71</v>
      </c>
      <c r="BJ1" s="202" t="s">
        <v>200</v>
      </c>
      <c r="BK1" s="202" t="s">
        <v>201</v>
      </c>
      <c r="BL1" s="202" t="s">
        <v>208</v>
      </c>
      <c r="BM1" s="202" t="s">
        <v>202</v>
      </c>
      <c r="BN1" s="202" t="s">
        <v>203</v>
      </c>
      <c r="BO1" s="202" t="s">
        <v>209</v>
      </c>
      <c r="BP1" s="202" t="s">
        <v>204</v>
      </c>
      <c r="BQ1" s="202" t="s">
        <v>205</v>
      </c>
      <c r="BR1" s="202" t="s">
        <v>206</v>
      </c>
      <c r="BS1" s="202" t="s">
        <v>210</v>
      </c>
      <c r="BT1" s="202" t="s">
        <v>211</v>
      </c>
    </row>
    <row r="2" spans="1:72" x14ac:dyDescent="0.2">
      <c r="A2" s="204">
        <v>40179</v>
      </c>
      <c r="B2" s="205">
        <f t="shared" ref="B2:B65" si="0">YEAR(A2)</f>
        <v>2010</v>
      </c>
      <c r="C2" s="203">
        <v>49397907</v>
      </c>
      <c r="D2" s="203">
        <f>VLOOKUP(B2,CDM!$I$5:$N$15,2,FALSE)/12</f>
        <v>0</v>
      </c>
      <c r="E2" s="203">
        <f t="shared" ref="E2:E65" si="1">C2+D2</f>
        <v>49397907</v>
      </c>
      <c r="F2" s="208">
        <v>57642</v>
      </c>
      <c r="G2" s="206">
        <v>15762767</v>
      </c>
      <c r="H2" s="208">
        <v>4982</v>
      </c>
      <c r="I2" s="203">
        <f>VLOOKUP(B2,CDM!$I$5:$N$15,3,FALSE)/12</f>
        <v>0</v>
      </c>
      <c r="J2" s="203">
        <f t="shared" ref="J2:J65" si="2">G2+I2</f>
        <v>15762767</v>
      </c>
      <c r="K2" s="206">
        <v>77865432</v>
      </c>
      <c r="L2" s="203">
        <f>VLOOKUP(B2,CDM!$I$5:$N$15,4,FALSE)/12</f>
        <v>0</v>
      </c>
      <c r="M2" s="87">
        <f t="shared" ref="M2:M65" si="3">K2+L2</f>
        <v>77865432</v>
      </c>
      <c r="N2" s="206">
        <v>193851</v>
      </c>
      <c r="O2" s="208">
        <v>979</v>
      </c>
      <c r="P2" s="206">
        <v>975753</v>
      </c>
      <c r="Q2" s="206">
        <v>2155</v>
      </c>
      <c r="R2" s="208">
        <v>14457</v>
      </c>
      <c r="S2" s="206">
        <v>292706</v>
      </c>
      <c r="T2" s="202">
        <v>0</v>
      </c>
      <c r="U2" s="202">
        <v>603</v>
      </c>
      <c r="V2" s="37">
        <f>'Economic (2020 Adj.)'!C14</f>
        <v>609770.30000000005</v>
      </c>
      <c r="W2" s="37">
        <f>'Economic (2020 Adj.)'!D14</f>
        <v>6466.9</v>
      </c>
      <c r="X2" s="37">
        <f>'Economic (2020 Adj.)'!F14</f>
        <v>2836.8</v>
      </c>
      <c r="Y2" s="37">
        <f>'Economic (2020 Adj.)'!H14</f>
        <v>368.4</v>
      </c>
      <c r="Z2" s="37">
        <f>'Economic (2020 Adj.)'!E14</f>
        <v>6434.5</v>
      </c>
      <c r="AA2" s="37">
        <f>'Economic (2020 Adj.)'!G14</f>
        <v>2831.9</v>
      </c>
      <c r="AB2" s="37">
        <f>'Economic (2020 Adj.)'!I14</f>
        <v>365.5</v>
      </c>
      <c r="AC2" s="39">
        <f>Weather!D134</f>
        <v>-3.5870967741935478</v>
      </c>
      <c r="AD2" s="39">
        <f>Weather!E134</f>
        <v>731.2</v>
      </c>
      <c r="AE2" s="39">
        <f>Weather!F134</f>
        <v>0</v>
      </c>
      <c r="AF2" s="39">
        <f>Weather!G134</f>
        <v>669.2</v>
      </c>
      <c r="AG2" s="39">
        <f>Weather!H134</f>
        <v>0</v>
      </c>
      <c r="AH2" s="39">
        <f>Weather!I134</f>
        <v>607.20000000000005</v>
      </c>
      <c r="AI2" s="39">
        <f>Weather!J134</f>
        <v>0</v>
      </c>
      <c r="AJ2" s="39">
        <f>Weather!K134</f>
        <v>545.20000000000005</v>
      </c>
      <c r="AK2" s="39">
        <f>Weather!L134</f>
        <v>0</v>
      </c>
      <c r="AL2" s="39">
        <f>Weather!M134</f>
        <v>483.20000000000005</v>
      </c>
      <c r="AM2" s="39">
        <f>Weather!N134</f>
        <v>0</v>
      </c>
      <c r="AN2" s="39">
        <f>Weather!O134</f>
        <v>421.2</v>
      </c>
      <c r="AO2" s="39">
        <f>Weather!P134</f>
        <v>0</v>
      </c>
      <c r="AP2" s="39">
        <f>Weather!Q134</f>
        <v>359.19999999999993</v>
      </c>
      <c r="AQ2" s="39">
        <f>Weather!R134</f>
        <v>0</v>
      </c>
      <c r="AR2" s="201">
        <v>1</v>
      </c>
      <c r="AS2" s="201">
        <v>0</v>
      </c>
      <c r="AT2" s="201">
        <v>0</v>
      </c>
      <c r="AU2" s="201">
        <v>0</v>
      </c>
      <c r="AV2" s="201">
        <v>0</v>
      </c>
      <c r="AW2" s="201">
        <v>0</v>
      </c>
      <c r="AX2" s="201">
        <v>0</v>
      </c>
      <c r="AY2" s="201">
        <v>0</v>
      </c>
      <c r="AZ2" s="201">
        <v>0</v>
      </c>
      <c r="BA2" s="201">
        <v>0</v>
      </c>
      <c r="BB2" s="201">
        <v>0</v>
      </c>
      <c r="BC2" s="201">
        <v>0</v>
      </c>
      <c r="BD2" s="201">
        <v>0</v>
      </c>
      <c r="BE2" s="201">
        <v>0</v>
      </c>
      <c r="BF2" s="201">
        <v>0</v>
      </c>
      <c r="BG2" s="202">
        <v>1</v>
      </c>
      <c r="BH2" s="201">
        <v>31</v>
      </c>
      <c r="BI2" s="201">
        <v>20</v>
      </c>
      <c r="BJ2" s="160">
        <f>E2/F2</f>
        <v>856.97767253044651</v>
      </c>
      <c r="BK2" s="160">
        <f>BJ2/BH2</f>
        <v>27.644441049369242</v>
      </c>
      <c r="BL2" s="159">
        <f>E2/BH2</f>
        <v>1593480.8709677418</v>
      </c>
      <c r="BM2" s="160">
        <f>J2/H2</f>
        <v>3163.9435969490164</v>
      </c>
      <c r="BN2" s="160">
        <f>BM2/BH2</f>
        <v>102.06269667577472</v>
      </c>
      <c r="BO2" s="160">
        <f>J2/BH2</f>
        <v>508476.3548387097</v>
      </c>
      <c r="BP2" s="160">
        <f>M2/O2</f>
        <v>79535.681307456587</v>
      </c>
      <c r="BQ2" s="160">
        <f>BP2/BH2</f>
        <v>2565.6671389502126</v>
      </c>
      <c r="BR2" s="160">
        <f>BP2/BI2</f>
        <v>3976.7840653728294</v>
      </c>
      <c r="BS2" s="160">
        <f>M2/BH2</f>
        <v>2511788.1290322579</v>
      </c>
      <c r="BT2" s="160">
        <f>M2/BI2</f>
        <v>3893271.6</v>
      </c>
    </row>
    <row r="3" spans="1:72" x14ac:dyDescent="0.2">
      <c r="A3" s="204">
        <v>40210</v>
      </c>
      <c r="B3" s="205">
        <f t="shared" si="0"/>
        <v>2010</v>
      </c>
      <c r="C3" s="203">
        <v>40768686</v>
      </c>
      <c r="D3" s="203">
        <f>VLOOKUP(B3,CDM!$I$5:$N$15,2,FALSE)/12</f>
        <v>0</v>
      </c>
      <c r="E3" s="203">
        <f t="shared" si="1"/>
        <v>40768686</v>
      </c>
      <c r="F3" s="208">
        <v>57677</v>
      </c>
      <c r="G3" s="206">
        <v>14456043</v>
      </c>
      <c r="H3" s="208">
        <v>4991</v>
      </c>
      <c r="I3" s="203">
        <f>VLOOKUP(B3,CDM!$I$5:$N$15,3,FALSE)/12</f>
        <v>0</v>
      </c>
      <c r="J3" s="203">
        <f t="shared" si="2"/>
        <v>14456043</v>
      </c>
      <c r="K3" s="206">
        <v>70892677</v>
      </c>
      <c r="L3" s="203">
        <f>VLOOKUP(B3,CDM!$I$5:$N$15,4,FALSE)/12</f>
        <v>0</v>
      </c>
      <c r="M3" s="87">
        <f t="shared" si="3"/>
        <v>70892677</v>
      </c>
      <c r="N3" s="206">
        <v>190226</v>
      </c>
      <c r="O3" s="208">
        <v>978</v>
      </c>
      <c r="P3" s="206">
        <v>824273</v>
      </c>
      <c r="Q3" s="206">
        <v>2184</v>
      </c>
      <c r="R3" s="208">
        <v>14457</v>
      </c>
      <c r="S3" s="206">
        <v>291806</v>
      </c>
      <c r="T3" s="202">
        <v>0</v>
      </c>
      <c r="U3" s="202">
        <v>604</v>
      </c>
      <c r="V3" s="37">
        <f>'Economic (2020 Adj.)'!C15</f>
        <v>609770.30000000005</v>
      </c>
      <c r="W3" s="37">
        <f>'Economic (2020 Adj.)'!D15</f>
        <v>6471</v>
      </c>
      <c r="X3" s="37">
        <f>'Economic (2020 Adj.)'!F15</f>
        <v>2842.3</v>
      </c>
      <c r="Y3" s="37">
        <f>'Economic (2020 Adj.)'!H15</f>
        <v>366.3</v>
      </c>
      <c r="Z3" s="37">
        <f>'Economic (2020 Adj.)'!E15</f>
        <v>6404.1</v>
      </c>
      <c r="AA3" s="37">
        <f>'Economic (2020 Adj.)'!G15</f>
        <v>2825.6</v>
      </c>
      <c r="AB3" s="37">
        <f>'Economic (2020 Adj.)'!I15</f>
        <v>360.3</v>
      </c>
      <c r="AC3" s="39">
        <f>Weather!D135</f>
        <v>-2.0214285714285714</v>
      </c>
      <c r="AD3" s="39">
        <f>Weather!E135</f>
        <v>616.6</v>
      </c>
      <c r="AE3" s="39">
        <f>Weather!F135</f>
        <v>0</v>
      </c>
      <c r="AF3" s="39">
        <f>Weather!G135</f>
        <v>560.60000000000014</v>
      </c>
      <c r="AG3" s="39">
        <f>Weather!H135</f>
        <v>0</v>
      </c>
      <c r="AH3" s="39">
        <f>Weather!I135</f>
        <v>504.6</v>
      </c>
      <c r="AI3" s="39">
        <f>Weather!J135</f>
        <v>0</v>
      </c>
      <c r="AJ3" s="39">
        <f>Weather!K135</f>
        <v>448.6</v>
      </c>
      <c r="AK3" s="39">
        <f>Weather!L135</f>
        <v>0</v>
      </c>
      <c r="AL3" s="39">
        <f>Weather!M135</f>
        <v>392.59999999999997</v>
      </c>
      <c r="AM3" s="39">
        <f>Weather!N135</f>
        <v>0</v>
      </c>
      <c r="AN3" s="39">
        <f>Weather!O135</f>
        <v>336.6</v>
      </c>
      <c r="AO3" s="39">
        <f>Weather!P135</f>
        <v>0</v>
      </c>
      <c r="AP3" s="39">
        <f>Weather!Q135</f>
        <v>280.59999999999997</v>
      </c>
      <c r="AQ3" s="39">
        <f>Weather!R135</f>
        <v>0</v>
      </c>
      <c r="AR3" s="201">
        <v>0</v>
      </c>
      <c r="AS3" s="201">
        <v>1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 s="201">
        <v>0</v>
      </c>
      <c r="BD3" s="201">
        <v>0</v>
      </c>
      <c r="BE3" s="201">
        <v>0</v>
      </c>
      <c r="BF3" s="201">
        <v>0</v>
      </c>
      <c r="BG3" s="202">
        <f t="shared" ref="BG3:BG66" si="4">1+BG2</f>
        <v>2</v>
      </c>
      <c r="BH3" s="201">
        <v>28</v>
      </c>
      <c r="BI3" s="201">
        <v>19</v>
      </c>
      <c r="BJ3" s="160">
        <f t="shared" ref="BJ3:BJ66" si="5">E3/F3</f>
        <v>706.84477347989662</v>
      </c>
      <c r="BK3" s="160">
        <f t="shared" ref="BK3:BK66" si="6">BJ3/BH3</f>
        <v>25.244456195710594</v>
      </c>
      <c r="BL3" s="159">
        <f t="shared" ref="BL3:BL66" si="7">E3/BH3</f>
        <v>1456024.5</v>
      </c>
      <c r="BM3" s="160">
        <f t="shared" ref="BM3:BM66" si="8">J3/H3</f>
        <v>2896.422159887798</v>
      </c>
      <c r="BN3" s="160">
        <f t="shared" ref="BN3:BN66" si="9">BM3/BH3</f>
        <v>103.44364856742136</v>
      </c>
      <c r="BO3" s="160">
        <f t="shared" ref="BO3:BO66" si="10">J3/BH3</f>
        <v>516287.25</v>
      </c>
      <c r="BP3" s="160">
        <f t="shared" ref="BP3:BP66" si="11">M3/O3</f>
        <v>72487.399795501027</v>
      </c>
      <c r="BQ3" s="160">
        <f t="shared" ref="BQ3:BQ66" si="12">BP3/BH3</f>
        <v>2588.8357069821795</v>
      </c>
      <c r="BR3" s="160">
        <f t="shared" ref="BR3:BR66" si="13">BP3/BI3</f>
        <v>3815.1263050263697</v>
      </c>
      <c r="BS3" s="160">
        <f t="shared" ref="BS3:BS66" si="14">M3/BH3</f>
        <v>2531881.3214285714</v>
      </c>
      <c r="BT3" s="160">
        <f t="shared" ref="BT3:BT66" si="15">M3/BI3</f>
        <v>3731193.5263157897</v>
      </c>
    </row>
    <row r="4" spans="1:72" x14ac:dyDescent="0.2">
      <c r="A4" s="204">
        <v>40238</v>
      </c>
      <c r="B4" s="205">
        <f t="shared" si="0"/>
        <v>2010</v>
      </c>
      <c r="C4" s="203">
        <v>40910014</v>
      </c>
      <c r="D4" s="203">
        <f>VLOOKUP(B4,CDM!$I$5:$N$15,2,FALSE)/12</f>
        <v>0</v>
      </c>
      <c r="E4" s="203">
        <f t="shared" si="1"/>
        <v>40910014</v>
      </c>
      <c r="F4" s="206">
        <v>57709</v>
      </c>
      <c r="G4" s="206">
        <v>14266604</v>
      </c>
      <c r="H4" s="206">
        <v>4993</v>
      </c>
      <c r="I4" s="203">
        <f>VLOOKUP(B4,CDM!$I$5:$N$15,3,FALSE)/12</f>
        <v>0</v>
      </c>
      <c r="J4" s="203">
        <f t="shared" si="2"/>
        <v>14266604</v>
      </c>
      <c r="K4" s="206">
        <v>76083324</v>
      </c>
      <c r="L4" s="203">
        <f>VLOOKUP(B4,CDM!$I$5:$N$15,4,FALSE)/12</f>
        <v>0</v>
      </c>
      <c r="M4" s="87">
        <f t="shared" si="3"/>
        <v>76083324</v>
      </c>
      <c r="N4" s="206">
        <v>199292</v>
      </c>
      <c r="O4" s="206">
        <v>983</v>
      </c>
      <c r="P4" s="206">
        <v>823304</v>
      </c>
      <c r="Q4" s="206">
        <v>2202</v>
      </c>
      <c r="R4" s="206">
        <v>14599</v>
      </c>
      <c r="S4" s="206">
        <v>293979</v>
      </c>
      <c r="T4" s="202">
        <v>0</v>
      </c>
      <c r="U4" s="202">
        <v>605</v>
      </c>
      <c r="V4" s="37">
        <f>'Economic (2020 Adj.)'!C16</f>
        <v>609770.30000000005</v>
      </c>
      <c r="W4" s="37">
        <f>'Economic (2020 Adj.)'!D16</f>
        <v>6477.5</v>
      </c>
      <c r="X4" s="37">
        <f>'Economic (2020 Adj.)'!F16</f>
        <v>2849.8</v>
      </c>
      <c r="Y4" s="37">
        <f>'Economic (2020 Adj.)'!H16</f>
        <v>367.5</v>
      </c>
      <c r="Z4" s="37">
        <f>'Economic (2020 Adj.)'!E16</f>
        <v>6377.2</v>
      </c>
      <c r="AA4" s="37">
        <f>'Economic (2020 Adj.)'!G16</f>
        <v>2813.8</v>
      </c>
      <c r="AB4" s="37">
        <f>'Economic (2020 Adj.)'!I16</f>
        <v>359.4</v>
      </c>
      <c r="AC4" s="39">
        <f>Weather!D136</f>
        <v>4.5032258064516126</v>
      </c>
      <c r="AD4" s="39">
        <f>Weather!E136</f>
        <v>480.40000000000003</v>
      </c>
      <c r="AE4" s="39">
        <f>Weather!F136</f>
        <v>0</v>
      </c>
      <c r="AF4" s="39">
        <f>Weather!G136</f>
        <v>418.40000000000009</v>
      </c>
      <c r="AG4" s="39">
        <f>Weather!H136</f>
        <v>0</v>
      </c>
      <c r="AH4" s="39">
        <f>Weather!I136</f>
        <v>356.40000000000009</v>
      </c>
      <c r="AI4" s="39">
        <f>Weather!J136</f>
        <v>0</v>
      </c>
      <c r="AJ4" s="39">
        <f>Weather!K136</f>
        <v>294.40000000000003</v>
      </c>
      <c r="AK4" s="39">
        <f>Weather!L136</f>
        <v>0</v>
      </c>
      <c r="AL4" s="39">
        <f>Weather!M136</f>
        <v>232.39999999999995</v>
      </c>
      <c r="AM4" s="39">
        <f>Weather!N136</f>
        <v>0</v>
      </c>
      <c r="AN4" s="39">
        <f>Weather!O136</f>
        <v>172.69999999999996</v>
      </c>
      <c r="AO4" s="39">
        <f>Weather!P136</f>
        <v>2.3000000000000007</v>
      </c>
      <c r="AP4" s="39">
        <f>Weather!Q136</f>
        <v>118.89999999999998</v>
      </c>
      <c r="AQ4" s="39">
        <f>Weather!R136</f>
        <v>10.5</v>
      </c>
      <c r="AR4" s="201">
        <v>0</v>
      </c>
      <c r="AS4" s="201">
        <v>0</v>
      </c>
      <c r="AT4" s="201">
        <v>1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 s="201">
        <v>0</v>
      </c>
      <c r="BD4" s="201">
        <v>1</v>
      </c>
      <c r="BE4" s="201">
        <v>0</v>
      </c>
      <c r="BF4" s="201">
        <v>1</v>
      </c>
      <c r="BG4" s="202">
        <f t="shared" si="4"/>
        <v>3</v>
      </c>
      <c r="BH4" s="201">
        <v>31</v>
      </c>
      <c r="BI4" s="201">
        <v>23</v>
      </c>
      <c r="BJ4" s="160">
        <f t="shared" si="5"/>
        <v>708.90180041241399</v>
      </c>
      <c r="BK4" s="160">
        <f t="shared" si="6"/>
        <v>22.867800013303675</v>
      </c>
      <c r="BL4" s="159">
        <f t="shared" si="7"/>
        <v>1319677.8709677418</v>
      </c>
      <c r="BM4" s="160">
        <f t="shared" si="8"/>
        <v>2857.3210494692571</v>
      </c>
      <c r="BN4" s="160">
        <f t="shared" si="9"/>
        <v>92.171646757072807</v>
      </c>
      <c r="BO4" s="160">
        <f t="shared" si="10"/>
        <v>460213.03225806454</v>
      </c>
      <c r="BP4" s="160">
        <f t="shared" si="11"/>
        <v>77399.108850457778</v>
      </c>
      <c r="BQ4" s="160">
        <f t="shared" si="12"/>
        <v>2496.7454467889606</v>
      </c>
      <c r="BR4" s="160">
        <f t="shared" si="13"/>
        <v>3365.1786456720774</v>
      </c>
      <c r="BS4" s="160">
        <f t="shared" si="14"/>
        <v>2454300.7741935486</v>
      </c>
      <c r="BT4" s="160">
        <f t="shared" si="15"/>
        <v>3307970.6086956523</v>
      </c>
    </row>
    <row r="5" spans="1:72" x14ac:dyDescent="0.2">
      <c r="A5" s="204">
        <v>40269</v>
      </c>
      <c r="B5" s="205">
        <f t="shared" si="0"/>
        <v>2010</v>
      </c>
      <c r="C5" s="203">
        <v>36681881</v>
      </c>
      <c r="D5" s="203">
        <f>VLOOKUP(B5,CDM!$I$5:$N$15,2,FALSE)/12</f>
        <v>0</v>
      </c>
      <c r="E5" s="203">
        <f t="shared" si="1"/>
        <v>36681881</v>
      </c>
      <c r="F5" s="208">
        <v>57751</v>
      </c>
      <c r="G5" s="206">
        <v>12709245</v>
      </c>
      <c r="H5" s="208">
        <v>4962</v>
      </c>
      <c r="I5" s="203">
        <f>VLOOKUP(B5,CDM!$I$5:$N$15,3,FALSE)/12</f>
        <v>0</v>
      </c>
      <c r="J5" s="203">
        <f t="shared" si="2"/>
        <v>12709245</v>
      </c>
      <c r="K5" s="206">
        <v>70016664</v>
      </c>
      <c r="L5" s="203">
        <f>VLOOKUP(B5,CDM!$I$5:$N$15,4,FALSE)/12</f>
        <v>0</v>
      </c>
      <c r="M5" s="87">
        <f t="shared" si="3"/>
        <v>70016664</v>
      </c>
      <c r="N5" s="206">
        <v>181890</v>
      </c>
      <c r="O5" s="208">
        <v>994</v>
      </c>
      <c r="P5" s="206">
        <v>698785</v>
      </c>
      <c r="Q5" s="206">
        <v>2202</v>
      </c>
      <c r="R5" s="208">
        <v>14701</v>
      </c>
      <c r="S5" s="206">
        <v>291851</v>
      </c>
      <c r="T5" s="202">
        <v>0</v>
      </c>
      <c r="U5" s="202">
        <v>606</v>
      </c>
      <c r="V5" s="37">
        <f>'Economic (2020 Adj.)'!C17</f>
        <v>609770.30000000005</v>
      </c>
      <c r="W5" s="37">
        <f>'Economic (2020 Adj.)'!D17</f>
        <v>6485</v>
      </c>
      <c r="X5" s="37">
        <f>'Economic (2020 Adj.)'!F17</f>
        <v>2844.4</v>
      </c>
      <c r="Y5" s="37">
        <f>'Economic (2020 Adj.)'!H17</f>
        <v>364.7</v>
      </c>
      <c r="Z5" s="37">
        <f>'Economic (2020 Adj.)'!E17</f>
        <v>6401.7</v>
      </c>
      <c r="AA5" s="37">
        <f>'Economic (2020 Adj.)'!G17</f>
        <v>2815.5</v>
      </c>
      <c r="AB5" s="37">
        <f>'Economic (2020 Adj.)'!I17</f>
        <v>358.4</v>
      </c>
      <c r="AC5" s="39">
        <f>Weather!D137</f>
        <v>9.7033333333333349</v>
      </c>
      <c r="AD5" s="39">
        <f>Weather!E137</f>
        <v>308.89999999999998</v>
      </c>
      <c r="AE5" s="39">
        <f>Weather!F137</f>
        <v>0</v>
      </c>
      <c r="AF5" s="39">
        <f>Weather!G137</f>
        <v>248.9</v>
      </c>
      <c r="AG5" s="39">
        <f>Weather!H137</f>
        <v>0</v>
      </c>
      <c r="AH5" s="39">
        <f>Weather!I137</f>
        <v>188.90000000000003</v>
      </c>
      <c r="AI5" s="39">
        <f>Weather!J137</f>
        <v>0</v>
      </c>
      <c r="AJ5" s="39">
        <f>Weather!K137</f>
        <v>130.30000000000001</v>
      </c>
      <c r="AK5" s="39">
        <f>Weather!L137</f>
        <v>1.4000000000000004</v>
      </c>
      <c r="AL5" s="39">
        <f>Weather!M137</f>
        <v>78.500000000000014</v>
      </c>
      <c r="AM5" s="39">
        <f>Weather!N137</f>
        <v>9.6</v>
      </c>
      <c r="AN5" s="39">
        <f>Weather!O137</f>
        <v>39.800000000000004</v>
      </c>
      <c r="AO5" s="39">
        <f>Weather!P137</f>
        <v>30.900000000000006</v>
      </c>
      <c r="AP5" s="39">
        <f>Weather!Q137</f>
        <v>11.4</v>
      </c>
      <c r="AQ5" s="39">
        <f>Weather!R137</f>
        <v>62.500000000000007</v>
      </c>
      <c r="AR5" s="201">
        <v>0</v>
      </c>
      <c r="AS5" s="201">
        <v>0</v>
      </c>
      <c r="AT5" s="201">
        <v>0</v>
      </c>
      <c r="AU5" s="201">
        <v>1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 s="201">
        <v>0</v>
      </c>
      <c r="BD5" s="201">
        <v>1</v>
      </c>
      <c r="BE5" s="201">
        <v>0</v>
      </c>
      <c r="BF5" s="201">
        <v>1</v>
      </c>
      <c r="BG5" s="202">
        <f t="shared" si="4"/>
        <v>4</v>
      </c>
      <c r="BH5" s="201">
        <v>30</v>
      </c>
      <c r="BI5" s="201">
        <v>20</v>
      </c>
      <c r="BJ5" s="160">
        <f t="shared" si="5"/>
        <v>635.1730879118976</v>
      </c>
      <c r="BK5" s="160">
        <f t="shared" si="6"/>
        <v>21.172436263729921</v>
      </c>
      <c r="BL5" s="159">
        <f t="shared" si="7"/>
        <v>1222729.3666666667</v>
      </c>
      <c r="BM5" s="160">
        <f t="shared" si="8"/>
        <v>2561.3149939540508</v>
      </c>
      <c r="BN5" s="160">
        <f t="shared" si="9"/>
        <v>85.377166465135033</v>
      </c>
      <c r="BO5" s="160">
        <f t="shared" si="10"/>
        <v>423641.5</v>
      </c>
      <c r="BP5" s="160">
        <f t="shared" si="11"/>
        <v>70439.299798792752</v>
      </c>
      <c r="BQ5" s="160">
        <f t="shared" si="12"/>
        <v>2347.9766599597583</v>
      </c>
      <c r="BR5" s="160">
        <f t="shared" si="13"/>
        <v>3521.9649899396377</v>
      </c>
      <c r="BS5" s="160">
        <f t="shared" si="14"/>
        <v>2333888.7999999998</v>
      </c>
      <c r="BT5" s="160">
        <f t="shared" si="15"/>
        <v>3500833.2</v>
      </c>
    </row>
    <row r="6" spans="1:72" x14ac:dyDescent="0.2">
      <c r="A6" s="204">
        <v>40299</v>
      </c>
      <c r="B6" s="205">
        <f t="shared" si="0"/>
        <v>2010</v>
      </c>
      <c r="C6" s="203">
        <v>44687288</v>
      </c>
      <c r="D6" s="203">
        <f>VLOOKUP(B6,CDM!$I$5:$N$15,2,FALSE)/12</f>
        <v>0</v>
      </c>
      <c r="E6" s="203">
        <f t="shared" si="1"/>
        <v>44687288</v>
      </c>
      <c r="F6" s="208">
        <v>57814</v>
      </c>
      <c r="G6" s="206">
        <v>13617876</v>
      </c>
      <c r="H6" s="208">
        <v>4969</v>
      </c>
      <c r="I6" s="203">
        <f>VLOOKUP(B6,CDM!$I$5:$N$15,3,FALSE)/12</f>
        <v>0</v>
      </c>
      <c r="J6" s="203">
        <f t="shared" si="2"/>
        <v>13617876</v>
      </c>
      <c r="K6" s="206">
        <v>75214102</v>
      </c>
      <c r="L6" s="203">
        <f>VLOOKUP(B6,CDM!$I$5:$N$15,4,FALSE)/12</f>
        <v>0</v>
      </c>
      <c r="M6" s="87">
        <f t="shared" si="3"/>
        <v>75214102</v>
      </c>
      <c r="N6" s="206">
        <v>191949</v>
      </c>
      <c r="O6" s="208">
        <v>996</v>
      </c>
      <c r="P6" s="206">
        <v>635554</v>
      </c>
      <c r="Q6" s="206">
        <v>2202</v>
      </c>
      <c r="R6" s="208">
        <v>14701</v>
      </c>
      <c r="S6" s="206">
        <v>292854</v>
      </c>
      <c r="T6" s="202">
        <v>0</v>
      </c>
      <c r="U6" s="202">
        <v>605</v>
      </c>
      <c r="V6" s="37">
        <f>'Economic (2020 Adj.)'!C18</f>
        <v>609770.30000000005</v>
      </c>
      <c r="W6" s="37">
        <f>'Economic (2020 Adj.)'!D18</f>
        <v>6506.8</v>
      </c>
      <c r="X6" s="37">
        <f>'Economic (2020 Adj.)'!F18</f>
        <v>2847.5</v>
      </c>
      <c r="Y6" s="37">
        <f>'Economic (2020 Adj.)'!H18</f>
        <v>364.3</v>
      </c>
      <c r="Z6" s="37">
        <f>'Economic (2020 Adj.)'!E18</f>
        <v>6468.9</v>
      </c>
      <c r="AA6" s="37">
        <f>'Economic (2020 Adj.)'!G18</f>
        <v>2831.7</v>
      </c>
      <c r="AB6" s="37">
        <f>'Economic (2020 Adj.)'!I18</f>
        <v>362.4</v>
      </c>
      <c r="AC6" s="39">
        <f>Weather!D138</f>
        <v>14.548387096774196</v>
      </c>
      <c r="AD6" s="39">
        <f>Weather!E138</f>
        <v>178.60000000000002</v>
      </c>
      <c r="AE6" s="39">
        <f>Weather!F138</f>
        <v>9.600000000000005</v>
      </c>
      <c r="AF6" s="39">
        <f>Weather!G138</f>
        <v>131.80000000000001</v>
      </c>
      <c r="AG6" s="39">
        <f>Weather!H138</f>
        <v>24.800000000000004</v>
      </c>
      <c r="AH6" s="39">
        <f>Weather!I138</f>
        <v>91.8</v>
      </c>
      <c r="AI6" s="39">
        <f>Weather!J138</f>
        <v>46.8</v>
      </c>
      <c r="AJ6" s="39">
        <f>Weather!K138</f>
        <v>59.900000000000006</v>
      </c>
      <c r="AK6" s="39">
        <f>Weather!L138</f>
        <v>76.900000000000006</v>
      </c>
      <c r="AL6" s="39">
        <f>Weather!M138</f>
        <v>36.5</v>
      </c>
      <c r="AM6" s="39">
        <f>Weather!N138</f>
        <v>115.5</v>
      </c>
      <c r="AN6" s="39">
        <f>Weather!O138</f>
        <v>20</v>
      </c>
      <c r="AO6" s="39">
        <f>Weather!P138</f>
        <v>161</v>
      </c>
      <c r="AP6" s="39">
        <f>Weather!Q138</f>
        <v>6.0000000000000009</v>
      </c>
      <c r="AQ6" s="39">
        <f>Weather!R138</f>
        <v>209</v>
      </c>
      <c r="AR6" s="201">
        <v>0</v>
      </c>
      <c r="AS6" s="201">
        <v>0</v>
      </c>
      <c r="AT6" s="201">
        <v>0</v>
      </c>
      <c r="AU6" s="201">
        <v>0</v>
      </c>
      <c r="AV6" s="201">
        <v>1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 s="201">
        <v>0</v>
      </c>
      <c r="BD6" s="201">
        <v>1</v>
      </c>
      <c r="BE6" s="201">
        <v>0</v>
      </c>
      <c r="BF6" s="201">
        <v>1</v>
      </c>
      <c r="BG6" s="202">
        <f t="shared" si="4"/>
        <v>5</v>
      </c>
      <c r="BH6" s="201">
        <v>31</v>
      </c>
      <c r="BI6" s="201">
        <v>20</v>
      </c>
      <c r="BJ6" s="160">
        <f t="shared" si="5"/>
        <v>772.94925104645938</v>
      </c>
      <c r="BK6" s="160">
        <f t="shared" si="6"/>
        <v>24.933846807950303</v>
      </c>
      <c r="BL6" s="159">
        <f t="shared" si="7"/>
        <v>1441525.4193548388</v>
      </c>
      <c r="BM6" s="160">
        <f t="shared" si="8"/>
        <v>2740.5667136244715</v>
      </c>
      <c r="BN6" s="160">
        <f t="shared" si="9"/>
        <v>88.405377858853925</v>
      </c>
      <c r="BO6" s="160">
        <f t="shared" si="10"/>
        <v>439286.32258064515</v>
      </c>
      <c r="BP6" s="160">
        <f t="shared" si="11"/>
        <v>75516.166666666672</v>
      </c>
      <c r="BQ6" s="160">
        <f t="shared" si="12"/>
        <v>2436.005376344086</v>
      </c>
      <c r="BR6" s="160">
        <f t="shared" si="13"/>
        <v>3775.8083333333334</v>
      </c>
      <c r="BS6" s="160">
        <f t="shared" si="14"/>
        <v>2426261.3548387098</v>
      </c>
      <c r="BT6" s="160">
        <f t="shared" si="15"/>
        <v>3760705.1</v>
      </c>
    </row>
    <row r="7" spans="1:72" x14ac:dyDescent="0.2">
      <c r="A7" s="204">
        <v>40330</v>
      </c>
      <c r="B7" s="205">
        <f t="shared" si="0"/>
        <v>2010</v>
      </c>
      <c r="C7" s="203">
        <v>51533466</v>
      </c>
      <c r="D7" s="203">
        <f>VLOOKUP(B7,CDM!$I$5:$N$15,2,FALSE)/12</f>
        <v>0</v>
      </c>
      <c r="E7" s="203">
        <f t="shared" si="1"/>
        <v>51533466</v>
      </c>
      <c r="F7" s="206">
        <v>57809</v>
      </c>
      <c r="G7" s="206">
        <v>14352297</v>
      </c>
      <c r="H7" s="206">
        <v>4976</v>
      </c>
      <c r="I7" s="203">
        <f>VLOOKUP(B7,CDM!$I$5:$N$15,3,FALSE)/12</f>
        <v>0</v>
      </c>
      <c r="J7" s="203">
        <f t="shared" si="2"/>
        <v>14352297</v>
      </c>
      <c r="K7" s="206">
        <v>78113215</v>
      </c>
      <c r="L7" s="203">
        <f>VLOOKUP(B7,CDM!$I$5:$N$15,4,FALSE)/12</f>
        <v>0</v>
      </c>
      <c r="M7" s="87">
        <f t="shared" si="3"/>
        <v>78113215</v>
      </c>
      <c r="N7" s="206">
        <v>218312</v>
      </c>
      <c r="O7" s="206">
        <v>997</v>
      </c>
      <c r="P7" s="206">
        <v>571953</v>
      </c>
      <c r="Q7" s="206">
        <v>2202</v>
      </c>
      <c r="R7" s="206">
        <v>14701</v>
      </c>
      <c r="S7" s="206">
        <v>292127</v>
      </c>
      <c r="T7" s="202">
        <v>0</v>
      </c>
      <c r="U7" s="202">
        <v>588</v>
      </c>
      <c r="V7" s="37">
        <f>'Economic (2020 Adj.)'!C19</f>
        <v>609770.30000000005</v>
      </c>
      <c r="W7" s="37">
        <f>'Economic (2020 Adj.)'!D19</f>
        <v>6540.8</v>
      </c>
      <c r="X7" s="37">
        <f>'Economic (2020 Adj.)'!F19</f>
        <v>2859.9</v>
      </c>
      <c r="Y7" s="37">
        <f>'Economic (2020 Adj.)'!H19</f>
        <v>367.2</v>
      </c>
      <c r="Z7" s="37">
        <f>'Economic (2020 Adj.)'!E19</f>
        <v>6578.9</v>
      </c>
      <c r="AA7" s="37">
        <f>'Economic (2020 Adj.)'!G19</f>
        <v>2867.7</v>
      </c>
      <c r="AB7" s="37">
        <f>'Economic (2020 Adj.)'!I19</f>
        <v>370.1</v>
      </c>
      <c r="AC7" s="39">
        <f>Weather!D139</f>
        <v>19.37</v>
      </c>
      <c r="AD7" s="39">
        <f>Weather!E139</f>
        <v>47.6</v>
      </c>
      <c r="AE7" s="39">
        <f>Weather!F139</f>
        <v>28.699999999999996</v>
      </c>
      <c r="AF7" s="39">
        <f>Weather!G139</f>
        <v>20.300000000000004</v>
      </c>
      <c r="AG7" s="39">
        <f>Weather!H139</f>
        <v>61.399999999999991</v>
      </c>
      <c r="AH7" s="39">
        <f>Weather!I139</f>
        <v>3.9000000000000004</v>
      </c>
      <c r="AI7" s="39">
        <f>Weather!J139</f>
        <v>105</v>
      </c>
      <c r="AJ7" s="39">
        <f>Weather!K139</f>
        <v>0</v>
      </c>
      <c r="AK7" s="39">
        <f>Weather!L139</f>
        <v>161.1</v>
      </c>
      <c r="AL7" s="39">
        <f>Weather!M139</f>
        <v>0</v>
      </c>
      <c r="AM7" s="39">
        <f>Weather!N139</f>
        <v>221.10000000000002</v>
      </c>
      <c r="AN7" s="39">
        <f>Weather!O139</f>
        <v>0</v>
      </c>
      <c r="AO7" s="39">
        <f>Weather!P139</f>
        <v>281.09999999999997</v>
      </c>
      <c r="AP7" s="39">
        <f>Weather!Q139</f>
        <v>0</v>
      </c>
      <c r="AQ7" s="39">
        <f>Weather!R139</f>
        <v>341.09999999999997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1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 s="201">
        <v>0</v>
      </c>
      <c r="BD7" s="201">
        <v>0</v>
      </c>
      <c r="BE7" s="201">
        <v>0</v>
      </c>
      <c r="BF7" s="201">
        <v>0</v>
      </c>
      <c r="BG7" s="202">
        <f t="shared" si="4"/>
        <v>6</v>
      </c>
      <c r="BH7" s="201">
        <v>30</v>
      </c>
      <c r="BI7" s="201">
        <v>22</v>
      </c>
      <c r="BJ7" s="160">
        <f t="shared" si="5"/>
        <v>891.44365064263354</v>
      </c>
      <c r="BK7" s="160">
        <f t="shared" si="6"/>
        <v>29.71478835475445</v>
      </c>
      <c r="BL7" s="159">
        <f t="shared" si="7"/>
        <v>1717782.2</v>
      </c>
      <c r="BM7" s="160">
        <f t="shared" si="8"/>
        <v>2884.3040594855306</v>
      </c>
      <c r="BN7" s="160">
        <f t="shared" si="9"/>
        <v>96.143468649517686</v>
      </c>
      <c r="BO7" s="160">
        <f t="shared" si="10"/>
        <v>478409.9</v>
      </c>
      <c r="BP7" s="160">
        <f t="shared" si="11"/>
        <v>78348.259779338012</v>
      </c>
      <c r="BQ7" s="160">
        <f t="shared" si="12"/>
        <v>2611.6086593112673</v>
      </c>
      <c r="BR7" s="160">
        <f t="shared" si="13"/>
        <v>3561.284535424455</v>
      </c>
      <c r="BS7" s="160">
        <f t="shared" si="14"/>
        <v>2603773.8333333335</v>
      </c>
      <c r="BT7" s="160">
        <f t="shared" si="15"/>
        <v>3550600.6818181816</v>
      </c>
    </row>
    <row r="8" spans="1:72" x14ac:dyDescent="0.2">
      <c r="A8" s="204">
        <v>40360</v>
      </c>
      <c r="B8" s="205">
        <f t="shared" si="0"/>
        <v>2010</v>
      </c>
      <c r="C8" s="203">
        <v>61497459</v>
      </c>
      <c r="D8" s="203">
        <f>VLOOKUP(B8,CDM!$I$5:$N$15,2,FALSE)/12</f>
        <v>0</v>
      </c>
      <c r="E8" s="203">
        <f t="shared" si="1"/>
        <v>61497459</v>
      </c>
      <c r="F8" s="208">
        <v>57987</v>
      </c>
      <c r="G8" s="206">
        <v>16022256</v>
      </c>
      <c r="H8" s="208">
        <v>4982</v>
      </c>
      <c r="I8" s="203">
        <f>VLOOKUP(B8,CDM!$I$5:$N$15,3,FALSE)/12</f>
        <v>0</v>
      </c>
      <c r="J8" s="203">
        <f t="shared" si="2"/>
        <v>16022256</v>
      </c>
      <c r="K8" s="206">
        <v>83811408</v>
      </c>
      <c r="L8" s="203">
        <f>VLOOKUP(B8,CDM!$I$5:$N$15,4,FALSE)/12</f>
        <v>0</v>
      </c>
      <c r="M8" s="87">
        <f t="shared" si="3"/>
        <v>83811408</v>
      </c>
      <c r="N8" s="206">
        <v>209550</v>
      </c>
      <c r="O8" s="208">
        <v>995</v>
      </c>
      <c r="P8" s="206">
        <v>612762</v>
      </c>
      <c r="Q8" s="206">
        <v>2202</v>
      </c>
      <c r="R8" s="208">
        <v>14701</v>
      </c>
      <c r="S8" s="206">
        <v>292850</v>
      </c>
      <c r="T8" s="202">
        <v>0</v>
      </c>
      <c r="U8" s="202">
        <v>611</v>
      </c>
      <c r="V8" s="37">
        <f>'Economic (2020 Adj.)'!C20</f>
        <v>609770.30000000005</v>
      </c>
      <c r="W8" s="37">
        <f>'Economic (2020 Adj.)'!D20</f>
        <v>6561</v>
      </c>
      <c r="X8" s="37">
        <f>'Economic (2020 Adj.)'!F20</f>
        <v>2878.7</v>
      </c>
      <c r="Y8" s="37">
        <f>'Economic (2020 Adj.)'!H20</f>
        <v>372.2</v>
      </c>
      <c r="Z8" s="37">
        <f>'Economic (2020 Adj.)'!E20</f>
        <v>6640.9</v>
      </c>
      <c r="AA8" s="37">
        <f>'Economic (2020 Adj.)'!G20</f>
        <v>2899.6</v>
      </c>
      <c r="AB8" s="37">
        <f>'Economic (2020 Adj.)'!I20</f>
        <v>375.7</v>
      </c>
      <c r="AC8" s="39">
        <f>Weather!D140</f>
        <v>23.412903225806449</v>
      </c>
      <c r="AD8" s="39">
        <f>Weather!E140</f>
        <v>6.2000000000000028</v>
      </c>
      <c r="AE8" s="39">
        <f>Weather!F140</f>
        <v>112</v>
      </c>
      <c r="AF8" s="39">
        <f>Weather!G140</f>
        <v>0.60000000000000142</v>
      </c>
      <c r="AG8" s="39">
        <f>Weather!H140</f>
        <v>168.40000000000003</v>
      </c>
      <c r="AH8" s="39">
        <f>Weather!I140</f>
        <v>0</v>
      </c>
      <c r="AI8" s="39">
        <f>Weather!J140</f>
        <v>229.8</v>
      </c>
      <c r="AJ8" s="39">
        <f>Weather!K140</f>
        <v>0</v>
      </c>
      <c r="AK8" s="39">
        <f>Weather!L140</f>
        <v>291.7999999999999</v>
      </c>
      <c r="AL8" s="39">
        <f>Weather!M140</f>
        <v>0</v>
      </c>
      <c r="AM8" s="39">
        <f>Weather!N140</f>
        <v>353.7999999999999</v>
      </c>
      <c r="AN8" s="39">
        <f>Weather!O140</f>
        <v>0</v>
      </c>
      <c r="AO8" s="39">
        <f>Weather!P140</f>
        <v>415.7999999999999</v>
      </c>
      <c r="AP8" s="39">
        <f>Weather!Q140</f>
        <v>0</v>
      </c>
      <c r="AQ8" s="39">
        <f>Weather!R140</f>
        <v>477.7999999999999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1</v>
      </c>
      <c r="AY8" s="201">
        <v>0</v>
      </c>
      <c r="AZ8" s="201">
        <v>0</v>
      </c>
      <c r="BA8" s="201">
        <v>0</v>
      </c>
      <c r="BB8" s="201">
        <v>0</v>
      </c>
      <c r="BC8" s="201">
        <v>0</v>
      </c>
      <c r="BD8" s="201">
        <v>0</v>
      </c>
      <c r="BE8" s="201">
        <v>0</v>
      </c>
      <c r="BF8" s="201">
        <v>0</v>
      </c>
      <c r="BG8" s="202">
        <f t="shared" si="4"/>
        <v>7</v>
      </c>
      <c r="BH8" s="201">
        <v>31</v>
      </c>
      <c r="BI8" s="201">
        <v>21</v>
      </c>
      <c r="BJ8" s="160">
        <f t="shared" si="5"/>
        <v>1060.5387241968028</v>
      </c>
      <c r="BK8" s="160">
        <f t="shared" si="6"/>
        <v>34.210926586993637</v>
      </c>
      <c r="BL8" s="159">
        <f t="shared" si="7"/>
        <v>1983789</v>
      </c>
      <c r="BM8" s="160">
        <f t="shared" si="8"/>
        <v>3216.0289040545968</v>
      </c>
      <c r="BN8" s="160">
        <f t="shared" si="9"/>
        <v>103.74286787272892</v>
      </c>
      <c r="BO8" s="160">
        <f t="shared" si="10"/>
        <v>516846.96774193546</v>
      </c>
      <c r="BP8" s="160">
        <f t="shared" si="11"/>
        <v>84232.570854271355</v>
      </c>
      <c r="BQ8" s="160">
        <f t="shared" si="12"/>
        <v>2717.1797049764955</v>
      </c>
      <c r="BR8" s="160">
        <f t="shared" si="13"/>
        <v>4011.0748025843504</v>
      </c>
      <c r="BS8" s="160">
        <f t="shared" si="14"/>
        <v>2703593.8064516131</v>
      </c>
      <c r="BT8" s="160">
        <f t="shared" si="15"/>
        <v>3991019.4285714286</v>
      </c>
    </row>
    <row r="9" spans="1:72" x14ac:dyDescent="0.2">
      <c r="A9" s="204">
        <v>40391</v>
      </c>
      <c r="B9" s="205">
        <f t="shared" si="0"/>
        <v>2010</v>
      </c>
      <c r="C9" s="203">
        <v>57219511</v>
      </c>
      <c r="D9" s="203">
        <f>VLOOKUP(B9,CDM!$I$5:$N$15,2,FALSE)/12</f>
        <v>0</v>
      </c>
      <c r="E9" s="203">
        <f t="shared" si="1"/>
        <v>57219511</v>
      </c>
      <c r="F9" s="208">
        <v>58018</v>
      </c>
      <c r="G9" s="206">
        <v>15750964</v>
      </c>
      <c r="H9" s="208">
        <v>4983</v>
      </c>
      <c r="I9" s="203">
        <f>VLOOKUP(B9,CDM!$I$5:$N$15,3,FALSE)/12</f>
        <v>0</v>
      </c>
      <c r="J9" s="203">
        <f t="shared" si="2"/>
        <v>15750964</v>
      </c>
      <c r="K9" s="206">
        <v>83014987</v>
      </c>
      <c r="L9" s="203">
        <f>VLOOKUP(B9,CDM!$I$5:$N$15,4,FALSE)/12</f>
        <v>0</v>
      </c>
      <c r="M9" s="87">
        <f t="shared" si="3"/>
        <v>83014987</v>
      </c>
      <c r="N9" s="206">
        <v>213330</v>
      </c>
      <c r="O9" s="208">
        <v>998</v>
      </c>
      <c r="P9" s="206">
        <v>688288</v>
      </c>
      <c r="Q9" s="206">
        <v>2202</v>
      </c>
      <c r="R9" s="208">
        <v>14701</v>
      </c>
      <c r="S9" s="206">
        <v>292538</v>
      </c>
      <c r="T9" s="202">
        <v>0</v>
      </c>
      <c r="U9" s="202">
        <v>605</v>
      </c>
      <c r="V9" s="37">
        <f>'Economic (2020 Adj.)'!C21</f>
        <v>609770.30000000005</v>
      </c>
      <c r="W9" s="37">
        <f>'Economic (2020 Adj.)'!D21</f>
        <v>6568.9</v>
      </c>
      <c r="X9" s="37">
        <f>'Economic (2020 Adj.)'!F21</f>
        <v>2895.3</v>
      </c>
      <c r="Y9" s="37">
        <f>'Economic (2020 Adj.)'!H21</f>
        <v>377</v>
      </c>
      <c r="Z9" s="37">
        <f>'Economic (2020 Adj.)'!E21</f>
        <v>6662.6</v>
      </c>
      <c r="AA9" s="37">
        <f>'Economic (2020 Adj.)'!G21</f>
        <v>2928.4</v>
      </c>
      <c r="AB9" s="37">
        <f>'Economic (2020 Adj.)'!I21</f>
        <v>379.1</v>
      </c>
      <c r="AC9" s="39">
        <f>Weather!D141</f>
        <v>22.700000000000003</v>
      </c>
      <c r="AD9" s="39">
        <f>Weather!E141</f>
        <v>6.1000000000000014</v>
      </c>
      <c r="AE9" s="39">
        <f>Weather!F141</f>
        <v>89.800000000000011</v>
      </c>
      <c r="AF9" s="39">
        <f>Weather!G141</f>
        <v>0</v>
      </c>
      <c r="AG9" s="39">
        <f>Weather!H141</f>
        <v>145.69999999999996</v>
      </c>
      <c r="AH9" s="39">
        <f>Weather!I141</f>
        <v>0</v>
      </c>
      <c r="AI9" s="39">
        <f>Weather!J141</f>
        <v>207.7</v>
      </c>
      <c r="AJ9" s="39">
        <f>Weather!K141</f>
        <v>0</v>
      </c>
      <c r="AK9" s="39">
        <f>Weather!L141</f>
        <v>269.7</v>
      </c>
      <c r="AL9" s="39">
        <f>Weather!M141</f>
        <v>0</v>
      </c>
      <c r="AM9" s="39">
        <f>Weather!N141</f>
        <v>331.7</v>
      </c>
      <c r="AN9" s="39">
        <f>Weather!O141</f>
        <v>0</v>
      </c>
      <c r="AO9" s="39">
        <f>Weather!P141</f>
        <v>393.70000000000005</v>
      </c>
      <c r="AP9" s="39">
        <f>Weather!Q141</f>
        <v>0</v>
      </c>
      <c r="AQ9" s="39">
        <f>Weather!R141</f>
        <v>455.7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1</v>
      </c>
      <c r="AZ9" s="201">
        <v>0</v>
      </c>
      <c r="BA9" s="201">
        <v>0</v>
      </c>
      <c r="BB9" s="201">
        <v>0</v>
      </c>
      <c r="BC9" s="201">
        <v>0</v>
      </c>
      <c r="BD9" s="201">
        <v>0</v>
      </c>
      <c r="BE9" s="201">
        <v>0</v>
      </c>
      <c r="BF9" s="201">
        <v>0</v>
      </c>
      <c r="BG9" s="202">
        <f t="shared" si="4"/>
        <v>8</v>
      </c>
      <c r="BH9" s="201">
        <v>31</v>
      </c>
      <c r="BI9" s="201">
        <v>21</v>
      </c>
      <c r="BJ9" s="160">
        <f t="shared" si="5"/>
        <v>986.23721948360856</v>
      </c>
      <c r="BK9" s="160">
        <f t="shared" si="6"/>
        <v>31.814103854309952</v>
      </c>
      <c r="BL9" s="159">
        <f t="shared" si="7"/>
        <v>1845790.6774193549</v>
      </c>
      <c r="BM9" s="160">
        <f t="shared" si="8"/>
        <v>3160.9399959863536</v>
      </c>
      <c r="BN9" s="160">
        <f t="shared" si="9"/>
        <v>101.96580632214044</v>
      </c>
      <c r="BO9" s="160">
        <f t="shared" si="10"/>
        <v>508095.61290322582</v>
      </c>
      <c r="BP9" s="160">
        <f t="shared" si="11"/>
        <v>83181.349699398794</v>
      </c>
      <c r="BQ9" s="160">
        <f t="shared" si="12"/>
        <v>2683.2693451418968</v>
      </c>
      <c r="BR9" s="160">
        <f t="shared" si="13"/>
        <v>3961.0166523523235</v>
      </c>
      <c r="BS9" s="160">
        <f t="shared" si="14"/>
        <v>2677902.8064516131</v>
      </c>
      <c r="BT9" s="160">
        <f t="shared" si="15"/>
        <v>3953094.6190476189</v>
      </c>
    </row>
    <row r="10" spans="1:72" x14ac:dyDescent="0.2">
      <c r="A10" s="204">
        <v>40422</v>
      </c>
      <c r="B10" s="205">
        <f t="shared" si="0"/>
        <v>2010</v>
      </c>
      <c r="C10" s="203">
        <v>45833578</v>
      </c>
      <c r="D10" s="203">
        <f>VLOOKUP(B10,CDM!$I$5:$N$15,2,FALSE)/12</f>
        <v>0</v>
      </c>
      <c r="E10" s="203">
        <f t="shared" si="1"/>
        <v>45833578</v>
      </c>
      <c r="F10" s="206">
        <v>58071</v>
      </c>
      <c r="G10" s="206">
        <v>13403453</v>
      </c>
      <c r="H10" s="206">
        <v>4981</v>
      </c>
      <c r="I10" s="203">
        <f>VLOOKUP(B10,CDM!$I$5:$N$15,3,FALSE)/12</f>
        <v>0</v>
      </c>
      <c r="J10" s="203">
        <f t="shared" si="2"/>
        <v>13403453</v>
      </c>
      <c r="K10" s="206">
        <v>73574953</v>
      </c>
      <c r="L10" s="203">
        <f>VLOOKUP(B10,CDM!$I$5:$N$15,4,FALSE)/12</f>
        <v>0</v>
      </c>
      <c r="M10" s="87">
        <f t="shared" si="3"/>
        <v>73574953</v>
      </c>
      <c r="N10" s="206">
        <v>223610</v>
      </c>
      <c r="O10" s="206">
        <v>1000</v>
      </c>
      <c r="P10" s="206">
        <v>759741</v>
      </c>
      <c r="Q10" s="206">
        <v>2202</v>
      </c>
      <c r="R10" s="206">
        <v>14701</v>
      </c>
      <c r="S10" s="206">
        <v>292222</v>
      </c>
      <c r="T10" s="202">
        <v>0</v>
      </c>
      <c r="U10" s="202">
        <v>605</v>
      </c>
      <c r="V10" s="37">
        <f>'Economic (2020 Adj.)'!C22</f>
        <v>609770.30000000005</v>
      </c>
      <c r="W10" s="37">
        <f>'Economic (2020 Adj.)'!D22</f>
        <v>6556</v>
      </c>
      <c r="X10" s="37">
        <f>'Economic (2020 Adj.)'!F22</f>
        <v>2891.8</v>
      </c>
      <c r="Y10" s="37">
        <f>'Economic (2020 Adj.)'!H22</f>
        <v>377.3</v>
      </c>
      <c r="Z10" s="37">
        <f>'Economic (2020 Adj.)'!E22</f>
        <v>6611.2</v>
      </c>
      <c r="AA10" s="37">
        <f>'Economic (2020 Adj.)'!G22</f>
        <v>2912</v>
      </c>
      <c r="AB10" s="37">
        <f>'Economic (2020 Adj.)'!I22</f>
        <v>376.7</v>
      </c>
      <c r="AC10" s="39">
        <f>Weather!D142</f>
        <v>16.953333333333333</v>
      </c>
      <c r="AD10" s="39">
        <f>Weather!E142</f>
        <v>113.9</v>
      </c>
      <c r="AE10" s="39">
        <f>Weather!F142</f>
        <v>22.5</v>
      </c>
      <c r="AF10" s="39">
        <f>Weather!G142</f>
        <v>67.499999999999986</v>
      </c>
      <c r="AG10" s="39">
        <f>Weather!H142</f>
        <v>36.1</v>
      </c>
      <c r="AH10" s="39">
        <f>Weather!I142</f>
        <v>28.200000000000003</v>
      </c>
      <c r="AI10" s="39">
        <f>Weather!J142</f>
        <v>56.8</v>
      </c>
      <c r="AJ10" s="39">
        <f>Weather!K142</f>
        <v>5.7999999999999989</v>
      </c>
      <c r="AK10" s="39">
        <f>Weather!L142</f>
        <v>94.4</v>
      </c>
      <c r="AL10" s="39">
        <f>Weather!M142</f>
        <v>9.9999999999999645E-2</v>
      </c>
      <c r="AM10" s="39">
        <f>Weather!N142</f>
        <v>148.70000000000002</v>
      </c>
      <c r="AN10" s="39">
        <f>Weather!O142</f>
        <v>0</v>
      </c>
      <c r="AO10" s="39">
        <f>Weather!P142</f>
        <v>208.60000000000002</v>
      </c>
      <c r="AP10" s="39">
        <f>Weather!Q142</f>
        <v>0</v>
      </c>
      <c r="AQ10" s="39">
        <f>Weather!R142</f>
        <v>268.59999999999997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1</v>
      </c>
      <c r="BA10" s="201">
        <v>0</v>
      </c>
      <c r="BB10" s="201">
        <v>0</v>
      </c>
      <c r="BC10" s="201">
        <v>0</v>
      </c>
      <c r="BD10" s="201">
        <v>0</v>
      </c>
      <c r="BE10" s="201">
        <v>1</v>
      </c>
      <c r="BF10" s="201">
        <v>1</v>
      </c>
      <c r="BG10" s="202">
        <f t="shared" si="4"/>
        <v>9</v>
      </c>
      <c r="BH10" s="201">
        <v>30</v>
      </c>
      <c r="BI10" s="201">
        <v>21</v>
      </c>
      <c r="BJ10" s="160">
        <f t="shared" si="5"/>
        <v>789.26793063663445</v>
      </c>
      <c r="BK10" s="160">
        <f t="shared" si="6"/>
        <v>26.308931021221149</v>
      </c>
      <c r="BL10" s="159">
        <f t="shared" si="7"/>
        <v>1527785.9333333333</v>
      </c>
      <c r="BM10" s="160">
        <f t="shared" si="8"/>
        <v>2690.9160811082111</v>
      </c>
      <c r="BN10" s="160">
        <f t="shared" si="9"/>
        <v>89.697202703607033</v>
      </c>
      <c r="BO10" s="160">
        <f t="shared" si="10"/>
        <v>446781.76666666666</v>
      </c>
      <c r="BP10" s="160">
        <f t="shared" si="11"/>
        <v>73574.952999999994</v>
      </c>
      <c r="BQ10" s="160">
        <f t="shared" si="12"/>
        <v>2452.4984333333332</v>
      </c>
      <c r="BR10" s="160">
        <f t="shared" si="13"/>
        <v>3503.5691904761902</v>
      </c>
      <c r="BS10" s="160">
        <f t="shared" si="14"/>
        <v>2452498.4333333331</v>
      </c>
      <c r="BT10" s="160">
        <f t="shared" si="15"/>
        <v>3503569.1904761903</v>
      </c>
    </row>
    <row r="11" spans="1:72" x14ac:dyDescent="0.2">
      <c r="A11" s="204">
        <v>40452</v>
      </c>
      <c r="B11" s="205">
        <f t="shared" si="0"/>
        <v>2010</v>
      </c>
      <c r="C11" s="203">
        <v>41340554</v>
      </c>
      <c r="D11" s="203">
        <f>VLOOKUP(B11,CDM!$I$5:$N$15,2,FALSE)/12</f>
        <v>0</v>
      </c>
      <c r="E11" s="203">
        <f t="shared" si="1"/>
        <v>41340554</v>
      </c>
      <c r="F11" s="208">
        <v>58121</v>
      </c>
      <c r="G11" s="206">
        <v>13142565</v>
      </c>
      <c r="H11" s="208">
        <v>4981</v>
      </c>
      <c r="I11" s="203">
        <f>VLOOKUP(B11,CDM!$I$5:$N$15,3,FALSE)/12</f>
        <v>0</v>
      </c>
      <c r="J11" s="203">
        <f t="shared" si="2"/>
        <v>13142565</v>
      </c>
      <c r="K11" s="206">
        <v>71065323</v>
      </c>
      <c r="L11" s="203">
        <f>VLOOKUP(B11,CDM!$I$5:$N$15,4,FALSE)/12</f>
        <v>0</v>
      </c>
      <c r="M11" s="87">
        <f t="shared" si="3"/>
        <v>71065323</v>
      </c>
      <c r="N11" s="206">
        <v>210107</v>
      </c>
      <c r="O11" s="208">
        <v>1006</v>
      </c>
      <c r="P11" s="206">
        <v>885728</v>
      </c>
      <c r="Q11" s="206">
        <v>2202</v>
      </c>
      <c r="R11" s="208">
        <v>14701</v>
      </c>
      <c r="S11" s="206">
        <v>292554</v>
      </c>
      <c r="T11" s="202">
        <v>0</v>
      </c>
      <c r="U11" s="202">
        <v>605</v>
      </c>
      <c r="V11" s="37">
        <f>'Economic (2020 Adj.)'!C23</f>
        <v>609770.30000000005</v>
      </c>
      <c r="W11" s="37">
        <f>'Economic (2020 Adj.)'!D23</f>
        <v>6551.6</v>
      </c>
      <c r="X11" s="37">
        <f>'Economic (2020 Adj.)'!F23</f>
        <v>2893.7</v>
      </c>
      <c r="Y11" s="37">
        <f>'Economic (2020 Adj.)'!H23</f>
        <v>373.6</v>
      </c>
      <c r="Z11" s="37">
        <f>'Economic (2020 Adj.)'!E23</f>
        <v>6587.1</v>
      </c>
      <c r="AA11" s="37">
        <f>'Economic (2020 Adj.)'!G23</f>
        <v>2907.8</v>
      </c>
      <c r="AB11" s="37">
        <f>'Economic (2020 Adj.)'!I23</f>
        <v>372.9</v>
      </c>
      <c r="AC11" s="39">
        <f>Weather!D143</f>
        <v>11.558064516129031</v>
      </c>
      <c r="AD11" s="39">
        <f>Weather!E143</f>
        <v>261.7</v>
      </c>
      <c r="AE11" s="39">
        <f>Weather!F143</f>
        <v>0</v>
      </c>
      <c r="AF11" s="39">
        <f>Weather!G143</f>
        <v>199.9</v>
      </c>
      <c r="AG11" s="39">
        <f>Weather!H143</f>
        <v>0.19999999999999929</v>
      </c>
      <c r="AH11" s="39">
        <f>Weather!I143</f>
        <v>141.1</v>
      </c>
      <c r="AI11" s="39">
        <f>Weather!J143</f>
        <v>3.4000000000000021</v>
      </c>
      <c r="AJ11" s="39">
        <f>Weather!K143</f>
        <v>89.199999999999989</v>
      </c>
      <c r="AK11" s="39">
        <f>Weather!L143</f>
        <v>13.500000000000002</v>
      </c>
      <c r="AL11" s="39">
        <f>Weather!M143</f>
        <v>44.2</v>
      </c>
      <c r="AM11" s="39">
        <f>Weather!N143</f>
        <v>30.5</v>
      </c>
      <c r="AN11" s="39">
        <f>Weather!O143</f>
        <v>16</v>
      </c>
      <c r="AO11" s="39">
        <f>Weather!P143</f>
        <v>64.3</v>
      </c>
      <c r="AP11" s="39">
        <f>Weather!Q143</f>
        <v>5.8999999999999995</v>
      </c>
      <c r="AQ11" s="39">
        <f>Weather!R143</f>
        <v>116.20000000000002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1</v>
      </c>
      <c r="BB11" s="201">
        <v>0</v>
      </c>
      <c r="BC11" s="201">
        <v>0</v>
      </c>
      <c r="BD11" s="201">
        <v>0</v>
      </c>
      <c r="BE11" s="201">
        <v>1</v>
      </c>
      <c r="BF11" s="201">
        <v>1</v>
      </c>
      <c r="BG11" s="202">
        <f t="shared" si="4"/>
        <v>10</v>
      </c>
      <c r="BH11" s="201">
        <v>31</v>
      </c>
      <c r="BI11" s="201">
        <v>20</v>
      </c>
      <c r="BJ11" s="160">
        <f t="shared" si="5"/>
        <v>711.28428623045022</v>
      </c>
      <c r="BK11" s="160">
        <f t="shared" si="6"/>
        <v>22.944654394530652</v>
      </c>
      <c r="BL11" s="159">
        <f t="shared" si="7"/>
        <v>1333566.2580645161</v>
      </c>
      <c r="BM11" s="160">
        <f t="shared" si="8"/>
        <v>2638.5394499096565</v>
      </c>
      <c r="BN11" s="160">
        <f t="shared" si="9"/>
        <v>85.114175803537307</v>
      </c>
      <c r="BO11" s="160">
        <f t="shared" si="10"/>
        <v>423953.70967741933</v>
      </c>
      <c r="BP11" s="160">
        <f t="shared" si="11"/>
        <v>70641.474155069576</v>
      </c>
      <c r="BQ11" s="160">
        <f t="shared" si="12"/>
        <v>2278.757230808696</v>
      </c>
      <c r="BR11" s="160">
        <f t="shared" si="13"/>
        <v>3532.0737077534786</v>
      </c>
      <c r="BS11" s="160">
        <f t="shared" si="14"/>
        <v>2292429.7741935486</v>
      </c>
      <c r="BT11" s="160">
        <f t="shared" si="15"/>
        <v>3553266.15</v>
      </c>
    </row>
    <row r="12" spans="1:72" x14ac:dyDescent="0.2">
      <c r="A12" s="204">
        <v>40483</v>
      </c>
      <c r="B12" s="205">
        <f t="shared" si="0"/>
        <v>2010</v>
      </c>
      <c r="C12" s="203">
        <v>39815993</v>
      </c>
      <c r="D12" s="203">
        <f>VLOOKUP(B12,CDM!$I$5:$N$15,2,FALSE)/12</f>
        <v>0</v>
      </c>
      <c r="E12" s="203">
        <f t="shared" si="1"/>
        <v>39815993</v>
      </c>
      <c r="F12" s="208">
        <v>58162</v>
      </c>
      <c r="G12" s="206">
        <v>13574075</v>
      </c>
      <c r="H12" s="208">
        <v>5023</v>
      </c>
      <c r="I12" s="203">
        <f>VLOOKUP(B12,CDM!$I$5:$N$15,3,FALSE)/12</f>
        <v>0</v>
      </c>
      <c r="J12" s="203">
        <f t="shared" si="2"/>
        <v>13574075</v>
      </c>
      <c r="K12" s="206">
        <v>71655511</v>
      </c>
      <c r="L12" s="203">
        <f>VLOOKUP(B12,CDM!$I$5:$N$15,4,FALSE)/12</f>
        <v>0</v>
      </c>
      <c r="M12" s="87">
        <f t="shared" si="3"/>
        <v>71655511</v>
      </c>
      <c r="N12" s="206">
        <v>196628</v>
      </c>
      <c r="O12" s="208">
        <v>1007</v>
      </c>
      <c r="P12" s="206">
        <v>943199</v>
      </c>
      <c r="Q12" s="206">
        <v>2202</v>
      </c>
      <c r="R12" s="208">
        <v>14701</v>
      </c>
      <c r="S12" s="206">
        <v>292222</v>
      </c>
      <c r="T12" s="202">
        <v>0</v>
      </c>
      <c r="U12" s="202">
        <v>605</v>
      </c>
      <c r="V12" s="37">
        <f>'Economic (2020 Adj.)'!C24</f>
        <v>609770.30000000005</v>
      </c>
      <c r="W12" s="37">
        <f>'Economic (2020 Adj.)'!D24</f>
        <v>6555.7</v>
      </c>
      <c r="X12" s="37">
        <f>'Economic (2020 Adj.)'!F24</f>
        <v>2893.6</v>
      </c>
      <c r="Y12" s="37">
        <f>'Economic (2020 Adj.)'!H24</f>
        <v>372.3</v>
      </c>
      <c r="Z12" s="37">
        <f>'Economic (2020 Adj.)'!E24</f>
        <v>6566.6</v>
      </c>
      <c r="AA12" s="37">
        <f>'Economic (2020 Adj.)'!G24</f>
        <v>2895.2</v>
      </c>
      <c r="AB12" s="37">
        <f>'Economic (2020 Adj.)'!I24</f>
        <v>371.5</v>
      </c>
      <c r="AC12" s="39">
        <f>Weather!D144</f>
        <v>5.2633333333333336</v>
      </c>
      <c r="AD12" s="39">
        <f>Weather!E144</f>
        <v>442.09999999999997</v>
      </c>
      <c r="AE12" s="39">
        <f>Weather!F144</f>
        <v>0</v>
      </c>
      <c r="AF12" s="39">
        <f>Weather!G144</f>
        <v>382.09999999999997</v>
      </c>
      <c r="AG12" s="39">
        <f>Weather!H144</f>
        <v>0</v>
      </c>
      <c r="AH12" s="39">
        <f>Weather!I144</f>
        <v>322.09999999999997</v>
      </c>
      <c r="AI12" s="39">
        <f>Weather!J144</f>
        <v>0</v>
      </c>
      <c r="AJ12" s="39">
        <f>Weather!K144</f>
        <v>262.10000000000002</v>
      </c>
      <c r="AK12" s="39">
        <f>Weather!L144</f>
        <v>0</v>
      </c>
      <c r="AL12" s="39">
        <f>Weather!M144</f>
        <v>202.7</v>
      </c>
      <c r="AM12" s="39">
        <f>Weather!N144</f>
        <v>0.59999999999999964</v>
      </c>
      <c r="AN12" s="39">
        <f>Weather!O144</f>
        <v>144.99999999999997</v>
      </c>
      <c r="AO12" s="39">
        <f>Weather!P144</f>
        <v>2.9000000000000004</v>
      </c>
      <c r="AP12" s="39">
        <f>Weather!Q144</f>
        <v>91</v>
      </c>
      <c r="AQ12" s="39">
        <f>Weather!R144</f>
        <v>8.9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1</v>
      </c>
      <c r="BC12" s="201">
        <v>0</v>
      </c>
      <c r="BD12" s="201">
        <v>0</v>
      </c>
      <c r="BE12" s="201">
        <v>1</v>
      </c>
      <c r="BF12" s="201">
        <v>1</v>
      </c>
      <c r="BG12" s="202">
        <f t="shared" si="4"/>
        <v>11</v>
      </c>
      <c r="BH12" s="201">
        <v>30</v>
      </c>
      <c r="BI12" s="201">
        <v>22</v>
      </c>
      <c r="BJ12" s="160">
        <f t="shared" si="5"/>
        <v>684.57056153502288</v>
      </c>
      <c r="BK12" s="160">
        <f t="shared" si="6"/>
        <v>22.819018717834094</v>
      </c>
      <c r="BL12" s="159">
        <f t="shared" si="7"/>
        <v>1327199.7666666666</v>
      </c>
      <c r="BM12" s="160">
        <f t="shared" si="8"/>
        <v>2702.3840334461479</v>
      </c>
      <c r="BN12" s="160">
        <f t="shared" si="9"/>
        <v>90.07946778153827</v>
      </c>
      <c r="BO12" s="160">
        <f t="shared" si="10"/>
        <v>452469.16666666669</v>
      </c>
      <c r="BP12" s="160">
        <f t="shared" si="11"/>
        <v>71157.40913604766</v>
      </c>
      <c r="BQ12" s="160">
        <f t="shared" si="12"/>
        <v>2371.9136378682551</v>
      </c>
      <c r="BR12" s="160">
        <f t="shared" si="13"/>
        <v>3234.4276880021662</v>
      </c>
      <c r="BS12" s="160">
        <f t="shared" si="14"/>
        <v>2388517.0333333332</v>
      </c>
      <c r="BT12" s="160">
        <f t="shared" si="15"/>
        <v>3257068.6818181816</v>
      </c>
    </row>
    <row r="13" spans="1:72" x14ac:dyDescent="0.2">
      <c r="A13" s="204">
        <v>40513</v>
      </c>
      <c r="B13" s="205">
        <f t="shared" si="0"/>
        <v>2010</v>
      </c>
      <c r="C13" s="203">
        <v>47209999</v>
      </c>
      <c r="D13" s="203">
        <f>VLOOKUP(B13,CDM!$I$5:$N$15,2,FALSE)/12</f>
        <v>0</v>
      </c>
      <c r="E13" s="203">
        <f t="shared" si="1"/>
        <v>47209999</v>
      </c>
      <c r="F13" s="206">
        <v>58247</v>
      </c>
      <c r="G13" s="206">
        <v>15142180</v>
      </c>
      <c r="H13" s="206">
        <v>5036</v>
      </c>
      <c r="I13" s="203">
        <f>VLOOKUP(B13,CDM!$I$5:$N$15,3,FALSE)/12</f>
        <v>0</v>
      </c>
      <c r="J13" s="203">
        <f t="shared" si="2"/>
        <v>15142180</v>
      </c>
      <c r="K13" s="206">
        <v>74889412</v>
      </c>
      <c r="L13" s="203">
        <f>VLOOKUP(B13,CDM!$I$5:$N$15,4,FALSE)/12</f>
        <v>0</v>
      </c>
      <c r="M13" s="87">
        <f t="shared" si="3"/>
        <v>74889412</v>
      </c>
      <c r="N13" s="206">
        <v>174261</v>
      </c>
      <c r="O13" s="206">
        <v>1013</v>
      </c>
      <c r="P13" s="206">
        <v>1048047</v>
      </c>
      <c r="Q13" s="206">
        <v>2259</v>
      </c>
      <c r="R13" s="206">
        <v>14701</v>
      </c>
      <c r="S13" s="206">
        <v>294842</v>
      </c>
      <c r="T13" s="202">
        <v>0</v>
      </c>
      <c r="U13" s="202">
        <v>601</v>
      </c>
      <c r="V13" s="37">
        <f>'Economic (2020 Adj.)'!C25</f>
        <v>609770.30000000005</v>
      </c>
      <c r="W13" s="37">
        <f>'Economic (2020 Adj.)'!D25</f>
        <v>6578.3</v>
      </c>
      <c r="X13" s="37">
        <f>'Economic (2020 Adj.)'!F25</f>
        <v>2918.5</v>
      </c>
      <c r="Y13" s="37">
        <f>'Economic (2020 Adj.)'!H25</f>
        <v>370.9</v>
      </c>
      <c r="Z13" s="37">
        <f>'Economic (2020 Adj.)'!E25</f>
        <v>6584.1</v>
      </c>
      <c r="AA13" s="37">
        <f>'Economic (2020 Adj.)'!G25</f>
        <v>2927.8</v>
      </c>
      <c r="AB13" s="37">
        <f>'Economic (2020 Adj.)'!I25</f>
        <v>370.2</v>
      </c>
      <c r="AC13" s="39">
        <f>Weather!D145</f>
        <v>-2.4387096774193551</v>
      </c>
      <c r="AD13" s="39">
        <f>Weather!E145</f>
        <v>695.6</v>
      </c>
      <c r="AE13" s="39">
        <f>Weather!F145</f>
        <v>0</v>
      </c>
      <c r="AF13" s="39">
        <f>Weather!G145</f>
        <v>633.6</v>
      </c>
      <c r="AG13" s="39">
        <f>Weather!H145</f>
        <v>0</v>
      </c>
      <c r="AH13" s="39">
        <f>Weather!I145</f>
        <v>571.6</v>
      </c>
      <c r="AI13" s="39">
        <f>Weather!J145</f>
        <v>0</v>
      </c>
      <c r="AJ13" s="39">
        <f>Weather!K145</f>
        <v>509.6</v>
      </c>
      <c r="AK13" s="39">
        <f>Weather!L145</f>
        <v>0</v>
      </c>
      <c r="AL13" s="39">
        <f>Weather!M145</f>
        <v>447.59999999999997</v>
      </c>
      <c r="AM13" s="39">
        <f>Weather!N145</f>
        <v>0</v>
      </c>
      <c r="AN13" s="39">
        <f>Weather!O145</f>
        <v>385.59999999999997</v>
      </c>
      <c r="AO13" s="39">
        <f>Weather!P145</f>
        <v>0</v>
      </c>
      <c r="AP13" s="39">
        <f>Weather!Q145</f>
        <v>323.89999999999998</v>
      </c>
      <c r="AQ13" s="39">
        <f>Weather!R145</f>
        <v>0.30000000000000071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 s="201">
        <v>1</v>
      </c>
      <c r="BD13" s="201">
        <v>0</v>
      </c>
      <c r="BE13" s="201">
        <v>0</v>
      </c>
      <c r="BF13" s="201">
        <v>0</v>
      </c>
      <c r="BG13" s="202">
        <f t="shared" si="4"/>
        <v>12</v>
      </c>
      <c r="BH13" s="201">
        <v>31</v>
      </c>
      <c r="BI13" s="201">
        <v>21</v>
      </c>
      <c r="BJ13" s="160">
        <f t="shared" si="5"/>
        <v>810.51382903840545</v>
      </c>
      <c r="BK13" s="160">
        <f t="shared" si="6"/>
        <v>26.145607388335659</v>
      </c>
      <c r="BL13" s="159">
        <f t="shared" si="7"/>
        <v>1522903.1935483871</v>
      </c>
      <c r="BM13" s="160">
        <f t="shared" si="8"/>
        <v>3006.7871326449563</v>
      </c>
      <c r="BN13" s="160">
        <f t="shared" si="9"/>
        <v>96.993133311127622</v>
      </c>
      <c r="BO13" s="160">
        <f t="shared" si="10"/>
        <v>488457.41935483873</v>
      </c>
      <c r="BP13" s="160">
        <f t="shared" si="11"/>
        <v>73928.343534057261</v>
      </c>
      <c r="BQ13" s="160">
        <f t="shared" si="12"/>
        <v>2384.7852752921699</v>
      </c>
      <c r="BR13" s="160">
        <f t="shared" si="13"/>
        <v>3520.3973111455839</v>
      </c>
      <c r="BS13" s="160">
        <f t="shared" si="14"/>
        <v>2415787.4838709678</v>
      </c>
      <c r="BT13" s="160">
        <f t="shared" si="15"/>
        <v>3566162.4761904762</v>
      </c>
    </row>
    <row r="14" spans="1:72" x14ac:dyDescent="0.2">
      <c r="A14" s="204">
        <v>40544</v>
      </c>
      <c r="B14" s="205">
        <f t="shared" si="0"/>
        <v>2011</v>
      </c>
      <c r="C14" s="203">
        <v>49366174</v>
      </c>
      <c r="D14" s="203">
        <f>VLOOKUP(B14,CDM!$I$5:$N$15,2,FALSE)/12</f>
        <v>90742.476147318026</v>
      </c>
      <c r="E14" s="203">
        <f t="shared" si="1"/>
        <v>49456916.476147316</v>
      </c>
      <c r="F14" s="208">
        <v>58273</v>
      </c>
      <c r="G14" s="206">
        <v>15948894</v>
      </c>
      <c r="H14" s="208">
        <v>5045</v>
      </c>
      <c r="I14" s="203">
        <f>VLOOKUP(B14,CDM!$I$5:$N$15,3,FALSE)/12</f>
        <v>46233.334936942432</v>
      </c>
      <c r="J14" s="203">
        <f t="shared" si="2"/>
        <v>15995127.334936943</v>
      </c>
      <c r="K14" s="206">
        <v>79314255</v>
      </c>
      <c r="L14" s="203">
        <f>VLOOKUP(B14,CDM!$I$5:$N$15,4,FALSE)/12</f>
        <v>184951.0927690852</v>
      </c>
      <c r="M14" s="87">
        <f t="shared" si="3"/>
        <v>79499206.092769086</v>
      </c>
      <c r="N14" s="206">
        <v>192635</v>
      </c>
      <c r="O14" s="208">
        <v>1021</v>
      </c>
      <c r="P14" s="206">
        <v>1026582</v>
      </c>
      <c r="Q14" s="206">
        <v>2268</v>
      </c>
      <c r="R14" s="208">
        <v>14927</v>
      </c>
      <c r="S14" s="206">
        <v>292859</v>
      </c>
      <c r="T14" s="202">
        <v>0</v>
      </c>
      <c r="U14" s="202">
        <v>604</v>
      </c>
      <c r="V14" s="37">
        <f>'Economic (2020 Adj.)'!C26</f>
        <v>625936.9</v>
      </c>
      <c r="W14" s="37">
        <f>'Economic (2020 Adj.)'!D26</f>
        <v>6606.3</v>
      </c>
      <c r="X14" s="37">
        <f>'Economic (2020 Adj.)'!F26</f>
        <v>2938.5</v>
      </c>
      <c r="Y14" s="37">
        <f>'Economic (2020 Adj.)'!H26</f>
        <v>372.1</v>
      </c>
      <c r="Z14" s="37">
        <f>'Economic (2020 Adj.)'!E26</f>
        <v>6571.2</v>
      </c>
      <c r="AA14" s="37">
        <f>'Economic (2020 Adj.)'!G26</f>
        <v>2934.1</v>
      </c>
      <c r="AB14" s="37">
        <f>'Economic (2020 Adj.)'!I26</f>
        <v>369.4</v>
      </c>
      <c r="AC14" s="39">
        <f>Weather!D146</f>
        <v>-5.4419354838709673</v>
      </c>
      <c r="AD14" s="39">
        <f>Weather!E146</f>
        <v>788.69999999999993</v>
      </c>
      <c r="AE14" s="39">
        <f>Weather!F146</f>
        <v>0</v>
      </c>
      <c r="AF14" s="39">
        <f>Weather!G146</f>
        <v>726.69999999999993</v>
      </c>
      <c r="AG14" s="39">
        <f>Weather!H146</f>
        <v>0</v>
      </c>
      <c r="AH14" s="39">
        <f>Weather!I146</f>
        <v>664.69999999999993</v>
      </c>
      <c r="AI14" s="39">
        <f>Weather!J146</f>
        <v>0</v>
      </c>
      <c r="AJ14" s="39">
        <f>Weather!K146</f>
        <v>602.69999999999993</v>
      </c>
      <c r="AK14" s="39">
        <f>Weather!L146</f>
        <v>0</v>
      </c>
      <c r="AL14" s="39">
        <f>Weather!M146</f>
        <v>540.69999999999993</v>
      </c>
      <c r="AM14" s="39">
        <f>Weather!N146</f>
        <v>0</v>
      </c>
      <c r="AN14" s="39">
        <f>Weather!O146</f>
        <v>478.69999999999993</v>
      </c>
      <c r="AO14" s="39">
        <f>Weather!P146</f>
        <v>0</v>
      </c>
      <c r="AP14" s="39">
        <f>Weather!Q146</f>
        <v>416.69999999999993</v>
      </c>
      <c r="AQ14" s="39">
        <f>Weather!R146</f>
        <v>0</v>
      </c>
      <c r="AR14" s="201">
        <v>1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 s="201">
        <v>0</v>
      </c>
      <c r="BD14" s="201">
        <v>0</v>
      </c>
      <c r="BE14" s="201">
        <v>0</v>
      </c>
      <c r="BF14" s="201">
        <v>0</v>
      </c>
      <c r="BG14" s="202">
        <f t="shared" si="4"/>
        <v>13</v>
      </c>
      <c r="BH14" s="201">
        <v>31</v>
      </c>
      <c r="BI14" s="201">
        <v>20</v>
      </c>
      <c r="BJ14" s="160">
        <f t="shared" si="5"/>
        <v>848.71066319131182</v>
      </c>
      <c r="BK14" s="160">
        <f t="shared" si="6"/>
        <v>27.377763328751993</v>
      </c>
      <c r="BL14" s="159">
        <f t="shared" si="7"/>
        <v>1595384.4024563651</v>
      </c>
      <c r="BM14" s="160">
        <f t="shared" si="8"/>
        <v>3170.4910475593542</v>
      </c>
      <c r="BN14" s="160">
        <f t="shared" si="9"/>
        <v>102.27390475997917</v>
      </c>
      <c r="BO14" s="160">
        <f t="shared" si="10"/>
        <v>515971.84951409494</v>
      </c>
      <c r="BP14" s="160">
        <f t="shared" si="11"/>
        <v>77864.060815640638</v>
      </c>
      <c r="BQ14" s="160">
        <f t="shared" si="12"/>
        <v>2511.7438972787304</v>
      </c>
      <c r="BR14" s="160">
        <f t="shared" si="13"/>
        <v>3893.2030407820321</v>
      </c>
      <c r="BS14" s="160">
        <f t="shared" si="14"/>
        <v>2564490.5191215836</v>
      </c>
      <c r="BT14" s="160">
        <f t="shared" si="15"/>
        <v>3974960.3046384542</v>
      </c>
    </row>
    <row r="15" spans="1:72" x14ac:dyDescent="0.2">
      <c r="A15" s="204">
        <v>40575</v>
      </c>
      <c r="B15" s="205">
        <f t="shared" si="0"/>
        <v>2011</v>
      </c>
      <c r="C15" s="203">
        <v>41646640</v>
      </c>
      <c r="D15" s="203">
        <f>VLOOKUP(B15,CDM!$I$5:$N$15,2,FALSE)/12</f>
        <v>90742.476147318026</v>
      </c>
      <c r="E15" s="203">
        <f t="shared" si="1"/>
        <v>41737382.476147316</v>
      </c>
      <c r="F15" s="208">
        <v>58299</v>
      </c>
      <c r="G15" s="206">
        <v>14508851</v>
      </c>
      <c r="H15" s="208">
        <v>5089</v>
      </c>
      <c r="I15" s="203">
        <f>VLOOKUP(B15,CDM!$I$5:$N$15,3,FALSE)/12</f>
        <v>46233.334936942432</v>
      </c>
      <c r="J15" s="203">
        <f t="shared" si="2"/>
        <v>14555084.334936943</v>
      </c>
      <c r="K15" s="206">
        <v>71604165</v>
      </c>
      <c r="L15" s="203">
        <f>VLOOKUP(B15,CDM!$I$5:$N$15,4,FALSE)/12</f>
        <v>184951.0927690852</v>
      </c>
      <c r="M15" s="87">
        <f t="shared" si="3"/>
        <v>71789116.092769086</v>
      </c>
      <c r="N15" s="206">
        <v>189352</v>
      </c>
      <c r="O15" s="208">
        <v>977</v>
      </c>
      <c r="P15" s="206">
        <v>858134</v>
      </c>
      <c r="Q15" s="206">
        <v>2277</v>
      </c>
      <c r="R15" s="208">
        <v>14976</v>
      </c>
      <c r="S15" s="206">
        <v>276643</v>
      </c>
      <c r="T15" s="202">
        <v>0</v>
      </c>
      <c r="U15" s="202">
        <v>604</v>
      </c>
      <c r="V15" s="37">
        <f>'Economic (2020 Adj.)'!C27</f>
        <v>625936.9</v>
      </c>
      <c r="W15" s="37">
        <f>'Economic (2020 Adj.)'!D27</f>
        <v>6619.5</v>
      </c>
      <c r="X15" s="37">
        <f>'Economic (2020 Adj.)'!F27</f>
        <v>2947.4</v>
      </c>
      <c r="Y15" s="37">
        <f>'Economic (2020 Adj.)'!H27</f>
        <v>369.6</v>
      </c>
      <c r="Z15" s="37">
        <f>'Economic (2020 Adj.)'!E27</f>
        <v>6548.1</v>
      </c>
      <c r="AA15" s="37">
        <f>'Economic (2020 Adj.)'!G27</f>
        <v>2929.4</v>
      </c>
      <c r="AB15" s="37">
        <f>'Economic (2020 Adj.)'!I27</f>
        <v>365.4</v>
      </c>
      <c r="AC15" s="39">
        <f>Weather!D147</f>
        <v>-3.6142857142857139</v>
      </c>
      <c r="AD15" s="39">
        <f>Weather!E147</f>
        <v>661.20000000000016</v>
      </c>
      <c r="AE15" s="39">
        <f>Weather!F147</f>
        <v>0</v>
      </c>
      <c r="AF15" s="39">
        <f>Weather!G147</f>
        <v>605.20000000000016</v>
      </c>
      <c r="AG15" s="39">
        <f>Weather!H147</f>
        <v>0</v>
      </c>
      <c r="AH15" s="39">
        <f>Weather!I147</f>
        <v>549.20000000000016</v>
      </c>
      <c r="AI15" s="39">
        <f>Weather!J147</f>
        <v>0</v>
      </c>
      <c r="AJ15" s="39">
        <f>Weather!K147</f>
        <v>493.20000000000005</v>
      </c>
      <c r="AK15" s="39">
        <f>Weather!L147</f>
        <v>0</v>
      </c>
      <c r="AL15" s="39">
        <f>Weather!M147</f>
        <v>437.20000000000005</v>
      </c>
      <c r="AM15" s="39">
        <f>Weather!N147</f>
        <v>0</v>
      </c>
      <c r="AN15" s="39">
        <f>Weather!O147</f>
        <v>381.20000000000005</v>
      </c>
      <c r="AO15" s="39">
        <f>Weather!P147</f>
        <v>0</v>
      </c>
      <c r="AP15" s="39">
        <f>Weather!Q147</f>
        <v>325.20000000000005</v>
      </c>
      <c r="AQ15" s="39">
        <f>Weather!R147</f>
        <v>0</v>
      </c>
      <c r="AR15" s="201">
        <v>0</v>
      </c>
      <c r="AS15" s="201">
        <v>1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 s="201">
        <v>0</v>
      </c>
      <c r="BD15" s="201">
        <v>0</v>
      </c>
      <c r="BE15" s="201">
        <v>0</v>
      </c>
      <c r="BF15" s="201">
        <v>0</v>
      </c>
      <c r="BG15" s="202">
        <f t="shared" si="4"/>
        <v>14</v>
      </c>
      <c r="BH15" s="201">
        <v>28</v>
      </c>
      <c r="BI15" s="201">
        <v>19</v>
      </c>
      <c r="BJ15" s="160">
        <f t="shared" si="5"/>
        <v>715.91935498288683</v>
      </c>
      <c r="BK15" s="160">
        <f t="shared" si="6"/>
        <v>25.568548392245958</v>
      </c>
      <c r="BL15" s="159">
        <f t="shared" si="7"/>
        <v>1490620.8027195469</v>
      </c>
      <c r="BM15" s="160">
        <f t="shared" si="8"/>
        <v>2860.1069630451843</v>
      </c>
      <c r="BN15" s="160">
        <f t="shared" si="9"/>
        <v>102.14667725161372</v>
      </c>
      <c r="BO15" s="160">
        <f t="shared" si="10"/>
        <v>519824.44053346227</v>
      </c>
      <c r="BP15" s="160">
        <f t="shared" si="11"/>
        <v>73479.136225966315</v>
      </c>
      <c r="BQ15" s="160">
        <f t="shared" si="12"/>
        <v>2624.2548652130827</v>
      </c>
      <c r="BR15" s="160">
        <f t="shared" si="13"/>
        <v>3867.3229592613848</v>
      </c>
      <c r="BS15" s="160">
        <f t="shared" si="14"/>
        <v>2563897.0033131815</v>
      </c>
      <c r="BT15" s="160">
        <f t="shared" si="15"/>
        <v>3778374.5311983731</v>
      </c>
    </row>
    <row r="16" spans="1:72" x14ac:dyDescent="0.2">
      <c r="A16" s="204">
        <v>40603</v>
      </c>
      <c r="B16" s="205">
        <f t="shared" si="0"/>
        <v>2011</v>
      </c>
      <c r="C16" s="203">
        <v>42432747</v>
      </c>
      <c r="D16" s="203">
        <f>VLOOKUP(B16,CDM!$I$5:$N$15,2,FALSE)/12</f>
        <v>90742.476147318026</v>
      </c>
      <c r="E16" s="203">
        <f t="shared" si="1"/>
        <v>42523489.476147316</v>
      </c>
      <c r="F16" s="206">
        <v>58318</v>
      </c>
      <c r="G16" s="206">
        <v>15118512</v>
      </c>
      <c r="H16" s="206">
        <v>5088</v>
      </c>
      <c r="I16" s="203">
        <f>VLOOKUP(B16,CDM!$I$5:$N$15,3,FALSE)/12</f>
        <v>46233.334936942432</v>
      </c>
      <c r="J16" s="203">
        <f t="shared" si="2"/>
        <v>15164745.334936943</v>
      </c>
      <c r="K16" s="206">
        <v>79168308</v>
      </c>
      <c r="L16" s="203">
        <f>VLOOKUP(B16,CDM!$I$5:$N$15,4,FALSE)/12</f>
        <v>184951.0927690852</v>
      </c>
      <c r="M16" s="87">
        <f t="shared" si="3"/>
        <v>79353259.092769086</v>
      </c>
      <c r="N16" s="206">
        <v>199423</v>
      </c>
      <c r="O16" s="206">
        <v>979</v>
      </c>
      <c r="P16" s="206">
        <v>851260</v>
      </c>
      <c r="Q16" s="206">
        <v>2277</v>
      </c>
      <c r="R16" s="206">
        <v>15036</v>
      </c>
      <c r="S16" s="206">
        <v>278717</v>
      </c>
      <c r="T16" s="202">
        <v>0</v>
      </c>
      <c r="U16" s="202">
        <v>599</v>
      </c>
      <c r="V16" s="37">
        <f>'Economic (2020 Adj.)'!C28</f>
        <v>625936.9</v>
      </c>
      <c r="W16" s="37">
        <f>'Economic (2020 Adj.)'!D28</f>
        <v>6628.6</v>
      </c>
      <c r="X16" s="37">
        <f>'Economic (2020 Adj.)'!F28</f>
        <v>2938.7</v>
      </c>
      <c r="Y16" s="37">
        <f>'Economic (2020 Adj.)'!H28</f>
        <v>369.8</v>
      </c>
      <c r="Z16" s="37">
        <f>'Economic (2020 Adj.)'!E28</f>
        <v>6523.7</v>
      </c>
      <c r="AA16" s="37">
        <f>'Economic (2020 Adj.)'!G28</f>
        <v>2901.9</v>
      </c>
      <c r="AB16" s="37">
        <f>'Economic (2020 Adj.)'!I28</f>
        <v>363.6</v>
      </c>
      <c r="AC16" s="39">
        <f>Weather!D148</f>
        <v>0.40322580645161288</v>
      </c>
      <c r="AD16" s="39">
        <f>Weather!E148</f>
        <v>607.50000000000011</v>
      </c>
      <c r="AE16" s="39">
        <f>Weather!F148</f>
        <v>0</v>
      </c>
      <c r="AF16" s="39">
        <f>Weather!G148</f>
        <v>545.50000000000011</v>
      </c>
      <c r="AG16" s="39">
        <f>Weather!H148</f>
        <v>0</v>
      </c>
      <c r="AH16" s="39">
        <f>Weather!I148</f>
        <v>483.50000000000006</v>
      </c>
      <c r="AI16" s="39">
        <f>Weather!J148</f>
        <v>0</v>
      </c>
      <c r="AJ16" s="39">
        <f>Weather!K148</f>
        <v>421.50000000000006</v>
      </c>
      <c r="AK16" s="39">
        <f>Weather!L148</f>
        <v>0</v>
      </c>
      <c r="AL16" s="39">
        <f>Weather!M148</f>
        <v>359.50000000000006</v>
      </c>
      <c r="AM16" s="39">
        <f>Weather!N148</f>
        <v>0</v>
      </c>
      <c r="AN16" s="39">
        <f>Weather!O148</f>
        <v>297.50000000000006</v>
      </c>
      <c r="AO16" s="39">
        <f>Weather!P148</f>
        <v>0</v>
      </c>
      <c r="AP16" s="39">
        <f>Weather!Q148</f>
        <v>237.79999999999993</v>
      </c>
      <c r="AQ16" s="39">
        <f>Weather!R148</f>
        <v>2.2999999999999989</v>
      </c>
      <c r="AR16" s="201">
        <v>0</v>
      </c>
      <c r="AS16" s="201">
        <v>0</v>
      </c>
      <c r="AT16" s="201">
        <v>1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 s="201">
        <v>0</v>
      </c>
      <c r="BD16" s="201">
        <v>1</v>
      </c>
      <c r="BE16" s="201">
        <v>0</v>
      </c>
      <c r="BF16" s="201">
        <v>1</v>
      </c>
      <c r="BG16" s="202">
        <f t="shared" si="4"/>
        <v>15</v>
      </c>
      <c r="BH16" s="201">
        <v>31</v>
      </c>
      <c r="BI16" s="201">
        <v>23</v>
      </c>
      <c r="BJ16" s="160">
        <f t="shared" si="5"/>
        <v>729.16577173681048</v>
      </c>
      <c r="BK16" s="160">
        <f t="shared" si="6"/>
        <v>23.521476507639047</v>
      </c>
      <c r="BL16" s="159">
        <f t="shared" si="7"/>
        <v>1371725.466972494</v>
      </c>
      <c r="BM16" s="160">
        <f t="shared" si="8"/>
        <v>2980.4924007344621</v>
      </c>
      <c r="BN16" s="160">
        <f t="shared" si="9"/>
        <v>96.144916152724576</v>
      </c>
      <c r="BO16" s="160">
        <f t="shared" si="10"/>
        <v>489185.3333850627</v>
      </c>
      <c r="BP16" s="160">
        <f t="shared" si="11"/>
        <v>81055.422975249327</v>
      </c>
      <c r="BQ16" s="160">
        <f t="shared" si="12"/>
        <v>2614.6910637177202</v>
      </c>
      <c r="BR16" s="160">
        <f t="shared" si="13"/>
        <v>3524.1488250108405</v>
      </c>
      <c r="BS16" s="160">
        <f t="shared" si="14"/>
        <v>2559782.551379648</v>
      </c>
      <c r="BT16" s="160">
        <f t="shared" si="15"/>
        <v>3450141.6996856122</v>
      </c>
    </row>
    <row r="17" spans="1:72" x14ac:dyDescent="0.2">
      <c r="A17" s="204">
        <v>40634</v>
      </c>
      <c r="B17" s="205">
        <f t="shared" si="0"/>
        <v>2011</v>
      </c>
      <c r="C17" s="203">
        <v>38424019</v>
      </c>
      <c r="D17" s="203">
        <f>VLOOKUP(B17,CDM!$I$5:$N$15,2,FALSE)/12</f>
        <v>90742.476147318026</v>
      </c>
      <c r="E17" s="203">
        <f t="shared" si="1"/>
        <v>38514761.476147316</v>
      </c>
      <c r="F17" s="208">
        <v>58345</v>
      </c>
      <c r="G17" s="206">
        <v>13472398</v>
      </c>
      <c r="H17" s="208">
        <v>5085</v>
      </c>
      <c r="I17" s="203">
        <f>VLOOKUP(B17,CDM!$I$5:$N$15,3,FALSE)/12</f>
        <v>46233.334936942432</v>
      </c>
      <c r="J17" s="203">
        <f t="shared" si="2"/>
        <v>13518631.334936943</v>
      </c>
      <c r="K17" s="206">
        <v>71394821</v>
      </c>
      <c r="L17" s="203">
        <f>VLOOKUP(B17,CDM!$I$5:$N$15,4,FALSE)/12</f>
        <v>184951.0927690852</v>
      </c>
      <c r="M17" s="87">
        <f t="shared" si="3"/>
        <v>71579772.092769086</v>
      </c>
      <c r="N17" s="206">
        <v>177390</v>
      </c>
      <c r="O17" s="208">
        <v>980</v>
      </c>
      <c r="P17" s="206">
        <v>722513</v>
      </c>
      <c r="Q17" s="206">
        <v>2277</v>
      </c>
      <c r="R17" s="208">
        <v>15036</v>
      </c>
      <c r="S17" s="206">
        <v>276431</v>
      </c>
      <c r="T17" s="202">
        <v>0</v>
      </c>
      <c r="U17" s="202">
        <v>599</v>
      </c>
      <c r="V17" s="37">
        <f>'Economic (2020 Adj.)'!C29</f>
        <v>625936.9</v>
      </c>
      <c r="W17" s="37">
        <f>'Economic (2020 Adj.)'!D29</f>
        <v>6635.5</v>
      </c>
      <c r="X17" s="37">
        <f>'Economic (2020 Adj.)'!F29</f>
        <v>2929.9</v>
      </c>
      <c r="Y17" s="37">
        <f>'Economic (2020 Adj.)'!H29</f>
        <v>372</v>
      </c>
      <c r="Z17" s="37">
        <f>'Economic (2020 Adj.)'!E29</f>
        <v>6550</v>
      </c>
      <c r="AA17" s="37">
        <f>'Economic (2020 Adj.)'!G29</f>
        <v>2898.7</v>
      </c>
      <c r="AB17" s="37">
        <f>'Economic (2020 Adj.)'!I29</f>
        <v>367.1</v>
      </c>
      <c r="AC17" s="39">
        <f>Weather!D149</f>
        <v>6.1433333333333335</v>
      </c>
      <c r="AD17" s="39">
        <f>Weather!E149</f>
        <v>415.70000000000005</v>
      </c>
      <c r="AE17" s="39">
        <f>Weather!F149</f>
        <v>0</v>
      </c>
      <c r="AF17" s="39">
        <f>Weather!G149</f>
        <v>355.7</v>
      </c>
      <c r="AG17" s="39">
        <f>Weather!H149</f>
        <v>0</v>
      </c>
      <c r="AH17" s="39">
        <f>Weather!I149</f>
        <v>295.7</v>
      </c>
      <c r="AI17" s="39">
        <f>Weather!J149</f>
        <v>0</v>
      </c>
      <c r="AJ17" s="39">
        <f>Weather!K149</f>
        <v>235.69999999999996</v>
      </c>
      <c r="AK17" s="39">
        <f>Weather!L149</f>
        <v>0</v>
      </c>
      <c r="AL17" s="39">
        <f>Weather!M149</f>
        <v>177.5</v>
      </c>
      <c r="AM17" s="39">
        <f>Weather!N149</f>
        <v>1.8000000000000007</v>
      </c>
      <c r="AN17" s="39">
        <f>Weather!O149</f>
        <v>125.80000000000001</v>
      </c>
      <c r="AO17" s="39">
        <f>Weather!P149</f>
        <v>10.100000000000001</v>
      </c>
      <c r="AP17" s="39">
        <f>Weather!Q149</f>
        <v>75.8</v>
      </c>
      <c r="AQ17" s="39">
        <f>Weather!R149</f>
        <v>20.100000000000001</v>
      </c>
      <c r="AR17" s="201">
        <v>0</v>
      </c>
      <c r="AS17" s="201">
        <v>0</v>
      </c>
      <c r="AT17" s="201">
        <v>0</v>
      </c>
      <c r="AU17" s="201">
        <v>1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 s="201">
        <v>0</v>
      </c>
      <c r="BD17" s="201">
        <v>1</v>
      </c>
      <c r="BE17" s="201">
        <v>0</v>
      </c>
      <c r="BF17" s="201">
        <v>1</v>
      </c>
      <c r="BG17" s="202">
        <f t="shared" si="4"/>
        <v>16</v>
      </c>
      <c r="BH17" s="201">
        <v>30</v>
      </c>
      <c r="BI17" s="201">
        <v>19</v>
      </c>
      <c r="BJ17" s="160">
        <f t="shared" si="5"/>
        <v>660.12102967087696</v>
      </c>
      <c r="BK17" s="160">
        <f t="shared" si="6"/>
        <v>22.004034322362564</v>
      </c>
      <c r="BL17" s="159">
        <f t="shared" si="7"/>
        <v>1283825.3825382439</v>
      </c>
      <c r="BM17" s="160">
        <f t="shared" si="8"/>
        <v>2658.5312359758</v>
      </c>
      <c r="BN17" s="160">
        <f t="shared" si="9"/>
        <v>88.617707865859998</v>
      </c>
      <c r="BO17" s="160">
        <f t="shared" si="10"/>
        <v>450621.04449789808</v>
      </c>
      <c r="BP17" s="160">
        <f t="shared" si="11"/>
        <v>73040.583768131721</v>
      </c>
      <c r="BQ17" s="160">
        <f t="shared" si="12"/>
        <v>2434.6861256043908</v>
      </c>
      <c r="BR17" s="160">
        <f t="shared" si="13"/>
        <v>3844.241250954301</v>
      </c>
      <c r="BS17" s="160">
        <f t="shared" si="14"/>
        <v>2385992.4030923028</v>
      </c>
      <c r="BT17" s="160">
        <f t="shared" si="15"/>
        <v>3767356.4259352149</v>
      </c>
    </row>
    <row r="18" spans="1:72" x14ac:dyDescent="0.2">
      <c r="A18" s="204">
        <v>40664</v>
      </c>
      <c r="B18" s="205">
        <f t="shared" si="0"/>
        <v>2011</v>
      </c>
      <c r="C18" s="203">
        <v>42408613</v>
      </c>
      <c r="D18" s="203">
        <f>VLOOKUP(B18,CDM!$I$5:$N$15,2,FALSE)/12</f>
        <v>90742.476147318026</v>
      </c>
      <c r="E18" s="203">
        <f t="shared" si="1"/>
        <v>42499355.476147316</v>
      </c>
      <c r="F18" s="208">
        <v>58385</v>
      </c>
      <c r="G18" s="206">
        <v>13580628</v>
      </c>
      <c r="H18" s="208">
        <v>5078</v>
      </c>
      <c r="I18" s="203">
        <f>VLOOKUP(B18,CDM!$I$5:$N$15,3,FALSE)/12</f>
        <v>46233.334936942432</v>
      </c>
      <c r="J18" s="203">
        <f t="shared" si="2"/>
        <v>13626861.334936943</v>
      </c>
      <c r="K18" s="206">
        <v>74077734</v>
      </c>
      <c r="L18" s="203">
        <f>VLOOKUP(B18,CDM!$I$5:$N$15,4,FALSE)/12</f>
        <v>184951.0927690852</v>
      </c>
      <c r="M18" s="87">
        <f t="shared" si="3"/>
        <v>74262685.092769086</v>
      </c>
      <c r="N18" s="206">
        <v>196574</v>
      </c>
      <c r="O18" s="208">
        <v>982</v>
      </c>
      <c r="P18" s="206">
        <v>657139</v>
      </c>
      <c r="Q18" s="206">
        <v>2277</v>
      </c>
      <c r="R18" s="208">
        <v>15036</v>
      </c>
      <c r="S18" s="206">
        <v>271003</v>
      </c>
      <c r="T18" s="202">
        <v>0</v>
      </c>
      <c r="U18" s="202">
        <v>600</v>
      </c>
      <c r="V18" s="37">
        <f>'Economic (2020 Adj.)'!C30</f>
        <v>625936.9</v>
      </c>
      <c r="W18" s="37">
        <f>'Economic (2020 Adj.)'!D30</f>
        <v>6645.8</v>
      </c>
      <c r="X18" s="37">
        <f>'Economic (2020 Adj.)'!F30</f>
        <v>2930.2</v>
      </c>
      <c r="Y18" s="37">
        <f>'Economic (2020 Adj.)'!H30</f>
        <v>375</v>
      </c>
      <c r="Z18" s="37">
        <f>'Economic (2020 Adj.)'!E30</f>
        <v>6612</v>
      </c>
      <c r="AA18" s="37">
        <f>'Economic (2020 Adj.)'!G30</f>
        <v>2912</v>
      </c>
      <c r="AB18" s="37">
        <f>'Economic (2020 Adj.)'!I30</f>
        <v>374.6</v>
      </c>
      <c r="AC18" s="39">
        <f>Weather!D150</f>
        <v>11.96774193548387</v>
      </c>
      <c r="AD18" s="39">
        <f>Weather!E150</f>
        <v>251.70000000000002</v>
      </c>
      <c r="AE18" s="39">
        <f>Weather!F150</f>
        <v>2.6999999999999993</v>
      </c>
      <c r="AF18" s="39">
        <f>Weather!G150</f>
        <v>191.7</v>
      </c>
      <c r="AG18" s="39">
        <f>Weather!H150</f>
        <v>4.6999999999999993</v>
      </c>
      <c r="AH18" s="39">
        <f>Weather!I150</f>
        <v>134.79999999999998</v>
      </c>
      <c r="AI18" s="39">
        <f>Weather!J150</f>
        <v>9.8000000000000007</v>
      </c>
      <c r="AJ18" s="39">
        <f>Weather!K150</f>
        <v>85.7</v>
      </c>
      <c r="AK18" s="39">
        <f>Weather!L150</f>
        <v>22.700000000000003</v>
      </c>
      <c r="AL18" s="39">
        <f>Weather!M150</f>
        <v>42.399999999999991</v>
      </c>
      <c r="AM18" s="39">
        <f>Weather!N150</f>
        <v>41.399999999999991</v>
      </c>
      <c r="AN18" s="39">
        <f>Weather!O150</f>
        <v>12.799999999999999</v>
      </c>
      <c r="AO18" s="39">
        <f>Weather!P150</f>
        <v>73.8</v>
      </c>
      <c r="AP18" s="39">
        <f>Weather!Q150</f>
        <v>3.3</v>
      </c>
      <c r="AQ18" s="39">
        <f>Weather!R150</f>
        <v>126.30000000000001</v>
      </c>
      <c r="AR18" s="201">
        <v>0</v>
      </c>
      <c r="AS18" s="201">
        <v>0</v>
      </c>
      <c r="AT18" s="201">
        <v>0</v>
      </c>
      <c r="AU18" s="201">
        <v>0</v>
      </c>
      <c r="AV18" s="201">
        <v>1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 s="201">
        <v>0</v>
      </c>
      <c r="BD18" s="201">
        <v>1</v>
      </c>
      <c r="BE18" s="201">
        <v>0</v>
      </c>
      <c r="BF18" s="201">
        <v>1</v>
      </c>
      <c r="BG18" s="202">
        <f t="shared" si="4"/>
        <v>17</v>
      </c>
      <c r="BH18" s="201">
        <v>31</v>
      </c>
      <c r="BI18" s="201">
        <v>21</v>
      </c>
      <c r="BJ18" s="160">
        <f t="shared" si="5"/>
        <v>727.91565429729064</v>
      </c>
      <c r="BK18" s="160">
        <f t="shared" si="6"/>
        <v>23.481150138622279</v>
      </c>
      <c r="BL18" s="159">
        <f t="shared" si="7"/>
        <v>1370946.9508434618</v>
      </c>
      <c r="BM18" s="160">
        <f t="shared" si="8"/>
        <v>2683.5095184988072</v>
      </c>
      <c r="BN18" s="160">
        <f t="shared" si="9"/>
        <v>86.564823177380873</v>
      </c>
      <c r="BO18" s="160">
        <f t="shared" si="10"/>
        <v>439576.17209474009</v>
      </c>
      <c r="BP18" s="160">
        <f t="shared" si="11"/>
        <v>75623.915573084611</v>
      </c>
      <c r="BQ18" s="160">
        <f t="shared" si="12"/>
        <v>2439.4811475188585</v>
      </c>
      <c r="BR18" s="160">
        <f t="shared" si="13"/>
        <v>3601.1388368135531</v>
      </c>
      <c r="BS18" s="160">
        <f t="shared" si="14"/>
        <v>2395570.4868635191</v>
      </c>
      <c r="BT18" s="160">
        <f t="shared" si="15"/>
        <v>3536318.3377509089</v>
      </c>
    </row>
    <row r="19" spans="1:72" x14ac:dyDescent="0.2">
      <c r="A19" s="204">
        <v>40695</v>
      </c>
      <c r="B19" s="205">
        <f t="shared" si="0"/>
        <v>2011</v>
      </c>
      <c r="C19" s="203">
        <v>49689088</v>
      </c>
      <c r="D19" s="203">
        <f>VLOOKUP(B19,CDM!$I$5:$N$15,2,FALSE)/12</f>
        <v>90742.476147318026</v>
      </c>
      <c r="E19" s="203">
        <f t="shared" si="1"/>
        <v>49779830.476147316</v>
      </c>
      <c r="F19" s="206">
        <v>58495</v>
      </c>
      <c r="G19" s="206">
        <v>14441555</v>
      </c>
      <c r="H19" s="206">
        <v>5082</v>
      </c>
      <c r="I19" s="203">
        <f>VLOOKUP(B19,CDM!$I$5:$N$15,3,FALSE)/12</f>
        <v>46233.334936942432</v>
      </c>
      <c r="J19" s="203">
        <f t="shared" si="2"/>
        <v>14487788.334936943</v>
      </c>
      <c r="K19" s="206">
        <v>76932742</v>
      </c>
      <c r="L19" s="203">
        <f>VLOOKUP(B19,CDM!$I$5:$N$15,4,FALSE)/12</f>
        <v>184951.0927690852</v>
      </c>
      <c r="M19" s="87">
        <f t="shared" si="3"/>
        <v>77117693.092769086</v>
      </c>
      <c r="N19" s="206">
        <v>200273</v>
      </c>
      <c r="O19" s="206">
        <v>985</v>
      </c>
      <c r="P19" s="206">
        <v>591348</v>
      </c>
      <c r="Q19" s="206">
        <v>2277</v>
      </c>
      <c r="R19" s="206">
        <v>15036</v>
      </c>
      <c r="S19" s="206">
        <v>270213</v>
      </c>
      <c r="T19" s="202">
        <v>0</v>
      </c>
      <c r="U19" s="202">
        <v>605</v>
      </c>
      <c r="V19" s="37">
        <f>'Economic (2020 Adj.)'!C31</f>
        <v>625936.9</v>
      </c>
      <c r="W19" s="37">
        <f>'Economic (2020 Adj.)'!D31</f>
        <v>6662</v>
      </c>
      <c r="X19" s="37">
        <f>'Economic (2020 Adj.)'!F31</f>
        <v>2934.9</v>
      </c>
      <c r="Y19" s="37">
        <f>'Economic (2020 Adj.)'!H31</f>
        <v>375.2</v>
      </c>
      <c r="Z19" s="37">
        <f>'Economic (2020 Adj.)'!E31</f>
        <v>6706.8</v>
      </c>
      <c r="AA19" s="37">
        <f>'Economic (2020 Adj.)'!G31</f>
        <v>2941</v>
      </c>
      <c r="AB19" s="37">
        <f>'Economic (2020 Adj.)'!I31</f>
        <v>379.2</v>
      </c>
      <c r="AC19" s="39">
        <f>Weather!D151</f>
        <v>18.653333333333332</v>
      </c>
      <c r="AD19" s="39">
        <f>Weather!E151</f>
        <v>53.199999999999989</v>
      </c>
      <c r="AE19" s="39">
        <f>Weather!F151</f>
        <v>12.799999999999997</v>
      </c>
      <c r="AF19" s="39">
        <f>Weather!G151</f>
        <v>22.4</v>
      </c>
      <c r="AG19" s="39">
        <f>Weather!H151</f>
        <v>42</v>
      </c>
      <c r="AH19" s="39">
        <f>Weather!I151</f>
        <v>6.8000000000000025</v>
      </c>
      <c r="AI19" s="39">
        <f>Weather!J151</f>
        <v>86.4</v>
      </c>
      <c r="AJ19" s="39">
        <f>Weather!K151</f>
        <v>0.30000000000000071</v>
      </c>
      <c r="AK19" s="39">
        <f>Weather!L151</f>
        <v>139.9</v>
      </c>
      <c r="AL19" s="39">
        <f>Weather!M151</f>
        <v>0</v>
      </c>
      <c r="AM19" s="39">
        <f>Weather!N151</f>
        <v>199.60000000000002</v>
      </c>
      <c r="AN19" s="39">
        <f>Weather!O151</f>
        <v>0</v>
      </c>
      <c r="AO19" s="39">
        <f>Weather!P151</f>
        <v>259.60000000000002</v>
      </c>
      <c r="AP19" s="39">
        <f>Weather!Q151</f>
        <v>0</v>
      </c>
      <c r="AQ19" s="39">
        <f>Weather!R151</f>
        <v>319.60000000000002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1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 s="201">
        <v>0</v>
      </c>
      <c r="BD19" s="201">
        <v>0</v>
      </c>
      <c r="BE19" s="201">
        <v>0</v>
      </c>
      <c r="BF19" s="201">
        <v>0</v>
      </c>
      <c r="BG19" s="202">
        <f t="shared" si="4"/>
        <v>18</v>
      </c>
      <c r="BH19" s="201">
        <v>30</v>
      </c>
      <c r="BI19" s="201">
        <v>22</v>
      </c>
      <c r="BJ19" s="160">
        <f t="shared" si="5"/>
        <v>851.01000899474002</v>
      </c>
      <c r="BK19" s="160">
        <f t="shared" si="6"/>
        <v>28.367000299824667</v>
      </c>
      <c r="BL19" s="159">
        <f t="shared" si="7"/>
        <v>1659327.6825382439</v>
      </c>
      <c r="BM19" s="160">
        <f t="shared" si="8"/>
        <v>2850.8044736200204</v>
      </c>
      <c r="BN19" s="160">
        <f t="shared" si="9"/>
        <v>95.026815787334016</v>
      </c>
      <c r="BO19" s="160">
        <f t="shared" si="10"/>
        <v>482926.27783123142</v>
      </c>
      <c r="BP19" s="160">
        <f t="shared" si="11"/>
        <v>78292.074205856945</v>
      </c>
      <c r="BQ19" s="160">
        <f t="shared" si="12"/>
        <v>2609.7358068618983</v>
      </c>
      <c r="BR19" s="160">
        <f t="shared" si="13"/>
        <v>3558.7306457207701</v>
      </c>
      <c r="BS19" s="160">
        <f t="shared" si="14"/>
        <v>2570589.7697589695</v>
      </c>
      <c r="BT19" s="160">
        <f t="shared" si="15"/>
        <v>3505349.6860349583</v>
      </c>
    </row>
    <row r="20" spans="1:72" x14ac:dyDescent="0.2">
      <c r="A20" s="204">
        <v>40725</v>
      </c>
      <c r="B20" s="205">
        <f t="shared" si="0"/>
        <v>2011</v>
      </c>
      <c r="C20" s="203">
        <v>61625002</v>
      </c>
      <c r="D20" s="203">
        <f>VLOOKUP(B20,CDM!$I$5:$N$15,2,FALSE)/12</f>
        <v>90742.476147318026</v>
      </c>
      <c r="E20" s="203">
        <f t="shared" si="1"/>
        <v>61715744.476147316</v>
      </c>
      <c r="F20" s="208">
        <v>58515</v>
      </c>
      <c r="G20" s="206">
        <v>16563549</v>
      </c>
      <c r="H20" s="208">
        <v>5096</v>
      </c>
      <c r="I20" s="203">
        <f>VLOOKUP(B20,CDM!$I$5:$N$15,3,FALSE)/12</f>
        <v>46233.334936942432</v>
      </c>
      <c r="J20" s="203">
        <f t="shared" si="2"/>
        <v>16609782.334936943</v>
      </c>
      <c r="K20" s="206">
        <v>84466569</v>
      </c>
      <c r="L20" s="203">
        <f>VLOOKUP(B20,CDM!$I$5:$N$15,4,FALSE)/12</f>
        <v>184951.0927690852</v>
      </c>
      <c r="M20" s="87">
        <f t="shared" si="3"/>
        <v>84651520.092769086</v>
      </c>
      <c r="N20" s="206">
        <v>214167</v>
      </c>
      <c r="O20" s="208">
        <v>983</v>
      </c>
      <c r="P20" s="206">
        <v>634718</v>
      </c>
      <c r="Q20" s="206">
        <v>2277</v>
      </c>
      <c r="R20" s="208">
        <v>15036</v>
      </c>
      <c r="S20" s="206">
        <v>271583</v>
      </c>
      <c r="T20" s="202">
        <v>0</v>
      </c>
      <c r="U20" s="202">
        <v>605</v>
      </c>
      <c r="V20" s="37">
        <f>'Economic (2020 Adj.)'!C32</f>
        <v>625936.9</v>
      </c>
      <c r="W20" s="37">
        <f>'Economic (2020 Adj.)'!D32</f>
        <v>6665.8</v>
      </c>
      <c r="X20" s="37">
        <f>'Economic (2020 Adj.)'!F32</f>
        <v>2928.1</v>
      </c>
      <c r="Y20" s="37">
        <f>'Economic (2020 Adj.)'!H32</f>
        <v>375.3</v>
      </c>
      <c r="Z20" s="37">
        <f>'Economic (2020 Adj.)'!E32</f>
        <v>6755.3</v>
      </c>
      <c r="AA20" s="37">
        <f>'Economic (2020 Adj.)'!G32</f>
        <v>2949.3</v>
      </c>
      <c r="AB20" s="37">
        <f>'Economic (2020 Adj.)'!I32</f>
        <v>379.4</v>
      </c>
      <c r="AC20" s="39">
        <f>Weather!D152</f>
        <v>24.125806451612902</v>
      </c>
      <c r="AD20" s="39">
        <f>Weather!E152</f>
        <v>2.5999999999999979</v>
      </c>
      <c r="AE20" s="39">
        <f>Weather!F152</f>
        <v>130.49999999999997</v>
      </c>
      <c r="AF20" s="39">
        <f>Weather!G152</f>
        <v>0</v>
      </c>
      <c r="AG20" s="39">
        <f>Weather!H152</f>
        <v>189.90000000000003</v>
      </c>
      <c r="AH20" s="39">
        <f>Weather!I152</f>
        <v>0</v>
      </c>
      <c r="AI20" s="39">
        <f>Weather!J152</f>
        <v>251.9</v>
      </c>
      <c r="AJ20" s="39">
        <f>Weather!K152</f>
        <v>0</v>
      </c>
      <c r="AK20" s="39">
        <f>Weather!L152</f>
        <v>313.90000000000003</v>
      </c>
      <c r="AL20" s="39">
        <f>Weather!M152</f>
        <v>0</v>
      </c>
      <c r="AM20" s="39">
        <f>Weather!N152</f>
        <v>375.90000000000003</v>
      </c>
      <c r="AN20" s="39">
        <f>Weather!O152</f>
        <v>0</v>
      </c>
      <c r="AO20" s="39">
        <f>Weather!P152</f>
        <v>437.90000000000003</v>
      </c>
      <c r="AP20" s="39">
        <f>Weather!Q152</f>
        <v>0</v>
      </c>
      <c r="AQ20" s="39">
        <f>Weather!R152</f>
        <v>499.90000000000003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1</v>
      </c>
      <c r="AY20" s="201">
        <v>0</v>
      </c>
      <c r="AZ20" s="201">
        <v>0</v>
      </c>
      <c r="BA20" s="201">
        <v>0</v>
      </c>
      <c r="BB20" s="201">
        <v>0</v>
      </c>
      <c r="BC20" s="201">
        <v>0</v>
      </c>
      <c r="BD20" s="201">
        <v>0</v>
      </c>
      <c r="BE20" s="201">
        <v>0</v>
      </c>
      <c r="BF20" s="201">
        <v>0</v>
      </c>
      <c r="BG20" s="202">
        <f t="shared" si="4"/>
        <v>19</v>
      </c>
      <c r="BH20" s="201">
        <v>31</v>
      </c>
      <c r="BI20" s="201">
        <v>20</v>
      </c>
      <c r="BJ20" s="160">
        <f t="shared" si="5"/>
        <v>1054.6995552618528</v>
      </c>
      <c r="BK20" s="160">
        <f t="shared" si="6"/>
        <v>34.022566298769441</v>
      </c>
      <c r="BL20" s="159">
        <f t="shared" si="7"/>
        <v>1990830.466972494</v>
      </c>
      <c r="BM20" s="160">
        <f t="shared" si="8"/>
        <v>3259.3764393518336</v>
      </c>
      <c r="BN20" s="160">
        <f t="shared" si="9"/>
        <v>105.14117546296238</v>
      </c>
      <c r="BO20" s="160">
        <f t="shared" si="10"/>
        <v>535799.43015925621</v>
      </c>
      <c r="BP20" s="160">
        <f t="shared" si="11"/>
        <v>86115.483309022471</v>
      </c>
      <c r="BQ20" s="160">
        <f t="shared" si="12"/>
        <v>2777.9188164200796</v>
      </c>
      <c r="BR20" s="160">
        <f t="shared" si="13"/>
        <v>4305.7741654511237</v>
      </c>
      <c r="BS20" s="160">
        <f t="shared" si="14"/>
        <v>2730694.1965409382</v>
      </c>
      <c r="BT20" s="160">
        <f t="shared" si="15"/>
        <v>4232576.0046384539</v>
      </c>
    </row>
    <row r="21" spans="1:72" x14ac:dyDescent="0.2">
      <c r="A21" s="204">
        <v>40756</v>
      </c>
      <c r="B21" s="205">
        <f t="shared" si="0"/>
        <v>2011</v>
      </c>
      <c r="C21" s="203">
        <v>56052529</v>
      </c>
      <c r="D21" s="203">
        <f>VLOOKUP(B21,CDM!$I$5:$N$15,2,FALSE)/12</f>
        <v>90742.476147318026</v>
      </c>
      <c r="E21" s="203">
        <f t="shared" si="1"/>
        <v>56143271.476147316</v>
      </c>
      <c r="F21" s="208">
        <v>58526</v>
      </c>
      <c r="G21" s="206">
        <v>15817066</v>
      </c>
      <c r="H21" s="208">
        <v>5089</v>
      </c>
      <c r="I21" s="203">
        <f>VLOOKUP(B21,CDM!$I$5:$N$15,3,FALSE)/12</f>
        <v>46233.334936942432</v>
      </c>
      <c r="J21" s="203">
        <f t="shared" si="2"/>
        <v>15863299.334936943</v>
      </c>
      <c r="K21" s="206">
        <v>82014098</v>
      </c>
      <c r="L21" s="203">
        <f>VLOOKUP(B21,CDM!$I$5:$N$15,4,FALSE)/12</f>
        <v>184951.0927690852</v>
      </c>
      <c r="M21" s="87">
        <f t="shared" si="3"/>
        <v>82199049.092769086</v>
      </c>
      <c r="N21" s="206">
        <v>238830</v>
      </c>
      <c r="O21" s="208">
        <v>983</v>
      </c>
      <c r="P21" s="206">
        <v>758824</v>
      </c>
      <c r="Q21" s="206">
        <v>2276</v>
      </c>
      <c r="R21" s="208">
        <v>15041</v>
      </c>
      <c r="S21" s="206">
        <v>271317</v>
      </c>
      <c r="T21" s="202">
        <v>0</v>
      </c>
      <c r="U21" s="202">
        <v>606</v>
      </c>
      <c r="V21" s="37">
        <f>'Economic (2020 Adj.)'!C33</f>
        <v>625936.9</v>
      </c>
      <c r="W21" s="37">
        <f>'Economic (2020 Adj.)'!D33</f>
        <v>6677.5</v>
      </c>
      <c r="X21" s="37">
        <f>'Economic (2020 Adj.)'!F33</f>
        <v>2922.7</v>
      </c>
      <c r="Y21" s="37">
        <f>'Economic (2020 Adj.)'!H33</f>
        <v>371.4</v>
      </c>
      <c r="Z21" s="37">
        <f>'Economic (2020 Adj.)'!E33</f>
        <v>6778</v>
      </c>
      <c r="AA21" s="37">
        <f>'Economic (2020 Adj.)'!G33</f>
        <v>2957.5</v>
      </c>
      <c r="AB21" s="37">
        <f>'Economic (2020 Adj.)'!I33</f>
        <v>372.8</v>
      </c>
      <c r="AC21" s="39">
        <f>Weather!D153</f>
        <v>21.819354838709678</v>
      </c>
      <c r="AD21" s="39">
        <f>Weather!E153</f>
        <v>7.0999999999999979</v>
      </c>
      <c r="AE21" s="39">
        <f>Weather!F153</f>
        <v>63.5</v>
      </c>
      <c r="AF21" s="39">
        <f>Weather!G153</f>
        <v>0</v>
      </c>
      <c r="AG21" s="39">
        <f>Weather!H153</f>
        <v>118.4</v>
      </c>
      <c r="AH21" s="39">
        <f>Weather!I153</f>
        <v>0</v>
      </c>
      <c r="AI21" s="39">
        <f>Weather!J153</f>
        <v>180.40000000000003</v>
      </c>
      <c r="AJ21" s="39">
        <f>Weather!K153</f>
        <v>0</v>
      </c>
      <c r="AK21" s="39">
        <f>Weather!L153</f>
        <v>242.40000000000003</v>
      </c>
      <c r="AL21" s="39">
        <f>Weather!M153</f>
        <v>0</v>
      </c>
      <c r="AM21" s="39">
        <f>Weather!N153</f>
        <v>304.39999999999998</v>
      </c>
      <c r="AN21" s="39">
        <f>Weather!O153</f>
        <v>0</v>
      </c>
      <c r="AO21" s="39">
        <f>Weather!P153</f>
        <v>366.40000000000003</v>
      </c>
      <c r="AP21" s="39">
        <f>Weather!Q153</f>
        <v>0</v>
      </c>
      <c r="AQ21" s="39">
        <f>Weather!R153</f>
        <v>428.4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1</v>
      </c>
      <c r="AZ21" s="201">
        <v>0</v>
      </c>
      <c r="BA21" s="201">
        <v>0</v>
      </c>
      <c r="BB21" s="201">
        <v>0</v>
      </c>
      <c r="BC21" s="201">
        <v>0</v>
      </c>
      <c r="BD21" s="201">
        <v>0</v>
      </c>
      <c r="BE21" s="201">
        <v>0</v>
      </c>
      <c r="BF21" s="201">
        <v>0</v>
      </c>
      <c r="BG21" s="202">
        <f t="shared" si="4"/>
        <v>20</v>
      </c>
      <c r="BH21" s="201">
        <v>31</v>
      </c>
      <c r="BI21" s="201">
        <v>22</v>
      </c>
      <c r="BJ21" s="160">
        <f t="shared" si="5"/>
        <v>959.28769224186374</v>
      </c>
      <c r="BK21" s="160">
        <f t="shared" si="6"/>
        <v>30.944764265866571</v>
      </c>
      <c r="BL21" s="159">
        <f t="shared" si="7"/>
        <v>1811073.2734241069</v>
      </c>
      <c r="BM21" s="160">
        <f t="shared" si="8"/>
        <v>3117.1741668180275</v>
      </c>
      <c r="BN21" s="160">
        <f t="shared" si="9"/>
        <v>100.55400538122669</v>
      </c>
      <c r="BO21" s="160">
        <f t="shared" si="10"/>
        <v>511719.3333850627</v>
      </c>
      <c r="BP21" s="160">
        <f t="shared" si="11"/>
        <v>83620.599280538241</v>
      </c>
      <c r="BQ21" s="160">
        <f t="shared" si="12"/>
        <v>2697.4386864689754</v>
      </c>
      <c r="BR21" s="160">
        <f t="shared" si="13"/>
        <v>3800.9363309335563</v>
      </c>
      <c r="BS21" s="160">
        <f t="shared" si="14"/>
        <v>2651582.2287990027</v>
      </c>
      <c r="BT21" s="160">
        <f t="shared" si="15"/>
        <v>3736320.4133076859</v>
      </c>
    </row>
    <row r="22" spans="1:72" x14ac:dyDescent="0.2">
      <c r="A22" s="204">
        <v>40787</v>
      </c>
      <c r="B22" s="205">
        <f t="shared" si="0"/>
        <v>2011</v>
      </c>
      <c r="C22" s="203">
        <v>44303045</v>
      </c>
      <c r="D22" s="203">
        <f>VLOOKUP(B22,CDM!$I$5:$N$15,2,FALSE)/12</f>
        <v>90742.476147318026</v>
      </c>
      <c r="E22" s="203">
        <f t="shared" si="1"/>
        <v>44393787.476147316</v>
      </c>
      <c r="F22" s="206">
        <v>58615</v>
      </c>
      <c r="G22" s="206">
        <v>13485911</v>
      </c>
      <c r="H22" s="206">
        <v>5088</v>
      </c>
      <c r="I22" s="203">
        <f>VLOOKUP(B22,CDM!$I$5:$N$15,3,FALSE)/12</f>
        <v>46233.334936942432</v>
      </c>
      <c r="J22" s="203">
        <f t="shared" si="2"/>
        <v>13532144.334936943</v>
      </c>
      <c r="K22" s="206">
        <v>74299994</v>
      </c>
      <c r="L22" s="203">
        <f>VLOOKUP(B22,CDM!$I$5:$N$15,4,FALSE)/12</f>
        <v>184951.0927690852</v>
      </c>
      <c r="M22" s="87">
        <f t="shared" si="3"/>
        <v>74484945.092769086</v>
      </c>
      <c r="N22" s="206">
        <v>200230</v>
      </c>
      <c r="O22" s="206">
        <v>984</v>
      </c>
      <c r="P22" s="206">
        <v>788049</v>
      </c>
      <c r="Q22" s="206">
        <v>2277</v>
      </c>
      <c r="R22" s="206">
        <v>15041</v>
      </c>
      <c r="S22" s="206">
        <v>271024</v>
      </c>
      <c r="T22" s="202">
        <v>0</v>
      </c>
      <c r="U22" s="202">
        <v>606</v>
      </c>
      <c r="V22" s="37">
        <f>'Economic (2020 Adj.)'!C34</f>
        <v>625936.9</v>
      </c>
      <c r="W22" s="37">
        <f>'Economic (2020 Adj.)'!D34</f>
        <v>6674.4</v>
      </c>
      <c r="X22" s="37">
        <f>'Economic (2020 Adj.)'!F34</f>
        <v>2918.3</v>
      </c>
      <c r="Y22" s="37">
        <f>'Economic (2020 Adj.)'!H34</f>
        <v>372.6</v>
      </c>
      <c r="Z22" s="37">
        <f>'Economic (2020 Adj.)'!E34</f>
        <v>6734.6</v>
      </c>
      <c r="AA22" s="37">
        <f>'Economic (2020 Adj.)'!G34</f>
        <v>2940.6</v>
      </c>
      <c r="AB22" s="37">
        <f>'Economic (2020 Adj.)'!I34</f>
        <v>371.1</v>
      </c>
      <c r="AC22" s="39">
        <f>Weather!D154</f>
        <v>17.616666666666667</v>
      </c>
      <c r="AD22" s="39">
        <f>Weather!E154</f>
        <v>83.1</v>
      </c>
      <c r="AE22" s="39">
        <f>Weather!F154</f>
        <v>11.600000000000001</v>
      </c>
      <c r="AF22" s="39">
        <f>Weather!G154</f>
        <v>41.600000000000016</v>
      </c>
      <c r="AG22" s="39">
        <f>Weather!H154</f>
        <v>30.1</v>
      </c>
      <c r="AH22" s="39">
        <f>Weather!I154</f>
        <v>16.5</v>
      </c>
      <c r="AI22" s="39">
        <f>Weather!J154</f>
        <v>65</v>
      </c>
      <c r="AJ22" s="39">
        <f>Weather!K154</f>
        <v>5.6999999999999993</v>
      </c>
      <c r="AK22" s="39">
        <f>Weather!L154</f>
        <v>114.19999999999996</v>
      </c>
      <c r="AL22" s="39">
        <f>Weather!M154</f>
        <v>0.40000000000000036</v>
      </c>
      <c r="AM22" s="39">
        <f>Weather!N154</f>
        <v>168.9</v>
      </c>
      <c r="AN22" s="39">
        <f>Weather!O154</f>
        <v>0</v>
      </c>
      <c r="AO22" s="39">
        <f>Weather!P154</f>
        <v>228.5</v>
      </c>
      <c r="AP22" s="39">
        <f>Weather!Q154</f>
        <v>0</v>
      </c>
      <c r="AQ22" s="39">
        <f>Weather!R154</f>
        <v>288.5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1</v>
      </c>
      <c r="BA22" s="201">
        <v>0</v>
      </c>
      <c r="BB22" s="201">
        <v>0</v>
      </c>
      <c r="BC22" s="201">
        <v>0</v>
      </c>
      <c r="BD22" s="201">
        <v>0</v>
      </c>
      <c r="BE22" s="201">
        <v>1</v>
      </c>
      <c r="BF22" s="201">
        <v>1</v>
      </c>
      <c r="BG22" s="202">
        <f t="shared" si="4"/>
        <v>21</v>
      </c>
      <c r="BH22" s="201">
        <v>30</v>
      </c>
      <c r="BI22" s="201">
        <v>21</v>
      </c>
      <c r="BJ22" s="160">
        <f t="shared" si="5"/>
        <v>757.37929670131052</v>
      </c>
      <c r="BK22" s="160">
        <f t="shared" si="6"/>
        <v>25.24597655671035</v>
      </c>
      <c r="BL22" s="159">
        <f t="shared" si="7"/>
        <v>1479792.9158715771</v>
      </c>
      <c r="BM22" s="160">
        <f t="shared" si="8"/>
        <v>2659.6195626841477</v>
      </c>
      <c r="BN22" s="160">
        <f t="shared" si="9"/>
        <v>88.653985422804922</v>
      </c>
      <c r="BO22" s="160">
        <f t="shared" si="10"/>
        <v>451071.47783123143</v>
      </c>
      <c r="BP22" s="160">
        <f t="shared" si="11"/>
        <v>75696.082411350697</v>
      </c>
      <c r="BQ22" s="160">
        <f t="shared" si="12"/>
        <v>2523.2027470450234</v>
      </c>
      <c r="BR22" s="160">
        <f t="shared" si="13"/>
        <v>3604.5753529214617</v>
      </c>
      <c r="BS22" s="160">
        <f t="shared" si="14"/>
        <v>2482831.5030923029</v>
      </c>
      <c r="BT22" s="160">
        <f t="shared" si="15"/>
        <v>3546902.1472747186</v>
      </c>
    </row>
    <row r="23" spans="1:72" x14ac:dyDescent="0.2">
      <c r="A23" s="204">
        <v>40817</v>
      </c>
      <c r="B23" s="205">
        <f t="shared" si="0"/>
        <v>2011</v>
      </c>
      <c r="C23" s="203">
        <v>41882054</v>
      </c>
      <c r="D23" s="203">
        <f>VLOOKUP(B23,CDM!$I$5:$N$15,2,FALSE)/12</f>
        <v>90742.476147318026</v>
      </c>
      <c r="E23" s="203">
        <f t="shared" si="1"/>
        <v>41972796.476147316</v>
      </c>
      <c r="F23" s="208">
        <v>58637</v>
      </c>
      <c r="G23" s="206">
        <v>13233997</v>
      </c>
      <c r="H23" s="208">
        <v>5102</v>
      </c>
      <c r="I23" s="203">
        <f>VLOOKUP(B23,CDM!$I$5:$N$15,3,FALSE)/12</f>
        <v>46233.334936942432</v>
      </c>
      <c r="J23" s="203">
        <f t="shared" si="2"/>
        <v>13280230.334936943</v>
      </c>
      <c r="K23" s="206">
        <v>71946177</v>
      </c>
      <c r="L23" s="203">
        <f>VLOOKUP(B23,CDM!$I$5:$N$15,4,FALSE)/12</f>
        <v>184951.0927690852</v>
      </c>
      <c r="M23" s="87">
        <f t="shared" si="3"/>
        <v>72131128.092769086</v>
      </c>
      <c r="N23" s="206">
        <v>204528</v>
      </c>
      <c r="O23" s="208">
        <v>983</v>
      </c>
      <c r="P23" s="206">
        <v>918269</v>
      </c>
      <c r="Q23" s="206">
        <v>2277</v>
      </c>
      <c r="R23" s="208">
        <v>15041</v>
      </c>
      <c r="S23" s="206">
        <v>271610</v>
      </c>
      <c r="T23" s="202">
        <v>0</v>
      </c>
      <c r="U23" s="202">
        <v>606</v>
      </c>
      <c r="V23" s="37">
        <f>'Economic (2020 Adj.)'!C35</f>
        <v>625936.9</v>
      </c>
      <c r="W23" s="37">
        <f>'Economic (2020 Adj.)'!D35</f>
        <v>6668.1</v>
      </c>
      <c r="X23" s="37">
        <f>'Economic (2020 Adj.)'!F35</f>
        <v>2912.1</v>
      </c>
      <c r="Y23" s="37">
        <f>'Economic (2020 Adj.)'!H35</f>
        <v>374.6</v>
      </c>
      <c r="Z23" s="37">
        <f>'Economic (2020 Adj.)'!E35</f>
        <v>6702.2</v>
      </c>
      <c r="AA23" s="37">
        <f>'Economic (2020 Adj.)'!G35</f>
        <v>2925.9</v>
      </c>
      <c r="AB23" s="37">
        <f>'Economic (2020 Adj.)'!I35</f>
        <v>373.4</v>
      </c>
      <c r="AC23" s="39">
        <f>Weather!D155</f>
        <v>11.587096774193549</v>
      </c>
      <c r="AD23" s="39">
        <f>Weather!E155</f>
        <v>261.7</v>
      </c>
      <c r="AE23" s="39">
        <f>Weather!F155</f>
        <v>0.89999999999999858</v>
      </c>
      <c r="AF23" s="39">
        <f>Weather!G155</f>
        <v>203.49999999999997</v>
      </c>
      <c r="AG23" s="39">
        <f>Weather!H155</f>
        <v>4.6999999999999993</v>
      </c>
      <c r="AH23" s="39">
        <f>Weather!I155</f>
        <v>148.4</v>
      </c>
      <c r="AI23" s="39">
        <f>Weather!J155</f>
        <v>11.599999999999998</v>
      </c>
      <c r="AJ23" s="39">
        <f>Weather!K155</f>
        <v>102.2</v>
      </c>
      <c r="AK23" s="39">
        <f>Weather!L155</f>
        <v>27.4</v>
      </c>
      <c r="AL23" s="39">
        <f>Weather!M155</f>
        <v>61.1</v>
      </c>
      <c r="AM23" s="39">
        <f>Weather!N155</f>
        <v>48.300000000000004</v>
      </c>
      <c r="AN23" s="39">
        <f>Weather!O155</f>
        <v>30.6</v>
      </c>
      <c r="AO23" s="39">
        <f>Weather!P155</f>
        <v>79.800000000000011</v>
      </c>
      <c r="AP23" s="39">
        <f>Weather!Q155</f>
        <v>13.2</v>
      </c>
      <c r="AQ23" s="39">
        <f>Weather!R155</f>
        <v>124.40000000000002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1</v>
      </c>
      <c r="BB23" s="201">
        <v>0</v>
      </c>
      <c r="BC23" s="201">
        <v>0</v>
      </c>
      <c r="BD23" s="201">
        <v>0</v>
      </c>
      <c r="BE23" s="201">
        <v>1</v>
      </c>
      <c r="BF23" s="201">
        <v>1</v>
      </c>
      <c r="BG23" s="202">
        <f t="shared" si="4"/>
        <v>22</v>
      </c>
      <c r="BH23" s="201">
        <v>31</v>
      </c>
      <c r="BI23" s="201">
        <v>20</v>
      </c>
      <c r="BJ23" s="160">
        <f t="shared" si="5"/>
        <v>715.80736524971121</v>
      </c>
      <c r="BK23" s="160">
        <f t="shared" si="6"/>
        <v>23.090560169345522</v>
      </c>
      <c r="BL23" s="159">
        <f t="shared" si="7"/>
        <v>1353961.1766499134</v>
      </c>
      <c r="BM23" s="160">
        <f t="shared" si="8"/>
        <v>2602.9459692153946</v>
      </c>
      <c r="BN23" s="160">
        <f t="shared" si="9"/>
        <v>83.965999006948209</v>
      </c>
      <c r="BO23" s="160">
        <f t="shared" si="10"/>
        <v>428394.52693344979</v>
      </c>
      <c r="BP23" s="160">
        <f t="shared" si="11"/>
        <v>73378.563675248311</v>
      </c>
      <c r="BQ23" s="160">
        <f t="shared" si="12"/>
        <v>2367.0504411370425</v>
      </c>
      <c r="BR23" s="160">
        <f t="shared" si="13"/>
        <v>3668.9281837624158</v>
      </c>
      <c r="BS23" s="160">
        <f t="shared" si="14"/>
        <v>2326810.5836377125</v>
      </c>
      <c r="BT23" s="160">
        <f t="shared" si="15"/>
        <v>3606556.4046384543</v>
      </c>
    </row>
    <row r="24" spans="1:72" x14ac:dyDescent="0.2">
      <c r="A24" s="204">
        <v>40848</v>
      </c>
      <c r="B24" s="205">
        <f t="shared" si="0"/>
        <v>2011</v>
      </c>
      <c r="C24" s="203">
        <v>39806546</v>
      </c>
      <c r="D24" s="203">
        <f>VLOOKUP(B24,CDM!$I$5:$N$15,2,FALSE)/12</f>
        <v>90742.476147318026</v>
      </c>
      <c r="E24" s="203">
        <f t="shared" si="1"/>
        <v>39897288.476147316</v>
      </c>
      <c r="F24" s="208">
        <v>58706</v>
      </c>
      <c r="G24" s="206">
        <v>13536526</v>
      </c>
      <c r="H24" s="208">
        <v>5122</v>
      </c>
      <c r="I24" s="203">
        <f>VLOOKUP(B24,CDM!$I$5:$N$15,3,FALSE)/12</f>
        <v>46233.334936942432</v>
      </c>
      <c r="J24" s="203">
        <f t="shared" si="2"/>
        <v>13582759.334936943</v>
      </c>
      <c r="K24" s="206">
        <v>70880320</v>
      </c>
      <c r="L24" s="203">
        <f>VLOOKUP(B24,CDM!$I$5:$N$15,4,FALSE)/12</f>
        <v>184951.0927690852</v>
      </c>
      <c r="M24" s="87">
        <f t="shared" si="3"/>
        <v>71065271.092769086</v>
      </c>
      <c r="N24" s="206">
        <v>208328</v>
      </c>
      <c r="O24" s="208">
        <v>991</v>
      </c>
      <c r="P24" s="206">
        <v>981306</v>
      </c>
      <c r="Q24" s="206">
        <v>2287</v>
      </c>
      <c r="R24" s="208">
        <v>15041</v>
      </c>
      <c r="S24" s="206">
        <v>271024</v>
      </c>
      <c r="T24" s="202">
        <v>0</v>
      </c>
      <c r="U24" s="202">
        <v>606</v>
      </c>
      <c r="V24" s="37">
        <f>'Economic (2020 Adj.)'!C36</f>
        <v>625936.9</v>
      </c>
      <c r="W24" s="37">
        <f>'Economic (2020 Adj.)'!D36</f>
        <v>6662.8</v>
      </c>
      <c r="X24" s="37">
        <f>'Economic (2020 Adj.)'!F36</f>
        <v>2908.5</v>
      </c>
      <c r="Y24" s="37">
        <f>'Economic (2020 Adj.)'!H36</f>
        <v>383.7</v>
      </c>
      <c r="Z24" s="37">
        <f>'Economic (2020 Adj.)'!E36</f>
        <v>6669.4</v>
      </c>
      <c r="AA24" s="37">
        <f>'Economic (2020 Adj.)'!G36</f>
        <v>2909.9</v>
      </c>
      <c r="AB24" s="37">
        <f>'Economic (2020 Adj.)'!I36</f>
        <v>381.7</v>
      </c>
      <c r="AC24" s="39">
        <f>Weather!D156</f>
        <v>8.0533333333333328</v>
      </c>
      <c r="AD24" s="39">
        <f>Weather!E156</f>
        <v>358.40000000000003</v>
      </c>
      <c r="AE24" s="39">
        <f>Weather!F156</f>
        <v>0</v>
      </c>
      <c r="AF24" s="39">
        <f>Weather!G156</f>
        <v>298.39999999999998</v>
      </c>
      <c r="AG24" s="39">
        <f>Weather!H156</f>
        <v>0</v>
      </c>
      <c r="AH24" s="39">
        <f>Weather!I156</f>
        <v>238.39999999999998</v>
      </c>
      <c r="AI24" s="39">
        <f>Weather!J156</f>
        <v>0</v>
      </c>
      <c r="AJ24" s="39">
        <f>Weather!K156</f>
        <v>179.4</v>
      </c>
      <c r="AK24" s="39">
        <f>Weather!L156</f>
        <v>0.99999999999999822</v>
      </c>
      <c r="AL24" s="39">
        <f>Weather!M156</f>
        <v>127.09999999999998</v>
      </c>
      <c r="AM24" s="39">
        <f>Weather!N156</f>
        <v>8.6999999999999975</v>
      </c>
      <c r="AN24" s="39">
        <f>Weather!O156</f>
        <v>81.999999999999986</v>
      </c>
      <c r="AO24" s="39">
        <f>Weather!P156</f>
        <v>23.599999999999998</v>
      </c>
      <c r="AP24" s="39">
        <f>Weather!Q156</f>
        <v>49.999999999999993</v>
      </c>
      <c r="AQ24" s="39">
        <f>Weather!R156</f>
        <v>51.599999999999994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1</v>
      </c>
      <c r="BC24" s="201">
        <v>0</v>
      </c>
      <c r="BD24" s="201">
        <v>0</v>
      </c>
      <c r="BE24" s="201">
        <v>1</v>
      </c>
      <c r="BF24" s="201">
        <v>1</v>
      </c>
      <c r="BG24" s="202">
        <f t="shared" si="4"/>
        <v>23</v>
      </c>
      <c r="BH24" s="201">
        <v>30</v>
      </c>
      <c r="BI24" s="201">
        <v>22</v>
      </c>
      <c r="BJ24" s="160">
        <f t="shared" si="5"/>
        <v>679.61176840778307</v>
      </c>
      <c r="BK24" s="160">
        <f t="shared" si="6"/>
        <v>22.653725613592769</v>
      </c>
      <c r="BL24" s="159">
        <f t="shared" si="7"/>
        <v>1329909.6158715773</v>
      </c>
      <c r="BM24" s="160">
        <f t="shared" si="8"/>
        <v>2651.8468049466892</v>
      </c>
      <c r="BN24" s="160">
        <f t="shared" si="9"/>
        <v>88.39489349822297</v>
      </c>
      <c r="BO24" s="160">
        <f t="shared" si="10"/>
        <v>452758.64449789812</v>
      </c>
      <c r="BP24" s="160">
        <f t="shared" si="11"/>
        <v>71710.667096638834</v>
      </c>
      <c r="BQ24" s="160">
        <f t="shared" si="12"/>
        <v>2390.3555698879613</v>
      </c>
      <c r="BR24" s="160">
        <f t="shared" si="13"/>
        <v>3259.5757771199469</v>
      </c>
      <c r="BS24" s="160">
        <f t="shared" si="14"/>
        <v>2368842.3697589696</v>
      </c>
      <c r="BT24" s="160">
        <f t="shared" si="15"/>
        <v>3230239.5951258675</v>
      </c>
    </row>
    <row r="25" spans="1:72" x14ac:dyDescent="0.2">
      <c r="A25" s="204">
        <v>40878</v>
      </c>
      <c r="B25" s="205">
        <f t="shared" si="0"/>
        <v>2011</v>
      </c>
      <c r="C25" s="203">
        <v>43716549</v>
      </c>
      <c r="D25" s="203">
        <f>VLOOKUP(B25,CDM!$I$5:$N$15,2,FALSE)/12</f>
        <v>90742.476147318026</v>
      </c>
      <c r="E25" s="203">
        <f t="shared" si="1"/>
        <v>43807291.476147316</v>
      </c>
      <c r="F25" s="206">
        <v>58745</v>
      </c>
      <c r="G25" s="206">
        <v>14776178</v>
      </c>
      <c r="H25" s="206">
        <v>5123</v>
      </c>
      <c r="I25" s="203">
        <f>VLOOKUP(B25,CDM!$I$5:$N$15,3,FALSE)/12</f>
        <v>46233.334936942432</v>
      </c>
      <c r="J25" s="203">
        <f t="shared" si="2"/>
        <v>14822411.334936943</v>
      </c>
      <c r="K25" s="206">
        <v>72129927</v>
      </c>
      <c r="L25" s="203">
        <f>VLOOKUP(B25,CDM!$I$5:$N$15,4,FALSE)/12</f>
        <v>184951.0927690852</v>
      </c>
      <c r="M25" s="87">
        <f t="shared" si="3"/>
        <v>72314878.092769086</v>
      </c>
      <c r="N25" s="206">
        <v>175026</v>
      </c>
      <c r="O25" s="206">
        <v>995</v>
      </c>
      <c r="P25" s="206">
        <v>1059138</v>
      </c>
      <c r="Q25" s="206">
        <v>2287</v>
      </c>
      <c r="R25" s="206">
        <v>15041</v>
      </c>
      <c r="S25" s="206">
        <v>274355</v>
      </c>
      <c r="T25" s="202">
        <v>0</v>
      </c>
      <c r="U25" s="202">
        <v>606</v>
      </c>
      <c r="V25" s="37">
        <f>'Economic (2020 Adj.)'!C37</f>
        <v>625936.9</v>
      </c>
      <c r="W25" s="37">
        <f>'Economic (2020 Adj.)'!D37</f>
        <v>6667.5</v>
      </c>
      <c r="X25" s="37">
        <f>'Economic (2020 Adj.)'!F37</f>
        <v>2903</v>
      </c>
      <c r="Y25" s="37">
        <f>'Economic (2020 Adj.)'!H37</f>
        <v>387.6</v>
      </c>
      <c r="Z25" s="37">
        <f>'Economic (2020 Adj.)'!E37</f>
        <v>6668.3</v>
      </c>
      <c r="AA25" s="37">
        <f>'Economic (2020 Adj.)'!G37</f>
        <v>2910.1</v>
      </c>
      <c r="AB25" s="37">
        <f>'Economic (2020 Adj.)'!I37</f>
        <v>386.4</v>
      </c>
      <c r="AC25" s="39">
        <f>Weather!D157</f>
        <v>2.4741935483870963</v>
      </c>
      <c r="AD25" s="39">
        <f>Weather!E157</f>
        <v>543.29999999999995</v>
      </c>
      <c r="AE25" s="39">
        <f>Weather!F157</f>
        <v>0</v>
      </c>
      <c r="AF25" s="39">
        <f>Weather!G157</f>
        <v>481.2999999999999</v>
      </c>
      <c r="AG25" s="39">
        <f>Weather!H157</f>
        <v>0</v>
      </c>
      <c r="AH25" s="39">
        <f>Weather!I157</f>
        <v>419.29999999999995</v>
      </c>
      <c r="AI25" s="39">
        <f>Weather!J157</f>
        <v>0</v>
      </c>
      <c r="AJ25" s="39">
        <f>Weather!K157</f>
        <v>357.29999999999995</v>
      </c>
      <c r="AK25" s="39">
        <f>Weather!L157</f>
        <v>0</v>
      </c>
      <c r="AL25" s="39">
        <f>Weather!M157</f>
        <v>295.3</v>
      </c>
      <c r="AM25" s="39">
        <f>Weather!N157</f>
        <v>0</v>
      </c>
      <c r="AN25" s="39">
        <f>Weather!O157</f>
        <v>233.4</v>
      </c>
      <c r="AO25" s="39">
        <f>Weather!P157</f>
        <v>9.9999999999999645E-2</v>
      </c>
      <c r="AP25" s="39">
        <f>Weather!Q157</f>
        <v>173.9</v>
      </c>
      <c r="AQ25" s="39">
        <f>Weather!R157</f>
        <v>2.5999999999999996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 s="201">
        <v>1</v>
      </c>
      <c r="BD25" s="201">
        <v>0</v>
      </c>
      <c r="BE25" s="201">
        <v>0</v>
      </c>
      <c r="BF25" s="201">
        <v>0</v>
      </c>
      <c r="BG25" s="202">
        <f t="shared" si="4"/>
        <v>24</v>
      </c>
      <c r="BH25" s="201">
        <v>31</v>
      </c>
      <c r="BI25" s="201">
        <v>20</v>
      </c>
      <c r="BJ25" s="160">
        <f t="shared" si="5"/>
        <v>745.71949061447469</v>
      </c>
      <c r="BK25" s="160">
        <f t="shared" si="6"/>
        <v>24.055467439176603</v>
      </c>
      <c r="BL25" s="159">
        <f t="shared" si="7"/>
        <v>1413138.4347144295</v>
      </c>
      <c r="BM25" s="160">
        <f t="shared" si="8"/>
        <v>2893.3069168332895</v>
      </c>
      <c r="BN25" s="160">
        <f t="shared" si="9"/>
        <v>93.332481188170632</v>
      </c>
      <c r="BO25" s="160">
        <f t="shared" si="10"/>
        <v>478142.30112699815</v>
      </c>
      <c r="BP25" s="160">
        <f t="shared" si="11"/>
        <v>72678.269439968935</v>
      </c>
      <c r="BQ25" s="160">
        <f t="shared" si="12"/>
        <v>2344.4603045151271</v>
      </c>
      <c r="BR25" s="160">
        <f t="shared" si="13"/>
        <v>3633.9134719984468</v>
      </c>
      <c r="BS25" s="160">
        <f t="shared" si="14"/>
        <v>2332738.0029925513</v>
      </c>
      <c r="BT25" s="160">
        <f t="shared" si="15"/>
        <v>3615743.9046384543</v>
      </c>
    </row>
    <row r="26" spans="1:72" x14ac:dyDescent="0.2">
      <c r="A26" s="204">
        <v>40909</v>
      </c>
      <c r="B26" s="205">
        <f t="shared" si="0"/>
        <v>2012</v>
      </c>
      <c r="C26" s="203">
        <v>46828561</v>
      </c>
      <c r="D26" s="203">
        <f>VLOOKUP(B26,CDM!$I$5:$N$15,2,FALSE)/12</f>
        <v>242119.89726572137</v>
      </c>
      <c r="E26" s="203">
        <f t="shared" si="1"/>
        <v>47070680.897265725</v>
      </c>
      <c r="F26" s="208">
        <v>58846</v>
      </c>
      <c r="G26" s="206">
        <v>15377774</v>
      </c>
      <c r="H26" s="208">
        <v>5121</v>
      </c>
      <c r="I26" s="203">
        <f>VLOOKUP(B26,CDM!$I$5:$N$15,3,FALSE)/12</f>
        <v>114356.28165721649</v>
      </c>
      <c r="J26" s="203">
        <f t="shared" si="2"/>
        <v>15492130.281657217</v>
      </c>
      <c r="K26" s="206">
        <v>77199795</v>
      </c>
      <c r="L26" s="203">
        <f>VLOOKUP(B26,CDM!$I$5:$N$15,4,FALSE)/12</f>
        <v>661548.96300485171</v>
      </c>
      <c r="M26" s="87">
        <f t="shared" si="3"/>
        <v>77861343.963004857</v>
      </c>
      <c r="N26" s="206">
        <v>208709</v>
      </c>
      <c r="O26" s="208">
        <v>996</v>
      </c>
      <c r="P26" s="206">
        <v>1035847</v>
      </c>
      <c r="Q26" s="206">
        <v>2287</v>
      </c>
      <c r="R26" s="208">
        <v>15041</v>
      </c>
      <c r="S26" s="206">
        <v>372128</v>
      </c>
      <c r="T26" s="202">
        <v>0</v>
      </c>
      <c r="U26" s="202">
        <v>609</v>
      </c>
      <c r="V26" s="37">
        <f>'Economic (2020 Adj.)'!C38</f>
        <v>634944.30000000005</v>
      </c>
      <c r="W26" s="37">
        <f>'Economic (2020 Adj.)'!D38</f>
        <v>6673.6</v>
      </c>
      <c r="X26" s="37">
        <f>'Economic (2020 Adj.)'!F38</f>
        <v>2903.3</v>
      </c>
      <c r="Y26" s="37">
        <f>'Economic (2020 Adj.)'!H38</f>
        <v>390.1</v>
      </c>
      <c r="Z26" s="37">
        <f>'Economic (2020 Adj.)'!E38</f>
        <v>6635.9</v>
      </c>
      <c r="AA26" s="37">
        <f>'Economic (2020 Adj.)'!G38</f>
        <v>2898.2</v>
      </c>
      <c r="AB26" s="37">
        <f>'Economic (2020 Adj.)'!I38</f>
        <v>387.2</v>
      </c>
      <c r="AC26" s="39">
        <f>Weather!D158</f>
        <v>-0.34516129032258075</v>
      </c>
      <c r="AD26" s="39">
        <f>Weather!E158</f>
        <v>630.70000000000005</v>
      </c>
      <c r="AE26" s="39">
        <f>Weather!F158</f>
        <v>0</v>
      </c>
      <c r="AF26" s="39">
        <f>Weather!G158</f>
        <v>568.69999999999982</v>
      </c>
      <c r="AG26" s="39">
        <f>Weather!H158</f>
        <v>0</v>
      </c>
      <c r="AH26" s="39">
        <f>Weather!I158</f>
        <v>506.70000000000005</v>
      </c>
      <c r="AI26" s="39">
        <f>Weather!J158</f>
        <v>0</v>
      </c>
      <c r="AJ26" s="39">
        <f>Weather!K158</f>
        <v>444.70000000000005</v>
      </c>
      <c r="AK26" s="39">
        <f>Weather!L158</f>
        <v>0</v>
      </c>
      <c r="AL26" s="39">
        <f>Weather!M158</f>
        <v>382.7000000000001</v>
      </c>
      <c r="AM26" s="39">
        <f>Weather!N158</f>
        <v>0</v>
      </c>
      <c r="AN26" s="39">
        <f>Weather!O158</f>
        <v>320.70000000000005</v>
      </c>
      <c r="AO26" s="39">
        <f>Weather!P158</f>
        <v>0</v>
      </c>
      <c r="AP26" s="39">
        <f>Weather!Q158</f>
        <v>258.7</v>
      </c>
      <c r="AQ26" s="39">
        <f>Weather!R158</f>
        <v>0</v>
      </c>
      <c r="AR26" s="201">
        <v>1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 s="201">
        <v>0</v>
      </c>
      <c r="BD26" s="201">
        <v>0</v>
      </c>
      <c r="BE26" s="201">
        <v>0</v>
      </c>
      <c r="BF26" s="201">
        <v>0</v>
      </c>
      <c r="BG26" s="202">
        <f t="shared" si="4"/>
        <v>25</v>
      </c>
      <c r="BH26" s="201">
        <v>31</v>
      </c>
      <c r="BI26" s="201">
        <v>21</v>
      </c>
      <c r="BJ26" s="160">
        <f t="shared" si="5"/>
        <v>799.89601497579656</v>
      </c>
      <c r="BK26" s="160">
        <f t="shared" si="6"/>
        <v>25.80309725728376</v>
      </c>
      <c r="BL26" s="159">
        <f t="shared" si="7"/>
        <v>1518409.0612021203</v>
      </c>
      <c r="BM26" s="160">
        <f t="shared" si="8"/>
        <v>3025.2158331687592</v>
      </c>
      <c r="BN26" s="160">
        <f t="shared" si="9"/>
        <v>97.587607521572878</v>
      </c>
      <c r="BO26" s="160">
        <f t="shared" si="10"/>
        <v>499746.13811797474</v>
      </c>
      <c r="BP26" s="160">
        <f t="shared" si="11"/>
        <v>78174.040123498853</v>
      </c>
      <c r="BQ26" s="160">
        <f t="shared" si="12"/>
        <v>2521.7432297902856</v>
      </c>
      <c r="BR26" s="160">
        <f t="shared" si="13"/>
        <v>3722.5733392142311</v>
      </c>
      <c r="BS26" s="160">
        <f t="shared" si="14"/>
        <v>2511656.2568711243</v>
      </c>
      <c r="BT26" s="160">
        <f t="shared" si="15"/>
        <v>3707683.0458573741</v>
      </c>
    </row>
    <row r="27" spans="1:72" x14ac:dyDescent="0.2">
      <c r="A27" s="204">
        <v>40940</v>
      </c>
      <c r="B27" s="205">
        <f t="shared" si="0"/>
        <v>2012</v>
      </c>
      <c r="C27" s="203">
        <v>40144723</v>
      </c>
      <c r="D27" s="203">
        <f>VLOOKUP(B27,CDM!$I$5:$N$15,2,FALSE)/12</f>
        <v>242119.89726572137</v>
      </c>
      <c r="E27" s="203">
        <f t="shared" si="1"/>
        <v>40386842.897265725</v>
      </c>
      <c r="F27" s="208">
        <v>58886</v>
      </c>
      <c r="G27" s="206">
        <v>14331621</v>
      </c>
      <c r="H27" s="208">
        <v>5127</v>
      </c>
      <c r="I27" s="203">
        <f>VLOOKUP(B27,CDM!$I$5:$N$15,3,FALSE)/12</f>
        <v>114356.28165721649</v>
      </c>
      <c r="J27" s="203">
        <f t="shared" si="2"/>
        <v>14445977.281657217</v>
      </c>
      <c r="K27" s="206">
        <v>72250757</v>
      </c>
      <c r="L27" s="203">
        <f>VLOOKUP(B27,CDM!$I$5:$N$15,4,FALSE)/12</f>
        <v>661548.96300485171</v>
      </c>
      <c r="M27" s="87">
        <f t="shared" si="3"/>
        <v>72912305.963004857</v>
      </c>
      <c r="N27" s="206">
        <v>186053</v>
      </c>
      <c r="O27" s="208">
        <v>995</v>
      </c>
      <c r="P27" s="206">
        <v>893228</v>
      </c>
      <c r="Q27" s="206">
        <v>2287</v>
      </c>
      <c r="R27" s="208">
        <v>15041</v>
      </c>
      <c r="S27" s="206">
        <v>271088</v>
      </c>
      <c r="T27" s="202">
        <v>0</v>
      </c>
      <c r="U27" s="202">
        <v>607</v>
      </c>
      <c r="V27" s="37">
        <f>'Economic (2020 Adj.)'!C39</f>
        <v>634944.30000000005</v>
      </c>
      <c r="W27" s="37">
        <f>'Economic (2020 Adj.)'!D39</f>
        <v>6670.7</v>
      </c>
      <c r="X27" s="37">
        <f>'Economic (2020 Adj.)'!F39</f>
        <v>2901.2</v>
      </c>
      <c r="Y27" s="37">
        <f>'Economic (2020 Adj.)'!H39</f>
        <v>388.4</v>
      </c>
      <c r="Z27" s="37">
        <f>'Economic (2020 Adj.)'!E39</f>
        <v>6598</v>
      </c>
      <c r="AA27" s="37">
        <f>'Economic (2020 Adj.)'!G39</f>
        <v>2881</v>
      </c>
      <c r="AB27" s="37">
        <f>'Economic (2020 Adj.)'!I39</f>
        <v>385.8</v>
      </c>
      <c r="AC27" s="39">
        <f>Weather!D159</f>
        <v>0.84827586206896544</v>
      </c>
      <c r="AD27" s="39">
        <f>Weather!E159</f>
        <v>555.39999999999986</v>
      </c>
      <c r="AE27" s="39">
        <f>Weather!F159</f>
        <v>0</v>
      </c>
      <c r="AF27" s="39">
        <f>Weather!G159</f>
        <v>497.39999999999992</v>
      </c>
      <c r="AG27" s="39">
        <f>Weather!H159</f>
        <v>0</v>
      </c>
      <c r="AH27" s="39">
        <f>Weather!I159</f>
        <v>439.4</v>
      </c>
      <c r="AI27" s="39">
        <f>Weather!J159</f>
        <v>0</v>
      </c>
      <c r="AJ27" s="39">
        <f>Weather!K159</f>
        <v>381.4</v>
      </c>
      <c r="AK27" s="39">
        <f>Weather!L159</f>
        <v>0</v>
      </c>
      <c r="AL27" s="39">
        <f>Weather!M159</f>
        <v>323.39999999999998</v>
      </c>
      <c r="AM27" s="39">
        <f>Weather!N159</f>
        <v>0</v>
      </c>
      <c r="AN27" s="39">
        <f>Weather!O159</f>
        <v>265.40000000000003</v>
      </c>
      <c r="AO27" s="39">
        <f>Weather!P159</f>
        <v>0</v>
      </c>
      <c r="AP27" s="39">
        <f>Weather!Q159</f>
        <v>207.40000000000006</v>
      </c>
      <c r="AQ27" s="39">
        <f>Weather!R159</f>
        <v>0</v>
      </c>
      <c r="AR27" s="201">
        <v>0</v>
      </c>
      <c r="AS27" s="201">
        <v>1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 s="201">
        <v>0</v>
      </c>
      <c r="BD27" s="201">
        <v>0</v>
      </c>
      <c r="BE27" s="201">
        <v>0</v>
      </c>
      <c r="BF27" s="201">
        <v>0</v>
      </c>
      <c r="BG27" s="202">
        <f t="shared" si="4"/>
        <v>26</v>
      </c>
      <c r="BH27" s="201">
        <v>29</v>
      </c>
      <c r="BI27" s="201">
        <v>20</v>
      </c>
      <c r="BJ27" s="160">
        <f t="shared" si="5"/>
        <v>685.84795872135521</v>
      </c>
      <c r="BK27" s="160">
        <f t="shared" si="6"/>
        <v>23.649929611081212</v>
      </c>
      <c r="BL27" s="159">
        <f t="shared" si="7"/>
        <v>1392649.7550781285</v>
      </c>
      <c r="BM27" s="160">
        <f t="shared" si="8"/>
        <v>2817.6277124355797</v>
      </c>
      <c r="BN27" s="160">
        <f t="shared" si="9"/>
        <v>97.159576290882057</v>
      </c>
      <c r="BO27" s="160">
        <f t="shared" si="10"/>
        <v>498137.14764335233</v>
      </c>
      <c r="BP27" s="160">
        <f t="shared" si="11"/>
        <v>73278.699460306394</v>
      </c>
      <c r="BQ27" s="160">
        <f t="shared" si="12"/>
        <v>2526.8517055278066</v>
      </c>
      <c r="BR27" s="160">
        <f t="shared" si="13"/>
        <v>3663.9349730153199</v>
      </c>
      <c r="BS27" s="160">
        <f t="shared" si="14"/>
        <v>2514217.4470001673</v>
      </c>
      <c r="BT27" s="160">
        <f t="shared" si="15"/>
        <v>3645615.2981502428</v>
      </c>
    </row>
    <row r="28" spans="1:72" x14ac:dyDescent="0.2">
      <c r="A28" s="204">
        <v>40969</v>
      </c>
      <c r="B28" s="205">
        <f t="shared" si="0"/>
        <v>2012</v>
      </c>
      <c r="C28" s="203">
        <v>38792419</v>
      </c>
      <c r="D28" s="203">
        <f>VLOOKUP(B28,CDM!$I$5:$N$15,2,FALSE)/12</f>
        <v>242119.89726572137</v>
      </c>
      <c r="E28" s="203">
        <f t="shared" si="1"/>
        <v>39034538.897265725</v>
      </c>
      <c r="F28" s="206">
        <v>58950</v>
      </c>
      <c r="G28" s="206">
        <v>14211977</v>
      </c>
      <c r="H28" s="206">
        <v>5122</v>
      </c>
      <c r="I28" s="203">
        <f>VLOOKUP(B28,CDM!$I$5:$N$15,3,FALSE)/12</f>
        <v>114356.28165721649</v>
      </c>
      <c r="J28" s="203">
        <f t="shared" si="2"/>
        <v>14326333.281657217</v>
      </c>
      <c r="K28" s="206">
        <v>74228247</v>
      </c>
      <c r="L28" s="203">
        <f>VLOOKUP(B28,CDM!$I$5:$N$15,4,FALSE)/12</f>
        <v>661548.96300485171</v>
      </c>
      <c r="M28" s="87">
        <f t="shared" si="3"/>
        <v>74889795.963004857</v>
      </c>
      <c r="N28" s="206">
        <v>180847</v>
      </c>
      <c r="O28" s="206">
        <v>996</v>
      </c>
      <c r="P28" s="206">
        <v>852724</v>
      </c>
      <c r="Q28" s="206">
        <v>2287</v>
      </c>
      <c r="R28" s="206">
        <v>15041</v>
      </c>
      <c r="S28" s="206">
        <v>272285</v>
      </c>
      <c r="T28" s="202">
        <v>0</v>
      </c>
      <c r="U28" s="202">
        <v>605</v>
      </c>
      <c r="V28" s="37">
        <f>'Economic (2020 Adj.)'!C40</f>
        <v>634944.30000000005</v>
      </c>
      <c r="W28" s="37">
        <f>'Economic (2020 Adj.)'!D40</f>
        <v>6674</v>
      </c>
      <c r="X28" s="37">
        <f>'Economic (2020 Adj.)'!F40</f>
        <v>2907.4</v>
      </c>
      <c r="Y28" s="37">
        <f>'Economic (2020 Adj.)'!H40</f>
        <v>385</v>
      </c>
      <c r="Z28" s="37">
        <f>'Economic (2020 Adj.)'!E40</f>
        <v>6569.8</v>
      </c>
      <c r="AA28" s="37">
        <f>'Economic (2020 Adj.)'!G40</f>
        <v>2869.6</v>
      </c>
      <c r="AB28" s="37">
        <f>'Economic (2020 Adj.)'!I40</f>
        <v>380.7</v>
      </c>
      <c r="AC28" s="39">
        <f>Weather!D160</f>
        <v>6.112903225806452</v>
      </c>
      <c r="AD28" s="39">
        <f>Weather!E160</f>
        <v>430.49999999999994</v>
      </c>
      <c r="AE28" s="39">
        <f>Weather!F160</f>
        <v>0</v>
      </c>
      <c r="AF28" s="39">
        <f>Weather!G160</f>
        <v>368.49999999999994</v>
      </c>
      <c r="AG28" s="39">
        <f>Weather!H160</f>
        <v>0</v>
      </c>
      <c r="AH28" s="39">
        <f>Weather!I160</f>
        <v>306.5</v>
      </c>
      <c r="AI28" s="39">
        <f>Weather!J160</f>
        <v>0</v>
      </c>
      <c r="AJ28" s="39">
        <f>Weather!K160</f>
        <v>244.8</v>
      </c>
      <c r="AK28" s="39">
        <f>Weather!L160</f>
        <v>0.30000000000000071</v>
      </c>
      <c r="AL28" s="39">
        <f>Weather!M160</f>
        <v>184.89999999999998</v>
      </c>
      <c r="AM28" s="39">
        <f>Weather!N160</f>
        <v>2.4000000000000004</v>
      </c>
      <c r="AN28" s="39">
        <f>Weather!O160</f>
        <v>132.9</v>
      </c>
      <c r="AO28" s="39">
        <f>Weather!P160</f>
        <v>12.4</v>
      </c>
      <c r="AP28" s="39">
        <f>Weather!Q160</f>
        <v>93.1</v>
      </c>
      <c r="AQ28" s="39">
        <f>Weather!R160</f>
        <v>34.6</v>
      </c>
      <c r="AR28" s="201">
        <v>0</v>
      </c>
      <c r="AS28" s="201">
        <v>0</v>
      </c>
      <c r="AT28" s="201">
        <v>1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 s="201">
        <v>0</v>
      </c>
      <c r="BD28" s="201">
        <v>1</v>
      </c>
      <c r="BE28" s="201">
        <v>0</v>
      </c>
      <c r="BF28" s="201">
        <v>1</v>
      </c>
      <c r="BG28" s="202">
        <f t="shared" si="4"/>
        <v>27</v>
      </c>
      <c r="BH28" s="201">
        <v>31</v>
      </c>
      <c r="BI28" s="201">
        <v>22</v>
      </c>
      <c r="BJ28" s="160">
        <f t="shared" si="5"/>
        <v>662.16350970764586</v>
      </c>
      <c r="BK28" s="160">
        <f t="shared" si="6"/>
        <v>21.360113216375673</v>
      </c>
      <c r="BL28" s="159">
        <f t="shared" si="7"/>
        <v>1259178.674105346</v>
      </c>
      <c r="BM28" s="160">
        <f t="shared" si="8"/>
        <v>2797.0193833770436</v>
      </c>
      <c r="BN28" s="160">
        <f t="shared" si="9"/>
        <v>90.226431721840115</v>
      </c>
      <c r="BO28" s="160">
        <f t="shared" si="10"/>
        <v>462139.78327926504</v>
      </c>
      <c r="BP28" s="160">
        <f t="shared" si="11"/>
        <v>75190.558195788006</v>
      </c>
      <c r="BQ28" s="160">
        <f t="shared" si="12"/>
        <v>2425.5018772834842</v>
      </c>
      <c r="BR28" s="160">
        <f t="shared" si="13"/>
        <v>3417.7526452630914</v>
      </c>
      <c r="BS28" s="160">
        <f t="shared" si="14"/>
        <v>2415799.8697743504</v>
      </c>
      <c r="BT28" s="160">
        <f t="shared" si="15"/>
        <v>3404081.6346820388</v>
      </c>
    </row>
    <row r="29" spans="1:72" x14ac:dyDescent="0.2">
      <c r="A29" s="204">
        <v>41000</v>
      </c>
      <c r="B29" s="205">
        <f t="shared" si="0"/>
        <v>2012</v>
      </c>
      <c r="C29" s="203">
        <v>37716766</v>
      </c>
      <c r="D29" s="203">
        <f>VLOOKUP(B29,CDM!$I$5:$N$15,2,FALSE)/12</f>
        <v>242119.89726572137</v>
      </c>
      <c r="E29" s="203">
        <f t="shared" si="1"/>
        <v>37958885.897265725</v>
      </c>
      <c r="F29" s="208">
        <v>59035</v>
      </c>
      <c r="G29" s="206">
        <v>13069683</v>
      </c>
      <c r="H29" s="208">
        <v>5123</v>
      </c>
      <c r="I29" s="203">
        <f>VLOOKUP(B29,CDM!$I$5:$N$15,3,FALSE)/12</f>
        <v>114356.28165721649</v>
      </c>
      <c r="J29" s="203">
        <f t="shared" si="2"/>
        <v>13184039.281657217</v>
      </c>
      <c r="K29" s="206">
        <v>69239673</v>
      </c>
      <c r="L29" s="203">
        <f>VLOOKUP(B29,CDM!$I$5:$N$15,4,FALSE)/12</f>
        <v>661548.96300485171</v>
      </c>
      <c r="M29" s="87">
        <f t="shared" si="3"/>
        <v>69901221.963004857</v>
      </c>
      <c r="N29" s="206">
        <v>191354</v>
      </c>
      <c r="O29" s="208">
        <v>996</v>
      </c>
      <c r="P29" s="206">
        <v>723442</v>
      </c>
      <c r="Q29" s="206">
        <v>2287</v>
      </c>
      <c r="R29" s="208">
        <v>15095</v>
      </c>
      <c r="S29" s="206">
        <v>270583</v>
      </c>
      <c r="T29" s="202">
        <v>0</v>
      </c>
      <c r="U29" s="202">
        <v>605</v>
      </c>
      <c r="V29" s="37">
        <f>'Economic (2020 Adj.)'!C41</f>
        <v>634944.30000000005</v>
      </c>
      <c r="W29" s="37">
        <f>'Economic (2020 Adj.)'!D41</f>
        <v>6685.8</v>
      </c>
      <c r="X29" s="37">
        <f>'Economic (2020 Adj.)'!F41</f>
        <v>2912.5</v>
      </c>
      <c r="Y29" s="37">
        <f>'Economic (2020 Adj.)'!H41</f>
        <v>382.5</v>
      </c>
      <c r="Z29" s="37">
        <f>'Economic (2020 Adj.)'!E41</f>
        <v>6603.3</v>
      </c>
      <c r="AA29" s="37">
        <f>'Economic (2020 Adj.)'!G41</f>
        <v>2883</v>
      </c>
      <c r="AB29" s="37">
        <f>'Economic (2020 Adj.)'!I41</f>
        <v>378.9</v>
      </c>
      <c r="AC29" s="39">
        <f>Weather!D161</f>
        <v>7.86</v>
      </c>
      <c r="AD29" s="39">
        <f>Weather!E161</f>
        <v>364.2</v>
      </c>
      <c r="AE29" s="39">
        <f>Weather!F161</f>
        <v>0</v>
      </c>
      <c r="AF29" s="39">
        <f>Weather!G161</f>
        <v>304.2</v>
      </c>
      <c r="AG29" s="39">
        <f>Weather!H161</f>
        <v>0</v>
      </c>
      <c r="AH29" s="39">
        <f>Weather!I161</f>
        <v>244.20000000000002</v>
      </c>
      <c r="AI29" s="39">
        <f>Weather!J161</f>
        <v>0</v>
      </c>
      <c r="AJ29" s="39">
        <f>Weather!K161</f>
        <v>186.6</v>
      </c>
      <c r="AK29" s="39">
        <f>Weather!L161</f>
        <v>2.4000000000000004</v>
      </c>
      <c r="AL29" s="39">
        <f>Weather!M161</f>
        <v>134.19999999999999</v>
      </c>
      <c r="AM29" s="39">
        <f>Weather!N161</f>
        <v>10</v>
      </c>
      <c r="AN29" s="39">
        <f>Weather!O161</f>
        <v>83.5</v>
      </c>
      <c r="AO29" s="39">
        <f>Weather!P161</f>
        <v>19.3</v>
      </c>
      <c r="AP29" s="39">
        <f>Weather!Q161</f>
        <v>38</v>
      </c>
      <c r="AQ29" s="39">
        <f>Weather!R161</f>
        <v>33.799999999999997</v>
      </c>
      <c r="AR29" s="201">
        <v>0</v>
      </c>
      <c r="AS29" s="201">
        <v>0</v>
      </c>
      <c r="AT29" s="201">
        <v>0</v>
      </c>
      <c r="AU29" s="201">
        <v>1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 s="201">
        <v>0</v>
      </c>
      <c r="BD29" s="201">
        <v>1</v>
      </c>
      <c r="BE29" s="201">
        <v>0</v>
      </c>
      <c r="BF29" s="201">
        <v>1</v>
      </c>
      <c r="BG29" s="202">
        <f t="shared" si="4"/>
        <v>28</v>
      </c>
      <c r="BH29" s="201">
        <v>30</v>
      </c>
      <c r="BI29" s="201">
        <v>19</v>
      </c>
      <c r="BJ29" s="160">
        <f t="shared" si="5"/>
        <v>642.98951295444613</v>
      </c>
      <c r="BK29" s="160">
        <f t="shared" si="6"/>
        <v>21.432983765148204</v>
      </c>
      <c r="BL29" s="159">
        <f t="shared" si="7"/>
        <v>1265296.1965755241</v>
      </c>
      <c r="BM29" s="160">
        <f t="shared" si="8"/>
        <v>2573.499762181772</v>
      </c>
      <c r="BN29" s="160">
        <f t="shared" si="9"/>
        <v>85.783325406059063</v>
      </c>
      <c r="BO29" s="160">
        <f t="shared" si="10"/>
        <v>439467.97605524055</v>
      </c>
      <c r="BP29" s="160">
        <f t="shared" si="11"/>
        <v>70181.949762053075</v>
      </c>
      <c r="BQ29" s="160">
        <f t="shared" si="12"/>
        <v>2339.3983254017689</v>
      </c>
      <c r="BR29" s="160">
        <f t="shared" si="13"/>
        <v>3693.7868295817407</v>
      </c>
      <c r="BS29" s="160">
        <f t="shared" si="14"/>
        <v>2330040.7321001617</v>
      </c>
      <c r="BT29" s="160">
        <f t="shared" si="15"/>
        <v>3679011.6822634134</v>
      </c>
    </row>
    <row r="30" spans="1:72" x14ac:dyDescent="0.2">
      <c r="A30" s="204">
        <v>41030</v>
      </c>
      <c r="B30" s="205">
        <f t="shared" si="0"/>
        <v>2012</v>
      </c>
      <c r="C30" s="203">
        <v>42865233</v>
      </c>
      <c r="D30" s="203">
        <f>VLOOKUP(B30,CDM!$I$5:$N$15,2,FALSE)/12</f>
        <v>242119.89726572137</v>
      </c>
      <c r="E30" s="203">
        <f t="shared" si="1"/>
        <v>43107352.897265725</v>
      </c>
      <c r="F30" s="208">
        <v>59072</v>
      </c>
      <c r="G30" s="206">
        <v>13868621</v>
      </c>
      <c r="H30" s="208">
        <v>5123</v>
      </c>
      <c r="I30" s="203">
        <f>VLOOKUP(B30,CDM!$I$5:$N$15,3,FALSE)/12</f>
        <v>114356.28165721649</v>
      </c>
      <c r="J30" s="203">
        <f t="shared" si="2"/>
        <v>13982977.281657217</v>
      </c>
      <c r="K30" s="206">
        <v>75036444</v>
      </c>
      <c r="L30" s="203">
        <f>VLOOKUP(B30,CDM!$I$5:$N$15,4,FALSE)/12</f>
        <v>661548.96300485171</v>
      </c>
      <c r="M30" s="87">
        <f t="shared" si="3"/>
        <v>75697992.963004857</v>
      </c>
      <c r="N30" s="206">
        <v>200873</v>
      </c>
      <c r="O30" s="208">
        <v>998</v>
      </c>
      <c r="P30" s="206">
        <v>658589</v>
      </c>
      <c r="Q30" s="206">
        <v>2287</v>
      </c>
      <c r="R30" s="208">
        <v>15095</v>
      </c>
      <c r="S30" s="206">
        <v>271142</v>
      </c>
      <c r="T30" s="202">
        <v>0</v>
      </c>
      <c r="U30" s="202">
        <v>604</v>
      </c>
      <c r="V30" s="37">
        <f>'Economic (2020 Adj.)'!C42</f>
        <v>634944.30000000005</v>
      </c>
      <c r="W30" s="37">
        <f>'Economic (2020 Adj.)'!D42</f>
        <v>6690.1</v>
      </c>
      <c r="X30" s="37">
        <f>'Economic (2020 Adj.)'!F42</f>
        <v>2917.9</v>
      </c>
      <c r="Y30" s="37">
        <f>'Economic (2020 Adj.)'!H42</f>
        <v>376.3</v>
      </c>
      <c r="Z30" s="37">
        <f>'Economic (2020 Adj.)'!E42</f>
        <v>6658.1</v>
      </c>
      <c r="AA30" s="37">
        <f>'Economic (2020 Adj.)'!G42</f>
        <v>2902.3</v>
      </c>
      <c r="AB30" s="37">
        <f>'Economic (2020 Adj.)'!I42</f>
        <v>375.1</v>
      </c>
      <c r="AC30" s="39">
        <f>Weather!D162</f>
        <v>15.490322580645163</v>
      </c>
      <c r="AD30" s="39">
        <f>Weather!E162</f>
        <v>152.00000000000003</v>
      </c>
      <c r="AE30" s="39">
        <f>Weather!F162</f>
        <v>12.2</v>
      </c>
      <c r="AF30" s="39">
        <f>Weather!G162</f>
        <v>100.99999999999999</v>
      </c>
      <c r="AG30" s="39">
        <f>Weather!H162</f>
        <v>23.2</v>
      </c>
      <c r="AH30" s="39">
        <f>Weather!I162</f>
        <v>62</v>
      </c>
      <c r="AI30" s="39">
        <f>Weather!J162</f>
        <v>46.2</v>
      </c>
      <c r="AJ30" s="39">
        <f>Weather!K162</f>
        <v>31.1</v>
      </c>
      <c r="AK30" s="39">
        <f>Weather!L162</f>
        <v>77.3</v>
      </c>
      <c r="AL30" s="39">
        <f>Weather!M162</f>
        <v>11.399999999999997</v>
      </c>
      <c r="AM30" s="39">
        <f>Weather!N162</f>
        <v>119.6</v>
      </c>
      <c r="AN30" s="39">
        <f>Weather!O162</f>
        <v>1.8999999999999986</v>
      </c>
      <c r="AO30" s="39">
        <f>Weather!P162</f>
        <v>172.10000000000002</v>
      </c>
      <c r="AP30" s="39">
        <f>Weather!Q162</f>
        <v>0</v>
      </c>
      <c r="AQ30" s="39">
        <f>Weather!R162</f>
        <v>232.2</v>
      </c>
      <c r="AR30" s="201">
        <v>0</v>
      </c>
      <c r="AS30" s="201">
        <v>0</v>
      </c>
      <c r="AT30" s="201">
        <v>0</v>
      </c>
      <c r="AU30" s="201">
        <v>0</v>
      </c>
      <c r="AV30" s="201">
        <v>1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 s="201">
        <v>0</v>
      </c>
      <c r="BD30" s="201">
        <v>1</v>
      </c>
      <c r="BE30" s="201">
        <v>0</v>
      </c>
      <c r="BF30" s="201">
        <v>1</v>
      </c>
      <c r="BG30" s="202">
        <f t="shared" si="4"/>
        <v>29</v>
      </c>
      <c r="BH30" s="201">
        <v>31</v>
      </c>
      <c r="BI30" s="201">
        <v>22</v>
      </c>
      <c r="BJ30" s="160">
        <f t="shared" si="5"/>
        <v>729.74256665197936</v>
      </c>
      <c r="BK30" s="160">
        <f t="shared" si="6"/>
        <v>23.540082795225139</v>
      </c>
      <c r="BL30" s="159">
        <f t="shared" si="7"/>
        <v>1390559.7708795394</v>
      </c>
      <c r="BM30" s="160">
        <f t="shared" si="8"/>
        <v>2729.4509626502472</v>
      </c>
      <c r="BN30" s="160">
        <f t="shared" si="9"/>
        <v>88.046805246782171</v>
      </c>
      <c r="BO30" s="160">
        <f t="shared" si="10"/>
        <v>451063.78327926504</v>
      </c>
      <c r="BP30" s="160">
        <f t="shared" si="11"/>
        <v>75849.692347700257</v>
      </c>
      <c r="BQ30" s="160">
        <f t="shared" si="12"/>
        <v>2446.7642692806535</v>
      </c>
      <c r="BR30" s="160">
        <f t="shared" si="13"/>
        <v>3447.7132885318297</v>
      </c>
      <c r="BS30" s="160">
        <f t="shared" si="14"/>
        <v>2441870.740742092</v>
      </c>
      <c r="BT30" s="160">
        <f t="shared" si="15"/>
        <v>3440817.8619547663</v>
      </c>
    </row>
    <row r="31" spans="1:72" x14ac:dyDescent="0.2">
      <c r="A31" s="204">
        <v>41061</v>
      </c>
      <c r="B31" s="205">
        <f t="shared" si="0"/>
        <v>2012</v>
      </c>
      <c r="C31" s="203">
        <v>52997688</v>
      </c>
      <c r="D31" s="203">
        <f>VLOOKUP(B31,CDM!$I$5:$N$15,2,FALSE)/12</f>
        <v>242119.89726572137</v>
      </c>
      <c r="E31" s="203">
        <f t="shared" si="1"/>
        <v>53239807.897265725</v>
      </c>
      <c r="F31" s="206">
        <v>59132</v>
      </c>
      <c r="G31" s="206">
        <v>14868354</v>
      </c>
      <c r="H31" s="206">
        <v>5127</v>
      </c>
      <c r="I31" s="203">
        <f>VLOOKUP(B31,CDM!$I$5:$N$15,3,FALSE)/12</f>
        <v>114356.28165721649</v>
      </c>
      <c r="J31" s="203">
        <f t="shared" si="2"/>
        <v>14982710.281657217</v>
      </c>
      <c r="K31" s="206">
        <v>77981189</v>
      </c>
      <c r="L31" s="203">
        <f>VLOOKUP(B31,CDM!$I$5:$N$15,4,FALSE)/12</f>
        <v>661548.96300485171</v>
      </c>
      <c r="M31" s="87">
        <f t="shared" si="3"/>
        <v>78642737.963004857</v>
      </c>
      <c r="N31" s="206">
        <v>208434</v>
      </c>
      <c r="O31" s="206">
        <v>999</v>
      </c>
      <c r="P31" s="206">
        <v>593850</v>
      </c>
      <c r="Q31" s="206">
        <v>2287</v>
      </c>
      <c r="R31" s="206">
        <v>15095</v>
      </c>
      <c r="S31" s="206">
        <v>270556</v>
      </c>
      <c r="T31" s="202">
        <v>0</v>
      </c>
      <c r="U31" s="202">
        <v>604</v>
      </c>
      <c r="V31" s="37">
        <f>'Economic (2020 Adj.)'!C43</f>
        <v>634944.30000000005</v>
      </c>
      <c r="W31" s="37">
        <f>'Economic (2020 Adj.)'!D43</f>
        <v>6693.3</v>
      </c>
      <c r="X31" s="37">
        <f>'Economic (2020 Adj.)'!F43</f>
        <v>2928.6</v>
      </c>
      <c r="Y31" s="37">
        <f>'Economic (2020 Adj.)'!H43</f>
        <v>371.5</v>
      </c>
      <c r="Z31" s="37">
        <f>'Economic (2020 Adj.)'!E43</f>
        <v>6737.2</v>
      </c>
      <c r="AA31" s="37">
        <f>'Economic (2020 Adj.)'!G43</f>
        <v>2937.8</v>
      </c>
      <c r="AB31" s="37">
        <f>'Economic (2020 Adj.)'!I43</f>
        <v>373.8</v>
      </c>
      <c r="AC31" s="39">
        <f>Weather!D163</f>
        <v>20.633333333333333</v>
      </c>
      <c r="AD31" s="39">
        <f>Weather!E163</f>
        <v>44.199999999999996</v>
      </c>
      <c r="AE31" s="39">
        <f>Weather!F163</f>
        <v>63.20000000000001</v>
      </c>
      <c r="AF31" s="39">
        <f>Weather!G163</f>
        <v>22.7</v>
      </c>
      <c r="AG31" s="39">
        <f>Weather!H163</f>
        <v>101.69999999999999</v>
      </c>
      <c r="AH31" s="39">
        <f>Weather!I163</f>
        <v>8</v>
      </c>
      <c r="AI31" s="39">
        <f>Weather!J163</f>
        <v>147</v>
      </c>
      <c r="AJ31" s="39">
        <f>Weather!K163</f>
        <v>1.0999999999999996</v>
      </c>
      <c r="AK31" s="39">
        <f>Weather!L163</f>
        <v>200.09999999999997</v>
      </c>
      <c r="AL31" s="39">
        <f>Weather!M163</f>
        <v>0</v>
      </c>
      <c r="AM31" s="39">
        <f>Weather!N163</f>
        <v>259</v>
      </c>
      <c r="AN31" s="39">
        <f>Weather!O163</f>
        <v>0</v>
      </c>
      <c r="AO31" s="39">
        <f>Weather!P163</f>
        <v>319</v>
      </c>
      <c r="AP31" s="39">
        <f>Weather!Q163</f>
        <v>0</v>
      </c>
      <c r="AQ31" s="39">
        <f>Weather!R163</f>
        <v>379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1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 s="201">
        <v>0</v>
      </c>
      <c r="BD31" s="201">
        <v>0</v>
      </c>
      <c r="BE31" s="201">
        <v>0</v>
      </c>
      <c r="BF31" s="201">
        <v>0</v>
      </c>
      <c r="BG31" s="202">
        <f t="shared" si="4"/>
        <v>30</v>
      </c>
      <c r="BH31" s="201">
        <v>30</v>
      </c>
      <c r="BI31" s="201">
        <v>21</v>
      </c>
      <c r="BJ31" s="160">
        <f t="shared" si="5"/>
        <v>900.3552712112853</v>
      </c>
      <c r="BK31" s="160">
        <f t="shared" si="6"/>
        <v>30.011842373709509</v>
      </c>
      <c r="BL31" s="159">
        <f t="shared" si="7"/>
        <v>1774660.2632421909</v>
      </c>
      <c r="BM31" s="160">
        <f t="shared" si="8"/>
        <v>2922.3152490066741</v>
      </c>
      <c r="BN31" s="160">
        <f t="shared" si="9"/>
        <v>97.410508300222475</v>
      </c>
      <c r="BO31" s="160">
        <f t="shared" si="10"/>
        <v>499423.67605524056</v>
      </c>
      <c r="BP31" s="160">
        <f t="shared" si="11"/>
        <v>78721.459422427288</v>
      </c>
      <c r="BQ31" s="160">
        <f t="shared" si="12"/>
        <v>2624.0486474142431</v>
      </c>
      <c r="BR31" s="160">
        <f t="shared" si="13"/>
        <v>3748.6409248774899</v>
      </c>
      <c r="BS31" s="160">
        <f t="shared" si="14"/>
        <v>2621424.5987668284</v>
      </c>
      <c r="BT31" s="160">
        <f t="shared" si="15"/>
        <v>3744892.2839526124</v>
      </c>
    </row>
    <row r="32" spans="1:72" x14ac:dyDescent="0.2">
      <c r="A32" s="204">
        <v>41091</v>
      </c>
      <c r="B32" s="205">
        <f t="shared" si="0"/>
        <v>2012</v>
      </c>
      <c r="C32" s="203">
        <v>63233816</v>
      </c>
      <c r="D32" s="203">
        <f>VLOOKUP(B32,CDM!$I$5:$N$15,2,FALSE)/12</f>
        <v>242119.89726572137</v>
      </c>
      <c r="E32" s="203">
        <f t="shared" si="1"/>
        <v>63475935.897265725</v>
      </c>
      <c r="F32" s="208">
        <v>59180</v>
      </c>
      <c r="G32" s="206">
        <v>16622947</v>
      </c>
      <c r="H32" s="208">
        <v>5135</v>
      </c>
      <c r="I32" s="203">
        <f>VLOOKUP(B32,CDM!$I$5:$N$15,3,FALSE)/12</f>
        <v>114356.28165721649</v>
      </c>
      <c r="J32" s="203">
        <f t="shared" si="2"/>
        <v>16737303.281657217</v>
      </c>
      <c r="K32" s="206">
        <v>84647767</v>
      </c>
      <c r="L32" s="203">
        <f>VLOOKUP(B32,CDM!$I$5:$N$15,4,FALSE)/12</f>
        <v>661548.96300485171</v>
      </c>
      <c r="M32" s="87">
        <f t="shared" si="3"/>
        <v>85309315.963004857</v>
      </c>
      <c r="N32" s="206">
        <v>214820</v>
      </c>
      <c r="O32" s="208">
        <v>1000</v>
      </c>
      <c r="P32" s="206">
        <v>638139</v>
      </c>
      <c r="Q32" s="206">
        <v>2289</v>
      </c>
      <c r="R32" s="208">
        <v>15095</v>
      </c>
      <c r="S32" s="206">
        <v>271142</v>
      </c>
      <c r="T32" s="202">
        <v>0</v>
      </c>
      <c r="U32" s="202">
        <v>604</v>
      </c>
      <c r="V32" s="37">
        <f>'Economic (2020 Adj.)'!C44</f>
        <v>634944.30000000005</v>
      </c>
      <c r="W32" s="37">
        <f>'Economic (2020 Adj.)'!D44</f>
        <v>6694.6</v>
      </c>
      <c r="X32" s="37">
        <f>'Economic (2020 Adj.)'!F44</f>
        <v>2949.2</v>
      </c>
      <c r="Y32" s="37">
        <f>'Economic (2020 Adj.)'!H44</f>
        <v>368.7</v>
      </c>
      <c r="Z32" s="37">
        <f>'Economic (2020 Adj.)'!E44</f>
        <v>6778.6</v>
      </c>
      <c r="AA32" s="37">
        <f>'Economic (2020 Adj.)'!G44</f>
        <v>2965.9</v>
      </c>
      <c r="AB32" s="37">
        <f>'Economic (2020 Adj.)'!I44</f>
        <v>372.6</v>
      </c>
      <c r="AC32" s="39">
        <f>Weather!D164</f>
        <v>24.2258064516129</v>
      </c>
      <c r="AD32" s="39">
        <f>Weather!E164</f>
        <v>0</v>
      </c>
      <c r="AE32" s="39">
        <f>Weather!F164</f>
        <v>131</v>
      </c>
      <c r="AF32" s="39">
        <f>Weather!G164</f>
        <v>0</v>
      </c>
      <c r="AG32" s="39">
        <f>Weather!H164</f>
        <v>193</v>
      </c>
      <c r="AH32" s="39">
        <f>Weather!I164</f>
        <v>0</v>
      </c>
      <c r="AI32" s="39">
        <f>Weather!J164</f>
        <v>255</v>
      </c>
      <c r="AJ32" s="39">
        <f>Weather!K164</f>
        <v>0</v>
      </c>
      <c r="AK32" s="39">
        <f>Weather!L164</f>
        <v>317</v>
      </c>
      <c r="AL32" s="39">
        <f>Weather!M164</f>
        <v>0</v>
      </c>
      <c r="AM32" s="39">
        <f>Weather!N164</f>
        <v>379</v>
      </c>
      <c r="AN32" s="39">
        <f>Weather!O164</f>
        <v>0</v>
      </c>
      <c r="AO32" s="39">
        <f>Weather!P164</f>
        <v>441</v>
      </c>
      <c r="AP32" s="39">
        <f>Weather!Q164</f>
        <v>0</v>
      </c>
      <c r="AQ32" s="39">
        <f>Weather!R164</f>
        <v>503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1</v>
      </c>
      <c r="AY32" s="201">
        <v>0</v>
      </c>
      <c r="AZ32" s="201">
        <v>0</v>
      </c>
      <c r="BA32" s="201">
        <v>0</v>
      </c>
      <c r="BB32" s="201">
        <v>0</v>
      </c>
      <c r="BC32" s="201">
        <v>0</v>
      </c>
      <c r="BD32" s="201">
        <v>0</v>
      </c>
      <c r="BE32" s="201">
        <v>0</v>
      </c>
      <c r="BF32" s="201">
        <v>0</v>
      </c>
      <c r="BG32" s="202">
        <f t="shared" si="4"/>
        <v>31</v>
      </c>
      <c r="BH32" s="201">
        <v>31</v>
      </c>
      <c r="BI32" s="201">
        <v>21</v>
      </c>
      <c r="BJ32" s="160">
        <f t="shared" si="5"/>
        <v>1072.5910087405496</v>
      </c>
      <c r="BK32" s="160">
        <f t="shared" si="6"/>
        <v>34.599709959372568</v>
      </c>
      <c r="BL32" s="159">
        <f t="shared" si="7"/>
        <v>2047610.8353956686</v>
      </c>
      <c r="BM32" s="160">
        <f t="shared" si="8"/>
        <v>3259.4553615690784</v>
      </c>
      <c r="BN32" s="160">
        <f t="shared" si="9"/>
        <v>105.14372134093801</v>
      </c>
      <c r="BO32" s="160">
        <f t="shared" si="10"/>
        <v>539913.00908571668</v>
      </c>
      <c r="BP32" s="160">
        <f t="shared" si="11"/>
        <v>85309.315963004861</v>
      </c>
      <c r="BQ32" s="160">
        <f t="shared" si="12"/>
        <v>2751.9134181614472</v>
      </c>
      <c r="BR32" s="160">
        <f t="shared" si="13"/>
        <v>4062.3483791907079</v>
      </c>
      <c r="BS32" s="160">
        <f t="shared" si="14"/>
        <v>2751913.4181614472</v>
      </c>
      <c r="BT32" s="160">
        <f t="shared" si="15"/>
        <v>4062348.3791907076</v>
      </c>
    </row>
    <row r="33" spans="1:72" x14ac:dyDescent="0.2">
      <c r="A33" s="204">
        <v>41122</v>
      </c>
      <c r="B33" s="205">
        <f t="shared" si="0"/>
        <v>2012</v>
      </c>
      <c r="C33" s="203">
        <v>57288251</v>
      </c>
      <c r="D33" s="203">
        <f>VLOOKUP(B33,CDM!$I$5:$N$15,2,FALSE)/12</f>
        <v>242119.89726572137</v>
      </c>
      <c r="E33" s="203">
        <f t="shared" si="1"/>
        <v>57530370.897265725</v>
      </c>
      <c r="F33" s="208">
        <v>59175</v>
      </c>
      <c r="G33" s="206">
        <v>15780828</v>
      </c>
      <c r="H33" s="208">
        <v>5147</v>
      </c>
      <c r="I33" s="203">
        <f>VLOOKUP(B33,CDM!$I$5:$N$15,3,FALSE)/12</f>
        <v>114356.28165721649</v>
      </c>
      <c r="J33" s="203">
        <f t="shared" si="2"/>
        <v>15895184.281657217</v>
      </c>
      <c r="K33" s="206">
        <v>81855567</v>
      </c>
      <c r="L33" s="203">
        <f>VLOOKUP(B33,CDM!$I$5:$N$15,4,FALSE)/12</f>
        <v>661548.96300485171</v>
      </c>
      <c r="M33" s="87">
        <f t="shared" si="3"/>
        <v>82517115.963004857</v>
      </c>
      <c r="N33" s="206">
        <v>226247</v>
      </c>
      <c r="O33" s="208">
        <v>999</v>
      </c>
      <c r="P33" s="206">
        <v>717791</v>
      </c>
      <c r="Q33" s="206">
        <v>2289</v>
      </c>
      <c r="R33" s="208">
        <v>15096</v>
      </c>
      <c r="S33" s="206">
        <v>270450</v>
      </c>
      <c r="T33" s="202">
        <v>0</v>
      </c>
      <c r="U33" s="202">
        <v>604</v>
      </c>
      <c r="V33" s="37">
        <f>'Economic (2020 Adj.)'!C45</f>
        <v>634944.30000000005</v>
      </c>
      <c r="W33" s="37">
        <f>'Economic (2020 Adj.)'!D45</f>
        <v>6703.3</v>
      </c>
      <c r="X33" s="37">
        <f>'Economic (2020 Adj.)'!F45</f>
        <v>2968.4</v>
      </c>
      <c r="Y33" s="37">
        <f>'Economic (2020 Adj.)'!H45</f>
        <v>371.3</v>
      </c>
      <c r="Z33" s="37">
        <f>'Economic (2020 Adj.)'!E45</f>
        <v>6797.9</v>
      </c>
      <c r="AA33" s="37">
        <f>'Economic (2020 Adj.)'!G45</f>
        <v>2997.9</v>
      </c>
      <c r="AB33" s="37">
        <f>'Economic (2020 Adj.)'!I45</f>
        <v>374.1</v>
      </c>
      <c r="AC33" s="39">
        <f>Weather!D165</f>
        <v>22.219354838709677</v>
      </c>
      <c r="AD33" s="39">
        <f>Weather!E165</f>
        <v>2.7000000000000028</v>
      </c>
      <c r="AE33" s="39">
        <f>Weather!F165</f>
        <v>71.5</v>
      </c>
      <c r="AF33" s="39">
        <f>Weather!G165</f>
        <v>0</v>
      </c>
      <c r="AG33" s="39">
        <f>Weather!H165</f>
        <v>130.80000000000001</v>
      </c>
      <c r="AH33" s="39">
        <f>Weather!I165</f>
        <v>0</v>
      </c>
      <c r="AI33" s="39">
        <f>Weather!J165</f>
        <v>192.8</v>
      </c>
      <c r="AJ33" s="39">
        <f>Weather!K165</f>
        <v>0</v>
      </c>
      <c r="AK33" s="39">
        <f>Weather!L165</f>
        <v>254.8</v>
      </c>
      <c r="AL33" s="39">
        <f>Weather!M165</f>
        <v>0</v>
      </c>
      <c r="AM33" s="39">
        <f>Weather!N165</f>
        <v>316.8</v>
      </c>
      <c r="AN33" s="39">
        <f>Weather!O165</f>
        <v>0</v>
      </c>
      <c r="AO33" s="39">
        <f>Weather!P165</f>
        <v>378.8</v>
      </c>
      <c r="AP33" s="39">
        <f>Weather!Q165</f>
        <v>0</v>
      </c>
      <c r="AQ33" s="39">
        <f>Weather!R165</f>
        <v>440.80000000000007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1</v>
      </c>
      <c r="AZ33" s="201">
        <v>0</v>
      </c>
      <c r="BA33" s="201">
        <v>0</v>
      </c>
      <c r="BB33" s="201">
        <v>0</v>
      </c>
      <c r="BC33" s="201">
        <v>0</v>
      </c>
      <c r="BD33" s="201">
        <v>0</v>
      </c>
      <c r="BE33" s="201">
        <v>0</v>
      </c>
      <c r="BF33" s="201">
        <v>0</v>
      </c>
      <c r="BG33" s="202">
        <f t="shared" si="4"/>
        <v>32</v>
      </c>
      <c r="BH33" s="201">
        <v>31</v>
      </c>
      <c r="BI33" s="201">
        <v>22</v>
      </c>
      <c r="BJ33" s="160">
        <f t="shared" si="5"/>
        <v>972.20736624023198</v>
      </c>
      <c r="BK33" s="160">
        <f t="shared" si="6"/>
        <v>31.361527943233291</v>
      </c>
      <c r="BL33" s="159">
        <f t="shared" si="7"/>
        <v>1855818.4160408298</v>
      </c>
      <c r="BM33" s="160">
        <f t="shared" si="8"/>
        <v>3088.2425260651285</v>
      </c>
      <c r="BN33" s="160">
        <f t="shared" si="9"/>
        <v>99.620726647262202</v>
      </c>
      <c r="BO33" s="160">
        <f t="shared" si="10"/>
        <v>512747.88005345862</v>
      </c>
      <c r="BP33" s="160">
        <f t="shared" si="11"/>
        <v>82599.71567868354</v>
      </c>
      <c r="BQ33" s="160">
        <f t="shared" si="12"/>
        <v>2664.5069573768883</v>
      </c>
      <c r="BR33" s="160">
        <f t="shared" si="13"/>
        <v>3754.532530849252</v>
      </c>
      <c r="BS33" s="160">
        <f t="shared" si="14"/>
        <v>2661842.4504195116</v>
      </c>
      <c r="BT33" s="160">
        <f t="shared" si="15"/>
        <v>3750777.9983184026</v>
      </c>
    </row>
    <row r="34" spans="1:72" x14ac:dyDescent="0.2">
      <c r="A34" s="204">
        <v>41153</v>
      </c>
      <c r="B34" s="205">
        <f t="shared" si="0"/>
        <v>2012</v>
      </c>
      <c r="C34" s="203">
        <v>46380786</v>
      </c>
      <c r="D34" s="203">
        <f>VLOOKUP(B34,CDM!$I$5:$N$15,2,FALSE)/12</f>
        <v>242119.89726572137</v>
      </c>
      <c r="E34" s="203">
        <f t="shared" si="1"/>
        <v>46622905.897265725</v>
      </c>
      <c r="F34" s="206">
        <v>59185</v>
      </c>
      <c r="G34" s="206">
        <v>14057851</v>
      </c>
      <c r="H34" s="206">
        <v>5148</v>
      </c>
      <c r="I34" s="203">
        <f>VLOOKUP(B34,CDM!$I$5:$N$15,3,FALSE)/12</f>
        <v>114356.28165721649</v>
      </c>
      <c r="J34" s="203">
        <f t="shared" si="2"/>
        <v>14172207.281657217</v>
      </c>
      <c r="K34" s="206">
        <v>74012181</v>
      </c>
      <c r="L34" s="203">
        <f>VLOOKUP(B34,CDM!$I$5:$N$15,4,FALSE)/12</f>
        <v>661548.96300485171</v>
      </c>
      <c r="M34" s="87">
        <f t="shared" si="3"/>
        <v>74673729.963004857</v>
      </c>
      <c r="N34" s="206">
        <v>209543</v>
      </c>
      <c r="O34" s="206">
        <v>999</v>
      </c>
      <c r="P34" s="206">
        <v>792296</v>
      </c>
      <c r="Q34" s="206">
        <v>2289</v>
      </c>
      <c r="R34" s="206">
        <v>15096</v>
      </c>
      <c r="S34" s="206">
        <v>270145</v>
      </c>
      <c r="T34" s="202">
        <v>0</v>
      </c>
      <c r="U34" s="202">
        <v>603</v>
      </c>
      <c r="V34" s="37">
        <f>'Economic (2020 Adj.)'!C46</f>
        <v>634944.30000000005</v>
      </c>
      <c r="W34" s="37">
        <f>'Economic (2020 Adj.)'!D46</f>
        <v>6707.4</v>
      </c>
      <c r="X34" s="37">
        <f>'Economic (2020 Adj.)'!F46</f>
        <v>2985.6</v>
      </c>
      <c r="Y34" s="37">
        <f>'Economic (2020 Adj.)'!H46</f>
        <v>376.3</v>
      </c>
      <c r="Z34" s="37">
        <f>'Economic (2020 Adj.)'!E46</f>
        <v>6763.1</v>
      </c>
      <c r="AA34" s="37">
        <f>'Economic (2020 Adj.)'!G46</f>
        <v>3001.5</v>
      </c>
      <c r="AB34" s="37">
        <f>'Economic (2020 Adj.)'!I46</f>
        <v>376.1</v>
      </c>
      <c r="AC34" s="39">
        <f>Weather!D166</f>
        <v>17.386666666666663</v>
      </c>
      <c r="AD34" s="39">
        <f>Weather!E166</f>
        <v>97.299999999999983</v>
      </c>
      <c r="AE34" s="39">
        <f>Weather!F166</f>
        <v>18.900000000000002</v>
      </c>
      <c r="AF34" s="39">
        <f>Weather!G166</f>
        <v>58.400000000000006</v>
      </c>
      <c r="AG34" s="39">
        <f>Weather!H166</f>
        <v>40</v>
      </c>
      <c r="AH34" s="39">
        <f>Weather!I166</f>
        <v>28.299999999999997</v>
      </c>
      <c r="AI34" s="39">
        <f>Weather!J166</f>
        <v>69.900000000000006</v>
      </c>
      <c r="AJ34" s="39">
        <f>Weather!K166</f>
        <v>11.3</v>
      </c>
      <c r="AK34" s="39">
        <f>Weather!L166</f>
        <v>112.89999999999999</v>
      </c>
      <c r="AL34" s="39">
        <f>Weather!M166</f>
        <v>0.90000000000000036</v>
      </c>
      <c r="AM34" s="39">
        <f>Weather!N166</f>
        <v>162.5</v>
      </c>
      <c r="AN34" s="39">
        <f>Weather!O166</f>
        <v>0</v>
      </c>
      <c r="AO34" s="39">
        <f>Weather!P166</f>
        <v>221.6</v>
      </c>
      <c r="AP34" s="39">
        <f>Weather!Q166</f>
        <v>0</v>
      </c>
      <c r="AQ34" s="39">
        <f>Weather!R166</f>
        <v>281.59999999999997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1</v>
      </c>
      <c r="BA34" s="201">
        <v>0</v>
      </c>
      <c r="BB34" s="201">
        <v>0</v>
      </c>
      <c r="BC34" s="201">
        <v>0</v>
      </c>
      <c r="BD34" s="201">
        <v>0</v>
      </c>
      <c r="BE34" s="201">
        <v>1</v>
      </c>
      <c r="BF34" s="201">
        <v>1</v>
      </c>
      <c r="BG34" s="202">
        <f t="shared" si="4"/>
        <v>33</v>
      </c>
      <c r="BH34" s="201">
        <v>30</v>
      </c>
      <c r="BI34" s="201">
        <v>19</v>
      </c>
      <c r="BJ34" s="160">
        <f t="shared" si="5"/>
        <v>787.74868458673188</v>
      </c>
      <c r="BK34" s="160">
        <f t="shared" si="6"/>
        <v>26.258289486224395</v>
      </c>
      <c r="BL34" s="159">
        <f t="shared" si="7"/>
        <v>1554096.8632421908</v>
      </c>
      <c r="BM34" s="160">
        <f t="shared" si="8"/>
        <v>2752.954017415932</v>
      </c>
      <c r="BN34" s="160">
        <f t="shared" si="9"/>
        <v>91.765133913864403</v>
      </c>
      <c r="BO34" s="160">
        <f t="shared" si="10"/>
        <v>472406.9093885739</v>
      </c>
      <c r="BP34" s="160">
        <f t="shared" si="11"/>
        <v>74748.478441446307</v>
      </c>
      <c r="BQ34" s="160">
        <f t="shared" si="12"/>
        <v>2491.6159480482102</v>
      </c>
      <c r="BR34" s="160">
        <f t="shared" si="13"/>
        <v>3934.1304442866476</v>
      </c>
      <c r="BS34" s="160">
        <f t="shared" si="14"/>
        <v>2489124.3321001618</v>
      </c>
      <c r="BT34" s="160">
        <f t="shared" si="15"/>
        <v>3930196.3138423609</v>
      </c>
    </row>
    <row r="35" spans="1:72" x14ac:dyDescent="0.2">
      <c r="A35" s="204">
        <v>41183</v>
      </c>
      <c r="B35" s="205">
        <f t="shared" si="0"/>
        <v>2012</v>
      </c>
      <c r="C35" s="203">
        <v>41744479</v>
      </c>
      <c r="D35" s="203">
        <f>VLOOKUP(B35,CDM!$I$5:$N$15,2,FALSE)/12</f>
        <v>242119.89726572137</v>
      </c>
      <c r="E35" s="203">
        <f t="shared" si="1"/>
        <v>41986598.897265725</v>
      </c>
      <c r="F35" s="208">
        <v>59026</v>
      </c>
      <c r="G35" s="206">
        <v>13542230</v>
      </c>
      <c r="H35" s="208">
        <v>5150</v>
      </c>
      <c r="I35" s="203">
        <f>VLOOKUP(B35,CDM!$I$5:$N$15,3,FALSE)/12</f>
        <v>114356.28165721649</v>
      </c>
      <c r="J35" s="203">
        <f t="shared" si="2"/>
        <v>13656586.281657217</v>
      </c>
      <c r="K35" s="206">
        <v>72712948</v>
      </c>
      <c r="L35" s="203">
        <f>VLOOKUP(B35,CDM!$I$5:$N$15,4,FALSE)/12</f>
        <v>661548.96300485171</v>
      </c>
      <c r="M35" s="87">
        <f t="shared" si="3"/>
        <v>73374496.963004857</v>
      </c>
      <c r="N35" s="206">
        <v>222776</v>
      </c>
      <c r="O35" s="208">
        <v>998</v>
      </c>
      <c r="P35" s="206">
        <v>919844</v>
      </c>
      <c r="Q35" s="206">
        <v>2289</v>
      </c>
      <c r="R35" s="208">
        <v>15096</v>
      </c>
      <c r="S35" s="206">
        <v>270729</v>
      </c>
      <c r="T35" s="202">
        <v>0</v>
      </c>
      <c r="U35" s="202">
        <v>603</v>
      </c>
      <c r="V35" s="37">
        <f>'Economic (2020 Adj.)'!C47</f>
        <v>634944.30000000005</v>
      </c>
      <c r="W35" s="37">
        <f>'Economic (2020 Adj.)'!D47</f>
        <v>6710</v>
      </c>
      <c r="X35" s="37">
        <f>'Economic (2020 Adj.)'!F47</f>
        <v>3002.1</v>
      </c>
      <c r="Y35" s="37">
        <f>'Economic (2020 Adj.)'!H47</f>
        <v>377.5</v>
      </c>
      <c r="Z35" s="37">
        <f>'Economic (2020 Adj.)'!E47</f>
        <v>6740.9</v>
      </c>
      <c r="AA35" s="37">
        <f>'Economic (2020 Adj.)'!G47</f>
        <v>3012.7</v>
      </c>
      <c r="AB35" s="37">
        <f>'Economic (2020 Adj.)'!I47</f>
        <v>375.9</v>
      </c>
      <c r="AC35" s="39">
        <f>Weather!D167</f>
        <v>10.816129032258065</v>
      </c>
      <c r="AD35" s="39">
        <f>Weather!E167</f>
        <v>284.69999999999993</v>
      </c>
      <c r="AE35" s="39">
        <f>Weather!F167</f>
        <v>0</v>
      </c>
      <c r="AF35" s="39">
        <f>Weather!G167</f>
        <v>223.20000000000002</v>
      </c>
      <c r="AG35" s="39">
        <f>Weather!H167</f>
        <v>0.5</v>
      </c>
      <c r="AH35" s="39">
        <f>Weather!I167</f>
        <v>164.50000000000003</v>
      </c>
      <c r="AI35" s="39">
        <f>Weather!J167</f>
        <v>3.8000000000000007</v>
      </c>
      <c r="AJ35" s="39">
        <f>Weather!K167</f>
        <v>110.60000000000001</v>
      </c>
      <c r="AK35" s="39">
        <f>Weather!L167</f>
        <v>11.9</v>
      </c>
      <c r="AL35" s="39">
        <f>Weather!M167</f>
        <v>66.599999999999994</v>
      </c>
      <c r="AM35" s="39">
        <f>Weather!N167</f>
        <v>29.900000000000006</v>
      </c>
      <c r="AN35" s="39">
        <f>Weather!O167</f>
        <v>29.7</v>
      </c>
      <c r="AO35" s="39">
        <f>Weather!P167</f>
        <v>55</v>
      </c>
      <c r="AP35" s="39">
        <f>Weather!Q167</f>
        <v>9.1999999999999993</v>
      </c>
      <c r="AQ35" s="39">
        <f>Weather!R167</f>
        <v>96.5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1</v>
      </c>
      <c r="BB35" s="201">
        <v>0</v>
      </c>
      <c r="BC35" s="201">
        <v>0</v>
      </c>
      <c r="BD35" s="201">
        <v>0</v>
      </c>
      <c r="BE35" s="201">
        <v>1</v>
      </c>
      <c r="BF35" s="201">
        <v>1</v>
      </c>
      <c r="BG35" s="202">
        <f t="shared" si="4"/>
        <v>34</v>
      </c>
      <c r="BH35" s="201">
        <v>31</v>
      </c>
      <c r="BI35" s="201">
        <v>22</v>
      </c>
      <c r="BJ35" s="160">
        <f t="shared" si="5"/>
        <v>711.32380471767908</v>
      </c>
      <c r="BK35" s="160">
        <f t="shared" si="6"/>
        <v>22.945929184441262</v>
      </c>
      <c r="BL35" s="159">
        <f t="shared" si="7"/>
        <v>1354406.4160408298</v>
      </c>
      <c r="BM35" s="160">
        <f t="shared" si="8"/>
        <v>2651.7643265353818</v>
      </c>
      <c r="BN35" s="160">
        <f t="shared" si="9"/>
        <v>85.540784726947805</v>
      </c>
      <c r="BO35" s="160">
        <f t="shared" si="10"/>
        <v>440535.04134378122</v>
      </c>
      <c r="BP35" s="160">
        <f t="shared" si="11"/>
        <v>73521.540043091038</v>
      </c>
      <c r="BQ35" s="160">
        <f t="shared" si="12"/>
        <v>2371.6625820351946</v>
      </c>
      <c r="BR35" s="160">
        <f t="shared" si="13"/>
        <v>3341.8881837768654</v>
      </c>
      <c r="BS35" s="160">
        <f t="shared" si="14"/>
        <v>2366919.2568711243</v>
      </c>
      <c r="BT35" s="160">
        <f t="shared" si="15"/>
        <v>3335204.4074093117</v>
      </c>
    </row>
    <row r="36" spans="1:72" x14ac:dyDescent="0.2">
      <c r="A36" s="204">
        <v>41214</v>
      </c>
      <c r="B36" s="205">
        <f t="shared" si="0"/>
        <v>2012</v>
      </c>
      <c r="C36" s="203">
        <v>39247878</v>
      </c>
      <c r="D36" s="203">
        <f>VLOOKUP(B36,CDM!$I$5:$N$15,2,FALSE)/12</f>
        <v>242119.89726572137</v>
      </c>
      <c r="E36" s="203">
        <f t="shared" si="1"/>
        <v>39489997.897265725</v>
      </c>
      <c r="F36" s="208">
        <v>59073</v>
      </c>
      <c r="G36" s="206">
        <v>14045765</v>
      </c>
      <c r="H36" s="208">
        <v>5162</v>
      </c>
      <c r="I36" s="203">
        <f>VLOOKUP(B36,CDM!$I$5:$N$15,3,FALSE)/12</f>
        <v>114356.28165721649</v>
      </c>
      <c r="J36" s="203">
        <f t="shared" si="2"/>
        <v>14160121.281657217</v>
      </c>
      <c r="K36" s="206">
        <v>72147206</v>
      </c>
      <c r="L36" s="203">
        <f>VLOOKUP(B36,CDM!$I$5:$N$15,4,FALSE)/12</f>
        <v>661548.96300485171</v>
      </c>
      <c r="M36" s="87">
        <f t="shared" si="3"/>
        <v>72808754.963004857</v>
      </c>
      <c r="N36" s="206">
        <v>204520</v>
      </c>
      <c r="O36" s="208">
        <v>1000</v>
      </c>
      <c r="P36" s="206">
        <v>979610</v>
      </c>
      <c r="Q36" s="206">
        <v>2289</v>
      </c>
      <c r="R36" s="208">
        <v>15096</v>
      </c>
      <c r="S36" s="206">
        <v>270145</v>
      </c>
      <c r="T36" s="202">
        <v>0</v>
      </c>
      <c r="U36" s="202">
        <v>603</v>
      </c>
      <c r="V36" s="37">
        <f>'Economic (2020 Adj.)'!C48</f>
        <v>634944.30000000005</v>
      </c>
      <c r="W36" s="37">
        <f>'Economic (2020 Adj.)'!D48</f>
        <v>6722.4</v>
      </c>
      <c r="X36" s="37">
        <f>'Economic (2020 Adj.)'!F48</f>
        <v>3019.5</v>
      </c>
      <c r="Y36" s="37">
        <f>'Economic (2020 Adj.)'!H48</f>
        <v>377.9</v>
      </c>
      <c r="Z36" s="37">
        <f>'Economic (2020 Adj.)'!E48</f>
        <v>6727.4</v>
      </c>
      <c r="AA36" s="37">
        <f>'Economic (2020 Adj.)'!G48</f>
        <v>3019</v>
      </c>
      <c r="AB36" s="37">
        <f>'Economic (2020 Adj.)'!I48</f>
        <v>373.6</v>
      </c>
      <c r="AC36" s="39">
        <f>Weather!D168</f>
        <v>4.8366666666666669</v>
      </c>
      <c r="AD36" s="39">
        <f>Weather!E168</f>
        <v>454.90000000000003</v>
      </c>
      <c r="AE36" s="39">
        <f>Weather!F168</f>
        <v>0</v>
      </c>
      <c r="AF36" s="39">
        <f>Weather!G168</f>
        <v>394.9</v>
      </c>
      <c r="AG36" s="39">
        <f>Weather!H168</f>
        <v>0</v>
      </c>
      <c r="AH36" s="39">
        <f>Weather!I168</f>
        <v>334.90000000000003</v>
      </c>
      <c r="AI36" s="39">
        <f>Weather!J168</f>
        <v>0</v>
      </c>
      <c r="AJ36" s="39">
        <f>Weather!K168</f>
        <v>274.90000000000009</v>
      </c>
      <c r="AK36" s="39">
        <f>Weather!L168</f>
        <v>0</v>
      </c>
      <c r="AL36" s="39">
        <f>Weather!M168</f>
        <v>216.80000000000004</v>
      </c>
      <c r="AM36" s="39">
        <f>Weather!N168</f>
        <v>1.9000000000000004</v>
      </c>
      <c r="AN36" s="39">
        <f>Weather!O168</f>
        <v>161</v>
      </c>
      <c r="AO36" s="39">
        <f>Weather!P168</f>
        <v>6.1</v>
      </c>
      <c r="AP36" s="39">
        <f>Weather!Q168</f>
        <v>107</v>
      </c>
      <c r="AQ36" s="39">
        <f>Weather!R168</f>
        <v>12.1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1</v>
      </c>
      <c r="BC36" s="201">
        <v>0</v>
      </c>
      <c r="BD36" s="201">
        <v>0</v>
      </c>
      <c r="BE36" s="201">
        <v>1</v>
      </c>
      <c r="BF36" s="201">
        <v>1</v>
      </c>
      <c r="BG36" s="202">
        <f t="shared" si="4"/>
        <v>35</v>
      </c>
      <c r="BH36" s="201">
        <v>30</v>
      </c>
      <c r="BI36" s="201">
        <v>22</v>
      </c>
      <c r="BJ36" s="160">
        <f t="shared" si="5"/>
        <v>668.49487747813259</v>
      </c>
      <c r="BK36" s="160">
        <f t="shared" si="6"/>
        <v>22.283162582604419</v>
      </c>
      <c r="BL36" s="159">
        <f t="shared" si="7"/>
        <v>1316333.2632421909</v>
      </c>
      <c r="BM36" s="160">
        <f t="shared" si="8"/>
        <v>2743.1463157026765</v>
      </c>
      <c r="BN36" s="160">
        <f t="shared" si="9"/>
        <v>91.438210523422555</v>
      </c>
      <c r="BO36" s="160">
        <f t="shared" si="10"/>
        <v>472004.04272190726</v>
      </c>
      <c r="BP36" s="160">
        <f t="shared" si="11"/>
        <v>72808.75496300486</v>
      </c>
      <c r="BQ36" s="160">
        <f t="shared" si="12"/>
        <v>2426.9584987668286</v>
      </c>
      <c r="BR36" s="160">
        <f t="shared" si="13"/>
        <v>3309.4888619547664</v>
      </c>
      <c r="BS36" s="160">
        <f t="shared" si="14"/>
        <v>2426958.4987668288</v>
      </c>
      <c r="BT36" s="160">
        <f t="shared" si="15"/>
        <v>3309488.8619547663</v>
      </c>
    </row>
    <row r="37" spans="1:72" x14ac:dyDescent="0.2">
      <c r="A37" s="204">
        <v>41244</v>
      </c>
      <c r="B37" s="205">
        <f t="shared" si="0"/>
        <v>2012</v>
      </c>
      <c r="C37" s="203">
        <v>44598971</v>
      </c>
      <c r="D37" s="203">
        <f>VLOOKUP(B37,CDM!$I$5:$N$15,2,FALSE)/12</f>
        <v>242119.89726572137</v>
      </c>
      <c r="E37" s="203">
        <f t="shared" si="1"/>
        <v>44841090.897265725</v>
      </c>
      <c r="F37" s="206">
        <v>59257</v>
      </c>
      <c r="G37" s="206">
        <v>14927116</v>
      </c>
      <c r="H37" s="206">
        <v>5168</v>
      </c>
      <c r="I37" s="203">
        <f>VLOOKUP(B37,CDM!$I$5:$N$15,3,FALSE)/12</f>
        <v>114356.28165721649</v>
      </c>
      <c r="J37" s="203">
        <f t="shared" si="2"/>
        <v>15041472.281657217</v>
      </c>
      <c r="K37" s="206">
        <v>72026072</v>
      </c>
      <c r="L37" s="203">
        <f>VLOOKUP(B37,CDM!$I$5:$N$15,4,FALSE)/12</f>
        <v>661548.96300485171</v>
      </c>
      <c r="M37" s="87">
        <f t="shared" si="3"/>
        <v>72687620.963004857</v>
      </c>
      <c r="N37" s="206">
        <v>168867</v>
      </c>
      <c r="O37" s="206">
        <v>1004</v>
      </c>
      <c r="P37" s="206">
        <v>1061020</v>
      </c>
      <c r="Q37" s="206">
        <v>2290</v>
      </c>
      <c r="R37" s="206">
        <v>15105</v>
      </c>
      <c r="S37" s="206">
        <v>273475</v>
      </c>
      <c r="T37" s="202">
        <v>0</v>
      </c>
      <c r="U37" s="202">
        <v>603</v>
      </c>
      <c r="V37" s="37">
        <f>'Economic (2020 Adj.)'!C49</f>
        <v>634944.30000000005</v>
      </c>
      <c r="W37" s="37">
        <f>'Economic (2020 Adj.)'!D49</f>
        <v>6740.6</v>
      </c>
      <c r="X37" s="37">
        <f>'Economic (2020 Adj.)'!F49</f>
        <v>3030.3</v>
      </c>
      <c r="Y37" s="37">
        <f>'Economic (2020 Adj.)'!H49</f>
        <v>378.6</v>
      </c>
      <c r="Z37" s="37">
        <f>'Economic (2020 Adj.)'!E49</f>
        <v>6740.2</v>
      </c>
      <c r="AA37" s="37">
        <f>'Economic (2020 Adj.)'!G49</f>
        <v>3033.6</v>
      </c>
      <c r="AB37" s="37">
        <f>'Economic (2020 Adj.)'!I49</f>
        <v>375.8</v>
      </c>
      <c r="AC37" s="39">
        <f>Weather!D169</f>
        <v>2.5354838709677421</v>
      </c>
      <c r="AD37" s="39">
        <f>Weather!E169</f>
        <v>541.40000000000009</v>
      </c>
      <c r="AE37" s="39">
        <f>Weather!F169</f>
        <v>0</v>
      </c>
      <c r="AF37" s="39">
        <f>Weather!G169</f>
        <v>479.4</v>
      </c>
      <c r="AG37" s="39">
        <f>Weather!H169</f>
        <v>0</v>
      </c>
      <c r="AH37" s="39">
        <f>Weather!I169</f>
        <v>417.40000000000003</v>
      </c>
      <c r="AI37" s="39">
        <f>Weather!J169</f>
        <v>0</v>
      </c>
      <c r="AJ37" s="39">
        <f>Weather!K169</f>
        <v>355.4</v>
      </c>
      <c r="AK37" s="39">
        <f>Weather!L169</f>
        <v>0</v>
      </c>
      <c r="AL37" s="39">
        <f>Weather!M169</f>
        <v>293.39999999999998</v>
      </c>
      <c r="AM37" s="39">
        <f>Weather!N169</f>
        <v>0</v>
      </c>
      <c r="AN37" s="39">
        <f>Weather!O169</f>
        <v>233.29999999999998</v>
      </c>
      <c r="AO37" s="39">
        <f>Weather!P169</f>
        <v>1.9000000000000004</v>
      </c>
      <c r="AP37" s="39">
        <f>Weather!Q169</f>
        <v>173.79999999999998</v>
      </c>
      <c r="AQ37" s="39">
        <f>Weather!R169</f>
        <v>4.4000000000000004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 s="201">
        <v>1</v>
      </c>
      <c r="BD37" s="201">
        <v>0</v>
      </c>
      <c r="BE37" s="201">
        <v>0</v>
      </c>
      <c r="BF37" s="201">
        <v>0</v>
      </c>
      <c r="BG37" s="202">
        <f t="shared" si="4"/>
        <v>36</v>
      </c>
      <c r="BH37" s="201">
        <v>31</v>
      </c>
      <c r="BI37" s="201">
        <v>19</v>
      </c>
      <c r="BJ37" s="160">
        <f t="shared" si="5"/>
        <v>756.72225892748077</v>
      </c>
      <c r="BK37" s="160">
        <f t="shared" si="6"/>
        <v>24.410395449273572</v>
      </c>
      <c r="BL37" s="159">
        <f t="shared" si="7"/>
        <v>1446486.8031376039</v>
      </c>
      <c r="BM37" s="160">
        <f t="shared" si="8"/>
        <v>2910.5016024878514</v>
      </c>
      <c r="BN37" s="160">
        <f t="shared" si="9"/>
        <v>93.887148467350045</v>
      </c>
      <c r="BO37" s="160">
        <f t="shared" si="10"/>
        <v>485208.78327926504</v>
      </c>
      <c r="BP37" s="160">
        <f t="shared" si="11"/>
        <v>72398.028847614405</v>
      </c>
      <c r="BQ37" s="160">
        <f t="shared" si="12"/>
        <v>2335.4202854069163</v>
      </c>
      <c r="BR37" s="160">
        <f t="shared" si="13"/>
        <v>3810.422570927074</v>
      </c>
      <c r="BS37" s="160">
        <f t="shared" si="14"/>
        <v>2344761.9665485439</v>
      </c>
      <c r="BT37" s="160">
        <f t="shared" si="15"/>
        <v>3825664.261210782</v>
      </c>
    </row>
    <row r="38" spans="1:72" x14ac:dyDescent="0.2">
      <c r="A38" s="204">
        <v>41275</v>
      </c>
      <c r="B38" s="205">
        <f t="shared" si="0"/>
        <v>2013</v>
      </c>
      <c r="C38" s="203">
        <v>47625731</v>
      </c>
      <c r="D38" s="203">
        <f>VLOOKUP(B38,CDM!$I$5:$N$15,2,FALSE)/12</f>
        <v>369590.720884763</v>
      </c>
      <c r="E38" s="203">
        <f t="shared" si="1"/>
        <v>47995321.720884763</v>
      </c>
      <c r="F38" s="208">
        <v>59206</v>
      </c>
      <c r="G38" s="206">
        <v>15656809</v>
      </c>
      <c r="H38" s="208">
        <v>5177</v>
      </c>
      <c r="I38" s="203">
        <f>VLOOKUP(B38,CDM!$I$5:$N$15,3,FALSE)/12</f>
        <v>181207.62267780254</v>
      </c>
      <c r="J38" s="203">
        <f t="shared" si="2"/>
        <v>15838016.622677803</v>
      </c>
      <c r="K38" s="206">
        <v>78054141</v>
      </c>
      <c r="L38" s="203">
        <f>VLOOKUP(B38,CDM!$I$5:$N$15,4,FALSE)/12</f>
        <v>1222924.8949416389</v>
      </c>
      <c r="M38" s="87">
        <f t="shared" si="3"/>
        <v>79277065.894941643</v>
      </c>
      <c r="N38" s="206">
        <v>204487</v>
      </c>
      <c r="O38" s="208">
        <v>1001</v>
      </c>
      <c r="P38" s="206">
        <v>1038014</v>
      </c>
      <c r="Q38" s="206">
        <v>2290</v>
      </c>
      <c r="R38" s="208">
        <v>15105</v>
      </c>
      <c r="S38" s="206">
        <v>260443</v>
      </c>
      <c r="T38" s="202">
        <v>25</v>
      </c>
      <c r="U38" s="202">
        <v>586</v>
      </c>
      <c r="V38" s="37">
        <f>'Economic (2020 Adj.)'!C50</f>
        <v>643937</v>
      </c>
      <c r="W38" s="37">
        <f>'Economic (2020 Adj.)'!D50</f>
        <v>6758.8</v>
      </c>
      <c r="X38" s="37">
        <f>'Economic (2020 Adj.)'!F50</f>
        <v>3038</v>
      </c>
      <c r="Y38" s="37">
        <f>'Economic (2020 Adj.)'!H50</f>
        <v>380.4</v>
      </c>
      <c r="Z38" s="37">
        <f>'Economic (2020 Adj.)'!E50</f>
        <v>6721.7</v>
      </c>
      <c r="AA38" s="37">
        <f>'Economic (2020 Adj.)'!G50</f>
        <v>3030.3</v>
      </c>
      <c r="AB38" s="37">
        <f>'Economic (2020 Adj.)'!I50</f>
        <v>378.6</v>
      </c>
      <c r="AC38" s="39">
        <f>Weather!D170</f>
        <v>-0.74838709677419368</v>
      </c>
      <c r="AD38" s="39">
        <f>Weather!E170</f>
        <v>643.20000000000005</v>
      </c>
      <c r="AE38" s="39">
        <f>Weather!F170</f>
        <v>0</v>
      </c>
      <c r="AF38" s="39">
        <f>Weather!G170</f>
        <v>581.20000000000005</v>
      </c>
      <c r="AG38" s="39">
        <f>Weather!H170</f>
        <v>0</v>
      </c>
      <c r="AH38" s="39">
        <f>Weather!I170</f>
        <v>519.20000000000005</v>
      </c>
      <c r="AI38" s="39">
        <f>Weather!J170</f>
        <v>0</v>
      </c>
      <c r="AJ38" s="39">
        <f>Weather!K170</f>
        <v>457.2</v>
      </c>
      <c r="AK38" s="39">
        <f>Weather!L170</f>
        <v>0</v>
      </c>
      <c r="AL38" s="39">
        <f>Weather!M170</f>
        <v>395.20000000000005</v>
      </c>
      <c r="AM38" s="39">
        <f>Weather!N170</f>
        <v>0</v>
      </c>
      <c r="AN38" s="39">
        <f>Weather!O170</f>
        <v>334.3</v>
      </c>
      <c r="AO38" s="39">
        <f>Weather!P170</f>
        <v>1.0999999999999996</v>
      </c>
      <c r="AP38" s="39">
        <f>Weather!Q170</f>
        <v>277.60000000000002</v>
      </c>
      <c r="AQ38" s="39">
        <f>Weather!R170</f>
        <v>6.4</v>
      </c>
      <c r="AR38" s="201">
        <v>1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 s="201">
        <v>0</v>
      </c>
      <c r="BD38" s="201">
        <v>0</v>
      </c>
      <c r="BE38" s="201">
        <v>0</v>
      </c>
      <c r="BF38" s="201">
        <v>0</v>
      </c>
      <c r="BG38" s="202">
        <f t="shared" si="4"/>
        <v>37</v>
      </c>
      <c r="BH38" s="201">
        <v>31</v>
      </c>
      <c r="BI38" s="201">
        <v>22</v>
      </c>
      <c r="BJ38" s="160">
        <f t="shared" si="5"/>
        <v>810.64962539075032</v>
      </c>
      <c r="BK38" s="160">
        <f t="shared" si="6"/>
        <v>26.149987915830657</v>
      </c>
      <c r="BL38" s="159">
        <f t="shared" si="7"/>
        <v>1548236.1845446697</v>
      </c>
      <c r="BM38" s="160">
        <f t="shared" si="8"/>
        <v>3059.303964202782</v>
      </c>
      <c r="BN38" s="160">
        <f t="shared" si="9"/>
        <v>98.68722465170265</v>
      </c>
      <c r="BO38" s="160">
        <f t="shared" si="10"/>
        <v>510903.76202186459</v>
      </c>
      <c r="BP38" s="160">
        <f t="shared" si="11"/>
        <v>79197.86802691473</v>
      </c>
      <c r="BQ38" s="160">
        <f t="shared" si="12"/>
        <v>2554.7699363520883</v>
      </c>
      <c r="BR38" s="160">
        <f t="shared" si="13"/>
        <v>3599.9030921324879</v>
      </c>
      <c r="BS38" s="160">
        <f t="shared" si="14"/>
        <v>2557324.7062884402</v>
      </c>
      <c r="BT38" s="160">
        <f t="shared" si="15"/>
        <v>3603502.9952246202</v>
      </c>
    </row>
    <row r="39" spans="1:72" x14ac:dyDescent="0.2">
      <c r="A39" s="204">
        <v>41306</v>
      </c>
      <c r="B39" s="205">
        <f t="shared" si="0"/>
        <v>2013</v>
      </c>
      <c r="C39" s="203">
        <v>40795122</v>
      </c>
      <c r="D39" s="203">
        <f>VLOOKUP(B39,CDM!$I$5:$N$15,2,FALSE)/12</f>
        <v>369590.720884763</v>
      </c>
      <c r="E39" s="203">
        <f t="shared" si="1"/>
        <v>41164712.720884763</v>
      </c>
      <c r="F39" s="206">
        <v>59219</v>
      </c>
      <c r="G39" s="206">
        <v>14404989</v>
      </c>
      <c r="H39" s="206">
        <v>5175</v>
      </c>
      <c r="I39" s="203">
        <f>VLOOKUP(B39,CDM!$I$5:$N$15,3,FALSE)/12</f>
        <v>181207.62267780254</v>
      </c>
      <c r="J39" s="203">
        <f t="shared" si="2"/>
        <v>14586196.622677803</v>
      </c>
      <c r="K39" s="206">
        <v>71543300</v>
      </c>
      <c r="L39" s="203">
        <f>VLOOKUP(B39,CDM!$I$5:$N$15,4,FALSE)/12</f>
        <v>1222924.8949416389</v>
      </c>
      <c r="M39" s="87">
        <f t="shared" si="3"/>
        <v>72766224.894941643</v>
      </c>
      <c r="N39" s="206">
        <v>183323</v>
      </c>
      <c r="O39" s="206">
        <v>1002</v>
      </c>
      <c r="P39" s="206">
        <v>867491</v>
      </c>
      <c r="Q39" s="206">
        <v>2290</v>
      </c>
      <c r="R39" s="208">
        <v>15105</v>
      </c>
      <c r="S39" s="206">
        <v>259344</v>
      </c>
      <c r="T39" s="202">
        <v>25</v>
      </c>
      <c r="U39" s="202">
        <v>586</v>
      </c>
      <c r="V39" s="37">
        <f>'Economic (2020 Adj.)'!C51</f>
        <v>643937</v>
      </c>
      <c r="W39" s="37">
        <f>'Economic (2020 Adj.)'!D51</f>
        <v>6775.5</v>
      </c>
      <c r="X39" s="37">
        <f>'Economic (2020 Adj.)'!F51</f>
        <v>3041.7</v>
      </c>
      <c r="Y39" s="37">
        <f>'Economic (2020 Adj.)'!H51</f>
        <v>381.8</v>
      </c>
      <c r="Z39" s="37">
        <f>'Economic (2020 Adj.)'!E51</f>
        <v>6702</v>
      </c>
      <c r="AA39" s="37">
        <f>'Economic (2020 Adj.)'!G51</f>
        <v>3018.2</v>
      </c>
      <c r="AB39" s="37">
        <f>'Economic (2020 Adj.)'!I51</f>
        <v>382.7</v>
      </c>
      <c r="AC39" s="39">
        <f>Weather!D171</f>
        <v>-2.9821428571428572</v>
      </c>
      <c r="AD39" s="39">
        <f>Weather!E171</f>
        <v>643.49999999999989</v>
      </c>
      <c r="AE39" s="39">
        <f>Weather!F171</f>
        <v>0</v>
      </c>
      <c r="AF39" s="39">
        <f>Weather!G171</f>
        <v>587.49999999999989</v>
      </c>
      <c r="AG39" s="39">
        <f>Weather!H171</f>
        <v>0</v>
      </c>
      <c r="AH39" s="39">
        <f>Weather!I171</f>
        <v>531.5</v>
      </c>
      <c r="AI39" s="39">
        <f>Weather!J171</f>
        <v>0</v>
      </c>
      <c r="AJ39" s="39">
        <f>Weather!K171</f>
        <v>475.5</v>
      </c>
      <c r="AK39" s="39">
        <f>Weather!L171</f>
        <v>0</v>
      </c>
      <c r="AL39" s="39">
        <f>Weather!M171</f>
        <v>419.5</v>
      </c>
      <c r="AM39" s="39">
        <f>Weather!N171</f>
        <v>0</v>
      </c>
      <c r="AN39" s="39">
        <f>Weather!O171</f>
        <v>363.5</v>
      </c>
      <c r="AO39" s="39">
        <f>Weather!P171</f>
        <v>0</v>
      </c>
      <c r="AP39" s="39">
        <f>Weather!Q171</f>
        <v>307.50000000000006</v>
      </c>
      <c r="AQ39" s="39">
        <f>Weather!R171</f>
        <v>0</v>
      </c>
      <c r="AR39" s="201">
        <v>0</v>
      </c>
      <c r="AS39" s="201">
        <v>1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 s="201">
        <v>0</v>
      </c>
      <c r="BD39" s="201">
        <v>0</v>
      </c>
      <c r="BE39" s="201">
        <v>0</v>
      </c>
      <c r="BF39" s="201">
        <v>0</v>
      </c>
      <c r="BG39" s="202">
        <f t="shared" si="4"/>
        <v>38</v>
      </c>
      <c r="BH39" s="201">
        <v>28</v>
      </c>
      <c r="BI39" s="201">
        <v>19</v>
      </c>
      <c r="BJ39" s="160">
        <f t="shared" si="5"/>
        <v>695.12677892035936</v>
      </c>
      <c r="BK39" s="160">
        <f t="shared" si="6"/>
        <v>24.825956390012834</v>
      </c>
      <c r="BL39" s="159">
        <f t="shared" si="7"/>
        <v>1470168.3114601702</v>
      </c>
      <c r="BM39" s="160">
        <f t="shared" si="8"/>
        <v>2818.5887193580297</v>
      </c>
      <c r="BN39" s="160">
        <f t="shared" si="9"/>
        <v>100.66388283421534</v>
      </c>
      <c r="BO39" s="160">
        <f t="shared" si="10"/>
        <v>520935.59366706439</v>
      </c>
      <c r="BP39" s="160">
        <f t="shared" si="11"/>
        <v>72620.982929083475</v>
      </c>
      <c r="BQ39" s="160">
        <f t="shared" si="12"/>
        <v>2593.6065331815525</v>
      </c>
      <c r="BR39" s="160">
        <f t="shared" si="13"/>
        <v>3822.1569962675512</v>
      </c>
      <c r="BS39" s="160">
        <f t="shared" si="14"/>
        <v>2598793.746247916</v>
      </c>
      <c r="BT39" s="160">
        <f t="shared" si="15"/>
        <v>3829801.3102600863</v>
      </c>
    </row>
    <row r="40" spans="1:72" x14ac:dyDescent="0.2">
      <c r="A40" s="204">
        <v>41334</v>
      </c>
      <c r="B40" s="205">
        <f t="shared" si="0"/>
        <v>2013</v>
      </c>
      <c r="C40" s="203">
        <v>42065457</v>
      </c>
      <c r="D40" s="203">
        <f>VLOOKUP(B40,CDM!$I$5:$N$15,2,FALSE)/12</f>
        <v>369590.720884763</v>
      </c>
      <c r="E40" s="203">
        <f t="shared" si="1"/>
        <v>42435047.720884763</v>
      </c>
      <c r="F40" s="208">
        <v>59221</v>
      </c>
      <c r="G40" s="206">
        <v>15191000</v>
      </c>
      <c r="H40" s="208">
        <v>5178</v>
      </c>
      <c r="I40" s="203">
        <f>VLOOKUP(B40,CDM!$I$5:$N$15,3,FALSE)/12</f>
        <v>181207.62267780254</v>
      </c>
      <c r="J40" s="203">
        <f t="shared" si="2"/>
        <v>15372207.622677803</v>
      </c>
      <c r="K40" s="206">
        <v>75672079</v>
      </c>
      <c r="L40" s="203">
        <f>VLOOKUP(B40,CDM!$I$5:$N$15,4,FALSE)/12</f>
        <v>1222924.8949416389</v>
      </c>
      <c r="M40" s="87">
        <f t="shared" si="3"/>
        <v>76895003.894941643</v>
      </c>
      <c r="N40" s="206">
        <v>197492</v>
      </c>
      <c r="O40" s="208">
        <v>1004</v>
      </c>
      <c r="P40" s="206">
        <v>856916</v>
      </c>
      <c r="Q40" s="206">
        <v>2290</v>
      </c>
      <c r="R40" s="206">
        <v>15105</v>
      </c>
      <c r="S40" s="206">
        <v>261170</v>
      </c>
      <c r="T40" s="202">
        <v>25</v>
      </c>
      <c r="U40" s="202">
        <v>586</v>
      </c>
      <c r="V40" s="37">
        <f>'Economic (2020 Adj.)'!C52</f>
        <v>643937</v>
      </c>
      <c r="W40" s="37">
        <f>'Economic (2020 Adj.)'!D52</f>
        <v>6781.1</v>
      </c>
      <c r="X40" s="37">
        <f>'Economic (2020 Adj.)'!F52</f>
        <v>3045.3</v>
      </c>
      <c r="Y40" s="37">
        <f>'Economic (2020 Adj.)'!H52</f>
        <v>380.1</v>
      </c>
      <c r="Z40" s="37">
        <f>'Economic (2020 Adj.)'!E52</f>
        <v>6675.8</v>
      </c>
      <c r="AA40" s="37">
        <f>'Economic (2020 Adj.)'!G52</f>
        <v>3007</v>
      </c>
      <c r="AB40" s="37">
        <f>'Economic (2020 Adj.)'!I52</f>
        <v>379.3</v>
      </c>
      <c r="AC40" s="39">
        <f>Weather!D172</f>
        <v>1.1193548387096774</v>
      </c>
      <c r="AD40" s="39">
        <f>Weather!E172</f>
        <v>585.30000000000007</v>
      </c>
      <c r="AE40" s="39">
        <f>Weather!F172</f>
        <v>0</v>
      </c>
      <c r="AF40" s="39">
        <f>Weather!G172</f>
        <v>523.30000000000007</v>
      </c>
      <c r="AG40" s="39">
        <f>Weather!H172</f>
        <v>0</v>
      </c>
      <c r="AH40" s="39">
        <f>Weather!I172</f>
        <v>461.30000000000007</v>
      </c>
      <c r="AI40" s="39">
        <f>Weather!J172</f>
        <v>0</v>
      </c>
      <c r="AJ40" s="39">
        <f>Weather!K172</f>
        <v>399.30000000000007</v>
      </c>
      <c r="AK40" s="39">
        <f>Weather!L172</f>
        <v>0</v>
      </c>
      <c r="AL40" s="39">
        <f>Weather!M172</f>
        <v>337.3</v>
      </c>
      <c r="AM40" s="39">
        <f>Weather!N172</f>
        <v>0</v>
      </c>
      <c r="AN40" s="39">
        <f>Weather!O172</f>
        <v>275.29999999999995</v>
      </c>
      <c r="AO40" s="39">
        <f>Weather!P172</f>
        <v>0</v>
      </c>
      <c r="AP40" s="39">
        <f>Weather!Q172</f>
        <v>214.7</v>
      </c>
      <c r="AQ40" s="39">
        <f>Weather!R172</f>
        <v>1.4000000000000004</v>
      </c>
      <c r="AR40" s="201">
        <v>0</v>
      </c>
      <c r="AS40" s="201">
        <v>0</v>
      </c>
      <c r="AT40" s="201">
        <v>1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 s="201">
        <v>0</v>
      </c>
      <c r="BD40" s="201">
        <v>1</v>
      </c>
      <c r="BE40" s="201">
        <v>0</v>
      </c>
      <c r="BF40" s="201">
        <v>1</v>
      </c>
      <c r="BG40" s="202">
        <f t="shared" si="4"/>
        <v>39</v>
      </c>
      <c r="BH40" s="201">
        <v>31</v>
      </c>
      <c r="BI40" s="201">
        <v>19</v>
      </c>
      <c r="BJ40" s="160">
        <f t="shared" si="5"/>
        <v>716.55405550201385</v>
      </c>
      <c r="BK40" s="160">
        <f t="shared" si="6"/>
        <v>23.114646951677866</v>
      </c>
      <c r="BL40" s="159">
        <f t="shared" si="7"/>
        <v>1368872.507125315</v>
      </c>
      <c r="BM40" s="160">
        <f t="shared" si="8"/>
        <v>2968.7538861872931</v>
      </c>
      <c r="BN40" s="160">
        <f t="shared" si="9"/>
        <v>95.766254393138482</v>
      </c>
      <c r="BO40" s="160">
        <f t="shared" si="10"/>
        <v>495877.66524767107</v>
      </c>
      <c r="BP40" s="160">
        <f t="shared" si="11"/>
        <v>76588.649297750642</v>
      </c>
      <c r="BQ40" s="160">
        <f t="shared" si="12"/>
        <v>2470.6015902500208</v>
      </c>
      <c r="BR40" s="160">
        <f t="shared" si="13"/>
        <v>4030.981541986876</v>
      </c>
      <c r="BS40" s="160">
        <f t="shared" si="14"/>
        <v>2480483.9966110205</v>
      </c>
      <c r="BT40" s="160">
        <f t="shared" si="15"/>
        <v>4047105.4681548234</v>
      </c>
    </row>
    <row r="41" spans="1:72" x14ac:dyDescent="0.2">
      <c r="A41" s="204">
        <v>41365</v>
      </c>
      <c r="B41" s="205">
        <f t="shared" si="0"/>
        <v>2013</v>
      </c>
      <c r="C41" s="203">
        <v>38200971</v>
      </c>
      <c r="D41" s="203">
        <f>VLOOKUP(B41,CDM!$I$5:$N$15,2,FALSE)/12</f>
        <v>369590.720884763</v>
      </c>
      <c r="E41" s="203">
        <f t="shared" si="1"/>
        <v>38570561.720884763</v>
      </c>
      <c r="F41" s="208">
        <v>59208</v>
      </c>
      <c r="G41" s="206">
        <v>13739432</v>
      </c>
      <c r="H41" s="208">
        <v>5137</v>
      </c>
      <c r="I41" s="203">
        <f>VLOOKUP(B41,CDM!$I$5:$N$15,3,FALSE)/12</f>
        <v>181207.62267780254</v>
      </c>
      <c r="J41" s="203">
        <f t="shared" si="2"/>
        <v>13920639.622677803</v>
      </c>
      <c r="K41" s="206">
        <v>71263039</v>
      </c>
      <c r="L41" s="203">
        <f>VLOOKUP(B41,CDM!$I$5:$N$15,4,FALSE)/12</f>
        <v>1222924.8949416389</v>
      </c>
      <c r="M41" s="87">
        <f t="shared" si="3"/>
        <v>72485963.894941643</v>
      </c>
      <c r="N41" s="206">
        <v>194894</v>
      </c>
      <c r="O41" s="208">
        <v>1006</v>
      </c>
      <c r="P41" s="206">
        <v>727535</v>
      </c>
      <c r="Q41" s="206">
        <v>2290</v>
      </c>
      <c r="R41" s="208">
        <v>15105</v>
      </c>
      <c r="S41" s="206">
        <v>258493</v>
      </c>
      <c r="T41" s="202">
        <v>25</v>
      </c>
      <c r="U41" s="202">
        <v>580</v>
      </c>
      <c r="V41" s="37">
        <f>'Economic (2020 Adj.)'!C53</f>
        <v>643937</v>
      </c>
      <c r="W41" s="37">
        <f>'Economic (2020 Adj.)'!D53</f>
        <v>6788.9</v>
      </c>
      <c r="X41" s="37">
        <f>'Economic (2020 Adj.)'!F53</f>
        <v>3057</v>
      </c>
      <c r="Y41" s="37">
        <f>'Economic (2020 Adj.)'!H53</f>
        <v>377.1</v>
      </c>
      <c r="Z41" s="37">
        <f>'Economic (2020 Adj.)'!E53</f>
        <v>6703.7</v>
      </c>
      <c r="AA41" s="37">
        <f>'Economic (2020 Adj.)'!G53</f>
        <v>3026.3</v>
      </c>
      <c r="AB41" s="37">
        <f>'Economic (2020 Adj.)'!I53</f>
        <v>375.4</v>
      </c>
      <c r="AC41" s="39">
        <f>Weather!D173</f>
        <v>6.0466666666666669</v>
      </c>
      <c r="AD41" s="39">
        <f>Weather!E173</f>
        <v>418.59999999999985</v>
      </c>
      <c r="AE41" s="39">
        <f>Weather!F173</f>
        <v>0</v>
      </c>
      <c r="AF41" s="39">
        <f>Weather!G173</f>
        <v>358.59999999999985</v>
      </c>
      <c r="AG41" s="39">
        <f>Weather!H173</f>
        <v>0</v>
      </c>
      <c r="AH41" s="39">
        <f>Weather!I173</f>
        <v>298.59999999999991</v>
      </c>
      <c r="AI41" s="39">
        <f>Weather!J173</f>
        <v>0</v>
      </c>
      <c r="AJ41" s="39">
        <f>Weather!K173</f>
        <v>240.19999999999993</v>
      </c>
      <c r="AK41" s="39">
        <f>Weather!L173</f>
        <v>1.5999999999999996</v>
      </c>
      <c r="AL41" s="39">
        <f>Weather!M173</f>
        <v>182.99999999999997</v>
      </c>
      <c r="AM41" s="39">
        <f>Weather!N173</f>
        <v>4.4000000000000004</v>
      </c>
      <c r="AN41" s="39">
        <f>Weather!O173</f>
        <v>129.40000000000003</v>
      </c>
      <c r="AO41" s="39">
        <f>Weather!P173</f>
        <v>10.8</v>
      </c>
      <c r="AP41" s="39">
        <f>Weather!Q173</f>
        <v>84.200000000000017</v>
      </c>
      <c r="AQ41" s="39">
        <f>Weather!R173</f>
        <v>25.600000000000005</v>
      </c>
      <c r="AR41" s="201">
        <v>0</v>
      </c>
      <c r="AS41" s="201">
        <v>0</v>
      </c>
      <c r="AT41" s="201">
        <v>0</v>
      </c>
      <c r="AU41" s="201">
        <v>1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 s="201">
        <v>0</v>
      </c>
      <c r="BD41" s="201">
        <v>1</v>
      </c>
      <c r="BE41" s="201">
        <v>0</v>
      </c>
      <c r="BF41" s="201">
        <v>1</v>
      </c>
      <c r="BG41" s="202">
        <f t="shared" si="4"/>
        <v>40</v>
      </c>
      <c r="BH41" s="201">
        <v>30</v>
      </c>
      <c r="BI41" s="201">
        <v>22</v>
      </c>
      <c r="BJ41" s="160">
        <f t="shared" si="5"/>
        <v>651.44172613303544</v>
      </c>
      <c r="BK41" s="160">
        <f t="shared" si="6"/>
        <v>21.714724204434514</v>
      </c>
      <c r="BL41" s="159">
        <f t="shared" si="7"/>
        <v>1285685.3906961589</v>
      </c>
      <c r="BM41" s="160">
        <f t="shared" si="8"/>
        <v>2709.8772868751807</v>
      </c>
      <c r="BN41" s="160">
        <f t="shared" si="9"/>
        <v>90.329242895839357</v>
      </c>
      <c r="BO41" s="160">
        <f t="shared" si="10"/>
        <v>464021.32075592678</v>
      </c>
      <c r="BP41" s="160">
        <f t="shared" si="11"/>
        <v>72053.642042685533</v>
      </c>
      <c r="BQ41" s="160">
        <f t="shared" si="12"/>
        <v>2401.7880680895178</v>
      </c>
      <c r="BR41" s="160">
        <f t="shared" si="13"/>
        <v>3275.1655473947972</v>
      </c>
      <c r="BS41" s="160">
        <f t="shared" si="14"/>
        <v>2416198.7964980546</v>
      </c>
      <c r="BT41" s="160">
        <f t="shared" si="15"/>
        <v>3294816.5406791656</v>
      </c>
    </row>
    <row r="42" spans="1:72" x14ac:dyDescent="0.2">
      <c r="A42" s="204">
        <v>41395</v>
      </c>
      <c r="B42" s="205">
        <f t="shared" si="0"/>
        <v>2013</v>
      </c>
      <c r="C42" s="203">
        <v>41031626</v>
      </c>
      <c r="D42" s="203">
        <f>VLOOKUP(B42,CDM!$I$5:$N$15,2,FALSE)/12</f>
        <v>369590.720884763</v>
      </c>
      <c r="E42" s="203">
        <f t="shared" si="1"/>
        <v>41401216.720884763</v>
      </c>
      <c r="F42" s="206">
        <v>59245</v>
      </c>
      <c r="G42" s="206">
        <v>13706323</v>
      </c>
      <c r="H42" s="206">
        <v>5144</v>
      </c>
      <c r="I42" s="203">
        <f>VLOOKUP(B42,CDM!$I$5:$N$15,3,FALSE)/12</f>
        <v>181207.62267780254</v>
      </c>
      <c r="J42" s="203">
        <f t="shared" si="2"/>
        <v>13887530.622677803</v>
      </c>
      <c r="K42" s="206">
        <v>73289948</v>
      </c>
      <c r="L42" s="203">
        <f>VLOOKUP(B42,CDM!$I$5:$N$15,4,FALSE)/12</f>
        <v>1222924.8949416389</v>
      </c>
      <c r="M42" s="87">
        <f t="shared" si="3"/>
        <v>74512872.894941643</v>
      </c>
      <c r="N42" s="206">
        <v>190791</v>
      </c>
      <c r="O42" s="206">
        <v>1006</v>
      </c>
      <c r="P42" s="206">
        <v>662105</v>
      </c>
      <c r="Q42" s="206">
        <v>2290</v>
      </c>
      <c r="R42" s="208">
        <v>15105</v>
      </c>
      <c r="S42" s="206">
        <v>258920</v>
      </c>
      <c r="T42" s="202">
        <v>25</v>
      </c>
      <c r="U42" s="202">
        <v>580</v>
      </c>
      <c r="V42" s="37">
        <f>'Economic (2020 Adj.)'!C54</f>
        <v>643937</v>
      </c>
      <c r="W42" s="37">
        <f>'Economic (2020 Adj.)'!D54</f>
        <v>6801.1</v>
      </c>
      <c r="X42" s="37">
        <f>'Economic (2020 Adj.)'!F54</f>
        <v>3073.7</v>
      </c>
      <c r="Y42" s="37">
        <f>'Economic (2020 Adj.)'!H54</f>
        <v>378.2</v>
      </c>
      <c r="Z42" s="37">
        <f>'Economic (2020 Adj.)'!E54</f>
        <v>6770.3</v>
      </c>
      <c r="AA42" s="37">
        <f>'Economic (2020 Adj.)'!G54</f>
        <v>3059.1</v>
      </c>
      <c r="AB42" s="37">
        <f>'Economic (2020 Adj.)'!I54</f>
        <v>376.4</v>
      </c>
      <c r="AC42" s="39">
        <f>Weather!D174</f>
        <v>13.312903225806453</v>
      </c>
      <c r="AD42" s="39">
        <f>Weather!E174</f>
        <v>216.00000000000003</v>
      </c>
      <c r="AE42" s="39">
        <f>Weather!F174</f>
        <v>8.6999999999999993</v>
      </c>
      <c r="AF42" s="39">
        <f>Weather!G174</f>
        <v>161.5</v>
      </c>
      <c r="AG42" s="39">
        <f>Weather!H174</f>
        <v>16.2</v>
      </c>
      <c r="AH42" s="39">
        <f>Weather!I174</f>
        <v>109.9</v>
      </c>
      <c r="AI42" s="39">
        <f>Weather!J174</f>
        <v>26.599999999999998</v>
      </c>
      <c r="AJ42" s="39">
        <f>Weather!K174</f>
        <v>64.599999999999994</v>
      </c>
      <c r="AK42" s="39">
        <f>Weather!L174</f>
        <v>43.3</v>
      </c>
      <c r="AL42" s="39">
        <f>Weather!M174</f>
        <v>28.200000000000003</v>
      </c>
      <c r="AM42" s="39">
        <f>Weather!N174</f>
        <v>68.899999999999991</v>
      </c>
      <c r="AN42" s="39">
        <f>Weather!O174</f>
        <v>10.700000000000001</v>
      </c>
      <c r="AO42" s="39">
        <f>Weather!P174</f>
        <v>113.39999999999999</v>
      </c>
      <c r="AP42" s="39">
        <f>Weather!Q174</f>
        <v>3.5</v>
      </c>
      <c r="AQ42" s="39">
        <f>Weather!R174</f>
        <v>168.2</v>
      </c>
      <c r="AR42" s="201">
        <v>0</v>
      </c>
      <c r="AS42" s="201">
        <v>0</v>
      </c>
      <c r="AT42" s="201">
        <v>0</v>
      </c>
      <c r="AU42" s="201">
        <v>0</v>
      </c>
      <c r="AV42" s="201">
        <v>1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 s="201">
        <v>0</v>
      </c>
      <c r="BD42" s="201">
        <v>1</v>
      </c>
      <c r="BE42" s="201">
        <v>0</v>
      </c>
      <c r="BF42" s="201">
        <v>1</v>
      </c>
      <c r="BG42" s="202">
        <f t="shared" si="4"/>
        <v>41</v>
      </c>
      <c r="BH42" s="201">
        <v>31</v>
      </c>
      <c r="BI42" s="201">
        <v>22</v>
      </c>
      <c r="BJ42" s="160">
        <f t="shared" si="5"/>
        <v>698.81368420769286</v>
      </c>
      <c r="BK42" s="160">
        <f t="shared" si="6"/>
        <v>22.542376909925576</v>
      </c>
      <c r="BL42" s="159">
        <f t="shared" si="7"/>
        <v>1335523.1200285407</v>
      </c>
      <c r="BM42" s="160">
        <f t="shared" si="8"/>
        <v>2699.7532314692462</v>
      </c>
      <c r="BN42" s="160">
        <f t="shared" si="9"/>
        <v>87.088813918362774</v>
      </c>
      <c r="BO42" s="160">
        <f t="shared" si="10"/>
        <v>447984.85879605816</v>
      </c>
      <c r="BP42" s="160">
        <f t="shared" si="11"/>
        <v>74068.462122208395</v>
      </c>
      <c r="BQ42" s="160">
        <f t="shared" si="12"/>
        <v>2389.3052297486579</v>
      </c>
      <c r="BR42" s="160">
        <f t="shared" si="13"/>
        <v>3366.7482782821999</v>
      </c>
      <c r="BS42" s="160">
        <f t="shared" si="14"/>
        <v>2403641.06112715</v>
      </c>
      <c r="BT42" s="160">
        <f t="shared" si="15"/>
        <v>3386948.7679518927</v>
      </c>
    </row>
    <row r="43" spans="1:72" x14ac:dyDescent="0.2">
      <c r="A43" s="204">
        <v>41426</v>
      </c>
      <c r="B43" s="205">
        <f t="shared" si="0"/>
        <v>2013</v>
      </c>
      <c r="C43" s="203">
        <v>47475901</v>
      </c>
      <c r="D43" s="203">
        <f>VLOOKUP(B43,CDM!$I$5:$N$15,2,FALSE)/12</f>
        <v>369590.720884763</v>
      </c>
      <c r="E43" s="203">
        <f t="shared" si="1"/>
        <v>47845491.720884763</v>
      </c>
      <c r="F43" s="208">
        <v>59259</v>
      </c>
      <c r="G43" s="206">
        <v>14242326</v>
      </c>
      <c r="H43" s="208">
        <v>5144</v>
      </c>
      <c r="I43" s="203">
        <f>VLOOKUP(B43,CDM!$I$5:$N$15,3,FALSE)/12</f>
        <v>181207.62267780254</v>
      </c>
      <c r="J43" s="203">
        <f t="shared" si="2"/>
        <v>14423533.622677803</v>
      </c>
      <c r="K43" s="206">
        <v>75046589</v>
      </c>
      <c r="L43" s="203">
        <f>VLOOKUP(B43,CDM!$I$5:$N$15,4,FALSE)/12</f>
        <v>1222924.8949416389</v>
      </c>
      <c r="M43" s="87">
        <f t="shared" si="3"/>
        <v>76269513.894941643</v>
      </c>
      <c r="N43" s="206">
        <v>202400</v>
      </c>
      <c r="O43" s="208">
        <v>1005</v>
      </c>
      <c r="P43" s="206">
        <v>595876</v>
      </c>
      <c r="Q43" s="206">
        <v>2290</v>
      </c>
      <c r="R43" s="206">
        <v>15106</v>
      </c>
      <c r="S43" s="206">
        <v>256683</v>
      </c>
      <c r="T43" s="202">
        <v>25</v>
      </c>
      <c r="U43" s="202">
        <v>580</v>
      </c>
      <c r="V43" s="37">
        <f>'Economic (2020 Adj.)'!C55</f>
        <v>643937</v>
      </c>
      <c r="W43" s="37">
        <f>'Economic (2020 Adj.)'!D55</f>
        <v>6815.2</v>
      </c>
      <c r="X43" s="37">
        <f>'Economic (2020 Adj.)'!F55</f>
        <v>3092.4</v>
      </c>
      <c r="Y43" s="37">
        <f>'Economic (2020 Adj.)'!H55</f>
        <v>376.8</v>
      </c>
      <c r="Z43" s="37">
        <f>'Economic (2020 Adj.)'!E55</f>
        <v>6861.8</v>
      </c>
      <c r="AA43" s="37">
        <f>'Economic (2020 Adj.)'!G55</f>
        <v>3103.8</v>
      </c>
      <c r="AB43" s="37">
        <f>'Economic (2020 Adj.)'!I55</f>
        <v>378.6</v>
      </c>
      <c r="AC43" s="39">
        <f>Weather!D175</f>
        <v>18.400000000000002</v>
      </c>
      <c r="AD43" s="39">
        <f>Weather!E175</f>
        <v>79.400000000000006</v>
      </c>
      <c r="AE43" s="39">
        <f>Weather!F175</f>
        <v>31.400000000000002</v>
      </c>
      <c r="AF43" s="39">
        <f>Weather!G175</f>
        <v>43.599999999999994</v>
      </c>
      <c r="AG43" s="39">
        <f>Weather!H175</f>
        <v>55.6</v>
      </c>
      <c r="AH43" s="39">
        <f>Weather!I175</f>
        <v>17.8</v>
      </c>
      <c r="AI43" s="39">
        <f>Weather!J175</f>
        <v>89.800000000000011</v>
      </c>
      <c r="AJ43" s="39">
        <f>Weather!K175</f>
        <v>5.5999999999999979</v>
      </c>
      <c r="AK43" s="39">
        <f>Weather!L175</f>
        <v>137.6</v>
      </c>
      <c r="AL43" s="39">
        <f>Weather!M175</f>
        <v>9.9999999999999645E-2</v>
      </c>
      <c r="AM43" s="39">
        <f>Weather!N175</f>
        <v>192.10000000000002</v>
      </c>
      <c r="AN43" s="39">
        <f>Weather!O175</f>
        <v>0</v>
      </c>
      <c r="AO43" s="39">
        <f>Weather!P175</f>
        <v>252.00000000000003</v>
      </c>
      <c r="AP43" s="39">
        <f>Weather!Q175</f>
        <v>0</v>
      </c>
      <c r="AQ43" s="39">
        <f>Weather!R175</f>
        <v>312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1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 s="201">
        <v>0</v>
      </c>
      <c r="BD43" s="201">
        <v>0</v>
      </c>
      <c r="BE43" s="201">
        <v>0</v>
      </c>
      <c r="BF43" s="201">
        <v>0</v>
      </c>
      <c r="BG43" s="202">
        <f t="shared" si="4"/>
        <v>42</v>
      </c>
      <c r="BH43" s="201">
        <v>30</v>
      </c>
      <c r="BI43" s="201">
        <v>20</v>
      </c>
      <c r="BJ43" s="160">
        <f t="shared" si="5"/>
        <v>807.39620514832791</v>
      </c>
      <c r="BK43" s="160">
        <f t="shared" si="6"/>
        <v>26.913206838277596</v>
      </c>
      <c r="BL43" s="159">
        <f t="shared" si="7"/>
        <v>1594849.7240294921</v>
      </c>
      <c r="BM43" s="160">
        <f t="shared" si="8"/>
        <v>2803.9528815470067</v>
      </c>
      <c r="BN43" s="160">
        <f t="shared" si="9"/>
        <v>93.465096051566888</v>
      </c>
      <c r="BO43" s="160">
        <f t="shared" si="10"/>
        <v>480784.45408926008</v>
      </c>
      <c r="BP43" s="160">
        <f t="shared" si="11"/>
        <v>75890.063577056368</v>
      </c>
      <c r="BQ43" s="160">
        <f t="shared" si="12"/>
        <v>2529.6687859018789</v>
      </c>
      <c r="BR43" s="160">
        <f t="shared" si="13"/>
        <v>3794.5031788528186</v>
      </c>
      <c r="BS43" s="160">
        <f t="shared" si="14"/>
        <v>2542317.1298313881</v>
      </c>
      <c r="BT43" s="160">
        <f t="shared" si="15"/>
        <v>3813475.694747082</v>
      </c>
    </row>
    <row r="44" spans="1:72" x14ac:dyDescent="0.2">
      <c r="A44" s="204">
        <v>41456</v>
      </c>
      <c r="B44" s="205">
        <f t="shared" si="0"/>
        <v>2013</v>
      </c>
      <c r="C44" s="203">
        <v>55945224</v>
      </c>
      <c r="D44" s="203">
        <f>VLOOKUP(B44,CDM!$I$5:$N$15,2,FALSE)/12</f>
        <v>369590.720884763</v>
      </c>
      <c r="E44" s="203">
        <f t="shared" si="1"/>
        <v>56314814.720884763</v>
      </c>
      <c r="F44" s="208">
        <v>59290</v>
      </c>
      <c r="G44" s="206">
        <v>16054931</v>
      </c>
      <c r="H44" s="208">
        <v>5148</v>
      </c>
      <c r="I44" s="203">
        <f>VLOOKUP(B44,CDM!$I$5:$N$15,3,FALSE)/12</f>
        <v>181207.62267780254</v>
      </c>
      <c r="J44" s="203">
        <f t="shared" si="2"/>
        <v>16236138.622677803</v>
      </c>
      <c r="K44" s="206">
        <v>82236270</v>
      </c>
      <c r="L44" s="203">
        <f>VLOOKUP(B44,CDM!$I$5:$N$15,4,FALSE)/12</f>
        <v>1222924.8949416389</v>
      </c>
      <c r="M44" s="87">
        <f t="shared" si="3"/>
        <v>83459194.894941643</v>
      </c>
      <c r="N44" s="206">
        <v>226601</v>
      </c>
      <c r="O44" s="208">
        <v>1007</v>
      </c>
      <c r="P44" s="206">
        <v>637883</v>
      </c>
      <c r="Q44" s="206">
        <v>2290</v>
      </c>
      <c r="R44" s="208">
        <v>15106</v>
      </c>
      <c r="S44" s="206">
        <v>258065</v>
      </c>
      <c r="T44" s="202">
        <v>25</v>
      </c>
      <c r="U44" s="202">
        <v>578</v>
      </c>
      <c r="V44" s="37">
        <f>'Economic (2020 Adj.)'!C56</f>
        <v>643937</v>
      </c>
      <c r="W44" s="37">
        <f>'Economic (2020 Adj.)'!D56</f>
        <v>6826.2</v>
      </c>
      <c r="X44" s="37">
        <f>'Economic (2020 Adj.)'!F56</f>
        <v>3100</v>
      </c>
      <c r="Y44" s="37">
        <f>'Economic (2020 Adj.)'!H56</f>
        <v>375.3</v>
      </c>
      <c r="Z44" s="37">
        <f>'Economic (2020 Adj.)'!E56</f>
        <v>6917.1</v>
      </c>
      <c r="AA44" s="37">
        <f>'Economic (2020 Adj.)'!G56</f>
        <v>3122.7</v>
      </c>
      <c r="AB44" s="37">
        <f>'Economic (2020 Adj.)'!I56</f>
        <v>378.7</v>
      </c>
      <c r="AC44" s="39">
        <f>Weather!D176</f>
        <v>22.22258064516129</v>
      </c>
      <c r="AD44" s="39">
        <f>Weather!E176</f>
        <v>14.5</v>
      </c>
      <c r="AE44" s="39">
        <f>Weather!F176</f>
        <v>83.399999999999977</v>
      </c>
      <c r="AF44" s="39">
        <f>Weather!G176</f>
        <v>0.69999999999999929</v>
      </c>
      <c r="AG44" s="39">
        <f>Weather!H176</f>
        <v>131.6</v>
      </c>
      <c r="AH44" s="39">
        <f>Weather!I176</f>
        <v>0</v>
      </c>
      <c r="AI44" s="39">
        <f>Weather!J176</f>
        <v>192.90000000000003</v>
      </c>
      <c r="AJ44" s="39">
        <f>Weather!K176</f>
        <v>0</v>
      </c>
      <c r="AK44" s="39">
        <f>Weather!L176</f>
        <v>254.90000000000003</v>
      </c>
      <c r="AL44" s="39">
        <f>Weather!M176</f>
        <v>0</v>
      </c>
      <c r="AM44" s="39">
        <f>Weather!N176</f>
        <v>316.89999999999998</v>
      </c>
      <c r="AN44" s="39">
        <f>Weather!O176</f>
        <v>0</v>
      </c>
      <c r="AO44" s="39">
        <f>Weather!P176</f>
        <v>378.9</v>
      </c>
      <c r="AP44" s="39">
        <f>Weather!Q176</f>
        <v>0</v>
      </c>
      <c r="AQ44" s="39">
        <f>Weather!R176</f>
        <v>440.9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1</v>
      </c>
      <c r="AY44" s="201">
        <v>0</v>
      </c>
      <c r="AZ44" s="201">
        <v>0</v>
      </c>
      <c r="BA44" s="201">
        <v>0</v>
      </c>
      <c r="BB44" s="201">
        <v>0</v>
      </c>
      <c r="BC44" s="201">
        <v>0</v>
      </c>
      <c r="BD44" s="201">
        <v>0</v>
      </c>
      <c r="BE44" s="201">
        <v>0</v>
      </c>
      <c r="BF44" s="201">
        <v>0</v>
      </c>
      <c r="BG44" s="202">
        <f t="shared" si="4"/>
        <v>43</v>
      </c>
      <c r="BH44" s="201">
        <v>31</v>
      </c>
      <c r="BI44" s="201">
        <v>22</v>
      </c>
      <c r="BJ44" s="160">
        <f t="shared" si="5"/>
        <v>949.81977940436434</v>
      </c>
      <c r="BK44" s="160">
        <f t="shared" si="6"/>
        <v>30.639347722721432</v>
      </c>
      <c r="BL44" s="159">
        <f t="shared" si="7"/>
        <v>1816606.9264801536</v>
      </c>
      <c r="BM44" s="160">
        <f t="shared" si="8"/>
        <v>3153.8730813282446</v>
      </c>
      <c r="BN44" s="160">
        <f t="shared" si="9"/>
        <v>101.73784133316919</v>
      </c>
      <c r="BO44" s="160">
        <f t="shared" si="10"/>
        <v>523746.40718315495</v>
      </c>
      <c r="BP44" s="160">
        <f t="shared" si="11"/>
        <v>82879.041603715639</v>
      </c>
      <c r="BQ44" s="160">
        <f t="shared" si="12"/>
        <v>2673.5174710876013</v>
      </c>
      <c r="BR44" s="160">
        <f t="shared" si="13"/>
        <v>3767.2291638052561</v>
      </c>
      <c r="BS44" s="160">
        <f t="shared" si="14"/>
        <v>2692232.0933852145</v>
      </c>
      <c r="BT44" s="160">
        <f t="shared" si="15"/>
        <v>3793599.7679518927</v>
      </c>
    </row>
    <row r="45" spans="1:72" x14ac:dyDescent="0.2">
      <c r="A45" s="204">
        <v>41487</v>
      </c>
      <c r="B45" s="205">
        <f t="shared" si="0"/>
        <v>2013</v>
      </c>
      <c r="C45" s="203">
        <v>52766493</v>
      </c>
      <c r="D45" s="203">
        <f>VLOOKUP(B45,CDM!$I$5:$N$15,2,FALSE)/12</f>
        <v>369590.720884763</v>
      </c>
      <c r="E45" s="203">
        <f t="shared" si="1"/>
        <v>53136083.720884763</v>
      </c>
      <c r="F45" s="206">
        <v>59297</v>
      </c>
      <c r="G45" s="206">
        <v>15318944</v>
      </c>
      <c r="H45" s="206">
        <v>5147</v>
      </c>
      <c r="I45" s="203">
        <f>VLOOKUP(B45,CDM!$I$5:$N$15,3,FALSE)/12</f>
        <v>181207.62267780254</v>
      </c>
      <c r="J45" s="203">
        <f t="shared" si="2"/>
        <v>15500151.622677803</v>
      </c>
      <c r="K45" s="206">
        <v>79620862</v>
      </c>
      <c r="L45" s="203">
        <f>VLOOKUP(B45,CDM!$I$5:$N$15,4,FALSE)/12</f>
        <v>1222924.8949416389</v>
      </c>
      <c r="M45" s="87">
        <f t="shared" si="3"/>
        <v>80843786.894941643</v>
      </c>
      <c r="N45" s="206">
        <v>214136</v>
      </c>
      <c r="O45" s="206">
        <v>1008</v>
      </c>
      <c r="P45" s="206">
        <v>716709</v>
      </c>
      <c r="Q45" s="206">
        <v>2291</v>
      </c>
      <c r="R45" s="208">
        <v>15123</v>
      </c>
      <c r="S45" s="206">
        <v>257817</v>
      </c>
      <c r="T45" s="202">
        <v>25</v>
      </c>
      <c r="U45" s="202">
        <v>578</v>
      </c>
      <c r="V45" s="37">
        <f>'Economic (2020 Adj.)'!C57</f>
        <v>643937</v>
      </c>
      <c r="W45" s="37">
        <f>'Economic (2020 Adj.)'!D57</f>
        <v>6833.9</v>
      </c>
      <c r="X45" s="37">
        <f>'Economic (2020 Adj.)'!F57</f>
        <v>3110.2</v>
      </c>
      <c r="Y45" s="37">
        <f>'Economic (2020 Adj.)'!H57</f>
        <v>364.2</v>
      </c>
      <c r="Z45" s="37">
        <f>'Economic (2020 Adj.)'!E57</f>
        <v>6934.7</v>
      </c>
      <c r="AA45" s="37">
        <f>'Economic (2020 Adj.)'!G57</f>
        <v>3145.2</v>
      </c>
      <c r="AB45" s="37">
        <f>'Economic (2020 Adj.)'!I57</f>
        <v>368.3</v>
      </c>
      <c r="AC45" s="39">
        <f>Weather!D177</f>
        <v>20.870967741935488</v>
      </c>
      <c r="AD45" s="39">
        <f>Weather!E177</f>
        <v>16.699999999999996</v>
      </c>
      <c r="AE45" s="39">
        <f>Weather!F177</f>
        <v>43.7</v>
      </c>
      <c r="AF45" s="39">
        <f>Weather!G177</f>
        <v>2.5999999999999979</v>
      </c>
      <c r="AG45" s="39">
        <f>Weather!H177</f>
        <v>91.600000000000009</v>
      </c>
      <c r="AH45" s="39">
        <f>Weather!I177</f>
        <v>0</v>
      </c>
      <c r="AI45" s="39">
        <f>Weather!J177</f>
        <v>151</v>
      </c>
      <c r="AJ45" s="39">
        <f>Weather!K177</f>
        <v>0</v>
      </c>
      <c r="AK45" s="39">
        <f>Weather!L177</f>
        <v>213</v>
      </c>
      <c r="AL45" s="39">
        <f>Weather!M177</f>
        <v>0</v>
      </c>
      <c r="AM45" s="39">
        <f>Weather!N177</f>
        <v>275</v>
      </c>
      <c r="AN45" s="39">
        <f>Weather!O177</f>
        <v>0</v>
      </c>
      <c r="AO45" s="39">
        <f>Weather!P177</f>
        <v>336.99999999999994</v>
      </c>
      <c r="AP45" s="39">
        <f>Weather!Q177</f>
        <v>0</v>
      </c>
      <c r="AQ45" s="39">
        <f>Weather!R177</f>
        <v>399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1</v>
      </c>
      <c r="AZ45" s="201">
        <v>0</v>
      </c>
      <c r="BA45" s="201">
        <v>0</v>
      </c>
      <c r="BB45" s="201">
        <v>0</v>
      </c>
      <c r="BC45" s="201">
        <v>0</v>
      </c>
      <c r="BD45" s="201">
        <v>0</v>
      </c>
      <c r="BE45" s="201">
        <v>0</v>
      </c>
      <c r="BF45" s="201">
        <v>0</v>
      </c>
      <c r="BG45" s="202">
        <f t="shared" si="4"/>
        <v>44</v>
      </c>
      <c r="BH45" s="201">
        <v>31</v>
      </c>
      <c r="BI45" s="201">
        <v>21</v>
      </c>
      <c r="BJ45" s="160">
        <f t="shared" si="5"/>
        <v>896.10070865110822</v>
      </c>
      <c r="BK45" s="160">
        <f t="shared" si="6"/>
        <v>28.906474472616395</v>
      </c>
      <c r="BL45" s="159">
        <f t="shared" si="7"/>
        <v>1714067.2168027342</v>
      </c>
      <c r="BM45" s="160">
        <f t="shared" si="8"/>
        <v>3011.4924466053631</v>
      </c>
      <c r="BN45" s="160">
        <f t="shared" si="9"/>
        <v>97.14491763243106</v>
      </c>
      <c r="BO45" s="160">
        <f t="shared" si="10"/>
        <v>500004.89105412265</v>
      </c>
      <c r="BP45" s="160">
        <f t="shared" si="11"/>
        <v>80202.169538632588</v>
      </c>
      <c r="BQ45" s="160">
        <f t="shared" si="12"/>
        <v>2587.1667593107286</v>
      </c>
      <c r="BR45" s="160">
        <f t="shared" si="13"/>
        <v>3819.1509304110755</v>
      </c>
      <c r="BS45" s="160">
        <f t="shared" si="14"/>
        <v>2607864.0933852145</v>
      </c>
      <c r="BT45" s="160">
        <f t="shared" si="15"/>
        <v>3849704.1378543638</v>
      </c>
    </row>
    <row r="46" spans="1:72" x14ac:dyDescent="0.2">
      <c r="A46" s="204">
        <v>41518</v>
      </c>
      <c r="B46" s="205">
        <f t="shared" si="0"/>
        <v>2013</v>
      </c>
      <c r="C46" s="203">
        <v>45057319</v>
      </c>
      <c r="D46" s="203">
        <f>VLOOKUP(B46,CDM!$I$5:$N$15,2,FALSE)/12</f>
        <v>369590.720884763</v>
      </c>
      <c r="E46" s="203">
        <f t="shared" si="1"/>
        <v>45426909.720884763</v>
      </c>
      <c r="F46" s="208">
        <v>59374</v>
      </c>
      <c r="G46" s="206">
        <v>13954399</v>
      </c>
      <c r="H46" s="208">
        <v>5152</v>
      </c>
      <c r="I46" s="203">
        <f>VLOOKUP(B46,CDM!$I$5:$N$15,3,FALSE)/12</f>
        <v>181207.62267780254</v>
      </c>
      <c r="J46" s="203">
        <f t="shared" si="2"/>
        <v>14135606.622677803</v>
      </c>
      <c r="K46" s="206">
        <v>72825903</v>
      </c>
      <c r="L46" s="203">
        <f>VLOOKUP(B46,CDM!$I$5:$N$15,4,FALSE)/12</f>
        <v>1222924.8949416389</v>
      </c>
      <c r="M46" s="87">
        <f t="shared" si="3"/>
        <v>74048827.894941643</v>
      </c>
      <c r="N46" s="206">
        <v>209426</v>
      </c>
      <c r="O46" s="208">
        <v>1009</v>
      </c>
      <c r="P46" s="206">
        <v>791327</v>
      </c>
      <c r="Q46" s="206">
        <v>2294</v>
      </c>
      <c r="R46" s="206">
        <v>15123</v>
      </c>
      <c r="S46" s="206">
        <v>257539</v>
      </c>
      <c r="T46" s="202">
        <v>25</v>
      </c>
      <c r="U46" s="202">
        <v>578</v>
      </c>
      <c r="V46" s="37">
        <f>'Economic (2020 Adj.)'!C58</f>
        <v>643937</v>
      </c>
      <c r="W46" s="37">
        <f>'Economic (2020 Adj.)'!D58</f>
        <v>6843.3</v>
      </c>
      <c r="X46" s="37">
        <f>'Economic (2020 Adj.)'!F58</f>
        <v>3116.8</v>
      </c>
      <c r="Y46" s="37">
        <f>'Economic (2020 Adj.)'!H58</f>
        <v>362.4</v>
      </c>
      <c r="Z46" s="37">
        <f>'Economic (2020 Adj.)'!E58</f>
        <v>6906.9</v>
      </c>
      <c r="AA46" s="37">
        <f>'Economic (2020 Adj.)'!G58</f>
        <v>3143.4</v>
      </c>
      <c r="AB46" s="37">
        <f>'Economic (2020 Adj.)'!I58</f>
        <v>364.6</v>
      </c>
      <c r="AC46" s="39">
        <f>Weather!D178</f>
        <v>16.766666666666669</v>
      </c>
      <c r="AD46" s="39">
        <f>Weather!E178</f>
        <v>110.80000000000001</v>
      </c>
      <c r="AE46" s="39">
        <f>Weather!F178</f>
        <v>13.799999999999997</v>
      </c>
      <c r="AF46" s="39">
        <f>Weather!G178</f>
        <v>67</v>
      </c>
      <c r="AG46" s="39">
        <f>Weather!H178</f>
        <v>29.999999999999996</v>
      </c>
      <c r="AH46" s="39">
        <f>Weather!I178</f>
        <v>34.1</v>
      </c>
      <c r="AI46" s="39">
        <f>Weather!J178</f>
        <v>57.099999999999994</v>
      </c>
      <c r="AJ46" s="39">
        <f>Weather!K178</f>
        <v>12.4</v>
      </c>
      <c r="AK46" s="39">
        <f>Weather!L178</f>
        <v>95.4</v>
      </c>
      <c r="AL46" s="39">
        <f>Weather!M178</f>
        <v>1.9000000000000004</v>
      </c>
      <c r="AM46" s="39">
        <f>Weather!N178</f>
        <v>144.9</v>
      </c>
      <c r="AN46" s="39">
        <f>Weather!O178</f>
        <v>0</v>
      </c>
      <c r="AO46" s="39">
        <f>Weather!P178</f>
        <v>203</v>
      </c>
      <c r="AP46" s="39">
        <f>Weather!Q178</f>
        <v>0</v>
      </c>
      <c r="AQ46" s="39">
        <f>Weather!R178</f>
        <v>263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1</v>
      </c>
      <c r="BA46" s="201">
        <v>0</v>
      </c>
      <c r="BB46" s="201">
        <v>0</v>
      </c>
      <c r="BC46" s="201">
        <v>0</v>
      </c>
      <c r="BD46" s="201">
        <v>0</v>
      </c>
      <c r="BE46" s="201">
        <v>1</v>
      </c>
      <c r="BF46" s="201">
        <v>1</v>
      </c>
      <c r="BG46" s="202">
        <f t="shared" si="4"/>
        <v>45</v>
      </c>
      <c r="BH46" s="201">
        <v>30</v>
      </c>
      <c r="BI46" s="201">
        <v>20</v>
      </c>
      <c r="BJ46" s="160">
        <f t="shared" si="5"/>
        <v>765.09768115479437</v>
      </c>
      <c r="BK46" s="160">
        <f t="shared" si="6"/>
        <v>25.503256038493145</v>
      </c>
      <c r="BL46" s="159">
        <f t="shared" si="7"/>
        <v>1514230.324029492</v>
      </c>
      <c r="BM46" s="160">
        <f t="shared" si="8"/>
        <v>2743.7124655818716</v>
      </c>
      <c r="BN46" s="160">
        <f t="shared" si="9"/>
        <v>91.457082186062379</v>
      </c>
      <c r="BO46" s="160">
        <f t="shared" si="10"/>
        <v>471186.88742259343</v>
      </c>
      <c r="BP46" s="160">
        <f t="shared" si="11"/>
        <v>73388.332898851979</v>
      </c>
      <c r="BQ46" s="160">
        <f t="shared" si="12"/>
        <v>2446.2777632950661</v>
      </c>
      <c r="BR46" s="160">
        <f t="shared" si="13"/>
        <v>3669.4166449425989</v>
      </c>
      <c r="BS46" s="160">
        <f t="shared" si="14"/>
        <v>2468294.2631647214</v>
      </c>
      <c r="BT46" s="160">
        <f t="shared" si="15"/>
        <v>3702441.3947470821</v>
      </c>
    </row>
    <row r="47" spans="1:72" x14ac:dyDescent="0.2">
      <c r="A47" s="204">
        <v>41548</v>
      </c>
      <c r="B47" s="205">
        <f t="shared" si="0"/>
        <v>2013</v>
      </c>
      <c r="C47" s="203">
        <v>41975335</v>
      </c>
      <c r="D47" s="203">
        <f>VLOOKUP(B47,CDM!$I$5:$N$15,2,FALSE)/12</f>
        <v>369590.720884763</v>
      </c>
      <c r="E47" s="203">
        <f t="shared" si="1"/>
        <v>42344925.720884763</v>
      </c>
      <c r="F47" s="208">
        <v>59424</v>
      </c>
      <c r="G47" s="206">
        <v>13543420</v>
      </c>
      <c r="H47" s="208">
        <v>5151</v>
      </c>
      <c r="I47" s="203">
        <f>VLOOKUP(B47,CDM!$I$5:$N$15,3,FALSE)/12</f>
        <v>181207.62267780254</v>
      </c>
      <c r="J47" s="203">
        <f t="shared" si="2"/>
        <v>13724627.622677803</v>
      </c>
      <c r="K47" s="206">
        <v>73219777</v>
      </c>
      <c r="L47" s="203">
        <f>VLOOKUP(B47,CDM!$I$5:$N$15,4,FALSE)/12</f>
        <v>1222924.8949416389</v>
      </c>
      <c r="M47" s="87">
        <f t="shared" si="3"/>
        <v>74442701.894941643</v>
      </c>
      <c r="N47" s="206">
        <v>208131</v>
      </c>
      <c r="O47" s="208">
        <v>1013</v>
      </c>
      <c r="P47" s="206">
        <v>922511</v>
      </c>
      <c r="Q47" s="206">
        <v>2295</v>
      </c>
      <c r="R47" s="208">
        <v>15130</v>
      </c>
      <c r="S47" s="206">
        <v>258086</v>
      </c>
      <c r="T47" s="202">
        <v>25</v>
      </c>
      <c r="U47" s="202">
        <v>578</v>
      </c>
      <c r="V47" s="37">
        <f>'Economic (2020 Adj.)'!C59</f>
        <v>643937</v>
      </c>
      <c r="W47" s="37">
        <f>'Economic (2020 Adj.)'!D59</f>
        <v>6850.3</v>
      </c>
      <c r="X47" s="37">
        <f>'Economic (2020 Adj.)'!F59</f>
        <v>3116</v>
      </c>
      <c r="Y47" s="37">
        <f>'Economic (2020 Adj.)'!H59</f>
        <v>363.6</v>
      </c>
      <c r="Z47" s="37">
        <f>'Economic (2020 Adj.)'!E59</f>
        <v>6889</v>
      </c>
      <c r="AA47" s="37">
        <f>'Economic (2020 Adj.)'!G59</f>
        <v>3136</v>
      </c>
      <c r="AB47" s="37">
        <f>'Economic (2020 Adj.)'!I59</f>
        <v>366.5</v>
      </c>
      <c r="AC47" s="39">
        <f>Weather!D179</f>
        <v>11.85483870967742</v>
      </c>
      <c r="AD47" s="39">
        <f>Weather!E179</f>
        <v>252.5</v>
      </c>
      <c r="AE47" s="39">
        <f>Weather!F179</f>
        <v>0</v>
      </c>
      <c r="AF47" s="39">
        <f>Weather!G179</f>
        <v>193.6</v>
      </c>
      <c r="AG47" s="39">
        <f>Weather!H179</f>
        <v>3.0999999999999979</v>
      </c>
      <c r="AH47" s="39">
        <f>Weather!I179</f>
        <v>138.20000000000002</v>
      </c>
      <c r="AI47" s="39">
        <f>Weather!J179</f>
        <v>9.6999999999999993</v>
      </c>
      <c r="AJ47" s="39">
        <f>Weather!K179</f>
        <v>93.100000000000009</v>
      </c>
      <c r="AK47" s="39">
        <f>Weather!L179</f>
        <v>26.6</v>
      </c>
      <c r="AL47" s="39">
        <f>Weather!M179</f>
        <v>62.400000000000006</v>
      </c>
      <c r="AM47" s="39">
        <f>Weather!N179</f>
        <v>57.90000000000002</v>
      </c>
      <c r="AN47" s="39">
        <f>Weather!O179</f>
        <v>40.400000000000006</v>
      </c>
      <c r="AO47" s="39">
        <f>Weather!P179</f>
        <v>97.899999999999991</v>
      </c>
      <c r="AP47" s="39">
        <f>Weather!Q179</f>
        <v>21.7</v>
      </c>
      <c r="AQ47" s="39">
        <f>Weather!R179</f>
        <v>141.19999999999999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1</v>
      </c>
      <c r="BB47" s="201">
        <v>0</v>
      </c>
      <c r="BC47" s="201">
        <v>0</v>
      </c>
      <c r="BD47" s="201">
        <v>0</v>
      </c>
      <c r="BE47" s="201">
        <v>1</v>
      </c>
      <c r="BF47" s="201">
        <v>1</v>
      </c>
      <c r="BG47" s="202">
        <f t="shared" si="4"/>
        <v>46</v>
      </c>
      <c r="BH47" s="201">
        <v>31</v>
      </c>
      <c r="BI47" s="201">
        <v>22</v>
      </c>
      <c r="BJ47" s="160">
        <f t="shared" si="5"/>
        <v>712.58962238968707</v>
      </c>
      <c r="BK47" s="160">
        <f t="shared" si="6"/>
        <v>22.986762012570551</v>
      </c>
      <c r="BL47" s="159">
        <f t="shared" si="7"/>
        <v>1365965.3458349924</v>
      </c>
      <c r="BM47" s="160">
        <f t="shared" si="8"/>
        <v>2664.4588667594257</v>
      </c>
      <c r="BN47" s="160">
        <f t="shared" si="9"/>
        <v>85.950286024497601</v>
      </c>
      <c r="BO47" s="160">
        <f t="shared" si="10"/>
        <v>442729.92331218719</v>
      </c>
      <c r="BP47" s="160">
        <f t="shared" si="11"/>
        <v>73487.366135184246</v>
      </c>
      <c r="BQ47" s="160">
        <f t="shared" si="12"/>
        <v>2370.5601979091693</v>
      </c>
      <c r="BR47" s="160">
        <f t="shared" si="13"/>
        <v>3340.3348243265568</v>
      </c>
      <c r="BS47" s="160">
        <f t="shared" si="14"/>
        <v>2401377.4804819883</v>
      </c>
      <c r="BT47" s="160">
        <f t="shared" si="15"/>
        <v>3383759.1770428019</v>
      </c>
    </row>
    <row r="48" spans="1:72" x14ac:dyDescent="0.2">
      <c r="A48" s="204">
        <v>41579</v>
      </c>
      <c r="B48" s="205">
        <f t="shared" si="0"/>
        <v>2013</v>
      </c>
      <c r="C48" s="203">
        <v>40923389</v>
      </c>
      <c r="D48" s="203">
        <f>VLOOKUP(B48,CDM!$I$5:$N$15,2,FALSE)/12</f>
        <v>369590.720884763</v>
      </c>
      <c r="E48" s="203">
        <f t="shared" si="1"/>
        <v>41292979.720884763</v>
      </c>
      <c r="F48" s="206">
        <v>59441</v>
      </c>
      <c r="G48" s="206">
        <v>14055709</v>
      </c>
      <c r="H48" s="206">
        <v>5173</v>
      </c>
      <c r="I48" s="203">
        <f>VLOOKUP(B48,CDM!$I$5:$N$15,3,FALSE)/12</f>
        <v>181207.62267780254</v>
      </c>
      <c r="J48" s="203">
        <f t="shared" si="2"/>
        <v>14236916.622677803</v>
      </c>
      <c r="K48" s="206">
        <v>72373638</v>
      </c>
      <c r="L48" s="203">
        <f>VLOOKUP(B48,CDM!$I$5:$N$15,4,FALSE)/12</f>
        <v>1222924.8949416389</v>
      </c>
      <c r="M48" s="87">
        <f t="shared" si="3"/>
        <v>73596562.894941643</v>
      </c>
      <c r="N48" s="206">
        <v>208178</v>
      </c>
      <c r="O48" s="206">
        <v>1014</v>
      </c>
      <c r="P48" s="206">
        <v>982065</v>
      </c>
      <c r="Q48" s="206">
        <v>2295</v>
      </c>
      <c r="R48" s="208">
        <v>15130</v>
      </c>
      <c r="S48" s="206">
        <v>257318</v>
      </c>
      <c r="T48" s="202">
        <v>25</v>
      </c>
      <c r="U48" s="202">
        <v>514</v>
      </c>
      <c r="V48" s="37">
        <f>'Economic (2020 Adj.)'!C60</f>
        <v>643937</v>
      </c>
      <c r="W48" s="37">
        <f>'Economic (2020 Adj.)'!D60</f>
        <v>6854</v>
      </c>
      <c r="X48" s="37">
        <f>'Economic (2020 Adj.)'!F60</f>
        <v>3113.4</v>
      </c>
      <c r="Y48" s="37">
        <f>'Economic (2020 Adj.)'!H60</f>
        <v>369.8</v>
      </c>
      <c r="Z48" s="37">
        <f>'Economic (2020 Adj.)'!E60</f>
        <v>6863.8</v>
      </c>
      <c r="AA48" s="37">
        <f>'Economic (2020 Adj.)'!G60</f>
        <v>3119.8</v>
      </c>
      <c r="AB48" s="37">
        <f>'Economic (2020 Adj.)'!I60</f>
        <v>371.8</v>
      </c>
      <c r="AC48" s="39">
        <f>Weather!D180</f>
        <v>3.776666666666666</v>
      </c>
      <c r="AD48" s="39">
        <f>Weather!E180</f>
        <v>486.7</v>
      </c>
      <c r="AE48" s="39">
        <f>Weather!F180</f>
        <v>0</v>
      </c>
      <c r="AF48" s="39">
        <f>Weather!G180</f>
        <v>426.7</v>
      </c>
      <c r="AG48" s="39">
        <f>Weather!H180</f>
        <v>0</v>
      </c>
      <c r="AH48" s="39">
        <f>Weather!I180</f>
        <v>366.69999999999993</v>
      </c>
      <c r="AI48" s="39">
        <f>Weather!J180</f>
        <v>0</v>
      </c>
      <c r="AJ48" s="39">
        <f>Weather!K180</f>
        <v>306.7</v>
      </c>
      <c r="AK48" s="39">
        <f>Weather!L180</f>
        <v>0</v>
      </c>
      <c r="AL48" s="39">
        <f>Weather!M180</f>
        <v>249.59999999999997</v>
      </c>
      <c r="AM48" s="39">
        <f>Weather!N180</f>
        <v>2.9000000000000004</v>
      </c>
      <c r="AN48" s="39">
        <f>Weather!O180</f>
        <v>195.59999999999994</v>
      </c>
      <c r="AO48" s="39">
        <f>Weather!P180</f>
        <v>8.9</v>
      </c>
      <c r="AP48" s="39">
        <f>Weather!Q180</f>
        <v>144.99999999999997</v>
      </c>
      <c r="AQ48" s="39">
        <f>Weather!R180</f>
        <v>18.3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1</v>
      </c>
      <c r="BC48" s="201">
        <v>0</v>
      </c>
      <c r="BD48" s="201">
        <v>0</v>
      </c>
      <c r="BE48" s="201">
        <v>1</v>
      </c>
      <c r="BF48" s="201">
        <v>1</v>
      </c>
      <c r="BG48" s="202">
        <f t="shared" si="4"/>
        <v>47</v>
      </c>
      <c r="BH48" s="201">
        <v>30</v>
      </c>
      <c r="BI48" s="201">
        <v>21</v>
      </c>
      <c r="BJ48" s="160">
        <f t="shared" si="5"/>
        <v>694.68850996592857</v>
      </c>
      <c r="BK48" s="160">
        <f t="shared" si="6"/>
        <v>23.156283665530953</v>
      </c>
      <c r="BL48" s="159">
        <f t="shared" si="7"/>
        <v>1376432.6573628255</v>
      </c>
      <c r="BM48" s="160">
        <f t="shared" si="8"/>
        <v>2752.1586357389915</v>
      </c>
      <c r="BN48" s="160">
        <f t="shared" si="9"/>
        <v>91.738621191299714</v>
      </c>
      <c r="BO48" s="160">
        <f t="shared" si="10"/>
        <v>474563.88742259343</v>
      </c>
      <c r="BP48" s="160">
        <f t="shared" si="11"/>
        <v>72580.436780021351</v>
      </c>
      <c r="BQ48" s="160">
        <f t="shared" si="12"/>
        <v>2419.3478926673783</v>
      </c>
      <c r="BR48" s="160">
        <f t="shared" si="13"/>
        <v>3456.2112752391122</v>
      </c>
      <c r="BS48" s="160">
        <f t="shared" si="14"/>
        <v>2453218.7631647214</v>
      </c>
      <c r="BT48" s="160">
        <f t="shared" si="15"/>
        <v>3504598.2330924594</v>
      </c>
    </row>
    <row r="49" spans="1:72" x14ac:dyDescent="0.2">
      <c r="A49" s="204">
        <v>41609</v>
      </c>
      <c r="B49" s="205">
        <f t="shared" si="0"/>
        <v>2013</v>
      </c>
      <c r="C49" s="203">
        <v>46224827</v>
      </c>
      <c r="D49" s="203">
        <f>VLOOKUP(B49,CDM!$I$5:$N$15,2,FALSE)/12</f>
        <v>369590.720884763</v>
      </c>
      <c r="E49" s="203">
        <f t="shared" si="1"/>
        <v>46594417.720884763</v>
      </c>
      <c r="F49" s="208">
        <v>59649</v>
      </c>
      <c r="G49" s="206">
        <v>15599120</v>
      </c>
      <c r="H49" s="208">
        <v>5176</v>
      </c>
      <c r="I49" s="203">
        <f>VLOOKUP(B49,CDM!$I$5:$N$15,3,FALSE)/12</f>
        <v>181207.62267780254</v>
      </c>
      <c r="J49" s="203">
        <f t="shared" si="2"/>
        <v>15780327.622677803</v>
      </c>
      <c r="K49" s="206">
        <v>74788332</v>
      </c>
      <c r="L49" s="203">
        <f>VLOOKUP(B49,CDM!$I$5:$N$15,4,FALSE)/12</f>
        <v>1222924.8949416389</v>
      </c>
      <c r="M49" s="87">
        <f t="shared" si="3"/>
        <v>76011256.894941643</v>
      </c>
      <c r="N49" s="206">
        <v>184874</v>
      </c>
      <c r="O49" s="208">
        <v>1015</v>
      </c>
      <c r="P49" s="206">
        <v>1065835</v>
      </c>
      <c r="Q49" s="206">
        <v>2295</v>
      </c>
      <c r="R49" s="206">
        <v>15130</v>
      </c>
      <c r="S49" s="206">
        <v>260566</v>
      </c>
      <c r="T49" s="202">
        <v>25</v>
      </c>
      <c r="U49" s="202">
        <v>499</v>
      </c>
      <c r="V49" s="37">
        <f>'Economic (2020 Adj.)'!C61</f>
        <v>643937</v>
      </c>
      <c r="W49" s="37">
        <f>'Economic (2020 Adj.)'!D61</f>
        <v>6850.4</v>
      </c>
      <c r="X49" s="37">
        <f>'Economic (2020 Adj.)'!F61</f>
        <v>3108.4</v>
      </c>
      <c r="Y49" s="37">
        <f>'Economic (2020 Adj.)'!H61</f>
        <v>373.6</v>
      </c>
      <c r="Z49" s="37">
        <f>'Economic (2020 Adj.)'!E61</f>
        <v>6849.3</v>
      </c>
      <c r="AA49" s="37">
        <f>'Economic (2020 Adj.)'!G61</f>
        <v>3114.3</v>
      </c>
      <c r="AB49" s="37">
        <f>'Economic (2020 Adj.)'!I61</f>
        <v>376.6</v>
      </c>
      <c r="AC49" s="39">
        <f>Weather!D181</f>
        <v>-2.1290322580645156</v>
      </c>
      <c r="AD49" s="39">
        <f>Weather!E181</f>
        <v>685.99999999999989</v>
      </c>
      <c r="AE49" s="39">
        <f>Weather!F181</f>
        <v>0</v>
      </c>
      <c r="AF49" s="39">
        <f>Weather!G181</f>
        <v>624</v>
      </c>
      <c r="AG49" s="39">
        <f>Weather!H181</f>
        <v>0</v>
      </c>
      <c r="AH49" s="39">
        <f>Weather!I181</f>
        <v>562</v>
      </c>
      <c r="AI49" s="39">
        <f>Weather!J181</f>
        <v>0</v>
      </c>
      <c r="AJ49" s="39">
        <f>Weather!K181</f>
        <v>500.00000000000006</v>
      </c>
      <c r="AK49" s="39">
        <f>Weather!L181</f>
        <v>0</v>
      </c>
      <c r="AL49" s="39">
        <f>Weather!M181</f>
        <v>438.00000000000006</v>
      </c>
      <c r="AM49" s="39">
        <f>Weather!N181</f>
        <v>0</v>
      </c>
      <c r="AN49" s="39">
        <f>Weather!O181</f>
        <v>376</v>
      </c>
      <c r="AO49" s="39">
        <f>Weather!P181</f>
        <v>0</v>
      </c>
      <c r="AP49" s="39">
        <f>Weather!Q181</f>
        <v>314.00000000000006</v>
      </c>
      <c r="AQ49" s="39">
        <f>Weather!R181</f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 s="201">
        <v>1</v>
      </c>
      <c r="BD49" s="201">
        <v>0</v>
      </c>
      <c r="BE49" s="201">
        <v>0</v>
      </c>
      <c r="BF49" s="201">
        <v>0</v>
      </c>
      <c r="BG49" s="202">
        <f t="shared" si="4"/>
        <v>48</v>
      </c>
      <c r="BH49" s="201">
        <v>31</v>
      </c>
      <c r="BI49" s="201">
        <v>20</v>
      </c>
      <c r="BJ49" s="160">
        <f t="shared" si="5"/>
        <v>781.14331708636792</v>
      </c>
      <c r="BK49" s="160">
        <f t="shared" si="6"/>
        <v>25.198171518915093</v>
      </c>
      <c r="BL49" s="159">
        <f t="shared" si="7"/>
        <v>1503045.7329317664</v>
      </c>
      <c r="BM49" s="160">
        <f t="shared" si="8"/>
        <v>3048.7495407028214</v>
      </c>
      <c r="BN49" s="160">
        <f t="shared" si="9"/>
        <v>98.346759377510367</v>
      </c>
      <c r="BO49" s="160">
        <f t="shared" si="10"/>
        <v>509042.82653799362</v>
      </c>
      <c r="BP49" s="160">
        <f t="shared" si="11"/>
        <v>74887.937827528716</v>
      </c>
      <c r="BQ49" s="160">
        <f t="shared" si="12"/>
        <v>2415.7399299202812</v>
      </c>
      <c r="BR49" s="160">
        <f t="shared" si="13"/>
        <v>3744.3968913764356</v>
      </c>
      <c r="BS49" s="160">
        <f t="shared" si="14"/>
        <v>2451976.0288690855</v>
      </c>
      <c r="BT49" s="160">
        <f t="shared" si="15"/>
        <v>3800562.8447470823</v>
      </c>
    </row>
    <row r="50" spans="1:72" x14ac:dyDescent="0.2">
      <c r="A50" s="204">
        <v>41640</v>
      </c>
      <c r="B50" s="205">
        <f t="shared" si="0"/>
        <v>2014</v>
      </c>
      <c r="C50" s="203">
        <v>50617876</v>
      </c>
      <c r="D50" s="203">
        <f>VLOOKUP(B50,CDM!$I$5:$N$15,2,FALSE)/12</f>
        <v>582902.57184116344</v>
      </c>
      <c r="E50" s="203">
        <f t="shared" si="1"/>
        <v>51200778.571841165</v>
      </c>
      <c r="F50" s="208">
        <v>59671</v>
      </c>
      <c r="G50" s="206">
        <v>16409509</v>
      </c>
      <c r="H50" s="208">
        <v>5174</v>
      </c>
      <c r="I50" s="203">
        <f>VLOOKUP(B50,CDM!$I$5:$N$15,3,FALSE)/12</f>
        <v>257042.64414502322</v>
      </c>
      <c r="J50" s="203">
        <f t="shared" si="2"/>
        <v>16666551.644145023</v>
      </c>
      <c r="K50" s="206">
        <v>80873202</v>
      </c>
      <c r="L50" s="203">
        <f>VLOOKUP(B50,CDM!$I$5:$N$15,4,FALSE)/12</f>
        <v>1679397.2948097724</v>
      </c>
      <c r="M50" s="87">
        <f t="shared" si="3"/>
        <v>82552599.294809774</v>
      </c>
      <c r="N50" s="206">
        <v>198892</v>
      </c>
      <c r="O50" s="208">
        <v>1020</v>
      </c>
      <c r="P50" s="206">
        <v>1043502</v>
      </c>
      <c r="Q50" s="206">
        <v>2302</v>
      </c>
      <c r="R50" s="208">
        <v>15153</v>
      </c>
      <c r="S50" s="206">
        <v>258888</v>
      </c>
      <c r="T50" s="202">
        <v>25</v>
      </c>
      <c r="U50" s="202">
        <v>326</v>
      </c>
      <c r="V50" s="37">
        <f>'Economic (2020 Adj.)'!C62</f>
        <v>659861.19999999995</v>
      </c>
      <c r="W50" s="37">
        <f>'Economic (2020 Adj.)'!D62</f>
        <v>6848.3</v>
      </c>
      <c r="X50" s="37">
        <f>'Economic (2020 Adj.)'!F62</f>
        <v>3105.1</v>
      </c>
      <c r="Y50" s="37">
        <f>'Economic (2020 Adj.)'!H62</f>
        <v>375.1</v>
      </c>
      <c r="Z50" s="37">
        <f>'Economic (2020 Adj.)'!E62</f>
        <v>6806.1</v>
      </c>
      <c r="AA50" s="37">
        <f>'Economic (2020 Adj.)'!G62</f>
        <v>3097</v>
      </c>
      <c r="AB50" s="37">
        <f>'Economic (2020 Adj.)'!I62</f>
        <v>376.3</v>
      </c>
      <c r="AC50" s="39">
        <f>Weather!D182</f>
        <v>-6.9064516129032256</v>
      </c>
      <c r="AD50" s="39">
        <f>Weather!E182</f>
        <v>834.1</v>
      </c>
      <c r="AE50" s="39">
        <f>Weather!F182</f>
        <v>0</v>
      </c>
      <c r="AF50" s="39">
        <f>Weather!G182</f>
        <v>772.1</v>
      </c>
      <c r="AG50" s="39">
        <f>Weather!H182</f>
        <v>0</v>
      </c>
      <c r="AH50" s="39">
        <f>Weather!I182</f>
        <v>710.09999999999991</v>
      </c>
      <c r="AI50" s="39">
        <f>Weather!J182</f>
        <v>0</v>
      </c>
      <c r="AJ50" s="39">
        <f>Weather!K182</f>
        <v>648.1</v>
      </c>
      <c r="AK50" s="39">
        <f>Weather!L182</f>
        <v>0</v>
      </c>
      <c r="AL50" s="39">
        <f>Weather!M182</f>
        <v>586.09999999999991</v>
      </c>
      <c r="AM50" s="39">
        <f>Weather!N182</f>
        <v>0</v>
      </c>
      <c r="AN50" s="39">
        <f>Weather!O182</f>
        <v>524.09999999999991</v>
      </c>
      <c r="AO50" s="39">
        <f>Weather!P182</f>
        <v>0</v>
      </c>
      <c r="AP50" s="39">
        <f>Weather!Q182</f>
        <v>462.09999999999997</v>
      </c>
      <c r="AQ50" s="39">
        <f>Weather!R182</f>
        <v>0</v>
      </c>
      <c r="AR50" s="201">
        <v>1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 s="201">
        <v>0</v>
      </c>
      <c r="BD50" s="201">
        <v>0</v>
      </c>
      <c r="BE50" s="201">
        <v>0</v>
      </c>
      <c r="BF50" s="201">
        <v>0</v>
      </c>
      <c r="BG50" s="202">
        <f t="shared" si="4"/>
        <v>49</v>
      </c>
      <c r="BH50" s="201">
        <v>31</v>
      </c>
      <c r="BI50" s="201">
        <v>22</v>
      </c>
      <c r="BJ50" s="160">
        <f t="shared" si="5"/>
        <v>858.05129077510287</v>
      </c>
      <c r="BK50" s="160">
        <f t="shared" si="6"/>
        <v>27.679073895971062</v>
      </c>
      <c r="BL50" s="159">
        <f t="shared" si="7"/>
        <v>1651638.0184464892</v>
      </c>
      <c r="BM50" s="160">
        <f t="shared" si="8"/>
        <v>3221.2121461432207</v>
      </c>
      <c r="BN50" s="160">
        <f t="shared" si="9"/>
        <v>103.91006923042647</v>
      </c>
      <c r="BO50" s="160">
        <f t="shared" si="10"/>
        <v>537630.69819822651</v>
      </c>
      <c r="BP50" s="160">
        <f t="shared" si="11"/>
        <v>80933.920877264478</v>
      </c>
      <c r="BQ50" s="160">
        <f t="shared" si="12"/>
        <v>2610.77164120208</v>
      </c>
      <c r="BR50" s="160">
        <f t="shared" si="13"/>
        <v>3678.8145853302035</v>
      </c>
      <c r="BS50" s="160">
        <f t="shared" si="14"/>
        <v>2662987.0740261218</v>
      </c>
      <c r="BT50" s="160">
        <f t="shared" si="15"/>
        <v>3752390.8770368081</v>
      </c>
    </row>
    <row r="51" spans="1:72" x14ac:dyDescent="0.2">
      <c r="A51" s="204">
        <v>41671</v>
      </c>
      <c r="B51" s="205">
        <f t="shared" si="0"/>
        <v>2014</v>
      </c>
      <c r="C51" s="203">
        <v>42903712</v>
      </c>
      <c r="D51" s="203">
        <f>VLOOKUP(B51,CDM!$I$5:$N$15,2,FALSE)/12</f>
        <v>582902.57184116344</v>
      </c>
      <c r="E51" s="203">
        <f t="shared" si="1"/>
        <v>43486614.571841165</v>
      </c>
      <c r="F51" s="206">
        <v>59674</v>
      </c>
      <c r="G51" s="206">
        <v>14955223</v>
      </c>
      <c r="H51" s="206">
        <v>5177</v>
      </c>
      <c r="I51" s="203">
        <f>VLOOKUP(B51,CDM!$I$5:$N$15,3,FALSE)/12</f>
        <v>257042.64414502322</v>
      </c>
      <c r="J51" s="203">
        <f t="shared" si="2"/>
        <v>15212265.644145023</v>
      </c>
      <c r="K51" s="206">
        <v>73256400</v>
      </c>
      <c r="L51" s="203">
        <f>VLOOKUP(B51,CDM!$I$5:$N$15,4,FALSE)/12</f>
        <v>1679397.2948097724</v>
      </c>
      <c r="M51" s="87">
        <f t="shared" si="3"/>
        <v>74935797.294809774</v>
      </c>
      <c r="N51" s="206">
        <v>199321</v>
      </c>
      <c r="O51" s="206">
        <v>1020</v>
      </c>
      <c r="P51" s="206">
        <v>872098</v>
      </c>
      <c r="Q51" s="206">
        <v>2302</v>
      </c>
      <c r="R51" s="208">
        <v>15153</v>
      </c>
      <c r="S51" s="206">
        <v>257812</v>
      </c>
      <c r="T51" s="202">
        <v>25</v>
      </c>
      <c r="U51" s="202">
        <v>707</v>
      </c>
      <c r="V51" s="37">
        <f>'Economic (2020 Adj.)'!C63</f>
        <v>659861.19999999995</v>
      </c>
      <c r="W51" s="37">
        <f>'Economic (2020 Adj.)'!D63</f>
        <v>6850</v>
      </c>
      <c r="X51" s="37">
        <f>'Economic (2020 Adj.)'!F63</f>
        <v>3109.9</v>
      </c>
      <c r="Y51" s="37">
        <f>'Economic (2020 Adj.)'!H63</f>
        <v>379.9</v>
      </c>
      <c r="Z51" s="37">
        <f>'Economic (2020 Adj.)'!E63</f>
        <v>6772.3</v>
      </c>
      <c r="AA51" s="37">
        <f>'Economic (2020 Adj.)'!G63</f>
        <v>3085.6</v>
      </c>
      <c r="AB51" s="37">
        <f>'Economic (2020 Adj.)'!I63</f>
        <v>382.3</v>
      </c>
      <c r="AC51" s="39">
        <f>Weather!D183</f>
        <v>-6.8785714285714272</v>
      </c>
      <c r="AD51" s="39">
        <f>Weather!E183</f>
        <v>752.6</v>
      </c>
      <c r="AE51" s="39">
        <f>Weather!F183</f>
        <v>0</v>
      </c>
      <c r="AF51" s="39">
        <f>Weather!G183</f>
        <v>696.60000000000014</v>
      </c>
      <c r="AG51" s="39">
        <f>Weather!H183</f>
        <v>0</v>
      </c>
      <c r="AH51" s="39">
        <f>Weather!I183</f>
        <v>640.60000000000014</v>
      </c>
      <c r="AI51" s="39">
        <f>Weather!J183</f>
        <v>0</v>
      </c>
      <c r="AJ51" s="39">
        <f>Weather!K183</f>
        <v>584.60000000000014</v>
      </c>
      <c r="AK51" s="39">
        <f>Weather!L183</f>
        <v>0</v>
      </c>
      <c r="AL51" s="39">
        <f>Weather!M183</f>
        <v>528.60000000000014</v>
      </c>
      <c r="AM51" s="39">
        <f>Weather!N183</f>
        <v>0</v>
      </c>
      <c r="AN51" s="39">
        <f>Weather!O183</f>
        <v>472.60000000000008</v>
      </c>
      <c r="AO51" s="39">
        <f>Weather!P183</f>
        <v>0</v>
      </c>
      <c r="AP51" s="39">
        <f>Weather!Q183</f>
        <v>416.6</v>
      </c>
      <c r="AQ51" s="39">
        <f>Weather!R183</f>
        <v>0</v>
      </c>
      <c r="AR51" s="201">
        <v>0</v>
      </c>
      <c r="AS51" s="201">
        <v>1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 s="201">
        <v>0</v>
      </c>
      <c r="BD51" s="201">
        <v>0</v>
      </c>
      <c r="BE51" s="201">
        <v>0</v>
      </c>
      <c r="BF51" s="201">
        <v>0</v>
      </c>
      <c r="BG51" s="202">
        <f t="shared" si="4"/>
        <v>50</v>
      </c>
      <c r="BH51" s="201">
        <v>28</v>
      </c>
      <c r="BI51" s="201">
        <v>19</v>
      </c>
      <c r="BJ51" s="160">
        <f t="shared" si="5"/>
        <v>728.7363771800309</v>
      </c>
      <c r="BK51" s="160">
        <f t="shared" si="6"/>
        <v>26.026299185001104</v>
      </c>
      <c r="BL51" s="159">
        <f t="shared" si="7"/>
        <v>1553093.377565756</v>
      </c>
      <c r="BM51" s="160">
        <f t="shared" si="8"/>
        <v>2938.4326142833734</v>
      </c>
      <c r="BN51" s="160">
        <f t="shared" si="9"/>
        <v>104.9440219386919</v>
      </c>
      <c r="BO51" s="160">
        <f t="shared" si="10"/>
        <v>543295.201576608</v>
      </c>
      <c r="BP51" s="160">
        <f t="shared" si="11"/>
        <v>73466.467936088011</v>
      </c>
      <c r="BQ51" s="160">
        <f t="shared" si="12"/>
        <v>2623.8024262888575</v>
      </c>
      <c r="BR51" s="160">
        <f t="shared" si="13"/>
        <v>3866.6562071625267</v>
      </c>
      <c r="BS51" s="160">
        <f t="shared" si="14"/>
        <v>2676278.4748146348</v>
      </c>
      <c r="BT51" s="160">
        <f t="shared" si="15"/>
        <v>3943989.3313057777</v>
      </c>
    </row>
    <row r="52" spans="1:72" x14ac:dyDescent="0.2">
      <c r="A52" s="204">
        <v>41699</v>
      </c>
      <c r="B52" s="205">
        <f t="shared" si="0"/>
        <v>2014</v>
      </c>
      <c r="C52" s="203">
        <v>43601292</v>
      </c>
      <c r="D52" s="203">
        <f>VLOOKUP(B52,CDM!$I$5:$N$15,2,FALSE)/12</f>
        <v>582902.57184116344</v>
      </c>
      <c r="E52" s="203">
        <f t="shared" si="1"/>
        <v>44184194.571841165</v>
      </c>
      <c r="F52" s="208">
        <v>59687</v>
      </c>
      <c r="G52" s="206">
        <v>15671445</v>
      </c>
      <c r="H52" s="208">
        <v>5180</v>
      </c>
      <c r="I52" s="203">
        <f>VLOOKUP(B52,CDM!$I$5:$N$15,3,FALSE)/12</f>
        <v>257042.64414502322</v>
      </c>
      <c r="J52" s="203">
        <f t="shared" si="2"/>
        <v>15928487.644145023</v>
      </c>
      <c r="K52" s="206">
        <v>78105401</v>
      </c>
      <c r="L52" s="203">
        <f>VLOOKUP(B52,CDM!$I$5:$N$15,4,FALSE)/12</f>
        <v>1679397.2948097724</v>
      </c>
      <c r="M52" s="87">
        <f t="shared" si="3"/>
        <v>79784798.294809774</v>
      </c>
      <c r="N52" s="206">
        <v>193090</v>
      </c>
      <c r="O52" s="208">
        <v>1020</v>
      </c>
      <c r="P52" s="206">
        <v>861465</v>
      </c>
      <c r="Q52" s="206">
        <v>2302</v>
      </c>
      <c r="R52" s="206">
        <v>15153</v>
      </c>
      <c r="S52" s="206">
        <v>259626</v>
      </c>
      <c r="T52" s="202">
        <v>25</v>
      </c>
      <c r="U52" s="202">
        <v>569</v>
      </c>
      <c r="V52" s="37">
        <f>'Economic (2020 Adj.)'!C64</f>
        <v>659861.19999999995</v>
      </c>
      <c r="W52" s="37">
        <f>'Economic (2020 Adj.)'!D64</f>
        <v>6856.4</v>
      </c>
      <c r="X52" s="37">
        <f>'Economic (2020 Adj.)'!F64</f>
        <v>3115.2</v>
      </c>
      <c r="Y52" s="37">
        <f>'Economic (2020 Adj.)'!H64</f>
        <v>382.2</v>
      </c>
      <c r="Z52" s="37">
        <f>'Economic (2020 Adj.)'!E64</f>
        <v>6751.3</v>
      </c>
      <c r="AA52" s="37">
        <f>'Economic (2020 Adj.)'!G64</f>
        <v>3073.7</v>
      </c>
      <c r="AB52" s="37">
        <f>'Economic (2020 Adj.)'!I64</f>
        <v>382.2</v>
      </c>
      <c r="AC52" s="39">
        <f>Weather!D184</f>
        <v>-2.9806451612903229</v>
      </c>
      <c r="AD52" s="39">
        <f>Weather!E184</f>
        <v>712.39999999999986</v>
      </c>
      <c r="AE52" s="39">
        <f>Weather!F184</f>
        <v>0</v>
      </c>
      <c r="AF52" s="39">
        <f>Weather!G184</f>
        <v>650.4</v>
      </c>
      <c r="AG52" s="39">
        <f>Weather!H184</f>
        <v>0</v>
      </c>
      <c r="AH52" s="39">
        <f>Weather!I184</f>
        <v>588.4</v>
      </c>
      <c r="AI52" s="39">
        <f>Weather!J184</f>
        <v>0</v>
      </c>
      <c r="AJ52" s="39">
        <f>Weather!K184</f>
        <v>526.39999999999986</v>
      </c>
      <c r="AK52" s="39">
        <f>Weather!L184</f>
        <v>0</v>
      </c>
      <c r="AL52" s="39">
        <f>Weather!M184</f>
        <v>464.4</v>
      </c>
      <c r="AM52" s="39">
        <f>Weather!N184</f>
        <v>0</v>
      </c>
      <c r="AN52" s="39">
        <f>Weather!O184</f>
        <v>402.40000000000003</v>
      </c>
      <c r="AO52" s="39">
        <f>Weather!P184</f>
        <v>0</v>
      </c>
      <c r="AP52" s="39">
        <f>Weather!Q184</f>
        <v>340.4</v>
      </c>
      <c r="AQ52" s="39">
        <f>Weather!R184</f>
        <v>0</v>
      </c>
      <c r="AR52" s="201">
        <v>0</v>
      </c>
      <c r="AS52" s="201">
        <v>0</v>
      </c>
      <c r="AT52" s="201">
        <v>1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 s="201">
        <v>0</v>
      </c>
      <c r="BD52" s="201">
        <v>1</v>
      </c>
      <c r="BE52" s="201">
        <v>0</v>
      </c>
      <c r="BF52" s="201">
        <v>1</v>
      </c>
      <c r="BG52" s="202">
        <f t="shared" si="4"/>
        <v>51</v>
      </c>
      <c r="BH52" s="201">
        <v>31</v>
      </c>
      <c r="BI52" s="201">
        <v>21</v>
      </c>
      <c r="BJ52" s="160">
        <f t="shared" si="5"/>
        <v>740.26495839699044</v>
      </c>
      <c r="BK52" s="160">
        <f t="shared" si="6"/>
        <v>23.879514786999692</v>
      </c>
      <c r="BL52" s="159">
        <f t="shared" si="7"/>
        <v>1425296.5990916505</v>
      </c>
      <c r="BM52" s="160">
        <f t="shared" si="8"/>
        <v>3074.9976146998115</v>
      </c>
      <c r="BN52" s="160">
        <f t="shared" si="9"/>
        <v>99.193471441929404</v>
      </c>
      <c r="BO52" s="160">
        <f t="shared" si="10"/>
        <v>513822.18206919427</v>
      </c>
      <c r="BP52" s="160">
        <f t="shared" si="11"/>
        <v>78220.390485107622</v>
      </c>
      <c r="BQ52" s="160">
        <f t="shared" si="12"/>
        <v>2523.2384027454073</v>
      </c>
      <c r="BR52" s="160">
        <f t="shared" si="13"/>
        <v>3724.7804992908391</v>
      </c>
      <c r="BS52" s="160">
        <f t="shared" si="14"/>
        <v>2573703.1708003152</v>
      </c>
      <c r="BT52" s="160">
        <f t="shared" si="15"/>
        <v>3799276.1092766561</v>
      </c>
    </row>
    <row r="53" spans="1:72" x14ac:dyDescent="0.2">
      <c r="A53" s="204">
        <v>41730</v>
      </c>
      <c r="B53" s="205">
        <f t="shared" si="0"/>
        <v>2014</v>
      </c>
      <c r="C53" s="203">
        <v>38148551</v>
      </c>
      <c r="D53" s="203">
        <f>VLOOKUP(B53,CDM!$I$5:$N$15,2,FALSE)/12</f>
        <v>582902.57184116344</v>
      </c>
      <c r="E53" s="203">
        <f t="shared" si="1"/>
        <v>38731453.571841165</v>
      </c>
      <c r="F53" s="208">
        <v>59679</v>
      </c>
      <c r="G53" s="206">
        <v>13498766</v>
      </c>
      <c r="H53" s="208">
        <v>5185</v>
      </c>
      <c r="I53" s="203">
        <f>VLOOKUP(B53,CDM!$I$5:$N$15,3,FALSE)/12</f>
        <v>257042.64414502322</v>
      </c>
      <c r="J53" s="203">
        <f t="shared" si="2"/>
        <v>13755808.644145023</v>
      </c>
      <c r="K53" s="206">
        <v>70980411</v>
      </c>
      <c r="L53" s="203">
        <f>VLOOKUP(B53,CDM!$I$5:$N$15,4,FALSE)/12</f>
        <v>1679397.2948097724</v>
      </c>
      <c r="M53" s="87">
        <f t="shared" si="3"/>
        <v>72659808.294809774</v>
      </c>
      <c r="N53" s="206">
        <v>192582</v>
      </c>
      <c r="O53" s="208">
        <v>1019</v>
      </c>
      <c r="P53" s="206">
        <v>731400</v>
      </c>
      <c r="Q53" s="206">
        <v>2302</v>
      </c>
      <c r="R53" s="208">
        <v>15153</v>
      </c>
      <c r="S53" s="206">
        <v>257728</v>
      </c>
      <c r="T53" s="202">
        <v>25</v>
      </c>
      <c r="U53" s="202">
        <v>569</v>
      </c>
      <c r="V53" s="37">
        <f>'Economic (2020 Adj.)'!C65</f>
        <v>659861.19999999995</v>
      </c>
      <c r="W53" s="37">
        <f>'Economic (2020 Adj.)'!D65</f>
        <v>6869.6</v>
      </c>
      <c r="X53" s="37">
        <f>'Economic (2020 Adj.)'!F65</f>
        <v>3126.8</v>
      </c>
      <c r="Y53" s="37">
        <f>'Economic (2020 Adj.)'!H65</f>
        <v>383.2</v>
      </c>
      <c r="Z53" s="37">
        <f>'Economic (2020 Adj.)'!E65</f>
        <v>6785</v>
      </c>
      <c r="AA53" s="37">
        <f>'Economic (2020 Adj.)'!G65</f>
        <v>3095.4</v>
      </c>
      <c r="AB53" s="37">
        <f>'Economic (2020 Adj.)'!I65</f>
        <v>382.5</v>
      </c>
      <c r="AC53" s="39">
        <f>Weather!D185</f>
        <v>5.8566666666666682</v>
      </c>
      <c r="AD53" s="39">
        <f>Weather!E185</f>
        <v>424.3</v>
      </c>
      <c r="AE53" s="39">
        <f>Weather!F185</f>
        <v>0</v>
      </c>
      <c r="AF53" s="39">
        <f>Weather!G185</f>
        <v>364.3</v>
      </c>
      <c r="AG53" s="39">
        <f>Weather!H185</f>
        <v>0</v>
      </c>
      <c r="AH53" s="39">
        <f>Weather!I185</f>
        <v>304.3</v>
      </c>
      <c r="AI53" s="39">
        <f>Weather!J185</f>
        <v>0</v>
      </c>
      <c r="AJ53" s="39">
        <f>Weather!K185</f>
        <v>244.29999999999993</v>
      </c>
      <c r="AK53" s="39">
        <f>Weather!L185</f>
        <v>0</v>
      </c>
      <c r="AL53" s="39">
        <f>Weather!M185</f>
        <v>185.89999999999995</v>
      </c>
      <c r="AM53" s="39">
        <f>Weather!N185</f>
        <v>1.5999999999999996</v>
      </c>
      <c r="AN53" s="39">
        <f>Weather!O185</f>
        <v>131.9</v>
      </c>
      <c r="AO53" s="39">
        <f>Weather!P185</f>
        <v>7.6</v>
      </c>
      <c r="AP53" s="39">
        <f>Weather!Q185</f>
        <v>82.3</v>
      </c>
      <c r="AQ53" s="39">
        <f>Weather!R185</f>
        <v>18</v>
      </c>
      <c r="AR53" s="201">
        <v>0</v>
      </c>
      <c r="AS53" s="201">
        <v>0</v>
      </c>
      <c r="AT53" s="201">
        <v>0</v>
      </c>
      <c r="AU53" s="201">
        <v>1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 s="201">
        <v>0</v>
      </c>
      <c r="BD53" s="201">
        <v>1</v>
      </c>
      <c r="BE53" s="201">
        <v>0</v>
      </c>
      <c r="BF53" s="201">
        <v>1</v>
      </c>
      <c r="BG53" s="202">
        <f t="shared" si="4"/>
        <v>52</v>
      </c>
      <c r="BH53" s="201">
        <v>30</v>
      </c>
      <c r="BI53" s="201">
        <v>20</v>
      </c>
      <c r="BJ53" s="160">
        <f t="shared" si="5"/>
        <v>648.99635670572843</v>
      </c>
      <c r="BK53" s="160">
        <f t="shared" si="6"/>
        <v>21.633211890190946</v>
      </c>
      <c r="BL53" s="159">
        <f t="shared" si="7"/>
        <v>1291048.4523947055</v>
      </c>
      <c r="BM53" s="160">
        <f t="shared" si="8"/>
        <v>2653.0007028244981</v>
      </c>
      <c r="BN53" s="160">
        <f t="shared" si="9"/>
        <v>88.433356760816608</v>
      </c>
      <c r="BO53" s="160">
        <f t="shared" si="10"/>
        <v>458526.95480483409</v>
      </c>
      <c r="BP53" s="160">
        <f t="shared" si="11"/>
        <v>71305.01304691832</v>
      </c>
      <c r="BQ53" s="160">
        <f t="shared" si="12"/>
        <v>2376.8337682306105</v>
      </c>
      <c r="BR53" s="160">
        <f t="shared" si="13"/>
        <v>3565.250652345916</v>
      </c>
      <c r="BS53" s="160">
        <f t="shared" si="14"/>
        <v>2421993.6098269923</v>
      </c>
      <c r="BT53" s="160">
        <f t="shared" si="15"/>
        <v>3632990.4147404889</v>
      </c>
    </row>
    <row r="54" spans="1:72" x14ac:dyDescent="0.2">
      <c r="A54" s="204">
        <v>41760</v>
      </c>
      <c r="B54" s="205">
        <f t="shared" si="0"/>
        <v>2014</v>
      </c>
      <c r="C54" s="203">
        <v>40092099</v>
      </c>
      <c r="D54" s="203">
        <f>VLOOKUP(B54,CDM!$I$5:$N$15,2,FALSE)/12</f>
        <v>582902.57184116344</v>
      </c>
      <c r="E54" s="203">
        <f t="shared" si="1"/>
        <v>40675001.571841165</v>
      </c>
      <c r="F54" s="206">
        <v>59689</v>
      </c>
      <c r="G54" s="206">
        <v>13471598</v>
      </c>
      <c r="H54" s="206">
        <v>5182</v>
      </c>
      <c r="I54" s="203">
        <f>VLOOKUP(B54,CDM!$I$5:$N$15,3,FALSE)/12</f>
        <v>257042.64414502322</v>
      </c>
      <c r="J54" s="203">
        <f t="shared" si="2"/>
        <v>13728640.644145023</v>
      </c>
      <c r="K54" s="206">
        <v>72011129</v>
      </c>
      <c r="L54" s="203">
        <f>VLOOKUP(B54,CDM!$I$5:$N$15,4,FALSE)/12</f>
        <v>1679397.2948097724</v>
      </c>
      <c r="M54" s="87">
        <f t="shared" si="3"/>
        <v>73690526.294809774</v>
      </c>
      <c r="N54" s="206">
        <v>187028</v>
      </c>
      <c r="O54" s="206">
        <v>1017</v>
      </c>
      <c r="P54" s="206">
        <v>665621</v>
      </c>
      <c r="Q54" s="206">
        <v>2304</v>
      </c>
      <c r="R54" s="208">
        <v>15153</v>
      </c>
      <c r="S54" s="206">
        <v>258180</v>
      </c>
      <c r="T54" s="202">
        <v>25</v>
      </c>
      <c r="U54" s="202">
        <v>569</v>
      </c>
      <c r="V54" s="37">
        <f>'Economic (2020 Adj.)'!C66</f>
        <v>659861.19999999995</v>
      </c>
      <c r="W54" s="37">
        <f>'Economic (2020 Adj.)'!D66</f>
        <v>6870.6</v>
      </c>
      <c r="X54" s="37">
        <f>'Economic (2020 Adj.)'!F66</f>
        <v>3114.3</v>
      </c>
      <c r="Y54" s="37">
        <f>'Economic (2020 Adj.)'!H66</f>
        <v>381.5</v>
      </c>
      <c r="Z54" s="37">
        <f>'Economic (2020 Adj.)'!E66</f>
        <v>6842.6</v>
      </c>
      <c r="AA54" s="37">
        <f>'Economic (2020 Adj.)'!G66</f>
        <v>3103</v>
      </c>
      <c r="AB54" s="37">
        <f>'Economic (2020 Adj.)'!I66</f>
        <v>379.7</v>
      </c>
      <c r="AC54" s="39">
        <f>Weather!D186</f>
        <v>12.861290322580649</v>
      </c>
      <c r="AD54" s="39">
        <f>Weather!E186</f>
        <v>225.29999999999995</v>
      </c>
      <c r="AE54" s="39">
        <f>Weather!F186</f>
        <v>4.0000000000000036</v>
      </c>
      <c r="AF54" s="39">
        <f>Weather!G186</f>
        <v>169.29999999999995</v>
      </c>
      <c r="AG54" s="39">
        <f>Weather!H186</f>
        <v>10.000000000000004</v>
      </c>
      <c r="AH54" s="39">
        <f>Weather!I186</f>
        <v>115.5</v>
      </c>
      <c r="AI54" s="39">
        <f>Weather!J186</f>
        <v>18.200000000000003</v>
      </c>
      <c r="AJ54" s="39">
        <f>Weather!K186</f>
        <v>71.099999999999994</v>
      </c>
      <c r="AK54" s="39">
        <f>Weather!L186</f>
        <v>35.799999999999997</v>
      </c>
      <c r="AL54" s="39">
        <f>Weather!M186</f>
        <v>33.899999999999991</v>
      </c>
      <c r="AM54" s="39">
        <f>Weather!N186</f>
        <v>60.6</v>
      </c>
      <c r="AN54" s="39">
        <f>Weather!O186</f>
        <v>9.5999999999999979</v>
      </c>
      <c r="AO54" s="39">
        <f>Weather!P186</f>
        <v>98.300000000000011</v>
      </c>
      <c r="AP54" s="39">
        <f>Weather!Q186</f>
        <v>1.2999999999999998</v>
      </c>
      <c r="AQ54" s="39">
        <f>Weather!R186</f>
        <v>152</v>
      </c>
      <c r="AR54" s="201">
        <v>0</v>
      </c>
      <c r="AS54" s="201">
        <v>0</v>
      </c>
      <c r="AT54" s="201">
        <v>0</v>
      </c>
      <c r="AU54" s="201">
        <v>0</v>
      </c>
      <c r="AV54" s="201">
        <v>1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 s="201">
        <v>0</v>
      </c>
      <c r="BD54" s="201">
        <v>1</v>
      </c>
      <c r="BE54" s="201">
        <v>0</v>
      </c>
      <c r="BF54" s="201">
        <v>1</v>
      </c>
      <c r="BG54" s="202">
        <f t="shared" si="4"/>
        <v>53</v>
      </c>
      <c r="BH54" s="201">
        <v>31</v>
      </c>
      <c r="BI54" s="201">
        <v>22</v>
      </c>
      <c r="BJ54" s="160">
        <f t="shared" si="5"/>
        <v>681.44886950428327</v>
      </c>
      <c r="BK54" s="160">
        <f t="shared" si="6"/>
        <v>21.982221596912364</v>
      </c>
      <c r="BL54" s="159">
        <f t="shared" si="7"/>
        <v>1312096.8248981021</v>
      </c>
      <c r="BM54" s="160">
        <f t="shared" si="8"/>
        <v>2649.2938332969939</v>
      </c>
      <c r="BN54" s="160">
        <f t="shared" si="9"/>
        <v>85.461091396677219</v>
      </c>
      <c r="BO54" s="160">
        <f t="shared" si="10"/>
        <v>442859.37561758136</v>
      </c>
      <c r="BP54" s="160">
        <f t="shared" si="11"/>
        <v>72458.72792016693</v>
      </c>
      <c r="BQ54" s="160">
        <f t="shared" si="12"/>
        <v>2337.3783200053849</v>
      </c>
      <c r="BR54" s="160">
        <f t="shared" si="13"/>
        <v>3293.5785418257697</v>
      </c>
      <c r="BS54" s="160">
        <f t="shared" si="14"/>
        <v>2377113.7514454764</v>
      </c>
      <c r="BT54" s="160">
        <f t="shared" si="15"/>
        <v>3349569.3770368081</v>
      </c>
    </row>
    <row r="55" spans="1:72" x14ac:dyDescent="0.2">
      <c r="A55" s="204">
        <v>41791</v>
      </c>
      <c r="B55" s="205">
        <f t="shared" si="0"/>
        <v>2014</v>
      </c>
      <c r="C55" s="203">
        <v>44876201</v>
      </c>
      <c r="D55" s="203">
        <f>VLOOKUP(B55,CDM!$I$5:$N$15,2,FALSE)/12</f>
        <v>582902.57184116344</v>
      </c>
      <c r="E55" s="203">
        <f t="shared" si="1"/>
        <v>45459103.571841165</v>
      </c>
      <c r="F55" s="11">
        <f>(F54+F56)/2</f>
        <v>59798</v>
      </c>
      <c r="G55" s="206">
        <v>14123153</v>
      </c>
      <c r="H55" s="11">
        <f>(H54+H56)/2</f>
        <v>5192.5</v>
      </c>
      <c r="I55" s="203">
        <f>VLOOKUP(B55,CDM!$I$5:$N$15,3,FALSE)/12</f>
        <v>257042.64414502322</v>
      </c>
      <c r="J55" s="203">
        <f t="shared" si="2"/>
        <v>14380195.644145023</v>
      </c>
      <c r="K55" s="206">
        <v>75361823</v>
      </c>
      <c r="L55" s="203">
        <f>VLOOKUP(B55,CDM!$I$5:$N$15,4,FALSE)/12</f>
        <v>1679397.2948097724</v>
      </c>
      <c r="M55" s="87">
        <f t="shared" si="3"/>
        <v>77041220.294809774</v>
      </c>
      <c r="N55" s="206">
        <v>196650</v>
      </c>
      <c r="O55" s="11">
        <f>(O54+O56)/2</f>
        <v>1016.5</v>
      </c>
      <c r="P55" s="206">
        <v>599040</v>
      </c>
      <c r="Q55" s="206">
        <v>2302</v>
      </c>
      <c r="R55" s="206">
        <v>15153</v>
      </c>
      <c r="S55" s="206">
        <v>257573</v>
      </c>
      <c r="T55" s="202">
        <v>25</v>
      </c>
      <c r="U55" s="202">
        <v>569</v>
      </c>
      <c r="V55" s="37">
        <f>'Economic (2020 Adj.)'!C67</f>
        <v>659861.19999999995</v>
      </c>
      <c r="W55" s="37">
        <f>'Economic (2020 Adj.)'!D67</f>
        <v>6865.4</v>
      </c>
      <c r="X55" s="37">
        <f>'Economic (2020 Adj.)'!F67</f>
        <v>3091.8</v>
      </c>
      <c r="Y55" s="37">
        <f>'Economic (2020 Adj.)'!H67</f>
        <v>382</v>
      </c>
      <c r="Z55" s="37">
        <f>'Economic (2020 Adj.)'!E67</f>
        <v>6912.9</v>
      </c>
      <c r="AA55" s="37">
        <f>'Economic (2020 Adj.)'!G67</f>
        <v>3107.5</v>
      </c>
      <c r="AB55" s="37">
        <f>'Economic (2020 Adj.)'!I67</f>
        <v>383.3</v>
      </c>
      <c r="AC55" s="39">
        <f>Weather!D187</f>
        <v>18.513333333333328</v>
      </c>
      <c r="AD55" s="39">
        <f>Weather!E187</f>
        <v>65.400000000000006</v>
      </c>
      <c r="AE55" s="39">
        <f>Weather!F187</f>
        <v>20.799999999999997</v>
      </c>
      <c r="AF55" s="39">
        <f>Weather!G187</f>
        <v>31.200000000000006</v>
      </c>
      <c r="AG55" s="39">
        <f>Weather!H187</f>
        <v>46.6</v>
      </c>
      <c r="AH55" s="39">
        <f>Weather!I187</f>
        <v>10.700000000000001</v>
      </c>
      <c r="AI55" s="39">
        <f>Weather!J187</f>
        <v>86.1</v>
      </c>
      <c r="AJ55" s="39">
        <f>Weather!K187</f>
        <v>1.9000000000000004</v>
      </c>
      <c r="AK55" s="39">
        <f>Weather!L187</f>
        <v>137.30000000000001</v>
      </c>
      <c r="AL55" s="39">
        <f>Weather!M187</f>
        <v>0</v>
      </c>
      <c r="AM55" s="39">
        <f>Weather!N187</f>
        <v>195.40000000000003</v>
      </c>
      <c r="AN55" s="39">
        <f>Weather!O187</f>
        <v>0</v>
      </c>
      <c r="AO55" s="39">
        <f>Weather!P187</f>
        <v>255.40000000000003</v>
      </c>
      <c r="AP55" s="39">
        <f>Weather!Q187</f>
        <v>0</v>
      </c>
      <c r="AQ55" s="39">
        <f>Weather!R187</f>
        <v>315.39999999999998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1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 s="201">
        <v>0</v>
      </c>
      <c r="BD55" s="201">
        <v>0</v>
      </c>
      <c r="BE55" s="201">
        <v>0</v>
      </c>
      <c r="BF55" s="201">
        <v>0</v>
      </c>
      <c r="BG55" s="202">
        <f t="shared" si="4"/>
        <v>54</v>
      </c>
      <c r="BH55" s="201">
        <v>30</v>
      </c>
      <c r="BI55" s="201">
        <v>21</v>
      </c>
      <c r="BJ55" s="160">
        <f t="shared" si="5"/>
        <v>760.21110357940347</v>
      </c>
      <c r="BK55" s="160">
        <f t="shared" si="6"/>
        <v>25.340370119313448</v>
      </c>
      <c r="BL55" s="159">
        <f t="shared" si="7"/>
        <v>1515303.4523947055</v>
      </c>
      <c r="BM55" s="160">
        <f t="shared" si="8"/>
        <v>2769.4165901097781</v>
      </c>
      <c r="BN55" s="160">
        <f t="shared" si="9"/>
        <v>92.31388633699261</v>
      </c>
      <c r="BO55" s="160">
        <f t="shared" si="10"/>
        <v>479339.85480483412</v>
      </c>
      <c r="BP55" s="160">
        <f t="shared" si="11"/>
        <v>75790.674170988466</v>
      </c>
      <c r="BQ55" s="160">
        <f t="shared" si="12"/>
        <v>2526.3558056996158</v>
      </c>
      <c r="BR55" s="160">
        <f t="shared" si="13"/>
        <v>3609.0797224280223</v>
      </c>
      <c r="BS55" s="160">
        <f t="shared" si="14"/>
        <v>2568040.6764936591</v>
      </c>
      <c r="BT55" s="160">
        <f t="shared" si="15"/>
        <v>3668629.5378480842</v>
      </c>
    </row>
    <row r="56" spans="1:72" x14ac:dyDescent="0.2">
      <c r="A56" s="204">
        <v>41821</v>
      </c>
      <c r="B56" s="205">
        <f t="shared" si="0"/>
        <v>2014</v>
      </c>
      <c r="C56" s="203">
        <v>51314720</v>
      </c>
      <c r="D56" s="203">
        <f>VLOOKUP(B56,CDM!$I$5:$N$15,2,FALSE)/12</f>
        <v>582902.57184116344</v>
      </c>
      <c r="E56" s="203">
        <f t="shared" si="1"/>
        <v>51897622.571841165</v>
      </c>
      <c r="F56" s="208">
        <v>59907</v>
      </c>
      <c r="G56" s="206">
        <v>14914369</v>
      </c>
      <c r="H56" s="208">
        <v>5203</v>
      </c>
      <c r="I56" s="203">
        <f>VLOOKUP(B56,CDM!$I$5:$N$15,3,FALSE)/12</f>
        <v>257042.64414502322</v>
      </c>
      <c r="J56" s="203">
        <f t="shared" si="2"/>
        <v>15171411.644145023</v>
      </c>
      <c r="K56" s="206">
        <v>79433068</v>
      </c>
      <c r="L56" s="203">
        <f>VLOOKUP(B56,CDM!$I$5:$N$15,4,FALSE)/12</f>
        <v>1679397.2948097724</v>
      </c>
      <c r="M56" s="87">
        <f t="shared" si="3"/>
        <v>81112465.294809774</v>
      </c>
      <c r="N56" s="206">
        <v>208736</v>
      </c>
      <c r="O56" s="208">
        <v>1016</v>
      </c>
      <c r="P56" s="206">
        <v>641462</v>
      </c>
      <c r="Q56" s="206">
        <v>2302</v>
      </c>
      <c r="R56" s="208">
        <v>15153</v>
      </c>
      <c r="S56" s="206">
        <v>257738</v>
      </c>
      <c r="T56" s="202">
        <v>25</v>
      </c>
      <c r="U56" s="202">
        <v>567</v>
      </c>
      <c r="V56" s="37">
        <f>'Economic (2020 Adj.)'!C68</f>
        <v>659861.19999999995</v>
      </c>
      <c r="W56" s="37">
        <f>'Economic (2020 Adj.)'!D68</f>
        <v>6864.4</v>
      </c>
      <c r="X56" s="37">
        <f>'Economic (2020 Adj.)'!F68</f>
        <v>3067.1</v>
      </c>
      <c r="Y56" s="37">
        <f>'Economic (2020 Adj.)'!H68</f>
        <v>383.8</v>
      </c>
      <c r="Z56" s="37">
        <f>'Economic (2020 Adj.)'!E68</f>
        <v>6957.8</v>
      </c>
      <c r="AA56" s="37">
        <f>'Economic (2020 Adj.)'!G68</f>
        <v>3095.5</v>
      </c>
      <c r="AB56" s="37">
        <f>'Economic (2020 Adj.)'!I68</f>
        <v>386.4</v>
      </c>
      <c r="AC56" s="39">
        <f>Weather!D188</f>
        <v>19.825806451612905</v>
      </c>
      <c r="AD56" s="39">
        <f>Weather!E188</f>
        <v>36.6</v>
      </c>
      <c r="AE56" s="39">
        <f>Weather!F188</f>
        <v>31.2</v>
      </c>
      <c r="AF56" s="39">
        <f>Weather!G188</f>
        <v>9.4</v>
      </c>
      <c r="AG56" s="39">
        <f>Weather!H188</f>
        <v>66.000000000000014</v>
      </c>
      <c r="AH56" s="39">
        <f>Weather!I188</f>
        <v>0.90000000000000036</v>
      </c>
      <c r="AI56" s="39">
        <f>Weather!J188</f>
        <v>119.49999999999999</v>
      </c>
      <c r="AJ56" s="39">
        <f>Weather!K188</f>
        <v>0</v>
      </c>
      <c r="AK56" s="39">
        <f>Weather!L188</f>
        <v>180.6</v>
      </c>
      <c r="AL56" s="39">
        <f>Weather!M188</f>
        <v>0</v>
      </c>
      <c r="AM56" s="39">
        <f>Weather!N188</f>
        <v>242.6</v>
      </c>
      <c r="AN56" s="39">
        <f>Weather!O188</f>
        <v>0</v>
      </c>
      <c r="AO56" s="39">
        <f>Weather!P188</f>
        <v>304.59999999999991</v>
      </c>
      <c r="AP56" s="39">
        <f>Weather!Q188</f>
        <v>0</v>
      </c>
      <c r="AQ56" s="39">
        <f>Weather!R188</f>
        <v>366.59999999999991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1</v>
      </c>
      <c r="AY56" s="201">
        <v>0</v>
      </c>
      <c r="AZ56" s="201">
        <v>0</v>
      </c>
      <c r="BA56" s="201">
        <v>0</v>
      </c>
      <c r="BB56" s="201">
        <v>0</v>
      </c>
      <c r="BC56" s="201">
        <v>0</v>
      </c>
      <c r="BD56" s="201">
        <v>0</v>
      </c>
      <c r="BE56" s="201">
        <v>0</v>
      </c>
      <c r="BF56" s="201">
        <v>0</v>
      </c>
      <c r="BG56" s="202">
        <f t="shared" si="4"/>
        <v>55</v>
      </c>
      <c r="BH56" s="201">
        <v>31</v>
      </c>
      <c r="BI56" s="201">
        <v>22</v>
      </c>
      <c r="BJ56" s="160">
        <f t="shared" si="5"/>
        <v>866.30314607376715</v>
      </c>
      <c r="BK56" s="160">
        <f t="shared" si="6"/>
        <v>27.945262776573134</v>
      </c>
      <c r="BL56" s="159">
        <f t="shared" si="7"/>
        <v>1674116.8571561666</v>
      </c>
      <c r="BM56" s="160">
        <f t="shared" si="8"/>
        <v>2915.8969141158991</v>
      </c>
      <c r="BN56" s="160">
        <f t="shared" si="9"/>
        <v>94.061190777932225</v>
      </c>
      <c r="BO56" s="160">
        <f t="shared" si="10"/>
        <v>489400.37561758136</v>
      </c>
      <c r="BP56" s="160">
        <f t="shared" si="11"/>
        <v>79835.103636623797</v>
      </c>
      <c r="BQ56" s="160">
        <f t="shared" si="12"/>
        <v>2575.3259237620578</v>
      </c>
      <c r="BR56" s="160">
        <f t="shared" si="13"/>
        <v>3628.8683471192635</v>
      </c>
      <c r="BS56" s="160">
        <f t="shared" si="14"/>
        <v>2616531.1385422507</v>
      </c>
      <c r="BT56" s="160">
        <f t="shared" si="15"/>
        <v>3686930.2406731714</v>
      </c>
    </row>
    <row r="57" spans="1:72" x14ac:dyDescent="0.2">
      <c r="A57" s="204">
        <v>41852</v>
      </c>
      <c r="B57" s="205">
        <f t="shared" si="0"/>
        <v>2014</v>
      </c>
      <c r="C57" s="203">
        <v>49665162</v>
      </c>
      <c r="D57" s="203">
        <f>VLOOKUP(B57,CDM!$I$5:$N$15,2,FALSE)/12</f>
        <v>582902.57184116344</v>
      </c>
      <c r="E57" s="203">
        <f t="shared" si="1"/>
        <v>50248064.571841165</v>
      </c>
      <c r="F57" s="206">
        <v>59924</v>
      </c>
      <c r="G57" s="206">
        <v>14542524</v>
      </c>
      <c r="H57" s="206">
        <v>5210</v>
      </c>
      <c r="I57" s="203">
        <f>VLOOKUP(B57,CDM!$I$5:$N$15,3,FALSE)/12</f>
        <v>257042.64414502322</v>
      </c>
      <c r="J57" s="203">
        <f t="shared" si="2"/>
        <v>14799566.644145023</v>
      </c>
      <c r="K57" s="206">
        <v>78009925</v>
      </c>
      <c r="L57" s="203">
        <f>VLOOKUP(B57,CDM!$I$5:$N$15,4,FALSE)/12</f>
        <v>1679397.2948097724</v>
      </c>
      <c r="M57" s="87">
        <f t="shared" si="3"/>
        <v>79689322.294809774</v>
      </c>
      <c r="N57" s="206">
        <v>203097</v>
      </c>
      <c r="O57" s="206">
        <v>1016</v>
      </c>
      <c r="P57" s="206">
        <v>719839</v>
      </c>
      <c r="Q57" s="206">
        <v>2304</v>
      </c>
      <c r="R57" s="208">
        <v>15195</v>
      </c>
      <c r="S57" s="206">
        <v>257786</v>
      </c>
      <c r="T57" s="202">
        <v>25</v>
      </c>
      <c r="U57" s="202">
        <v>567</v>
      </c>
      <c r="V57" s="37">
        <f>'Economic (2020 Adj.)'!C69</f>
        <v>659861.19999999995</v>
      </c>
      <c r="W57" s="37">
        <f>'Economic (2020 Adj.)'!D69</f>
        <v>6869.9</v>
      </c>
      <c r="X57" s="37">
        <f>'Economic (2020 Adj.)'!F69</f>
        <v>3056.5</v>
      </c>
      <c r="Y57" s="37">
        <f>'Economic (2020 Adj.)'!H69</f>
        <v>385.2</v>
      </c>
      <c r="Z57" s="37">
        <f>'Economic (2020 Adj.)'!E69</f>
        <v>6969.7</v>
      </c>
      <c r="AA57" s="37">
        <f>'Economic (2020 Adj.)'!G69</f>
        <v>3094.2</v>
      </c>
      <c r="AB57" s="37">
        <f>'Economic (2020 Adj.)'!I69</f>
        <v>388.9</v>
      </c>
      <c r="AC57" s="39">
        <f>Weather!D189</f>
        <v>20.070967741935487</v>
      </c>
      <c r="AD57" s="39">
        <f>Weather!E189</f>
        <v>29.3</v>
      </c>
      <c r="AE57" s="39">
        <f>Weather!F189</f>
        <v>31.500000000000007</v>
      </c>
      <c r="AF57" s="39">
        <f>Weather!G189</f>
        <v>8.3000000000000007</v>
      </c>
      <c r="AG57" s="39">
        <f>Weather!H189</f>
        <v>72.500000000000028</v>
      </c>
      <c r="AH57" s="39">
        <f>Weather!I189</f>
        <v>0.5</v>
      </c>
      <c r="AI57" s="39">
        <f>Weather!J189</f>
        <v>126.70000000000002</v>
      </c>
      <c r="AJ57" s="39">
        <f>Weather!K189</f>
        <v>0</v>
      </c>
      <c r="AK57" s="39">
        <f>Weather!L189</f>
        <v>188.19999999999996</v>
      </c>
      <c r="AL57" s="39">
        <f>Weather!M189</f>
        <v>0</v>
      </c>
      <c r="AM57" s="39">
        <f>Weather!N189</f>
        <v>250.19999999999996</v>
      </c>
      <c r="AN57" s="39">
        <f>Weather!O189</f>
        <v>0</v>
      </c>
      <c r="AO57" s="39">
        <f>Weather!P189</f>
        <v>312.2</v>
      </c>
      <c r="AP57" s="39">
        <f>Weather!Q189</f>
        <v>0</v>
      </c>
      <c r="AQ57" s="39">
        <f>Weather!R189</f>
        <v>374.2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1</v>
      </c>
      <c r="AZ57" s="201">
        <v>0</v>
      </c>
      <c r="BA57" s="201">
        <v>0</v>
      </c>
      <c r="BB57" s="201">
        <v>0</v>
      </c>
      <c r="BC57" s="201">
        <v>0</v>
      </c>
      <c r="BD57" s="201">
        <v>0</v>
      </c>
      <c r="BE57" s="201">
        <v>0</v>
      </c>
      <c r="BF57" s="201">
        <v>0</v>
      </c>
      <c r="BG57" s="202">
        <f t="shared" si="4"/>
        <v>56</v>
      </c>
      <c r="BH57" s="201">
        <v>31</v>
      </c>
      <c r="BI57" s="201">
        <v>20</v>
      </c>
      <c r="BJ57" s="160">
        <f t="shared" si="5"/>
        <v>838.52988071292248</v>
      </c>
      <c r="BK57" s="160">
        <f t="shared" si="6"/>
        <v>27.049350990739434</v>
      </c>
      <c r="BL57" s="159">
        <f t="shared" si="7"/>
        <v>1620905.3087690698</v>
      </c>
      <c r="BM57" s="160">
        <f t="shared" si="8"/>
        <v>2840.6078011794671</v>
      </c>
      <c r="BN57" s="160">
        <f t="shared" si="9"/>
        <v>91.632509715466682</v>
      </c>
      <c r="BO57" s="160">
        <f t="shared" si="10"/>
        <v>477405.37561758136</v>
      </c>
      <c r="BP57" s="160">
        <f t="shared" si="11"/>
        <v>78434.372337411201</v>
      </c>
      <c r="BQ57" s="160">
        <f t="shared" si="12"/>
        <v>2530.1410431422969</v>
      </c>
      <c r="BR57" s="160">
        <f t="shared" si="13"/>
        <v>3921.7186168705603</v>
      </c>
      <c r="BS57" s="160">
        <f t="shared" si="14"/>
        <v>2570623.2998325732</v>
      </c>
      <c r="BT57" s="160">
        <f t="shared" si="15"/>
        <v>3984466.1147404886</v>
      </c>
    </row>
    <row r="58" spans="1:72" x14ac:dyDescent="0.2">
      <c r="A58" s="204">
        <v>41883</v>
      </c>
      <c r="B58" s="205">
        <f t="shared" si="0"/>
        <v>2014</v>
      </c>
      <c r="C58" s="203">
        <v>43344666</v>
      </c>
      <c r="D58" s="203">
        <f>VLOOKUP(B58,CDM!$I$5:$N$15,2,FALSE)/12</f>
        <v>582902.57184116344</v>
      </c>
      <c r="E58" s="203">
        <f t="shared" si="1"/>
        <v>43927568.571841165</v>
      </c>
      <c r="F58" s="208">
        <v>59924</v>
      </c>
      <c r="G58" s="206">
        <v>13413771</v>
      </c>
      <c r="H58" s="208">
        <v>5214</v>
      </c>
      <c r="I58" s="203">
        <f>VLOOKUP(B58,CDM!$I$5:$N$15,3,FALSE)/12</f>
        <v>257042.64414502322</v>
      </c>
      <c r="J58" s="203">
        <f t="shared" si="2"/>
        <v>13670813.644145023</v>
      </c>
      <c r="K58" s="206">
        <v>74627463</v>
      </c>
      <c r="L58" s="203">
        <f>VLOOKUP(B58,CDM!$I$5:$N$15,4,FALSE)/12</f>
        <v>1679397.2948097724</v>
      </c>
      <c r="M58" s="87">
        <f t="shared" si="3"/>
        <v>76306860.294809774</v>
      </c>
      <c r="N58" s="206">
        <v>208037</v>
      </c>
      <c r="O58" s="208">
        <v>1025</v>
      </c>
      <c r="P58" s="206">
        <v>794176</v>
      </c>
      <c r="Q58" s="206">
        <v>2304</v>
      </c>
      <c r="R58" s="206">
        <v>15195</v>
      </c>
      <c r="S58" s="206">
        <v>257746</v>
      </c>
      <c r="T58" s="202">
        <v>25</v>
      </c>
      <c r="U58" s="202">
        <v>567</v>
      </c>
      <c r="V58" s="37">
        <f>'Economic (2020 Adj.)'!C70</f>
        <v>659861.19999999995</v>
      </c>
      <c r="W58" s="37">
        <f>'Economic (2020 Adj.)'!D70</f>
        <v>6884.5</v>
      </c>
      <c r="X58" s="37">
        <f>'Economic (2020 Adj.)'!F70</f>
        <v>3058.5</v>
      </c>
      <c r="Y58" s="37">
        <f>'Economic (2020 Adj.)'!H70</f>
        <v>385.2</v>
      </c>
      <c r="Z58" s="37">
        <f>'Economic (2020 Adj.)'!E70</f>
        <v>6944.1</v>
      </c>
      <c r="AA58" s="37">
        <f>'Economic (2020 Adj.)'!G70</f>
        <v>3085.3</v>
      </c>
      <c r="AB58" s="37">
        <f>'Economic (2020 Adj.)'!I70</f>
        <v>386.9</v>
      </c>
      <c r="AC58" s="39">
        <f>Weather!D190</f>
        <v>17.286666666666665</v>
      </c>
      <c r="AD58" s="39">
        <f>Weather!E190</f>
        <v>99.799999999999983</v>
      </c>
      <c r="AE58" s="39">
        <f>Weather!F190</f>
        <v>18.399999999999999</v>
      </c>
      <c r="AF58" s="39">
        <f>Weather!G190</f>
        <v>55.900000000000006</v>
      </c>
      <c r="AG58" s="39">
        <f>Weather!H190</f>
        <v>34.5</v>
      </c>
      <c r="AH58" s="39">
        <f>Weather!I190</f>
        <v>26</v>
      </c>
      <c r="AI58" s="39">
        <f>Weather!J190</f>
        <v>64.600000000000009</v>
      </c>
      <c r="AJ58" s="39">
        <f>Weather!K190</f>
        <v>10.299999999999999</v>
      </c>
      <c r="AK58" s="39">
        <f>Weather!L190</f>
        <v>108.9</v>
      </c>
      <c r="AL58" s="39">
        <f>Weather!M190</f>
        <v>0.59999999999999964</v>
      </c>
      <c r="AM58" s="39">
        <f>Weather!N190</f>
        <v>159.19999999999996</v>
      </c>
      <c r="AN58" s="39">
        <f>Weather!O190</f>
        <v>0</v>
      </c>
      <c r="AO58" s="39">
        <f>Weather!P190</f>
        <v>218.59999999999994</v>
      </c>
      <c r="AP58" s="39">
        <f>Weather!Q190</f>
        <v>0</v>
      </c>
      <c r="AQ58" s="39">
        <f>Weather!R190</f>
        <v>278.59999999999997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1</v>
      </c>
      <c r="BA58" s="201">
        <v>0</v>
      </c>
      <c r="BB58" s="201">
        <v>0</v>
      </c>
      <c r="BC58" s="201">
        <v>0</v>
      </c>
      <c r="BD58" s="201">
        <v>0</v>
      </c>
      <c r="BE58" s="201">
        <v>1</v>
      </c>
      <c r="BF58" s="201">
        <v>1</v>
      </c>
      <c r="BG58" s="202">
        <f t="shared" si="4"/>
        <v>57</v>
      </c>
      <c r="BH58" s="201">
        <v>30</v>
      </c>
      <c r="BI58" s="201">
        <v>21</v>
      </c>
      <c r="BJ58" s="160">
        <f t="shared" si="5"/>
        <v>733.0546787904874</v>
      </c>
      <c r="BK58" s="160">
        <f t="shared" si="6"/>
        <v>24.435155959682913</v>
      </c>
      <c r="BL58" s="159">
        <f t="shared" si="7"/>
        <v>1464252.2857280388</v>
      </c>
      <c r="BM58" s="160">
        <f t="shared" si="8"/>
        <v>2621.9435450987771</v>
      </c>
      <c r="BN58" s="160">
        <f t="shared" si="9"/>
        <v>87.398118169959233</v>
      </c>
      <c r="BO58" s="160">
        <f t="shared" si="10"/>
        <v>455693.78813816741</v>
      </c>
      <c r="BP58" s="160">
        <f t="shared" si="11"/>
        <v>74445.717360790019</v>
      </c>
      <c r="BQ58" s="160">
        <f t="shared" si="12"/>
        <v>2481.5239120263341</v>
      </c>
      <c r="BR58" s="160">
        <f t="shared" si="13"/>
        <v>3545.03416003762</v>
      </c>
      <c r="BS58" s="160">
        <f t="shared" si="14"/>
        <v>2543562.0098269926</v>
      </c>
      <c r="BT58" s="160">
        <f t="shared" si="15"/>
        <v>3633660.0140385604</v>
      </c>
    </row>
    <row r="59" spans="1:72" x14ac:dyDescent="0.2">
      <c r="A59" s="204">
        <v>41913</v>
      </c>
      <c r="B59" s="205">
        <f t="shared" si="0"/>
        <v>2014</v>
      </c>
      <c r="C59" s="203">
        <v>41116020</v>
      </c>
      <c r="D59" s="203">
        <f>VLOOKUP(B59,CDM!$I$5:$N$15,2,FALSE)/12</f>
        <v>582902.57184116344</v>
      </c>
      <c r="E59" s="203">
        <f t="shared" si="1"/>
        <v>41698922.571841165</v>
      </c>
      <c r="F59" s="208">
        <v>59943</v>
      </c>
      <c r="G59" s="206">
        <v>13009887</v>
      </c>
      <c r="H59" s="208">
        <v>5215</v>
      </c>
      <c r="I59" s="203">
        <f>VLOOKUP(B59,CDM!$I$5:$N$15,3,FALSE)/12</f>
        <v>257042.64414502322</v>
      </c>
      <c r="J59" s="203">
        <f t="shared" si="2"/>
        <v>13266929.644145023</v>
      </c>
      <c r="K59" s="206">
        <v>72913145</v>
      </c>
      <c r="L59" s="203">
        <f>VLOOKUP(B59,CDM!$I$5:$N$15,4,FALSE)/12</f>
        <v>1679397.2948097724</v>
      </c>
      <c r="M59" s="87">
        <f t="shared" si="3"/>
        <v>74592542.294809774</v>
      </c>
      <c r="N59" s="206">
        <v>204893</v>
      </c>
      <c r="O59" s="208">
        <v>1028</v>
      </c>
      <c r="P59" s="206">
        <v>925946</v>
      </c>
      <c r="Q59" s="206">
        <v>2304</v>
      </c>
      <c r="R59" s="208">
        <v>15196</v>
      </c>
      <c r="S59" s="206">
        <v>258047</v>
      </c>
      <c r="T59" s="202">
        <v>24</v>
      </c>
      <c r="U59" s="202">
        <v>566</v>
      </c>
      <c r="V59" s="37">
        <f>'Economic (2020 Adj.)'!C71</f>
        <v>659861.19999999995</v>
      </c>
      <c r="W59" s="37">
        <f>'Economic (2020 Adj.)'!D71</f>
        <v>6901.5</v>
      </c>
      <c r="X59" s="37">
        <f>'Economic (2020 Adj.)'!F71</f>
        <v>3072.7</v>
      </c>
      <c r="Y59" s="37">
        <f>'Economic (2020 Adj.)'!H71</f>
        <v>385.1</v>
      </c>
      <c r="Z59" s="37">
        <f>'Economic (2020 Adj.)'!E71</f>
        <v>6936.6</v>
      </c>
      <c r="AA59" s="37">
        <f>'Economic (2020 Adj.)'!G71</f>
        <v>3089.4</v>
      </c>
      <c r="AB59" s="37">
        <f>'Economic (2020 Adj.)'!I71</f>
        <v>387.2</v>
      </c>
      <c r="AC59" s="39">
        <f>Weather!D191</f>
        <v>11.712903225806446</v>
      </c>
      <c r="AD59" s="39">
        <f>Weather!E191</f>
        <v>256.89999999999998</v>
      </c>
      <c r="AE59" s="39">
        <f>Weather!F191</f>
        <v>0</v>
      </c>
      <c r="AF59" s="39">
        <f>Weather!G191</f>
        <v>197.1</v>
      </c>
      <c r="AG59" s="39">
        <f>Weather!H191</f>
        <v>2.1999999999999993</v>
      </c>
      <c r="AH59" s="39">
        <f>Weather!I191</f>
        <v>139.29999999999998</v>
      </c>
      <c r="AI59" s="39">
        <f>Weather!J191</f>
        <v>6.3999999999999986</v>
      </c>
      <c r="AJ59" s="39">
        <f>Weather!K191</f>
        <v>90.8</v>
      </c>
      <c r="AK59" s="39">
        <f>Weather!L191</f>
        <v>19.899999999999999</v>
      </c>
      <c r="AL59" s="39">
        <f>Weather!M191</f>
        <v>50.6</v>
      </c>
      <c r="AM59" s="39">
        <f>Weather!N191</f>
        <v>41.699999999999996</v>
      </c>
      <c r="AN59" s="39">
        <f>Weather!O191</f>
        <v>18.099999999999998</v>
      </c>
      <c r="AO59" s="39">
        <f>Weather!P191</f>
        <v>71.199999999999989</v>
      </c>
      <c r="AP59" s="39">
        <f>Weather!Q191</f>
        <v>3.7999999999999989</v>
      </c>
      <c r="AQ59" s="39">
        <f>Weather!R191</f>
        <v>118.90000000000002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1</v>
      </c>
      <c r="BB59" s="201">
        <v>0</v>
      </c>
      <c r="BC59" s="201">
        <v>0</v>
      </c>
      <c r="BD59" s="201">
        <v>0</v>
      </c>
      <c r="BE59" s="201">
        <v>1</v>
      </c>
      <c r="BF59" s="201">
        <v>1</v>
      </c>
      <c r="BG59" s="202">
        <f t="shared" si="4"/>
        <v>58</v>
      </c>
      <c r="BH59" s="201">
        <v>31</v>
      </c>
      <c r="BI59" s="201">
        <v>22</v>
      </c>
      <c r="BJ59" s="160">
        <f t="shared" si="5"/>
        <v>695.64290362246072</v>
      </c>
      <c r="BK59" s="160">
        <f t="shared" si="6"/>
        <v>22.440093665240667</v>
      </c>
      <c r="BL59" s="159">
        <f t="shared" si="7"/>
        <v>1345126.5345755215</v>
      </c>
      <c r="BM59" s="160">
        <f t="shared" si="8"/>
        <v>2543.9941791265624</v>
      </c>
      <c r="BN59" s="160">
        <f t="shared" si="9"/>
        <v>82.064328358921372</v>
      </c>
      <c r="BO59" s="160">
        <f t="shared" si="10"/>
        <v>427965.47239177494</v>
      </c>
      <c r="BP59" s="160">
        <f t="shared" si="11"/>
        <v>72560.838808180721</v>
      </c>
      <c r="BQ59" s="160">
        <f t="shared" si="12"/>
        <v>2340.6722196187329</v>
      </c>
      <c r="BR59" s="160">
        <f t="shared" si="13"/>
        <v>3298.2199458263963</v>
      </c>
      <c r="BS59" s="160">
        <f t="shared" si="14"/>
        <v>2406211.0417680573</v>
      </c>
      <c r="BT59" s="160">
        <f t="shared" si="15"/>
        <v>3390570.1043095351</v>
      </c>
    </row>
    <row r="60" spans="1:72" x14ac:dyDescent="0.2">
      <c r="A60" s="204">
        <v>41944</v>
      </c>
      <c r="B60" s="205">
        <f t="shared" si="0"/>
        <v>2014</v>
      </c>
      <c r="C60" s="203">
        <v>40016132</v>
      </c>
      <c r="D60" s="203">
        <f>VLOOKUP(B60,CDM!$I$5:$N$15,2,FALSE)/12</f>
        <v>582902.57184116344</v>
      </c>
      <c r="E60" s="203">
        <f t="shared" si="1"/>
        <v>40599034.571841165</v>
      </c>
      <c r="F60" s="206">
        <v>59983</v>
      </c>
      <c r="G60" s="206">
        <v>13754258</v>
      </c>
      <c r="H60" s="206">
        <v>5219</v>
      </c>
      <c r="I60" s="203">
        <f>VLOOKUP(B60,CDM!$I$5:$N$15,3,FALSE)/12</f>
        <v>257042.64414502322</v>
      </c>
      <c r="J60" s="203">
        <f t="shared" si="2"/>
        <v>14011300.644145023</v>
      </c>
      <c r="K60" s="206">
        <v>72454970</v>
      </c>
      <c r="L60" s="203">
        <f>VLOOKUP(B60,CDM!$I$5:$N$15,4,FALSE)/12</f>
        <v>1679397.2948097724</v>
      </c>
      <c r="M60" s="87">
        <f t="shared" si="3"/>
        <v>74134367.294809774</v>
      </c>
      <c r="N60" s="206">
        <v>201777</v>
      </c>
      <c r="O60" s="206">
        <v>1029</v>
      </c>
      <c r="P60" s="206">
        <v>985612</v>
      </c>
      <c r="Q60" s="206">
        <v>2304</v>
      </c>
      <c r="R60" s="208">
        <v>15196</v>
      </c>
      <c r="S60" s="206">
        <v>257104</v>
      </c>
      <c r="T60" s="202">
        <v>24</v>
      </c>
      <c r="U60" s="202">
        <v>566</v>
      </c>
      <c r="V60" s="37">
        <f>'Economic (2020 Adj.)'!C72</f>
        <v>659861.19999999995</v>
      </c>
      <c r="W60" s="37">
        <f>'Economic (2020 Adj.)'!D72</f>
        <v>6907.5</v>
      </c>
      <c r="X60" s="37">
        <f>'Economic (2020 Adj.)'!F72</f>
        <v>3082</v>
      </c>
      <c r="Y60" s="37">
        <f>'Economic (2020 Adj.)'!H72</f>
        <v>383</v>
      </c>
      <c r="Z60" s="37">
        <f>'Economic (2020 Adj.)'!E72</f>
        <v>6914.3</v>
      </c>
      <c r="AA60" s="37">
        <f>'Economic (2020 Adj.)'!G72</f>
        <v>3084.8</v>
      </c>
      <c r="AB60" s="37">
        <f>'Economic (2020 Adj.)'!I72</f>
        <v>384.2</v>
      </c>
      <c r="AC60" s="39">
        <f>Weather!D192</f>
        <v>3.2833333333333328</v>
      </c>
      <c r="AD60" s="39">
        <f>Weather!E192</f>
        <v>501.49999999999994</v>
      </c>
      <c r="AE60" s="39">
        <f>Weather!F192</f>
        <v>0</v>
      </c>
      <c r="AF60" s="39">
        <f>Weather!G192</f>
        <v>441.49999999999994</v>
      </c>
      <c r="AG60" s="39">
        <f>Weather!H192</f>
        <v>0</v>
      </c>
      <c r="AH60" s="39">
        <f>Weather!I192</f>
        <v>381.49999999999994</v>
      </c>
      <c r="AI60" s="39">
        <f>Weather!J192</f>
        <v>0</v>
      </c>
      <c r="AJ60" s="39">
        <f>Weather!K192</f>
        <v>321.5</v>
      </c>
      <c r="AK60" s="39">
        <f>Weather!L192</f>
        <v>0</v>
      </c>
      <c r="AL60" s="39">
        <f>Weather!M192</f>
        <v>261.60000000000002</v>
      </c>
      <c r="AM60" s="39">
        <f>Weather!N192</f>
        <v>9.9999999999999645E-2</v>
      </c>
      <c r="AN60" s="39">
        <f>Weather!O192</f>
        <v>207.1</v>
      </c>
      <c r="AO60" s="39">
        <f>Weather!P192</f>
        <v>5.6</v>
      </c>
      <c r="AP60" s="39">
        <f>Weather!Q192</f>
        <v>156.39999999999998</v>
      </c>
      <c r="AQ60" s="39">
        <f>Weather!R192</f>
        <v>14.899999999999999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1</v>
      </c>
      <c r="BC60" s="201">
        <v>0</v>
      </c>
      <c r="BD60" s="201">
        <v>0</v>
      </c>
      <c r="BE60" s="201">
        <v>1</v>
      </c>
      <c r="BF60" s="201">
        <v>1</v>
      </c>
      <c r="BG60" s="202">
        <f t="shared" si="4"/>
        <v>59</v>
      </c>
      <c r="BH60" s="201">
        <v>30</v>
      </c>
      <c r="BI60" s="201">
        <v>20</v>
      </c>
      <c r="BJ60" s="160">
        <f t="shared" si="5"/>
        <v>676.84234819600829</v>
      </c>
      <c r="BK60" s="160">
        <f t="shared" si="6"/>
        <v>22.561411606533611</v>
      </c>
      <c r="BL60" s="159">
        <f t="shared" si="7"/>
        <v>1353301.1523947055</v>
      </c>
      <c r="BM60" s="160">
        <f t="shared" si="8"/>
        <v>2684.6715164102361</v>
      </c>
      <c r="BN60" s="160">
        <f t="shared" si="9"/>
        <v>89.489050547007864</v>
      </c>
      <c r="BO60" s="160">
        <f t="shared" si="10"/>
        <v>467043.35480483412</v>
      </c>
      <c r="BP60" s="160">
        <f t="shared" si="11"/>
        <v>72045.060539173734</v>
      </c>
      <c r="BQ60" s="160">
        <f t="shared" si="12"/>
        <v>2401.5020179724579</v>
      </c>
      <c r="BR60" s="160">
        <f t="shared" si="13"/>
        <v>3602.2530269586869</v>
      </c>
      <c r="BS60" s="160">
        <f t="shared" si="14"/>
        <v>2471145.5764936591</v>
      </c>
      <c r="BT60" s="160">
        <f t="shared" si="15"/>
        <v>3706718.3647404886</v>
      </c>
    </row>
    <row r="61" spans="1:72" x14ac:dyDescent="0.2">
      <c r="A61" s="204">
        <v>41974</v>
      </c>
      <c r="B61" s="205">
        <f t="shared" si="0"/>
        <v>2014</v>
      </c>
      <c r="C61" s="203">
        <v>44606686</v>
      </c>
      <c r="D61" s="203">
        <f>VLOOKUP(B61,CDM!$I$5:$N$15,2,FALSE)/12</f>
        <v>582902.57184116344</v>
      </c>
      <c r="E61" s="203">
        <f t="shared" si="1"/>
        <v>45189588.571841165</v>
      </c>
      <c r="F61" s="208">
        <v>60014</v>
      </c>
      <c r="G61" s="206">
        <v>14879853</v>
      </c>
      <c r="H61" s="208">
        <v>5230</v>
      </c>
      <c r="I61" s="203">
        <f>VLOOKUP(B61,CDM!$I$5:$N$15,3,FALSE)/12</f>
        <v>257042.64414502322</v>
      </c>
      <c r="J61" s="203">
        <f t="shared" si="2"/>
        <v>15136895.644145023</v>
      </c>
      <c r="K61" s="206">
        <v>73645384</v>
      </c>
      <c r="L61" s="203">
        <f>VLOOKUP(B61,CDM!$I$5:$N$15,4,FALSE)/12</f>
        <v>1679397.2948097724</v>
      </c>
      <c r="M61" s="87">
        <f t="shared" si="3"/>
        <v>75324781.294809774</v>
      </c>
      <c r="N61" s="206">
        <v>179258</v>
      </c>
      <c r="O61" s="208">
        <v>1028</v>
      </c>
      <c r="P61" s="206">
        <v>1068286</v>
      </c>
      <c r="Q61" s="206">
        <v>2304</v>
      </c>
      <c r="R61" s="206">
        <v>15196</v>
      </c>
      <c r="S61" s="206">
        <v>260405</v>
      </c>
      <c r="T61" s="202">
        <v>24</v>
      </c>
      <c r="U61" s="202">
        <v>566</v>
      </c>
      <c r="V61" s="37">
        <f>'Economic (2020 Adj.)'!C73</f>
        <v>659861.19999999995</v>
      </c>
      <c r="W61" s="37">
        <f>'Economic (2020 Adj.)'!D73</f>
        <v>6903.1</v>
      </c>
      <c r="X61" s="37">
        <f>'Economic (2020 Adj.)'!F73</f>
        <v>3080.1</v>
      </c>
      <c r="Y61" s="37">
        <f>'Economic (2020 Adj.)'!H73</f>
        <v>380</v>
      </c>
      <c r="Z61" s="37">
        <f>'Economic (2020 Adj.)'!E73</f>
        <v>6903.2</v>
      </c>
      <c r="AA61" s="37">
        <f>'Economic (2020 Adj.)'!G73</f>
        <v>3082.8</v>
      </c>
      <c r="AB61" s="37">
        <f>'Economic (2020 Adj.)'!I73</f>
        <v>382.5</v>
      </c>
      <c r="AC61" s="39">
        <f>Weather!D193</f>
        <v>1.2548387096774198</v>
      </c>
      <c r="AD61" s="39">
        <f>Weather!E193</f>
        <v>581.09999999999991</v>
      </c>
      <c r="AE61" s="39">
        <f>Weather!F193</f>
        <v>0</v>
      </c>
      <c r="AF61" s="39">
        <f>Weather!G193</f>
        <v>519.09999999999991</v>
      </c>
      <c r="AG61" s="39">
        <f>Weather!H193</f>
        <v>0</v>
      </c>
      <c r="AH61" s="39">
        <f>Weather!I193</f>
        <v>457.09999999999997</v>
      </c>
      <c r="AI61" s="39">
        <f>Weather!J193</f>
        <v>0</v>
      </c>
      <c r="AJ61" s="39">
        <f>Weather!K193</f>
        <v>395.1</v>
      </c>
      <c r="AK61" s="39">
        <f>Weather!L193</f>
        <v>0</v>
      </c>
      <c r="AL61" s="39">
        <f>Weather!M193</f>
        <v>333.1</v>
      </c>
      <c r="AM61" s="39">
        <f>Weather!N193</f>
        <v>0</v>
      </c>
      <c r="AN61" s="39">
        <f>Weather!O193</f>
        <v>271.10000000000002</v>
      </c>
      <c r="AO61" s="39">
        <f>Weather!P193</f>
        <v>0</v>
      </c>
      <c r="AP61" s="39">
        <f>Weather!Q193</f>
        <v>209.10000000000002</v>
      </c>
      <c r="AQ61" s="39">
        <f>Weather!R193</f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 s="201">
        <v>1</v>
      </c>
      <c r="BD61" s="201">
        <v>0</v>
      </c>
      <c r="BE61" s="201">
        <v>0</v>
      </c>
      <c r="BF61" s="201">
        <v>0</v>
      </c>
      <c r="BG61" s="202">
        <f t="shared" si="4"/>
        <v>60</v>
      </c>
      <c r="BH61" s="201">
        <v>31</v>
      </c>
      <c r="BI61" s="201">
        <v>21</v>
      </c>
      <c r="BJ61" s="160">
        <f t="shared" si="5"/>
        <v>752.98411323759728</v>
      </c>
      <c r="BK61" s="160">
        <f t="shared" si="6"/>
        <v>24.289810104438622</v>
      </c>
      <c r="BL61" s="159">
        <f t="shared" si="7"/>
        <v>1457728.6636077794</v>
      </c>
      <c r="BM61" s="160">
        <f t="shared" si="8"/>
        <v>2894.2439090143448</v>
      </c>
      <c r="BN61" s="160">
        <f t="shared" si="9"/>
        <v>93.362706742398217</v>
      </c>
      <c r="BO61" s="160">
        <f t="shared" si="10"/>
        <v>488286.95626274269</v>
      </c>
      <c r="BP61" s="160">
        <f t="shared" si="11"/>
        <v>73273.133555262422</v>
      </c>
      <c r="BQ61" s="160">
        <f t="shared" si="12"/>
        <v>2363.6494695245942</v>
      </c>
      <c r="BR61" s="160">
        <f t="shared" si="13"/>
        <v>3489.1968359648772</v>
      </c>
      <c r="BS61" s="160">
        <f t="shared" si="14"/>
        <v>2429831.654671283</v>
      </c>
      <c r="BT61" s="160">
        <f t="shared" si="15"/>
        <v>3586894.3473718939</v>
      </c>
    </row>
    <row r="62" spans="1:72" x14ac:dyDescent="0.2">
      <c r="A62" s="204">
        <v>42005</v>
      </c>
      <c r="B62" s="205">
        <f t="shared" si="0"/>
        <v>2015</v>
      </c>
      <c r="C62" s="203">
        <v>49036178</v>
      </c>
      <c r="D62" s="203">
        <f>VLOOKUP(B62,CDM!$I$5:$N$15,2,FALSE)/12</f>
        <v>848162.38390519342</v>
      </c>
      <c r="E62" s="203">
        <f t="shared" si="1"/>
        <v>49884340.383905195</v>
      </c>
      <c r="F62" s="208">
        <v>60019</v>
      </c>
      <c r="G62" s="206">
        <v>15722680</v>
      </c>
      <c r="H62" s="208">
        <v>5230</v>
      </c>
      <c r="I62" s="203">
        <f>VLOOKUP(B62,CDM!$I$5:$N$15,3,FALSE)/12</f>
        <v>459876.69908988359</v>
      </c>
      <c r="J62" s="203">
        <f t="shared" si="2"/>
        <v>16182556.699089883</v>
      </c>
      <c r="K62" s="206">
        <v>79523058</v>
      </c>
      <c r="L62" s="203">
        <f>VLOOKUP(B62,CDM!$I$5:$N$15,4,FALSE)/12</f>
        <v>2133960.9013047926</v>
      </c>
      <c r="M62" s="87">
        <f t="shared" si="3"/>
        <v>81657018.901304796</v>
      </c>
      <c r="N62" s="206">
        <v>190064</v>
      </c>
      <c r="O62" s="208">
        <v>1028</v>
      </c>
      <c r="P62" s="206">
        <v>1045146</v>
      </c>
      <c r="Q62" s="206">
        <v>2305</v>
      </c>
      <c r="R62" s="208">
        <v>15225</v>
      </c>
      <c r="S62" s="206">
        <v>257164</v>
      </c>
      <c r="T62" s="202">
        <v>24</v>
      </c>
      <c r="U62" s="202">
        <v>566</v>
      </c>
      <c r="V62" s="37">
        <f>'Economic (2020 Adj.)'!C74</f>
        <v>677384</v>
      </c>
      <c r="W62" s="37">
        <f>'Economic (2020 Adj.)'!D74</f>
        <v>6885.7</v>
      </c>
      <c r="X62" s="37">
        <f>'Economic (2020 Adj.)'!F74</f>
        <v>3076.8</v>
      </c>
      <c r="Y62" s="37">
        <f>'Economic (2020 Adj.)'!H74</f>
        <v>379.5</v>
      </c>
      <c r="Z62" s="37">
        <f>'Economic (2020 Adj.)'!E74</f>
        <v>6845.1</v>
      </c>
      <c r="AA62" s="37">
        <f>'Economic (2020 Adj.)'!G74</f>
        <v>3066.1</v>
      </c>
      <c r="AB62" s="37">
        <f>'Economic (2020 Adj.)'!I74</f>
        <v>379.3</v>
      </c>
      <c r="AC62" s="39">
        <f>Weather!D194</f>
        <v>-5.8580645161290343</v>
      </c>
      <c r="AD62" s="39">
        <f>Weather!E194</f>
        <v>801.5999999999998</v>
      </c>
      <c r="AE62" s="39">
        <f>Weather!F194</f>
        <v>0</v>
      </c>
      <c r="AF62" s="39">
        <f>Weather!G194</f>
        <v>739.5999999999998</v>
      </c>
      <c r="AG62" s="39">
        <f>Weather!H194</f>
        <v>0</v>
      </c>
      <c r="AH62" s="39">
        <f>Weather!I194</f>
        <v>677.59999999999968</v>
      </c>
      <c r="AI62" s="39">
        <f>Weather!J194</f>
        <v>0</v>
      </c>
      <c r="AJ62" s="39">
        <f>Weather!K194</f>
        <v>615.5999999999998</v>
      </c>
      <c r="AK62" s="39">
        <f>Weather!L194</f>
        <v>0</v>
      </c>
      <c r="AL62" s="39">
        <f>Weather!M194</f>
        <v>553.59999999999991</v>
      </c>
      <c r="AM62" s="39">
        <f>Weather!N194</f>
        <v>0</v>
      </c>
      <c r="AN62" s="39">
        <f>Weather!O194</f>
        <v>491.59999999999997</v>
      </c>
      <c r="AO62" s="39">
        <f>Weather!P194</f>
        <v>0</v>
      </c>
      <c r="AP62" s="39">
        <f>Weather!Q194</f>
        <v>429.59999999999997</v>
      </c>
      <c r="AQ62" s="39">
        <f>Weather!R194</f>
        <v>0</v>
      </c>
      <c r="AR62" s="201">
        <v>1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 s="201">
        <v>0</v>
      </c>
      <c r="BD62" s="201">
        <v>0</v>
      </c>
      <c r="BE62" s="201">
        <v>0</v>
      </c>
      <c r="BF62" s="201">
        <v>0</v>
      </c>
      <c r="BG62" s="202">
        <f t="shared" si="4"/>
        <v>61</v>
      </c>
      <c r="BH62" s="201">
        <v>31</v>
      </c>
      <c r="BI62" s="201">
        <v>21</v>
      </c>
      <c r="BJ62" s="160">
        <f t="shared" si="5"/>
        <v>831.14247794707001</v>
      </c>
      <c r="BK62" s="160">
        <f t="shared" si="6"/>
        <v>26.811047675711936</v>
      </c>
      <c r="BL62" s="159">
        <f t="shared" si="7"/>
        <v>1609172.2704485548</v>
      </c>
      <c r="BM62" s="160">
        <f t="shared" si="8"/>
        <v>3094.1791011644136</v>
      </c>
      <c r="BN62" s="160">
        <f t="shared" si="9"/>
        <v>99.812229069819793</v>
      </c>
      <c r="BO62" s="160">
        <f t="shared" si="10"/>
        <v>522017.95803515753</v>
      </c>
      <c r="BP62" s="160">
        <f t="shared" si="11"/>
        <v>79432.897763915171</v>
      </c>
      <c r="BQ62" s="160">
        <f t="shared" si="12"/>
        <v>2562.3515407714572</v>
      </c>
      <c r="BR62" s="160">
        <f t="shared" si="13"/>
        <v>3782.5189411388178</v>
      </c>
      <c r="BS62" s="160">
        <f t="shared" si="14"/>
        <v>2634097.3839130579</v>
      </c>
      <c r="BT62" s="160">
        <f t="shared" si="15"/>
        <v>3888429.4714907045</v>
      </c>
    </row>
    <row r="63" spans="1:72" x14ac:dyDescent="0.2">
      <c r="A63" s="204">
        <v>42036</v>
      </c>
      <c r="B63" s="205">
        <f t="shared" si="0"/>
        <v>2015</v>
      </c>
      <c r="C63" s="203">
        <v>42132823</v>
      </c>
      <c r="D63" s="203">
        <f>VLOOKUP(B63,CDM!$I$5:$N$15,2,FALSE)/12</f>
        <v>848162.38390519342</v>
      </c>
      <c r="E63" s="203">
        <f t="shared" si="1"/>
        <v>42980985.383905195</v>
      </c>
      <c r="F63" s="206">
        <v>60029</v>
      </c>
      <c r="G63" s="206">
        <v>14670158</v>
      </c>
      <c r="H63" s="206">
        <v>5234</v>
      </c>
      <c r="I63" s="203">
        <f>VLOOKUP(B63,CDM!$I$5:$N$15,3,FALSE)/12</f>
        <v>459876.69908988359</v>
      </c>
      <c r="J63" s="203">
        <f t="shared" si="2"/>
        <v>15130034.699089883</v>
      </c>
      <c r="K63" s="206">
        <v>74181806</v>
      </c>
      <c r="L63" s="203">
        <f>VLOOKUP(B63,CDM!$I$5:$N$15,4,FALSE)/12</f>
        <v>2133960.9013047926</v>
      </c>
      <c r="M63" s="87">
        <f t="shared" si="3"/>
        <v>76315766.901304796</v>
      </c>
      <c r="N63" s="206">
        <v>194654</v>
      </c>
      <c r="O63" s="206">
        <v>1027</v>
      </c>
      <c r="P63" s="206">
        <v>873453</v>
      </c>
      <c r="Q63" s="206">
        <v>2305</v>
      </c>
      <c r="R63" s="208">
        <v>15225</v>
      </c>
      <c r="S63" s="206">
        <v>256037</v>
      </c>
      <c r="T63" s="202">
        <v>24</v>
      </c>
      <c r="U63" s="202">
        <v>553</v>
      </c>
      <c r="V63" s="37">
        <f>'Economic (2020 Adj.)'!C75</f>
        <v>677384</v>
      </c>
      <c r="W63" s="37">
        <f>'Economic (2020 Adj.)'!D75</f>
        <v>6885.3</v>
      </c>
      <c r="X63" s="37">
        <f>'Economic (2020 Adj.)'!F75</f>
        <v>3085.5</v>
      </c>
      <c r="Y63" s="37">
        <f>'Economic (2020 Adj.)'!H75</f>
        <v>378.6</v>
      </c>
      <c r="Z63" s="37">
        <f>'Economic (2020 Adj.)'!E75</f>
        <v>6810.3</v>
      </c>
      <c r="AA63" s="37">
        <f>'Economic (2020 Adj.)'!G75</f>
        <v>3057.4</v>
      </c>
      <c r="AB63" s="37">
        <f>'Economic (2020 Adj.)'!I75</f>
        <v>376.2</v>
      </c>
      <c r="AC63" s="39">
        <f>Weather!D195</f>
        <v>-11.139285714285718</v>
      </c>
      <c r="AD63" s="39">
        <f>Weather!E195</f>
        <v>871.89999999999975</v>
      </c>
      <c r="AE63" s="39">
        <f>Weather!F195</f>
        <v>0</v>
      </c>
      <c r="AF63" s="39">
        <f>Weather!G195</f>
        <v>815.89999999999975</v>
      </c>
      <c r="AG63" s="39">
        <f>Weather!H195</f>
        <v>0</v>
      </c>
      <c r="AH63" s="39">
        <f>Weather!I195</f>
        <v>759.89999999999986</v>
      </c>
      <c r="AI63" s="39">
        <f>Weather!J195</f>
        <v>0</v>
      </c>
      <c r="AJ63" s="39">
        <f>Weather!K195</f>
        <v>703.89999999999986</v>
      </c>
      <c r="AK63" s="39">
        <f>Weather!L195</f>
        <v>0</v>
      </c>
      <c r="AL63" s="39">
        <f>Weather!M195</f>
        <v>647.9</v>
      </c>
      <c r="AM63" s="39">
        <f>Weather!N195</f>
        <v>0</v>
      </c>
      <c r="AN63" s="39">
        <f>Weather!O195</f>
        <v>591.9</v>
      </c>
      <c r="AO63" s="39">
        <f>Weather!P195</f>
        <v>0</v>
      </c>
      <c r="AP63" s="39">
        <f>Weather!Q195</f>
        <v>535.9</v>
      </c>
      <c r="AQ63" s="39">
        <f>Weather!R195</f>
        <v>0</v>
      </c>
      <c r="AR63" s="201">
        <v>0</v>
      </c>
      <c r="AS63" s="201">
        <v>1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 s="201">
        <v>0</v>
      </c>
      <c r="BD63" s="201">
        <v>0</v>
      </c>
      <c r="BE63" s="201">
        <v>0</v>
      </c>
      <c r="BF63" s="201">
        <v>0</v>
      </c>
      <c r="BG63" s="202">
        <f t="shared" si="4"/>
        <v>62</v>
      </c>
      <c r="BH63" s="201">
        <v>28</v>
      </c>
      <c r="BI63" s="201">
        <v>19</v>
      </c>
      <c r="BJ63" s="160">
        <f t="shared" si="5"/>
        <v>716.00368794924441</v>
      </c>
      <c r="BK63" s="160">
        <f t="shared" si="6"/>
        <v>25.571560283901587</v>
      </c>
      <c r="BL63" s="159">
        <f t="shared" si="7"/>
        <v>1535035.1922823284</v>
      </c>
      <c r="BM63" s="160">
        <f t="shared" si="8"/>
        <v>2890.7211882097599</v>
      </c>
      <c r="BN63" s="160">
        <f t="shared" si="9"/>
        <v>103.24004243606285</v>
      </c>
      <c r="BO63" s="160">
        <f t="shared" si="10"/>
        <v>540358.38211035298</v>
      </c>
      <c r="BP63" s="160">
        <f t="shared" si="11"/>
        <v>74309.412756869322</v>
      </c>
      <c r="BQ63" s="160">
        <f t="shared" si="12"/>
        <v>2653.9075984596188</v>
      </c>
      <c r="BR63" s="160">
        <f t="shared" si="13"/>
        <v>3911.0217240457537</v>
      </c>
      <c r="BS63" s="160">
        <f t="shared" si="14"/>
        <v>2725563.1036180286</v>
      </c>
      <c r="BT63" s="160">
        <f t="shared" si="15"/>
        <v>4016619.3105949895</v>
      </c>
    </row>
    <row r="64" spans="1:72" x14ac:dyDescent="0.2">
      <c r="A64" s="204">
        <v>42064</v>
      </c>
      <c r="B64" s="205">
        <f t="shared" si="0"/>
        <v>2015</v>
      </c>
      <c r="C64" s="203">
        <v>42570862</v>
      </c>
      <c r="D64" s="203">
        <f>VLOOKUP(B64,CDM!$I$5:$N$15,2,FALSE)/12</f>
        <v>848162.38390519342</v>
      </c>
      <c r="E64" s="203">
        <f t="shared" si="1"/>
        <v>43419024.383905195</v>
      </c>
      <c r="F64" s="208">
        <v>60053</v>
      </c>
      <c r="G64" s="206">
        <v>15080135</v>
      </c>
      <c r="H64" s="208">
        <v>5236</v>
      </c>
      <c r="I64" s="203">
        <f>VLOOKUP(B64,CDM!$I$5:$N$15,3,FALSE)/12</f>
        <v>459876.69908988359</v>
      </c>
      <c r="J64" s="203">
        <f t="shared" si="2"/>
        <v>15540011.699089883</v>
      </c>
      <c r="K64" s="206">
        <v>77250849</v>
      </c>
      <c r="L64" s="203">
        <f>VLOOKUP(B64,CDM!$I$5:$N$15,4,FALSE)/12</f>
        <v>2133960.9013047926</v>
      </c>
      <c r="M64" s="87">
        <f t="shared" si="3"/>
        <v>79384809.901304796</v>
      </c>
      <c r="N64" s="206">
        <v>196634</v>
      </c>
      <c r="O64" s="208">
        <v>1030</v>
      </c>
      <c r="P64" s="206">
        <v>862804</v>
      </c>
      <c r="Q64" s="206">
        <v>2305</v>
      </c>
      <c r="R64" s="206">
        <v>15225</v>
      </c>
      <c r="S64" s="206">
        <v>257839</v>
      </c>
      <c r="T64" s="202">
        <v>24</v>
      </c>
      <c r="U64" s="202">
        <v>553</v>
      </c>
      <c r="V64" s="37">
        <f>'Economic (2020 Adj.)'!C76</f>
        <v>677384</v>
      </c>
      <c r="W64" s="37">
        <f>'Economic (2020 Adj.)'!D76</f>
        <v>6892.1</v>
      </c>
      <c r="X64" s="37">
        <f>'Economic (2020 Adj.)'!F76</f>
        <v>3108.7</v>
      </c>
      <c r="Y64" s="37">
        <f>'Economic (2020 Adj.)'!H76</f>
        <v>379.4</v>
      </c>
      <c r="Z64" s="37">
        <f>'Economic (2020 Adj.)'!E76</f>
        <v>6783.7</v>
      </c>
      <c r="AA64" s="37">
        <f>'Economic (2020 Adj.)'!G76</f>
        <v>3060.7</v>
      </c>
      <c r="AB64" s="37">
        <f>'Economic (2020 Adj.)'!I76</f>
        <v>373.1</v>
      </c>
      <c r="AC64" s="39">
        <f>Weather!D196</f>
        <v>-1.1612903225806448</v>
      </c>
      <c r="AD64" s="39">
        <f>Weather!E196</f>
        <v>655.99999999999989</v>
      </c>
      <c r="AE64" s="39">
        <f>Weather!F196</f>
        <v>0</v>
      </c>
      <c r="AF64" s="39">
        <f>Weather!G196</f>
        <v>593.99999999999989</v>
      </c>
      <c r="AG64" s="39">
        <f>Weather!H196</f>
        <v>0</v>
      </c>
      <c r="AH64" s="39">
        <f>Weather!I196</f>
        <v>531.99999999999989</v>
      </c>
      <c r="AI64" s="39">
        <f>Weather!J196</f>
        <v>0</v>
      </c>
      <c r="AJ64" s="39">
        <f>Weather!K196</f>
        <v>469.99999999999994</v>
      </c>
      <c r="AK64" s="39">
        <f>Weather!L196</f>
        <v>0</v>
      </c>
      <c r="AL64" s="39">
        <f>Weather!M196</f>
        <v>408</v>
      </c>
      <c r="AM64" s="39">
        <f>Weather!N196</f>
        <v>0</v>
      </c>
      <c r="AN64" s="39">
        <f>Weather!O196</f>
        <v>346</v>
      </c>
      <c r="AO64" s="39">
        <f>Weather!P196</f>
        <v>0</v>
      </c>
      <c r="AP64" s="39">
        <f>Weather!Q196</f>
        <v>284</v>
      </c>
      <c r="AQ64" s="39">
        <f>Weather!R196</f>
        <v>0</v>
      </c>
      <c r="AR64" s="201">
        <v>0</v>
      </c>
      <c r="AS64" s="201">
        <v>0</v>
      </c>
      <c r="AT64" s="201">
        <v>1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 s="201">
        <v>0</v>
      </c>
      <c r="BD64" s="201">
        <v>1</v>
      </c>
      <c r="BE64" s="201">
        <v>0</v>
      </c>
      <c r="BF64" s="201">
        <v>1</v>
      </c>
      <c r="BG64" s="202">
        <f t="shared" si="4"/>
        <v>63</v>
      </c>
      <c r="BH64" s="201">
        <v>31</v>
      </c>
      <c r="BI64" s="201">
        <v>22</v>
      </c>
      <c r="BJ64" s="160">
        <f t="shared" si="5"/>
        <v>723.01174602276649</v>
      </c>
      <c r="BK64" s="160">
        <f t="shared" si="6"/>
        <v>23.322959549121499</v>
      </c>
      <c r="BL64" s="159">
        <f t="shared" si="7"/>
        <v>1400613.6898033933</v>
      </c>
      <c r="BM64" s="160">
        <f t="shared" si="8"/>
        <v>2967.9166728590303</v>
      </c>
      <c r="BN64" s="160">
        <f t="shared" si="9"/>
        <v>95.739247511581624</v>
      </c>
      <c r="BO64" s="160">
        <f t="shared" si="10"/>
        <v>501290.69997064141</v>
      </c>
      <c r="BP64" s="160">
        <f t="shared" si="11"/>
        <v>77072.630972140585</v>
      </c>
      <c r="BQ64" s="160">
        <f t="shared" si="12"/>
        <v>2486.2139023271156</v>
      </c>
      <c r="BR64" s="160">
        <f t="shared" si="13"/>
        <v>3503.3014078245719</v>
      </c>
      <c r="BS64" s="160">
        <f t="shared" si="14"/>
        <v>2560800.3193969289</v>
      </c>
      <c r="BT64" s="160">
        <f t="shared" si="15"/>
        <v>3608400.4500593091</v>
      </c>
    </row>
    <row r="65" spans="1:72" x14ac:dyDescent="0.2">
      <c r="A65" s="204">
        <v>42095</v>
      </c>
      <c r="B65" s="205">
        <f t="shared" si="0"/>
        <v>2015</v>
      </c>
      <c r="C65" s="203">
        <v>37765295</v>
      </c>
      <c r="D65" s="203">
        <f>VLOOKUP(B65,CDM!$I$5:$N$15,2,FALSE)/12</f>
        <v>848162.38390519342</v>
      </c>
      <c r="E65" s="203">
        <f t="shared" si="1"/>
        <v>38613457.383905195</v>
      </c>
      <c r="F65" s="208">
        <v>60058</v>
      </c>
      <c r="G65" s="206">
        <v>13252080</v>
      </c>
      <c r="H65" s="208">
        <v>5236</v>
      </c>
      <c r="I65" s="203">
        <f>VLOOKUP(B65,CDM!$I$5:$N$15,3,FALSE)/12</f>
        <v>459876.69908988359</v>
      </c>
      <c r="J65" s="203">
        <f t="shared" si="2"/>
        <v>13711956.699089883</v>
      </c>
      <c r="K65" s="206">
        <v>69787643</v>
      </c>
      <c r="L65" s="203">
        <f>VLOOKUP(B65,CDM!$I$5:$N$15,4,FALSE)/12</f>
        <v>2133960.9013047926</v>
      </c>
      <c r="M65" s="87">
        <f t="shared" si="3"/>
        <v>71921603.901304796</v>
      </c>
      <c r="N65" s="206">
        <v>192074</v>
      </c>
      <c r="O65" s="208">
        <v>1028</v>
      </c>
      <c r="P65" s="206">
        <v>732535</v>
      </c>
      <c r="Q65" s="206">
        <v>2305</v>
      </c>
      <c r="R65" s="208">
        <v>15225</v>
      </c>
      <c r="S65" s="206">
        <v>256901</v>
      </c>
      <c r="T65" s="202">
        <v>24</v>
      </c>
      <c r="U65" s="202">
        <v>553</v>
      </c>
      <c r="V65" s="37">
        <f>'Economic (2020 Adj.)'!C77</f>
        <v>677384</v>
      </c>
      <c r="W65" s="37">
        <f>'Economic (2020 Adj.)'!D77</f>
        <v>6897.3</v>
      </c>
      <c r="X65" s="37">
        <f>'Economic (2020 Adj.)'!F77</f>
        <v>3122.7</v>
      </c>
      <c r="Y65" s="37">
        <f>'Economic (2020 Adj.)'!H77</f>
        <v>379.6</v>
      </c>
      <c r="Z65" s="37">
        <f>'Economic (2020 Adj.)'!E77</f>
        <v>6805.6</v>
      </c>
      <c r="AA65" s="37">
        <f>'Economic (2020 Adj.)'!G77</f>
        <v>3086.6</v>
      </c>
      <c r="AB65" s="37">
        <f>'Economic (2020 Adj.)'!I77</f>
        <v>374.7</v>
      </c>
      <c r="AC65" s="39">
        <f>Weather!D197</f>
        <v>7.2700000000000022</v>
      </c>
      <c r="AD65" s="39">
        <f>Weather!E197</f>
        <v>381.90000000000003</v>
      </c>
      <c r="AE65" s="39">
        <f>Weather!F197</f>
        <v>0</v>
      </c>
      <c r="AF65" s="39">
        <f>Weather!G197</f>
        <v>321.90000000000009</v>
      </c>
      <c r="AG65" s="39">
        <f>Weather!H197</f>
        <v>0</v>
      </c>
      <c r="AH65" s="39">
        <f>Weather!I197</f>
        <v>261.89999999999998</v>
      </c>
      <c r="AI65" s="39">
        <f>Weather!J197</f>
        <v>0</v>
      </c>
      <c r="AJ65" s="39">
        <f>Weather!K197</f>
        <v>203.49999999999991</v>
      </c>
      <c r="AK65" s="39">
        <f>Weather!L197</f>
        <v>1.5999999999999996</v>
      </c>
      <c r="AL65" s="39">
        <f>Weather!M197</f>
        <v>149.69999999999996</v>
      </c>
      <c r="AM65" s="39">
        <f>Weather!N197</f>
        <v>7.8000000000000007</v>
      </c>
      <c r="AN65" s="39">
        <f>Weather!O197</f>
        <v>102.5</v>
      </c>
      <c r="AO65" s="39">
        <f>Weather!P197</f>
        <v>20.6</v>
      </c>
      <c r="AP65" s="39">
        <f>Weather!Q197</f>
        <v>61.70000000000001</v>
      </c>
      <c r="AQ65" s="39">
        <f>Weather!R197</f>
        <v>39.799999999999997</v>
      </c>
      <c r="AR65" s="201">
        <v>0</v>
      </c>
      <c r="AS65" s="201">
        <v>0</v>
      </c>
      <c r="AT65" s="201">
        <v>0</v>
      </c>
      <c r="AU65" s="201">
        <v>1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 s="201">
        <v>0</v>
      </c>
      <c r="BD65" s="201">
        <v>1</v>
      </c>
      <c r="BE65" s="201">
        <v>0</v>
      </c>
      <c r="BF65" s="201">
        <v>1</v>
      </c>
      <c r="BG65" s="202">
        <f t="shared" si="4"/>
        <v>64</v>
      </c>
      <c r="BH65" s="201">
        <v>30</v>
      </c>
      <c r="BI65" s="201">
        <v>20</v>
      </c>
      <c r="BJ65" s="160">
        <f t="shared" si="5"/>
        <v>642.93611815087411</v>
      </c>
      <c r="BK65" s="160">
        <f t="shared" si="6"/>
        <v>21.431203938362469</v>
      </c>
      <c r="BL65" s="159">
        <f t="shared" si="7"/>
        <v>1287115.2461301731</v>
      </c>
      <c r="BM65" s="160">
        <f t="shared" si="8"/>
        <v>2618.7847018888242</v>
      </c>
      <c r="BN65" s="160">
        <f t="shared" si="9"/>
        <v>87.292823396294139</v>
      </c>
      <c r="BO65" s="160">
        <f t="shared" si="10"/>
        <v>457065.22330299608</v>
      </c>
      <c r="BP65" s="160">
        <f t="shared" si="11"/>
        <v>69962.649709440462</v>
      </c>
      <c r="BQ65" s="160">
        <f t="shared" si="12"/>
        <v>2332.0883236480154</v>
      </c>
      <c r="BR65" s="160">
        <f t="shared" si="13"/>
        <v>3498.1324854720233</v>
      </c>
      <c r="BS65" s="160">
        <f t="shared" si="14"/>
        <v>2397386.7967101601</v>
      </c>
      <c r="BT65" s="160">
        <f t="shared" si="15"/>
        <v>3596080.1950652399</v>
      </c>
    </row>
    <row r="66" spans="1:72" x14ac:dyDescent="0.2">
      <c r="A66" s="204">
        <v>42125</v>
      </c>
      <c r="B66" s="205">
        <f t="shared" ref="B66:B128" si="16">YEAR(A66)</f>
        <v>2015</v>
      </c>
      <c r="C66" s="203">
        <v>39914946</v>
      </c>
      <c r="D66" s="203">
        <f>VLOOKUP(B66,CDM!$I$5:$N$15,2,FALSE)/12</f>
        <v>848162.38390519342</v>
      </c>
      <c r="E66" s="203">
        <f t="shared" ref="E66:E127" si="17">C66+D66</f>
        <v>40763108.383905195</v>
      </c>
      <c r="F66" s="206">
        <v>60068</v>
      </c>
      <c r="G66" s="206">
        <v>13384750</v>
      </c>
      <c r="H66" s="206">
        <v>5250</v>
      </c>
      <c r="I66" s="203">
        <f>VLOOKUP(B66,CDM!$I$5:$N$15,3,FALSE)/12</f>
        <v>459876.69908988359</v>
      </c>
      <c r="J66" s="203">
        <f t="shared" ref="J66:J126" si="18">G66+I66</f>
        <v>13844626.699089883</v>
      </c>
      <c r="K66" s="206">
        <v>73480701</v>
      </c>
      <c r="L66" s="203">
        <f>VLOOKUP(B66,CDM!$I$5:$N$15,4,FALSE)/12</f>
        <v>2133960.9013047926</v>
      </c>
      <c r="M66" s="87">
        <f t="shared" ref="M66:M126" si="19">K66+L66</f>
        <v>75614661.901304796</v>
      </c>
      <c r="N66" s="206">
        <v>187740</v>
      </c>
      <c r="O66" s="206">
        <v>1028</v>
      </c>
      <c r="P66" s="206">
        <v>666655</v>
      </c>
      <c r="Q66" s="206">
        <v>2305</v>
      </c>
      <c r="R66" s="208">
        <v>15225</v>
      </c>
      <c r="S66" s="206">
        <v>266757</v>
      </c>
      <c r="T66" s="202">
        <v>24</v>
      </c>
      <c r="U66" s="202">
        <v>556</v>
      </c>
      <c r="V66" s="37">
        <f>'Economic (2020 Adj.)'!C78</f>
        <v>677384</v>
      </c>
      <c r="W66" s="37">
        <f>'Economic (2020 Adj.)'!D78</f>
        <v>6906.5</v>
      </c>
      <c r="X66" s="37">
        <f>'Economic (2020 Adj.)'!F78</f>
        <v>3142.3</v>
      </c>
      <c r="Y66" s="37">
        <f>'Economic (2020 Adj.)'!H78</f>
        <v>385</v>
      </c>
      <c r="Z66" s="37">
        <f>'Economic (2020 Adj.)'!E78</f>
        <v>6870.9</v>
      </c>
      <c r="AA66" s="37">
        <f>'Economic (2020 Adj.)'!G78</f>
        <v>3130.7</v>
      </c>
      <c r="AB66" s="37">
        <f>'Economic (2020 Adj.)'!I78</f>
        <v>382.4</v>
      </c>
      <c r="AC66" s="39">
        <f>Weather!D198</f>
        <v>14.535483870967743</v>
      </c>
      <c r="AD66" s="39">
        <f>Weather!E198</f>
        <v>175.50000000000003</v>
      </c>
      <c r="AE66" s="39">
        <f>Weather!F198</f>
        <v>6.1000000000000014</v>
      </c>
      <c r="AF66" s="39">
        <f>Weather!G198</f>
        <v>123.90000000000002</v>
      </c>
      <c r="AG66" s="39">
        <f>Weather!H198</f>
        <v>16.5</v>
      </c>
      <c r="AH66" s="39">
        <f>Weather!I198</f>
        <v>80.5</v>
      </c>
      <c r="AI66" s="39">
        <f>Weather!J198</f>
        <v>35.1</v>
      </c>
      <c r="AJ66" s="39">
        <f>Weather!K198</f>
        <v>44.20000000000001</v>
      </c>
      <c r="AK66" s="39">
        <f>Weather!L198</f>
        <v>60.8</v>
      </c>
      <c r="AL66" s="39">
        <f>Weather!M198</f>
        <v>18.3</v>
      </c>
      <c r="AM66" s="39">
        <f>Weather!N198</f>
        <v>96.90000000000002</v>
      </c>
      <c r="AN66" s="39">
        <f>Weather!O198</f>
        <v>4.5999999999999996</v>
      </c>
      <c r="AO66" s="39">
        <f>Weather!P198</f>
        <v>145.20000000000002</v>
      </c>
      <c r="AP66" s="39">
        <f>Weather!Q198</f>
        <v>0.5</v>
      </c>
      <c r="AQ66" s="39">
        <f>Weather!R198</f>
        <v>203.09999999999997</v>
      </c>
      <c r="AR66" s="201">
        <v>0</v>
      </c>
      <c r="AS66" s="201">
        <v>0</v>
      </c>
      <c r="AT66" s="201">
        <v>0</v>
      </c>
      <c r="AU66" s="201">
        <v>0</v>
      </c>
      <c r="AV66" s="201">
        <v>1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 s="201">
        <v>0</v>
      </c>
      <c r="BD66" s="201">
        <v>1</v>
      </c>
      <c r="BE66" s="201">
        <v>0</v>
      </c>
      <c r="BF66" s="201">
        <v>1</v>
      </c>
      <c r="BG66" s="202">
        <f t="shared" si="4"/>
        <v>65</v>
      </c>
      <c r="BH66" s="201">
        <v>31</v>
      </c>
      <c r="BI66" s="201">
        <v>20</v>
      </c>
      <c r="BJ66" s="160">
        <f t="shared" si="5"/>
        <v>678.61604155132841</v>
      </c>
      <c r="BK66" s="160">
        <f t="shared" si="6"/>
        <v>21.890840050042851</v>
      </c>
      <c r="BL66" s="159">
        <f t="shared" si="7"/>
        <v>1314938.9801259739</v>
      </c>
      <c r="BM66" s="160">
        <f t="shared" si="8"/>
        <v>2637.0717522075965</v>
      </c>
      <c r="BN66" s="160">
        <f t="shared" si="9"/>
        <v>85.066830716374085</v>
      </c>
      <c r="BO66" s="160">
        <f t="shared" si="10"/>
        <v>446600.86126096395</v>
      </c>
      <c r="BP66" s="160">
        <f t="shared" si="11"/>
        <v>73555.1185810358</v>
      </c>
      <c r="BQ66" s="160">
        <f t="shared" si="12"/>
        <v>2372.7457606785742</v>
      </c>
      <c r="BR66" s="160">
        <f t="shared" si="13"/>
        <v>3677.7559290517902</v>
      </c>
      <c r="BS66" s="160">
        <f t="shared" si="14"/>
        <v>2439182.6419775742</v>
      </c>
      <c r="BT66" s="160">
        <f t="shared" si="15"/>
        <v>3780733.0950652398</v>
      </c>
    </row>
    <row r="67" spans="1:72" x14ac:dyDescent="0.2">
      <c r="A67" s="204">
        <v>42156</v>
      </c>
      <c r="B67" s="205">
        <f t="shared" si="16"/>
        <v>2015</v>
      </c>
      <c r="C67" s="203">
        <v>45271087</v>
      </c>
      <c r="D67" s="203">
        <f>VLOOKUP(B67,CDM!$I$5:$N$15,2,FALSE)/12</f>
        <v>848162.38390519342</v>
      </c>
      <c r="E67" s="203">
        <f t="shared" si="17"/>
        <v>46119249.383905195</v>
      </c>
      <c r="F67" s="208">
        <v>60094</v>
      </c>
      <c r="G67" s="206">
        <v>13700810</v>
      </c>
      <c r="H67" s="208">
        <v>5241</v>
      </c>
      <c r="I67" s="203">
        <f>VLOOKUP(B67,CDM!$I$5:$N$15,3,FALSE)/12</f>
        <v>459876.69908988359</v>
      </c>
      <c r="J67" s="203">
        <f t="shared" si="18"/>
        <v>14160686.699089883</v>
      </c>
      <c r="K67" s="206">
        <v>75378497</v>
      </c>
      <c r="L67" s="203">
        <f>VLOOKUP(B67,CDM!$I$5:$N$15,4,FALSE)/12</f>
        <v>2133960.9013047926</v>
      </c>
      <c r="M67" s="87">
        <f t="shared" si="19"/>
        <v>77512457.901304796</v>
      </c>
      <c r="N67" s="206">
        <v>203725</v>
      </c>
      <c r="O67" s="208">
        <v>1027</v>
      </c>
      <c r="P67" s="206">
        <v>599971</v>
      </c>
      <c r="Q67" s="206">
        <v>2305</v>
      </c>
      <c r="R67" s="206">
        <v>15225</v>
      </c>
      <c r="S67" s="206">
        <v>266425</v>
      </c>
      <c r="T67" s="202">
        <v>24</v>
      </c>
      <c r="U67" s="202">
        <v>556</v>
      </c>
      <c r="V67" s="37">
        <f>'Economic (2020 Adj.)'!C79</f>
        <v>677384</v>
      </c>
      <c r="W67" s="37">
        <f>'Economic (2020 Adj.)'!D79</f>
        <v>6921.3</v>
      </c>
      <c r="X67" s="37">
        <f>'Economic (2020 Adj.)'!F79</f>
        <v>3163.2</v>
      </c>
      <c r="Y67" s="37">
        <f>'Economic (2020 Adj.)'!H79</f>
        <v>387.9</v>
      </c>
      <c r="Z67" s="37">
        <f>'Economic (2020 Adj.)'!E79</f>
        <v>6965.8</v>
      </c>
      <c r="AA67" s="37">
        <f>'Economic (2020 Adj.)'!G79</f>
        <v>3182.8</v>
      </c>
      <c r="AB67" s="37">
        <f>'Economic (2020 Adj.)'!I79</f>
        <v>389.3</v>
      </c>
      <c r="AC67" s="39">
        <f>Weather!D199</f>
        <v>16.886666666666663</v>
      </c>
      <c r="AD67" s="39">
        <f>Weather!E199</f>
        <v>101.39999999999998</v>
      </c>
      <c r="AE67" s="39">
        <f>Weather!F199</f>
        <v>8</v>
      </c>
      <c r="AF67" s="39">
        <f>Weather!G199</f>
        <v>61.3</v>
      </c>
      <c r="AG67" s="39">
        <f>Weather!H199</f>
        <v>27.9</v>
      </c>
      <c r="AH67" s="39">
        <f>Weather!I199</f>
        <v>29.699999999999996</v>
      </c>
      <c r="AI67" s="39">
        <f>Weather!J199</f>
        <v>56.3</v>
      </c>
      <c r="AJ67" s="39">
        <f>Weather!K199</f>
        <v>11.4</v>
      </c>
      <c r="AK67" s="39">
        <f>Weather!L199</f>
        <v>98.000000000000028</v>
      </c>
      <c r="AL67" s="39">
        <f>Weather!M199</f>
        <v>3.5</v>
      </c>
      <c r="AM67" s="39">
        <f>Weather!N199</f>
        <v>150.10000000000005</v>
      </c>
      <c r="AN67" s="39">
        <f>Weather!O199</f>
        <v>0</v>
      </c>
      <c r="AO67" s="39">
        <f>Weather!P199</f>
        <v>206.60000000000002</v>
      </c>
      <c r="AP67" s="39">
        <f>Weather!Q199</f>
        <v>0</v>
      </c>
      <c r="AQ67" s="39">
        <f>Weather!R199</f>
        <v>266.60000000000002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1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 s="201">
        <v>0</v>
      </c>
      <c r="BD67" s="201">
        <v>0</v>
      </c>
      <c r="BE67" s="201">
        <v>0</v>
      </c>
      <c r="BF67" s="201">
        <v>0</v>
      </c>
      <c r="BG67" s="202">
        <f t="shared" ref="BG67:BG121" si="20">1+BG66</f>
        <v>66</v>
      </c>
      <c r="BH67" s="201">
        <v>30</v>
      </c>
      <c r="BI67" s="201">
        <v>22</v>
      </c>
      <c r="BJ67" s="160">
        <f t="shared" ref="BJ67:BJ121" si="21">E67/F67</f>
        <v>767.45181522123994</v>
      </c>
      <c r="BK67" s="160">
        <f t="shared" ref="BK67:BK121" si="22">BJ67/BH67</f>
        <v>25.58172717404133</v>
      </c>
      <c r="BL67" s="159">
        <f t="shared" ref="BL67:BL121" si="23">E67/BH67</f>
        <v>1537308.3127968397</v>
      </c>
      <c r="BM67" s="160">
        <f t="shared" ref="BM67:BM121" si="24">J67/H67</f>
        <v>2701.9054949608631</v>
      </c>
      <c r="BN67" s="160">
        <f t="shared" ref="BN67:BN121" si="25">BM67/BH67</f>
        <v>90.063516498695435</v>
      </c>
      <c r="BO67" s="160">
        <f t="shared" ref="BO67:BO121" si="26">J67/BH67</f>
        <v>472022.88996966276</v>
      </c>
      <c r="BP67" s="160">
        <f t="shared" ref="BP67:BP121" si="27">M67/O67</f>
        <v>75474.642552390258</v>
      </c>
      <c r="BQ67" s="160">
        <f t="shared" ref="BQ67:BQ121" si="28">BP67/BH67</f>
        <v>2515.8214184130088</v>
      </c>
      <c r="BR67" s="160">
        <f t="shared" ref="BR67:BR121" si="29">BP67/BI67</f>
        <v>3430.6655705631933</v>
      </c>
      <c r="BS67" s="160">
        <f t="shared" ref="BS67:BS121" si="30">M67/BH67</f>
        <v>2583748.5967101599</v>
      </c>
      <c r="BT67" s="160">
        <f t="shared" ref="BT67:BT121" si="31">M67/BI67</f>
        <v>3523293.5409684</v>
      </c>
    </row>
    <row r="68" spans="1:72" x14ac:dyDescent="0.2">
      <c r="A68" s="204">
        <v>42186</v>
      </c>
      <c r="B68" s="205">
        <f t="shared" si="16"/>
        <v>2015</v>
      </c>
      <c r="C68" s="203">
        <v>53575923</v>
      </c>
      <c r="D68" s="203">
        <f>VLOOKUP(B68,CDM!$I$5:$N$15,2,FALSE)/12</f>
        <v>848162.38390519342</v>
      </c>
      <c r="E68" s="203">
        <f t="shared" si="17"/>
        <v>54424085.383905195</v>
      </c>
      <c r="F68" s="208">
        <v>60096</v>
      </c>
      <c r="G68" s="206">
        <v>15161240</v>
      </c>
      <c r="H68" s="208">
        <v>5240</v>
      </c>
      <c r="I68" s="203">
        <f>VLOOKUP(B68,CDM!$I$5:$N$15,3,FALSE)/12</f>
        <v>459876.69908988359</v>
      </c>
      <c r="J68" s="203">
        <f t="shared" si="18"/>
        <v>15621116.699089883</v>
      </c>
      <c r="K68" s="206">
        <v>81975954</v>
      </c>
      <c r="L68" s="203">
        <f>VLOOKUP(B68,CDM!$I$5:$N$15,4,FALSE)/12</f>
        <v>2133960.9013047926</v>
      </c>
      <c r="M68" s="87">
        <f t="shared" si="19"/>
        <v>84109914.901304796</v>
      </c>
      <c r="N68" s="206">
        <v>203387</v>
      </c>
      <c r="O68" s="208">
        <v>1027</v>
      </c>
      <c r="P68" s="206">
        <v>641997</v>
      </c>
      <c r="Q68" s="206">
        <v>2305</v>
      </c>
      <c r="R68" s="208">
        <v>15225</v>
      </c>
      <c r="S68" s="206">
        <v>258055</v>
      </c>
      <c r="T68" s="202">
        <v>24</v>
      </c>
      <c r="U68" s="202">
        <v>558</v>
      </c>
      <c r="V68" s="37">
        <f>'Economic (2020 Adj.)'!C80</f>
        <v>677384</v>
      </c>
      <c r="W68" s="37">
        <f>'Economic (2020 Adj.)'!D80</f>
        <v>6941.2</v>
      </c>
      <c r="X68" s="37">
        <f>'Economic (2020 Adj.)'!F80</f>
        <v>3194.9</v>
      </c>
      <c r="Y68" s="37">
        <f>'Economic (2020 Adj.)'!H80</f>
        <v>392.4</v>
      </c>
      <c r="Z68" s="37">
        <f>'Economic (2020 Adj.)'!E80</f>
        <v>7032.3</v>
      </c>
      <c r="AA68" s="37">
        <f>'Economic (2020 Adj.)'!G80</f>
        <v>3226.4</v>
      </c>
      <c r="AB68" s="37">
        <f>'Economic (2020 Adj.)'!I80</f>
        <v>395.3</v>
      </c>
      <c r="AC68" s="39">
        <f>Weather!D200</f>
        <v>21.899999999999995</v>
      </c>
      <c r="AD68" s="39">
        <f>Weather!E200</f>
        <v>17.600000000000001</v>
      </c>
      <c r="AE68" s="39">
        <f>Weather!F200</f>
        <v>76.5</v>
      </c>
      <c r="AF68" s="39">
        <f>Weather!G200</f>
        <v>4.4000000000000021</v>
      </c>
      <c r="AG68" s="39">
        <f>Weather!H200</f>
        <v>125.30000000000001</v>
      </c>
      <c r="AH68" s="39">
        <f>Weather!I200</f>
        <v>0</v>
      </c>
      <c r="AI68" s="39">
        <f>Weather!J200</f>
        <v>182.9</v>
      </c>
      <c r="AJ68" s="39">
        <f>Weather!K200</f>
        <v>0</v>
      </c>
      <c r="AK68" s="39">
        <f>Weather!L200</f>
        <v>244.9</v>
      </c>
      <c r="AL68" s="39">
        <f>Weather!M200</f>
        <v>0</v>
      </c>
      <c r="AM68" s="39">
        <f>Weather!N200</f>
        <v>306.90000000000003</v>
      </c>
      <c r="AN68" s="39">
        <f>Weather!O200</f>
        <v>0</v>
      </c>
      <c r="AO68" s="39">
        <f>Weather!P200</f>
        <v>368.90000000000003</v>
      </c>
      <c r="AP68" s="39">
        <f>Weather!Q200</f>
        <v>0</v>
      </c>
      <c r="AQ68" s="39">
        <f>Weather!R200</f>
        <v>430.90000000000003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1</v>
      </c>
      <c r="AY68" s="201">
        <v>0</v>
      </c>
      <c r="AZ68" s="201">
        <v>0</v>
      </c>
      <c r="BA68" s="201">
        <v>0</v>
      </c>
      <c r="BB68" s="201">
        <v>0</v>
      </c>
      <c r="BC68" s="201">
        <v>0</v>
      </c>
      <c r="BD68" s="201">
        <v>0</v>
      </c>
      <c r="BE68" s="201">
        <v>0</v>
      </c>
      <c r="BF68" s="201">
        <v>0</v>
      </c>
      <c r="BG68" s="202">
        <f t="shared" si="20"/>
        <v>67</v>
      </c>
      <c r="BH68" s="201">
        <v>31</v>
      </c>
      <c r="BI68" s="201">
        <v>22</v>
      </c>
      <c r="BJ68" s="160">
        <f t="shared" si="21"/>
        <v>905.61909917307628</v>
      </c>
      <c r="BK68" s="160">
        <f t="shared" si="22"/>
        <v>29.213519328163752</v>
      </c>
      <c r="BL68" s="159">
        <f t="shared" si="23"/>
        <v>1755615.6575453288</v>
      </c>
      <c r="BM68" s="160">
        <f t="shared" si="24"/>
        <v>2981.1291410476874</v>
      </c>
      <c r="BN68" s="160">
        <f t="shared" si="25"/>
        <v>96.165456162828633</v>
      </c>
      <c r="BO68" s="160">
        <f t="shared" si="26"/>
        <v>503906.99029322201</v>
      </c>
      <c r="BP68" s="160">
        <f t="shared" si="27"/>
        <v>81898.65131577877</v>
      </c>
      <c r="BQ68" s="160">
        <f t="shared" si="28"/>
        <v>2641.8919779283474</v>
      </c>
      <c r="BR68" s="160">
        <f t="shared" si="29"/>
        <v>3722.6659688990349</v>
      </c>
      <c r="BS68" s="160">
        <f t="shared" si="30"/>
        <v>2713223.061332413</v>
      </c>
      <c r="BT68" s="160">
        <f t="shared" si="31"/>
        <v>3823177.9500593091</v>
      </c>
    </row>
    <row r="69" spans="1:72" x14ac:dyDescent="0.2">
      <c r="A69" s="204">
        <v>42217</v>
      </c>
      <c r="B69" s="205">
        <f t="shared" si="16"/>
        <v>2015</v>
      </c>
      <c r="C69" s="203">
        <v>54286474</v>
      </c>
      <c r="D69" s="203">
        <f>VLOOKUP(B69,CDM!$I$5:$N$15,2,FALSE)/12</f>
        <v>848162.38390519342</v>
      </c>
      <c r="E69" s="203">
        <f t="shared" si="17"/>
        <v>55134636.383905195</v>
      </c>
      <c r="F69" s="206">
        <v>60131</v>
      </c>
      <c r="G69" s="206">
        <v>15391927</v>
      </c>
      <c r="H69" s="206">
        <v>5244</v>
      </c>
      <c r="I69" s="203">
        <f>VLOOKUP(B69,CDM!$I$5:$N$15,3,FALSE)/12</f>
        <v>459876.69908988359</v>
      </c>
      <c r="J69" s="203">
        <f t="shared" si="18"/>
        <v>15851803.699089883</v>
      </c>
      <c r="K69" s="206">
        <v>80836724</v>
      </c>
      <c r="L69" s="203">
        <f>VLOOKUP(B69,CDM!$I$5:$N$15,4,FALSE)/12</f>
        <v>2133960.9013047926</v>
      </c>
      <c r="M69" s="87">
        <f t="shared" si="19"/>
        <v>82970684.901304796</v>
      </c>
      <c r="N69" s="206">
        <v>210022</v>
      </c>
      <c r="O69" s="206">
        <v>1029</v>
      </c>
      <c r="P69" s="206">
        <v>720424</v>
      </c>
      <c r="Q69" s="206">
        <v>2305</v>
      </c>
      <c r="R69" s="208">
        <v>15225</v>
      </c>
      <c r="S69" s="206">
        <v>257469</v>
      </c>
      <c r="T69" s="202">
        <v>24</v>
      </c>
      <c r="U69" s="202">
        <v>557</v>
      </c>
      <c r="V69" s="37">
        <f>'Economic (2020 Adj.)'!C81</f>
        <v>677384</v>
      </c>
      <c r="W69" s="37">
        <f>'Economic (2020 Adj.)'!D81</f>
        <v>6949.2</v>
      </c>
      <c r="X69" s="37">
        <f>'Economic (2020 Adj.)'!F81</f>
        <v>3214.6</v>
      </c>
      <c r="Y69" s="37">
        <f>'Economic (2020 Adj.)'!H81</f>
        <v>392.6</v>
      </c>
      <c r="Z69" s="37">
        <f>'Economic (2020 Adj.)'!E81</f>
        <v>7045.7</v>
      </c>
      <c r="AA69" s="37">
        <f>'Economic (2020 Adj.)'!G81</f>
        <v>3251.2</v>
      </c>
      <c r="AB69" s="37">
        <f>'Economic (2020 Adj.)'!I81</f>
        <v>397.2</v>
      </c>
      <c r="AC69" s="39">
        <f>Weather!D201</f>
        <v>20.796774193548384</v>
      </c>
      <c r="AD69" s="39">
        <f>Weather!E201</f>
        <v>20.399999999999999</v>
      </c>
      <c r="AE69" s="39">
        <f>Weather!F201</f>
        <v>45.100000000000009</v>
      </c>
      <c r="AF69" s="39">
        <f>Weather!G201</f>
        <v>1.8000000000000007</v>
      </c>
      <c r="AG69" s="39">
        <f>Weather!H201</f>
        <v>88.499999999999986</v>
      </c>
      <c r="AH69" s="39">
        <f>Weather!I201</f>
        <v>0</v>
      </c>
      <c r="AI69" s="39">
        <f>Weather!J201</f>
        <v>148.70000000000002</v>
      </c>
      <c r="AJ69" s="39">
        <f>Weather!K201</f>
        <v>0</v>
      </c>
      <c r="AK69" s="39">
        <f>Weather!L201</f>
        <v>210.70000000000002</v>
      </c>
      <c r="AL69" s="39">
        <f>Weather!M201</f>
        <v>0</v>
      </c>
      <c r="AM69" s="39">
        <f>Weather!N201</f>
        <v>272.70000000000005</v>
      </c>
      <c r="AN69" s="39">
        <f>Weather!O201</f>
        <v>0</v>
      </c>
      <c r="AO69" s="39">
        <f>Weather!P201</f>
        <v>334.7000000000001</v>
      </c>
      <c r="AP69" s="39">
        <f>Weather!Q201</f>
        <v>0</v>
      </c>
      <c r="AQ69" s="39">
        <f>Weather!R201</f>
        <v>396.7000000000001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1</v>
      </c>
      <c r="AZ69" s="201">
        <v>0</v>
      </c>
      <c r="BA69" s="201">
        <v>0</v>
      </c>
      <c r="BB69" s="201">
        <v>0</v>
      </c>
      <c r="BC69" s="201">
        <v>0</v>
      </c>
      <c r="BD69" s="201">
        <v>0</v>
      </c>
      <c r="BE69" s="201">
        <v>0</v>
      </c>
      <c r="BF69" s="201">
        <v>0</v>
      </c>
      <c r="BG69" s="202">
        <f t="shared" si="20"/>
        <v>68</v>
      </c>
      <c r="BH69" s="201">
        <v>31</v>
      </c>
      <c r="BI69" s="201">
        <v>20</v>
      </c>
      <c r="BJ69" s="160">
        <f t="shared" si="21"/>
        <v>916.90868909389826</v>
      </c>
      <c r="BK69" s="160">
        <f t="shared" si="22"/>
        <v>29.577699648190265</v>
      </c>
      <c r="BL69" s="159">
        <f t="shared" si="23"/>
        <v>1778536.6575453288</v>
      </c>
      <c r="BM69" s="160">
        <f t="shared" si="24"/>
        <v>3022.8458617638985</v>
      </c>
      <c r="BN69" s="160">
        <f t="shared" si="25"/>
        <v>97.511156831093501</v>
      </c>
      <c r="BO69" s="160">
        <f t="shared" si="26"/>
        <v>511348.50642225432</v>
      </c>
      <c r="BP69" s="160">
        <f t="shared" si="27"/>
        <v>80632.346842861807</v>
      </c>
      <c r="BQ69" s="160">
        <f t="shared" si="28"/>
        <v>2601.0434465439293</v>
      </c>
      <c r="BR69" s="160">
        <f t="shared" si="29"/>
        <v>4031.6173421430904</v>
      </c>
      <c r="BS69" s="160">
        <f t="shared" si="30"/>
        <v>2676473.7064937032</v>
      </c>
      <c r="BT69" s="160">
        <f t="shared" si="31"/>
        <v>4148534.2450652397</v>
      </c>
    </row>
    <row r="70" spans="1:72" x14ac:dyDescent="0.2">
      <c r="A70" s="204">
        <v>42248</v>
      </c>
      <c r="B70" s="205">
        <f t="shared" si="16"/>
        <v>2015</v>
      </c>
      <c r="C70" s="203">
        <v>46949969</v>
      </c>
      <c r="D70" s="203">
        <f>VLOOKUP(B70,CDM!$I$5:$N$15,2,FALSE)/12</f>
        <v>848162.38390519342</v>
      </c>
      <c r="E70" s="203">
        <f t="shared" si="17"/>
        <v>47798131.383905195</v>
      </c>
      <c r="F70" s="208">
        <v>60165</v>
      </c>
      <c r="G70" s="206">
        <v>14009493</v>
      </c>
      <c r="H70" s="208">
        <v>5237</v>
      </c>
      <c r="I70" s="203">
        <f>VLOOKUP(B70,CDM!$I$5:$N$15,3,FALSE)/12</f>
        <v>459876.69908988359</v>
      </c>
      <c r="J70" s="203">
        <f t="shared" si="18"/>
        <v>14469369.699089883</v>
      </c>
      <c r="K70" s="206">
        <v>78337146</v>
      </c>
      <c r="L70" s="203">
        <f>VLOOKUP(B70,CDM!$I$5:$N$15,4,FALSE)/12</f>
        <v>2133960.9013047926</v>
      </c>
      <c r="M70" s="87">
        <f t="shared" si="19"/>
        <v>80471106.901304796</v>
      </c>
      <c r="N70" s="206">
        <v>211976</v>
      </c>
      <c r="O70" s="208">
        <v>1028</v>
      </c>
      <c r="P70" s="206">
        <v>794773</v>
      </c>
      <c r="Q70" s="206">
        <v>2305</v>
      </c>
      <c r="R70" s="206">
        <v>15225</v>
      </c>
      <c r="S70" s="206">
        <v>257589</v>
      </c>
      <c r="T70" s="202">
        <v>24</v>
      </c>
      <c r="U70" s="202">
        <v>557</v>
      </c>
      <c r="V70" s="37">
        <f>'Economic (2020 Adj.)'!C82</f>
        <v>677384</v>
      </c>
      <c r="W70" s="37">
        <f>'Economic (2020 Adj.)'!D82</f>
        <v>6941.1</v>
      </c>
      <c r="X70" s="37">
        <f>'Economic (2020 Adj.)'!F82</f>
        <v>3220.3</v>
      </c>
      <c r="Y70" s="37">
        <f>'Economic (2020 Adj.)'!H82</f>
        <v>390.5</v>
      </c>
      <c r="Z70" s="37">
        <f>'Economic (2020 Adj.)'!E82</f>
        <v>6994.9</v>
      </c>
      <c r="AA70" s="37">
        <f>'Economic (2020 Adj.)'!G82</f>
        <v>3243.3</v>
      </c>
      <c r="AB70" s="37">
        <f>'Economic (2020 Adj.)'!I82</f>
        <v>393.9</v>
      </c>
      <c r="AC70" s="39">
        <f>Weather!D202</f>
        <v>20.030000000000005</v>
      </c>
      <c r="AD70" s="39">
        <f>Weather!E202</f>
        <v>50.100000000000009</v>
      </c>
      <c r="AE70" s="39">
        <f>Weather!F202</f>
        <v>51.000000000000014</v>
      </c>
      <c r="AF70" s="39">
        <f>Weather!G202</f>
        <v>22.6</v>
      </c>
      <c r="AG70" s="39">
        <f>Weather!H202</f>
        <v>83.5</v>
      </c>
      <c r="AH70" s="39">
        <f>Weather!I202</f>
        <v>7.2000000000000011</v>
      </c>
      <c r="AI70" s="39">
        <f>Weather!J202</f>
        <v>128.10000000000002</v>
      </c>
      <c r="AJ70" s="39">
        <f>Weather!K202</f>
        <v>9.9999999999999645E-2</v>
      </c>
      <c r="AK70" s="39">
        <f>Weather!L202</f>
        <v>181</v>
      </c>
      <c r="AL70" s="39">
        <f>Weather!M202</f>
        <v>0</v>
      </c>
      <c r="AM70" s="39">
        <f>Weather!N202</f>
        <v>240.9</v>
      </c>
      <c r="AN70" s="39">
        <f>Weather!O202</f>
        <v>0</v>
      </c>
      <c r="AO70" s="39">
        <f>Weather!P202</f>
        <v>300.90000000000003</v>
      </c>
      <c r="AP70" s="39">
        <f>Weather!Q202</f>
        <v>0</v>
      </c>
      <c r="AQ70" s="39">
        <f>Weather!R202</f>
        <v>360.90000000000009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1</v>
      </c>
      <c r="BA70" s="201">
        <v>0</v>
      </c>
      <c r="BB70" s="201">
        <v>0</v>
      </c>
      <c r="BC70" s="201">
        <v>0</v>
      </c>
      <c r="BD70" s="201">
        <v>0</v>
      </c>
      <c r="BE70" s="201">
        <v>1</v>
      </c>
      <c r="BF70" s="201">
        <v>1</v>
      </c>
      <c r="BG70" s="202">
        <f t="shared" si="20"/>
        <v>69</v>
      </c>
      <c r="BH70" s="201">
        <v>30</v>
      </c>
      <c r="BI70" s="201">
        <v>21</v>
      </c>
      <c r="BJ70" s="160">
        <f t="shared" si="21"/>
        <v>794.45078341070712</v>
      </c>
      <c r="BK70" s="160">
        <f t="shared" si="22"/>
        <v>26.481692780356905</v>
      </c>
      <c r="BL70" s="159">
        <f t="shared" si="23"/>
        <v>1593271.0461301731</v>
      </c>
      <c r="BM70" s="160">
        <f t="shared" si="24"/>
        <v>2762.9119150448505</v>
      </c>
      <c r="BN70" s="160">
        <f t="shared" si="25"/>
        <v>92.097063834828347</v>
      </c>
      <c r="BO70" s="160">
        <f t="shared" si="26"/>
        <v>482312.32330299611</v>
      </c>
      <c r="BP70" s="160">
        <f t="shared" si="27"/>
        <v>78279.286868973533</v>
      </c>
      <c r="BQ70" s="160">
        <f t="shared" si="28"/>
        <v>2609.3095622991177</v>
      </c>
      <c r="BR70" s="160">
        <f t="shared" si="29"/>
        <v>3727.5850889987396</v>
      </c>
      <c r="BS70" s="160">
        <f t="shared" si="30"/>
        <v>2682370.2300434932</v>
      </c>
      <c r="BT70" s="160">
        <f t="shared" si="31"/>
        <v>3831957.4714907045</v>
      </c>
    </row>
    <row r="71" spans="1:72" x14ac:dyDescent="0.2">
      <c r="A71" s="204">
        <v>42278</v>
      </c>
      <c r="B71" s="205">
        <f t="shared" si="16"/>
        <v>2015</v>
      </c>
      <c r="C71" s="203">
        <v>41035508</v>
      </c>
      <c r="D71" s="203">
        <f>VLOOKUP(B71,CDM!$I$5:$N$15,2,FALSE)/12</f>
        <v>848162.38390519342</v>
      </c>
      <c r="E71" s="203">
        <f t="shared" si="17"/>
        <v>41883670.383905195</v>
      </c>
      <c r="F71" s="208">
        <v>60249</v>
      </c>
      <c r="G71" s="206">
        <v>12961860</v>
      </c>
      <c r="H71" s="208">
        <v>5242</v>
      </c>
      <c r="I71" s="203">
        <f>VLOOKUP(B71,CDM!$I$5:$N$15,3,FALSE)/12</f>
        <v>459876.69908988359</v>
      </c>
      <c r="J71" s="203">
        <f t="shared" si="18"/>
        <v>13421736.699089883</v>
      </c>
      <c r="K71" s="206">
        <v>72632384</v>
      </c>
      <c r="L71" s="203">
        <f>VLOOKUP(B71,CDM!$I$5:$N$15,4,FALSE)/12</f>
        <v>2133960.9013047926</v>
      </c>
      <c r="M71" s="87">
        <f t="shared" si="19"/>
        <v>74766344.901304796</v>
      </c>
      <c r="N71" s="206">
        <v>210663</v>
      </c>
      <c r="O71" s="208">
        <v>1024</v>
      </c>
      <c r="P71" s="206">
        <v>927060</v>
      </c>
      <c r="Q71" s="206">
        <v>2305</v>
      </c>
      <c r="R71" s="208">
        <v>15225</v>
      </c>
      <c r="S71" s="206">
        <v>257836</v>
      </c>
      <c r="T71" s="202">
        <v>24</v>
      </c>
      <c r="U71" s="202">
        <v>558</v>
      </c>
      <c r="V71" s="37">
        <f>'Economic (2020 Adj.)'!C83</f>
        <v>677384</v>
      </c>
      <c r="W71" s="37">
        <f>'Economic (2020 Adj.)'!D83</f>
        <v>6934.8</v>
      </c>
      <c r="X71" s="37">
        <f>'Economic (2020 Adj.)'!F83</f>
        <v>3216.5</v>
      </c>
      <c r="Y71" s="37">
        <f>'Economic (2020 Adj.)'!H83</f>
        <v>385.6</v>
      </c>
      <c r="Z71" s="37">
        <f>'Economic (2020 Adj.)'!E83</f>
        <v>6969</v>
      </c>
      <c r="AA71" s="37">
        <f>'Economic (2020 Adj.)'!G83</f>
        <v>3229.5</v>
      </c>
      <c r="AB71" s="37">
        <f>'Economic (2020 Adj.)'!I83</f>
        <v>388.2</v>
      </c>
      <c r="AC71" s="39">
        <f>Weather!D203</f>
        <v>11.587096774193544</v>
      </c>
      <c r="AD71" s="39">
        <f>Weather!E203</f>
        <v>260.8</v>
      </c>
      <c r="AE71" s="39">
        <f>Weather!F203</f>
        <v>0</v>
      </c>
      <c r="AF71" s="39">
        <f>Weather!G203</f>
        <v>200</v>
      </c>
      <c r="AG71" s="39">
        <f>Weather!H203</f>
        <v>1.1999999999999993</v>
      </c>
      <c r="AH71" s="39">
        <f>Weather!I203</f>
        <v>141.1</v>
      </c>
      <c r="AI71" s="39">
        <f>Weather!J203</f>
        <v>4.2999999999999972</v>
      </c>
      <c r="AJ71" s="39">
        <f>Weather!K203</f>
        <v>89.2</v>
      </c>
      <c r="AK71" s="39">
        <f>Weather!L203</f>
        <v>14.399999999999997</v>
      </c>
      <c r="AL71" s="39">
        <f>Weather!M203</f>
        <v>51.800000000000004</v>
      </c>
      <c r="AM71" s="39">
        <f>Weather!N203</f>
        <v>38.999999999999993</v>
      </c>
      <c r="AN71" s="39">
        <f>Weather!O203</f>
        <v>26.9</v>
      </c>
      <c r="AO71" s="39">
        <f>Weather!P203</f>
        <v>76.100000000000023</v>
      </c>
      <c r="AP71" s="39">
        <f>Weather!Q203</f>
        <v>11.299999999999999</v>
      </c>
      <c r="AQ71" s="39">
        <f>Weather!R203</f>
        <v>122.50000000000003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1</v>
      </c>
      <c r="BB71" s="201">
        <v>0</v>
      </c>
      <c r="BC71" s="201">
        <v>0</v>
      </c>
      <c r="BD71" s="201">
        <v>0</v>
      </c>
      <c r="BE71" s="201">
        <v>1</v>
      </c>
      <c r="BF71" s="201">
        <v>1</v>
      </c>
      <c r="BG71" s="202">
        <f t="shared" si="20"/>
        <v>70</v>
      </c>
      <c r="BH71" s="201">
        <v>31</v>
      </c>
      <c r="BI71" s="201">
        <v>21</v>
      </c>
      <c r="BJ71" s="160">
        <f t="shared" si="21"/>
        <v>695.17619186883098</v>
      </c>
      <c r="BK71" s="160">
        <f t="shared" si="22"/>
        <v>22.425038447381645</v>
      </c>
      <c r="BL71" s="159">
        <f t="shared" si="23"/>
        <v>1351086.1414162966</v>
      </c>
      <c r="BM71" s="160">
        <f t="shared" si="24"/>
        <v>2560.4228727756358</v>
      </c>
      <c r="BN71" s="160">
        <f t="shared" si="25"/>
        <v>82.594286218568897</v>
      </c>
      <c r="BO71" s="160">
        <f t="shared" si="26"/>
        <v>432959.24835773814</v>
      </c>
      <c r="BP71" s="160">
        <f t="shared" si="27"/>
        <v>73014.008692680465</v>
      </c>
      <c r="BQ71" s="160">
        <f t="shared" si="28"/>
        <v>2355.2906029896926</v>
      </c>
      <c r="BR71" s="160">
        <f t="shared" si="29"/>
        <v>3476.857556794308</v>
      </c>
      <c r="BS71" s="160">
        <f t="shared" si="30"/>
        <v>2411817.5774614452</v>
      </c>
      <c r="BT71" s="160">
        <f t="shared" si="31"/>
        <v>3560302.1381573714</v>
      </c>
    </row>
    <row r="72" spans="1:72" x14ac:dyDescent="0.2">
      <c r="A72" s="204">
        <v>42309</v>
      </c>
      <c r="B72" s="205">
        <f t="shared" si="16"/>
        <v>2015</v>
      </c>
      <c r="C72" s="203">
        <v>37505130</v>
      </c>
      <c r="D72" s="203">
        <f>VLOOKUP(B72,CDM!$I$5:$N$15,2,FALSE)/12</f>
        <v>848162.38390519342</v>
      </c>
      <c r="E72" s="203">
        <f t="shared" si="17"/>
        <v>38353292.383905195</v>
      </c>
      <c r="F72" s="206">
        <v>60255</v>
      </c>
      <c r="G72" s="206">
        <v>13004522</v>
      </c>
      <c r="H72" s="206">
        <v>5234</v>
      </c>
      <c r="I72" s="203">
        <f>VLOOKUP(B72,CDM!$I$5:$N$15,3,FALSE)/12</f>
        <v>459876.69908988359</v>
      </c>
      <c r="J72" s="203">
        <f t="shared" si="18"/>
        <v>13464398.699089883</v>
      </c>
      <c r="K72" s="206">
        <v>71446240</v>
      </c>
      <c r="L72" s="203">
        <f>VLOOKUP(B72,CDM!$I$5:$N$15,4,FALSE)/12</f>
        <v>2133960.9013047926</v>
      </c>
      <c r="M72" s="87">
        <f t="shared" si="19"/>
        <v>73580200.901304796</v>
      </c>
      <c r="N72" s="206">
        <v>195211</v>
      </c>
      <c r="O72" s="206">
        <v>1027</v>
      </c>
      <c r="P72" s="206">
        <v>985984</v>
      </c>
      <c r="Q72" s="206">
        <v>2307</v>
      </c>
      <c r="R72" s="208">
        <v>15235</v>
      </c>
      <c r="S72" s="206">
        <v>257269</v>
      </c>
      <c r="T72" s="202">
        <v>24</v>
      </c>
      <c r="U72" s="202">
        <v>557</v>
      </c>
      <c r="V72" s="37">
        <f>'Economic (2020 Adj.)'!C84</f>
        <v>677384</v>
      </c>
      <c r="W72" s="37">
        <f>'Economic (2020 Adj.)'!D84</f>
        <v>6928.3</v>
      </c>
      <c r="X72" s="37">
        <f>'Economic (2020 Adj.)'!F84</f>
        <v>3211.5</v>
      </c>
      <c r="Y72" s="37">
        <f>'Economic (2020 Adj.)'!H84</f>
        <v>384.5</v>
      </c>
      <c r="Z72" s="37">
        <f>'Economic (2020 Adj.)'!E84</f>
        <v>6936.9</v>
      </c>
      <c r="AA72" s="37">
        <f>'Economic (2020 Adj.)'!G84</f>
        <v>3211.5</v>
      </c>
      <c r="AB72" s="37">
        <f>'Economic (2020 Adj.)'!I84</f>
        <v>385.6</v>
      </c>
      <c r="AC72" s="39">
        <f>Weather!D204</f>
        <v>7.9633333333333329</v>
      </c>
      <c r="AD72" s="39">
        <f>Weather!E204</f>
        <v>361.1</v>
      </c>
      <c r="AE72" s="39">
        <f>Weather!F204</f>
        <v>0</v>
      </c>
      <c r="AF72" s="39">
        <f>Weather!G204</f>
        <v>301.10000000000008</v>
      </c>
      <c r="AG72" s="39">
        <f>Weather!H204</f>
        <v>0</v>
      </c>
      <c r="AH72" s="39">
        <f>Weather!I204</f>
        <v>241.20000000000005</v>
      </c>
      <c r="AI72" s="39">
        <f>Weather!J204</f>
        <v>0.10000000000000142</v>
      </c>
      <c r="AJ72" s="39">
        <f>Weather!K204</f>
        <v>185.10000000000002</v>
      </c>
      <c r="AK72" s="39">
        <f>Weather!L204</f>
        <v>4.0000000000000018</v>
      </c>
      <c r="AL72" s="39">
        <f>Weather!M204</f>
        <v>133</v>
      </c>
      <c r="AM72" s="39">
        <f>Weather!N204</f>
        <v>11.9</v>
      </c>
      <c r="AN72" s="39">
        <f>Weather!O204</f>
        <v>90.2</v>
      </c>
      <c r="AO72" s="39">
        <f>Weather!P204</f>
        <v>29.1</v>
      </c>
      <c r="AP72" s="39">
        <f>Weather!Q204</f>
        <v>56.800000000000004</v>
      </c>
      <c r="AQ72" s="39">
        <f>Weather!R204</f>
        <v>55.70000000000001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1</v>
      </c>
      <c r="BC72" s="201">
        <v>0</v>
      </c>
      <c r="BD72" s="201">
        <v>0</v>
      </c>
      <c r="BE72" s="201">
        <v>1</v>
      </c>
      <c r="BF72" s="201">
        <v>1</v>
      </c>
      <c r="BG72" s="202">
        <f t="shared" si="20"/>
        <v>71</v>
      </c>
      <c r="BH72" s="201">
        <v>30</v>
      </c>
      <c r="BI72" s="201">
        <v>21</v>
      </c>
      <c r="BJ72" s="160">
        <f t="shared" si="21"/>
        <v>636.51634526437965</v>
      </c>
      <c r="BK72" s="160">
        <f t="shared" si="22"/>
        <v>21.217211508812657</v>
      </c>
      <c r="BL72" s="159">
        <f t="shared" si="23"/>
        <v>1278443.0794635066</v>
      </c>
      <c r="BM72" s="160">
        <f t="shared" si="24"/>
        <v>2572.4873326499587</v>
      </c>
      <c r="BN72" s="160">
        <f t="shared" si="25"/>
        <v>85.749577754998626</v>
      </c>
      <c r="BO72" s="160">
        <f t="shared" si="26"/>
        <v>448813.28996966279</v>
      </c>
      <c r="BP72" s="160">
        <f t="shared" si="27"/>
        <v>71645.765239829401</v>
      </c>
      <c r="BQ72" s="160">
        <f t="shared" si="28"/>
        <v>2388.1921746609801</v>
      </c>
      <c r="BR72" s="160">
        <f t="shared" si="29"/>
        <v>3411.7031066585428</v>
      </c>
      <c r="BS72" s="160">
        <f t="shared" si="30"/>
        <v>2452673.3633768265</v>
      </c>
      <c r="BT72" s="160">
        <f t="shared" si="31"/>
        <v>3503819.0905383239</v>
      </c>
    </row>
    <row r="73" spans="1:72" x14ac:dyDescent="0.2">
      <c r="A73" s="204">
        <v>42339</v>
      </c>
      <c r="B73" s="205">
        <f t="shared" si="16"/>
        <v>2015</v>
      </c>
      <c r="C73" s="203">
        <v>40955651</v>
      </c>
      <c r="D73" s="203">
        <f>VLOOKUP(B73,CDM!$I$5:$N$15,2,FALSE)/12</f>
        <v>848162.38390519342</v>
      </c>
      <c r="E73" s="203">
        <f t="shared" si="17"/>
        <v>41803813.383905195</v>
      </c>
      <c r="F73" s="208">
        <v>60262</v>
      </c>
      <c r="G73" s="206">
        <v>13905854</v>
      </c>
      <c r="H73" s="208">
        <v>5238</v>
      </c>
      <c r="I73" s="203">
        <f>VLOOKUP(B73,CDM!$I$5:$N$15,3,FALSE)/12</f>
        <v>459876.69908988359</v>
      </c>
      <c r="J73" s="203">
        <f t="shared" si="18"/>
        <v>14365730.699089883</v>
      </c>
      <c r="K73" s="206">
        <v>72220640</v>
      </c>
      <c r="L73" s="203">
        <f>VLOOKUP(B73,CDM!$I$5:$N$15,4,FALSE)/12</f>
        <v>2133960.9013047926</v>
      </c>
      <c r="M73" s="87">
        <f t="shared" si="19"/>
        <v>74354600.901304796</v>
      </c>
      <c r="N73" s="206">
        <v>177950</v>
      </c>
      <c r="O73" s="208">
        <v>1029</v>
      </c>
      <c r="P73" s="206">
        <v>1067879</v>
      </c>
      <c r="Q73" s="206">
        <v>2304</v>
      </c>
      <c r="R73" s="206">
        <v>15258</v>
      </c>
      <c r="S73" s="206">
        <v>260807</v>
      </c>
      <c r="T73" s="202">
        <v>24</v>
      </c>
      <c r="U73" s="202">
        <v>557</v>
      </c>
      <c r="V73" s="37">
        <f>'Economic (2020 Adj.)'!C85</f>
        <v>677384</v>
      </c>
      <c r="W73" s="37">
        <f>'Economic (2020 Adj.)'!D85</f>
        <v>6942.8</v>
      </c>
      <c r="X73" s="37">
        <f>'Economic (2020 Adj.)'!F85</f>
        <v>3220.1</v>
      </c>
      <c r="Y73" s="37">
        <f>'Economic (2020 Adj.)'!H85</f>
        <v>383.7</v>
      </c>
      <c r="Z73" s="37">
        <f>'Economic (2020 Adj.)'!E85</f>
        <v>6948.2</v>
      </c>
      <c r="AA73" s="37">
        <f>'Economic (2020 Adj.)'!G85</f>
        <v>3220</v>
      </c>
      <c r="AB73" s="37">
        <f>'Economic (2020 Adj.)'!I85</f>
        <v>385.4</v>
      </c>
      <c r="AC73" s="39">
        <f>Weather!D205</f>
        <v>5.2741935483870979</v>
      </c>
      <c r="AD73" s="39">
        <f>Weather!E205</f>
        <v>456.5</v>
      </c>
      <c r="AE73" s="39">
        <f>Weather!F205</f>
        <v>0</v>
      </c>
      <c r="AF73" s="39">
        <f>Weather!G205</f>
        <v>394.5</v>
      </c>
      <c r="AG73" s="39">
        <f>Weather!H205</f>
        <v>0</v>
      </c>
      <c r="AH73" s="39">
        <f>Weather!I205</f>
        <v>332.5</v>
      </c>
      <c r="AI73" s="39">
        <f>Weather!J205</f>
        <v>0</v>
      </c>
      <c r="AJ73" s="39">
        <f>Weather!K205</f>
        <v>270.5</v>
      </c>
      <c r="AK73" s="39">
        <f>Weather!L205</f>
        <v>0</v>
      </c>
      <c r="AL73" s="39">
        <f>Weather!M205</f>
        <v>208.49999999999994</v>
      </c>
      <c r="AM73" s="39">
        <f>Weather!N205</f>
        <v>0</v>
      </c>
      <c r="AN73" s="39">
        <f>Weather!O205</f>
        <v>148</v>
      </c>
      <c r="AO73" s="39">
        <f>Weather!P205</f>
        <v>1.5</v>
      </c>
      <c r="AP73" s="39">
        <f>Weather!Q205</f>
        <v>96.899999999999991</v>
      </c>
      <c r="AQ73" s="39">
        <f>Weather!R205</f>
        <v>12.400000000000002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 s="201">
        <v>1</v>
      </c>
      <c r="BD73" s="201">
        <v>0</v>
      </c>
      <c r="BE73" s="201">
        <v>0</v>
      </c>
      <c r="BF73" s="201">
        <v>0</v>
      </c>
      <c r="BG73" s="202">
        <f t="shared" si="20"/>
        <v>72</v>
      </c>
      <c r="BH73" s="201">
        <v>31</v>
      </c>
      <c r="BI73" s="201">
        <v>21</v>
      </c>
      <c r="BJ73" s="160">
        <f t="shared" si="21"/>
        <v>693.70106176205888</v>
      </c>
      <c r="BK73" s="160">
        <f t="shared" si="22"/>
        <v>22.377453605227707</v>
      </c>
      <c r="BL73" s="159">
        <f t="shared" si="23"/>
        <v>1348510.1091582321</v>
      </c>
      <c r="BM73" s="160">
        <f t="shared" si="24"/>
        <v>2742.5984534344948</v>
      </c>
      <c r="BN73" s="160">
        <f t="shared" si="25"/>
        <v>88.470917852725634</v>
      </c>
      <c r="BO73" s="160">
        <f t="shared" si="26"/>
        <v>463410.66771257686</v>
      </c>
      <c r="BP73" s="160">
        <f t="shared" si="27"/>
        <v>72259.087367643151</v>
      </c>
      <c r="BQ73" s="160">
        <f t="shared" si="28"/>
        <v>2330.9383021820372</v>
      </c>
      <c r="BR73" s="160">
        <f t="shared" si="29"/>
        <v>3440.9089222687217</v>
      </c>
      <c r="BS73" s="160">
        <f t="shared" si="30"/>
        <v>2398535.5129453158</v>
      </c>
      <c r="BT73" s="160">
        <f t="shared" si="31"/>
        <v>3540695.2810145142</v>
      </c>
    </row>
    <row r="74" spans="1:72" x14ac:dyDescent="0.2">
      <c r="A74" s="204">
        <v>42370</v>
      </c>
      <c r="B74" s="205">
        <f t="shared" si="16"/>
        <v>2016</v>
      </c>
      <c r="C74" s="203">
        <v>44822386</v>
      </c>
      <c r="D74" s="203">
        <f>VLOOKUP(B74,CDM!$I$5:$N$15,2,FALSE)/12</f>
        <v>1262307.9842212892</v>
      </c>
      <c r="E74" s="203">
        <f t="shared" si="17"/>
        <v>46084693.984221287</v>
      </c>
      <c r="F74" s="208">
        <v>60313</v>
      </c>
      <c r="G74" s="206">
        <v>14814307</v>
      </c>
      <c r="H74" s="208">
        <v>5246</v>
      </c>
      <c r="I74" s="203">
        <f>VLOOKUP(B74,CDM!$I$5:$N$15,3,FALSE)/12</f>
        <v>702774.30396472511</v>
      </c>
      <c r="J74" s="203">
        <f t="shared" si="18"/>
        <v>15517081.303964725</v>
      </c>
      <c r="K74" s="206">
        <v>78060980</v>
      </c>
      <c r="L74" s="203">
        <f>VLOOKUP(B74,CDM!$I$5:$N$15,4,FALSE)/12</f>
        <v>2816466.4519510479</v>
      </c>
      <c r="M74" s="87">
        <f t="shared" si="19"/>
        <v>80877446.451951042</v>
      </c>
      <c r="N74" s="206">
        <v>187910</v>
      </c>
      <c r="O74" s="208">
        <v>1031</v>
      </c>
      <c r="P74" s="206">
        <v>1044725</v>
      </c>
      <c r="Q74" s="206">
        <v>2304</v>
      </c>
      <c r="R74" s="208">
        <v>15258</v>
      </c>
      <c r="S74" s="206">
        <v>258738</v>
      </c>
      <c r="T74" s="202">
        <v>24</v>
      </c>
      <c r="U74" s="202">
        <v>557</v>
      </c>
      <c r="V74" s="37">
        <f>'Economic (2020 Adj.)'!C86</f>
        <v>692620.80000000005</v>
      </c>
      <c r="W74" s="37">
        <f>'Economic (2020 Adj.)'!D86</f>
        <v>6957.7</v>
      </c>
      <c r="X74" s="37">
        <f>'Economic (2020 Adj.)'!F86</f>
        <v>3227</v>
      </c>
      <c r="Y74" s="37">
        <f>'Economic (2020 Adj.)'!H86</f>
        <v>382.6</v>
      </c>
      <c r="Z74" s="37">
        <f>'Economic (2020 Adj.)'!E86</f>
        <v>6919.2</v>
      </c>
      <c r="AA74" s="37">
        <f>'Economic (2020 Adj.)'!G86</f>
        <v>3213.9</v>
      </c>
      <c r="AB74" s="37">
        <f>'Economic (2020 Adj.)'!I86</f>
        <v>381.7</v>
      </c>
      <c r="AC74" s="39">
        <f>Weather!D206</f>
        <v>-2.1612903225806446</v>
      </c>
      <c r="AD74" s="39">
        <f>Weather!E206</f>
        <v>686.99999999999989</v>
      </c>
      <c r="AE74" s="39">
        <f>Weather!F206</f>
        <v>0</v>
      </c>
      <c r="AF74" s="39">
        <f>Weather!G206</f>
        <v>624.99999999999989</v>
      </c>
      <c r="AG74" s="39">
        <f>Weather!H206</f>
        <v>0</v>
      </c>
      <c r="AH74" s="39">
        <f>Weather!I206</f>
        <v>563</v>
      </c>
      <c r="AI74" s="39">
        <f>Weather!J206</f>
        <v>0</v>
      </c>
      <c r="AJ74" s="39">
        <f>Weather!K206</f>
        <v>501</v>
      </c>
      <c r="AK74" s="39">
        <f>Weather!L206</f>
        <v>0</v>
      </c>
      <c r="AL74" s="39">
        <f>Weather!M206</f>
        <v>439</v>
      </c>
      <c r="AM74" s="39">
        <f>Weather!N206</f>
        <v>0</v>
      </c>
      <c r="AN74" s="39">
        <f>Weather!O206</f>
        <v>377.00000000000006</v>
      </c>
      <c r="AO74" s="39">
        <f>Weather!P206</f>
        <v>0</v>
      </c>
      <c r="AP74" s="39">
        <f>Weather!Q206</f>
        <v>315</v>
      </c>
      <c r="AQ74" s="39">
        <f>Weather!R206</f>
        <v>0</v>
      </c>
      <c r="AR74" s="201">
        <v>1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 s="201">
        <v>0</v>
      </c>
      <c r="BD74" s="201">
        <v>0</v>
      </c>
      <c r="BE74" s="201">
        <v>0</v>
      </c>
      <c r="BF74" s="201">
        <v>0</v>
      </c>
      <c r="BG74" s="202">
        <f t="shared" si="20"/>
        <v>73</v>
      </c>
      <c r="BH74" s="201">
        <v>31</v>
      </c>
      <c r="BI74" s="201">
        <v>20</v>
      </c>
      <c r="BJ74" s="160">
        <f t="shared" si="21"/>
        <v>764.09221866299617</v>
      </c>
      <c r="BK74" s="160">
        <f t="shared" si="22"/>
        <v>24.648136085903101</v>
      </c>
      <c r="BL74" s="159">
        <f t="shared" si="23"/>
        <v>1486603.0317490739</v>
      </c>
      <c r="BM74" s="160">
        <f t="shared" si="24"/>
        <v>2957.8881631652162</v>
      </c>
      <c r="BN74" s="160">
        <f t="shared" si="25"/>
        <v>95.415747198877938</v>
      </c>
      <c r="BO74" s="160">
        <f t="shared" si="26"/>
        <v>500551.00980531372</v>
      </c>
      <c r="BP74" s="160">
        <f t="shared" si="27"/>
        <v>78445.631864162016</v>
      </c>
      <c r="BQ74" s="160">
        <f t="shared" si="28"/>
        <v>2530.5042536826459</v>
      </c>
      <c r="BR74" s="160">
        <f t="shared" si="29"/>
        <v>3922.2815932081007</v>
      </c>
      <c r="BS74" s="160">
        <f t="shared" si="30"/>
        <v>2608949.8855468077</v>
      </c>
      <c r="BT74" s="160">
        <f t="shared" si="31"/>
        <v>4043872.3225975521</v>
      </c>
    </row>
    <row r="75" spans="1:72" x14ac:dyDescent="0.2">
      <c r="A75" s="204">
        <v>42401</v>
      </c>
      <c r="B75" s="205">
        <f t="shared" si="16"/>
        <v>2016</v>
      </c>
      <c r="C75" s="203">
        <v>39320516</v>
      </c>
      <c r="D75" s="203">
        <f>VLOOKUP(B75,CDM!$I$5:$N$15,2,FALSE)/12</f>
        <v>1262307.9842212892</v>
      </c>
      <c r="E75" s="203">
        <f t="shared" si="17"/>
        <v>40582823.984221287</v>
      </c>
      <c r="F75" s="206">
        <v>60310</v>
      </c>
      <c r="G75" s="206">
        <v>14022576</v>
      </c>
      <c r="H75" s="206">
        <v>5267</v>
      </c>
      <c r="I75" s="203">
        <f>VLOOKUP(B75,CDM!$I$5:$N$15,3,FALSE)/12</f>
        <v>702774.30396472511</v>
      </c>
      <c r="J75" s="203">
        <f t="shared" si="18"/>
        <v>14725350.303964725</v>
      </c>
      <c r="K75" s="206">
        <v>73880261</v>
      </c>
      <c r="L75" s="203">
        <f>VLOOKUP(B75,CDM!$I$5:$N$15,4,FALSE)/12</f>
        <v>2816466.4519510479</v>
      </c>
      <c r="M75" s="87">
        <f t="shared" si="19"/>
        <v>76696727.451951042</v>
      </c>
      <c r="N75" s="206">
        <v>193682</v>
      </c>
      <c r="O75" s="206">
        <v>1033</v>
      </c>
      <c r="P75" s="206">
        <v>902902</v>
      </c>
      <c r="Q75" s="206">
        <v>2304</v>
      </c>
      <c r="R75" s="208">
        <v>15252</v>
      </c>
      <c r="S75" s="206">
        <v>259398</v>
      </c>
      <c r="T75" s="202">
        <v>24</v>
      </c>
      <c r="U75" s="202">
        <v>556</v>
      </c>
      <c r="V75" s="37">
        <f>'Economic (2020 Adj.)'!C87</f>
        <v>692620.80000000005</v>
      </c>
      <c r="W75" s="37">
        <f>'Economic (2020 Adj.)'!D87</f>
        <v>6970.6</v>
      </c>
      <c r="X75" s="37">
        <f>'Economic (2020 Adj.)'!F87</f>
        <v>3221.1</v>
      </c>
      <c r="Y75" s="37">
        <f>'Economic (2020 Adj.)'!H87</f>
        <v>384.2</v>
      </c>
      <c r="Z75" s="37">
        <f>'Economic (2020 Adj.)'!E87</f>
        <v>6896.8</v>
      </c>
      <c r="AA75" s="37">
        <f>'Economic (2020 Adj.)'!G87</f>
        <v>3193.2</v>
      </c>
      <c r="AB75" s="37">
        <f>'Economic (2020 Adj.)'!I87</f>
        <v>380.8</v>
      </c>
      <c r="AC75" s="39">
        <f>Weather!D207</f>
        <v>-0.76896551724137929</v>
      </c>
      <c r="AD75" s="39">
        <f>Weather!E207</f>
        <v>602.29999999999995</v>
      </c>
      <c r="AE75" s="39">
        <f>Weather!F207</f>
        <v>0</v>
      </c>
      <c r="AF75" s="39">
        <f>Weather!G207</f>
        <v>544.29999999999984</v>
      </c>
      <c r="AG75" s="39">
        <f>Weather!H207</f>
        <v>0</v>
      </c>
      <c r="AH75" s="39">
        <f>Weather!I207</f>
        <v>486.3</v>
      </c>
      <c r="AI75" s="39">
        <f>Weather!J207</f>
        <v>0</v>
      </c>
      <c r="AJ75" s="39">
        <f>Weather!K207</f>
        <v>428.29999999999995</v>
      </c>
      <c r="AK75" s="39">
        <f>Weather!L207</f>
        <v>0</v>
      </c>
      <c r="AL75" s="39">
        <f>Weather!M207</f>
        <v>370.3</v>
      </c>
      <c r="AM75" s="39">
        <f>Weather!N207</f>
        <v>0</v>
      </c>
      <c r="AN75" s="39">
        <f>Weather!O207</f>
        <v>312.5</v>
      </c>
      <c r="AO75" s="39">
        <f>Weather!P207</f>
        <v>0.19999999999999929</v>
      </c>
      <c r="AP75" s="39">
        <f>Weather!Q207</f>
        <v>257.2</v>
      </c>
      <c r="AQ75" s="39">
        <f>Weather!R207</f>
        <v>2.8999999999999986</v>
      </c>
      <c r="AR75" s="201">
        <v>0</v>
      </c>
      <c r="AS75" s="201">
        <v>1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 s="201">
        <v>0</v>
      </c>
      <c r="BD75" s="201">
        <v>0</v>
      </c>
      <c r="BE75" s="201">
        <v>0</v>
      </c>
      <c r="BF75" s="201">
        <v>0</v>
      </c>
      <c r="BG75" s="202">
        <f t="shared" si="20"/>
        <v>74</v>
      </c>
      <c r="BH75" s="201">
        <v>29</v>
      </c>
      <c r="BI75" s="201">
        <v>20</v>
      </c>
      <c r="BJ75" s="160">
        <f t="shared" si="21"/>
        <v>672.90373046296281</v>
      </c>
      <c r="BK75" s="160">
        <f t="shared" si="22"/>
        <v>23.20357691251596</v>
      </c>
      <c r="BL75" s="159">
        <f t="shared" si="23"/>
        <v>1399407.7235938376</v>
      </c>
      <c r="BM75" s="160">
        <f t="shared" si="24"/>
        <v>2795.7756415349772</v>
      </c>
      <c r="BN75" s="160">
        <f t="shared" si="25"/>
        <v>96.406056604654381</v>
      </c>
      <c r="BO75" s="160">
        <f t="shared" si="26"/>
        <v>507770.70013671467</v>
      </c>
      <c r="BP75" s="160">
        <f t="shared" si="27"/>
        <v>74246.589982527628</v>
      </c>
      <c r="BQ75" s="160">
        <f t="shared" si="28"/>
        <v>2560.2272407768146</v>
      </c>
      <c r="BR75" s="160">
        <f t="shared" si="29"/>
        <v>3712.3294991263815</v>
      </c>
      <c r="BS75" s="160">
        <f t="shared" si="30"/>
        <v>2644714.7397224498</v>
      </c>
      <c r="BT75" s="160">
        <f t="shared" si="31"/>
        <v>3834836.3725975519</v>
      </c>
    </row>
    <row r="76" spans="1:72" x14ac:dyDescent="0.2">
      <c r="A76" s="204">
        <v>42430</v>
      </c>
      <c r="B76" s="205">
        <f t="shared" si="16"/>
        <v>2016</v>
      </c>
      <c r="C76" s="203">
        <v>39386600</v>
      </c>
      <c r="D76" s="203">
        <f>VLOOKUP(B76,CDM!$I$5:$N$15,2,FALSE)/12</f>
        <v>1262307.9842212892</v>
      </c>
      <c r="E76" s="203">
        <f t="shared" si="17"/>
        <v>40648907.984221287</v>
      </c>
      <c r="F76" s="208">
        <v>60323</v>
      </c>
      <c r="G76" s="206">
        <v>14145609</v>
      </c>
      <c r="H76" s="208">
        <v>5268</v>
      </c>
      <c r="I76" s="203">
        <f>VLOOKUP(B76,CDM!$I$5:$N$15,3,FALSE)/12</f>
        <v>702774.30396472511</v>
      </c>
      <c r="J76" s="203">
        <f t="shared" si="18"/>
        <v>14848383.303964725</v>
      </c>
      <c r="K76" s="206">
        <v>76236827</v>
      </c>
      <c r="L76" s="203">
        <f>VLOOKUP(B76,CDM!$I$5:$N$15,4,FALSE)/12</f>
        <v>2816466.4519510479</v>
      </c>
      <c r="M76" s="87">
        <f t="shared" si="19"/>
        <v>79053293.451951042</v>
      </c>
      <c r="N76" s="206">
        <v>195760</v>
      </c>
      <c r="O76" s="208">
        <v>1034</v>
      </c>
      <c r="P76" s="206">
        <v>862508</v>
      </c>
      <c r="Q76" s="206">
        <v>2304</v>
      </c>
      <c r="R76" s="206">
        <v>15252</v>
      </c>
      <c r="S76" s="206">
        <v>260607</v>
      </c>
      <c r="T76" s="202">
        <v>24</v>
      </c>
      <c r="U76" s="202">
        <v>560</v>
      </c>
      <c r="V76" s="37">
        <f>'Economic (2020 Adj.)'!C88</f>
        <v>692620.80000000005</v>
      </c>
      <c r="W76" s="37">
        <f>'Economic (2020 Adj.)'!D88</f>
        <v>6978.1</v>
      </c>
      <c r="X76" s="37">
        <f>'Economic (2020 Adj.)'!F88</f>
        <v>3210.6</v>
      </c>
      <c r="Y76" s="37">
        <f>'Economic (2020 Adj.)'!H88</f>
        <v>385.2</v>
      </c>
      <c r="Z76" s="37">
        <f>'Economic (2020 Adj.)'!E88</f>
        <v>6872.4</v>
      </c>
      <c r="AA76" s="37">
        <f>'Economic (2020 Adj.)'!G88</f>
        <v>3165.9</v>
      </c>
      <c r="AB76" s="37">
        <f>'Economic (2020 Adj.)'!I88</f>
        <v>378.9</v>
      </c>
      <c r="AC76" s="39">
        <f>Weather!D208</f>
        <v>3.4451612903225803</v>
      </c>
      <c r="AD76" s="39">
        <f>Weather!E208</f>
        <v>513.20000000000005</v>
      </c>
      <c r="AE76" s="39">
        <f>Weather!F208</f>
        <v>0</v>
      </c>
      <c r="AF76" s="39">
        <f>Weather!G208</f>
        <v>451.2</v>
      </c>
      <c r="AG76" s="39">
        <f>Weather!H208</f>
        <v>0</v>
      </c>
      <c r="AH76" s="39">
        <f>Weather!I208</f>
        <v>389.2</v>
      </c>
      <c r="AI76" s="39">
        <f>Weather!J208</f>
        <v>0</v>
      </c>
      <c r="AJ76" s="39">
        <f>Weather!K208</f>
        <v>327.2</v>
      </c>
      <c r="AK76" s="39">
        <f>Weather!L208</f>
        <v>0</v>
      </c>
      <c r="AL76" s="39">
        <f>Weather!M208</f>
        <v>267</v>
      </c>
      <c r="AM76" s="39">
        <f>Weather!N208</f>
        <v>1.8000000000000007</v>
      </c>
      <c r="AN76" s="39">
        <f>Weather!O208</f>
        <v>208.49999999999997</v>
      </c>
      <c r="AO76" s="39">
        <f>Weather!P208</f>
        <v>5.3000000000000007</v>
      </c>
      <c r="AP76" s="39">
        <f>Weather!Q208</f>
        <v>154.29999999999998</v>
      </c>
      <c r="AQ76" s="39">
        <f>Weather!R208</f>
        <v>13.100000000000001</v>
      </c>
      <c r="AR76" s="201">
        <v>0</v>
      </c>
      <c r="AS76" s="201">
        <v>0</v>
      </c>
      <c r="AT76" s="201">
        <v>1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 s="201">
        <v>0</v>
      </c>
      <c r="BD76" s="201">
        <v>1</v>
      </c>
      <c r="BE76" s="201">
        <v>0</v>
      </c>
      <c r="BF76" s="201">
        <v>1</v>
      </c>
      <c r="BG76" s="202">
        <f t="shared" si="20"/>
        <v>75</v>
      </c>
      <c r="BH76" s="201">
        <v>31</v>
      </c>
      <c r="BI76" s="201">
        <v>21</v>
      </c>
      <c r="BJ76" s="160">
        <f t="shared" si="21"/>
        <v>673.8542178641859</v>
      </c>
      <c r="BK76" s="160">
        <f t="shared" si="22"/>
        <v>21.737232834328577</v>
      </c>
      <c r="BL76" s="159">
        <f t="shared" si="23"/>
        <v>1311255.0962652029</v>
      </c>
      <c r="BM76" s="160">
        <f t="shared" si="24"/>
        <v>2818.5997160145644</v>
      </c>
      <c r="BN76" s="160">
        <f t="shared" si="25"/>
        <v>90.922571484340793</v>
      </c>
      <c r="BO76" s="160">
        <f t="shared" si="26"/>
        <v>478980.10657950724</v>
      </c>
      <c r="BP76" s="160">
        <f t="shared" si="27"/>
        <v>76453.862139217643</v>
      </c>
      <c r="BQ76" s="160">
        <f t="shared" si="28"/>
        <v>2466.2536173941176</v>
      </c>
      <c r="BR76" s="160">
        <f t="shared" si="29"/>
        <v>3640.6601018675069</v>
      </c>
      <c r="BS76" s="160">
        <f t="shared" si="30"/>
        <v>2550106.2403855175</v>
      </c>
      <c r="BT76" s="160">
        <f t="shared" si="31"/>
        <v>3764442.5453310022</v>
      </c>
    </row>
    <row r="77" spans="1:72" x14ac:dyDescent="0.2">
      <c r="A77" s="204">
        <v>42461</v>
      </c>
      <c r="B77" s="205">
        <f t="shared" si="16"/>
        <v>2016</v>
      </c>
      <c r="C77" s="203">
        <v>36920940</v>
      </c>
      <c r="D77" s="203">
        <f>VLOOKUP(B77,CDM!$I$5:$N$15,2,FALSE)/12</f>
        <v>1262307.9842212892</v>
      </c>
      <c r="E77" s="203">
        <f t="shared" si="17"/>
        <v>38183247.984221287</v>
      </c>
      <c r="F77" s="208">
        <v>60319</v>
      </c>
      <c r="G77" s="206">
        <v>13041004</v>
      </c>
      <c r="H77" s="208">
        <v>5267</v>
      </c>
      <c r="I77" s="203">
        <f>VLOOKUP(B77,CDM!$I$5:$N$15,3,FALSE)/12</f>
        <v>702774.30396472511</v>
      </c>
      <c r="J77" s="203">
        <f t="shared" si="18"/>
        <v>13743778.303964725</v>
      </c>
      <c r="K77" s="206">
        <v>72510143</v>
      </c>
      <c r="L77" s="203">
        <f>VLOOKUP(B77,CDM!$I$5:$N$15,4,FALSE)/12</f>
        <v>2816466.4519510479</v>
      </c>
      <c r="M77" s="87">
        <f t="shared" si="19"/>
        <v>75326609.451951042</v>
      </c>
      <c r="N77" s="206">
        <v>193410</v>
      </c>
      <c r="O77" s="208">
        <v>1035</v>
      </c>
      <c r="P77" s="206">
        <v>732326</v>
      </c>
      <c r="Q77" s="206">
        <v>2304</v>
      </c>
      <c r="R77" s="208">
        <v>15252</v>
      </c>
      <c r="S77" s="206">
        <v>259023</v>
      </c>
      <c r="T77" s="202">
        <v>24</v>
      </c>
      <c r="U77" s="202">
        <v>560</v>
      </c>
      <c r="V77" s="37">
        <f>'Economic (2020 Adj.)'!C89</f>
        <v>692620.80000000005</v>
      </c>
      <c r="W77" s="37">
        <f>'Economic (2020 Adj.)'!D89</f>
        <v>6981.8</v>
      </c>
      <c r="X77" s="37">
        <f>'Economic (2020 Adj.)'!F89</f>
        <v>3208.5</v>
      </c>
      <c r="Y77" s="37">
        <f>'Economic (2020 Adj.)'!H89</f>
        <v>387.9</v>
      </c>
      <c r="Z77" s="37">
        <f>'Economic (2020 Adj.)'!E89</f>
        <v>6890.3</v>
      </c>
      <c r="AA77" s="37">
        <f>'Economic (2020 Adj.)'!G89</f>
        <v>3172.5</v>
      </c>
      <c r="AB77" s="37">
        <f>'Economic (2020 Adj.)'!I89</f>
        <v>383.7</v>
      </c>
      <c r="AC77" s="39">
        <f>Weather!D209</f>
        <v>4.9666666666666659</v>
      </c>
      <c r="AD77" s="39">
        <f>Weather!E209</f>
        <v>450.99999999999983</v>
      </c>
      <c r="AE77" s="39">
        <f>Weather!F209</f>
        <v>0</v>
      </c>
      <c r="AF77" s="39">
        <f>Weather!G209</f>
        <v>390.99999999999983</v>
      </c>
      <c r="AG77" s="39">
        <f>Weather!H209</f>
        <v>0</v>
      </c>
      <c r="AH77" s="39">
        <f>Weather!I209</f>
        <v>331.7999999999999</v>
      </c>
      <c r="AI77" s="39">
        <f>Weather!J209</f>
        <v>0.80000000000000071</v>
      </c>
      <c r="AJ77" s="39">
        <f>Weather!K209</f>
        <v>273.7999999999999</v>
      </c>
      <c r="AK77" s="39">
        <f>Weather!L209</f>
        <v>2.8000000000000007</v>
      </c>
      <c r="AL77" s="39">
        <f>Weather!M209</f>
        <v>216.89999999999998</v>
      </c>
      <c r="AM77" s="39">
        <f>Weather!N209</f>
        <v>5.9</v>
      </c>
      <c r="AN77" s="39">
        <f>Weather!O209</f>
        <v>162.69999999999999</v>
      </c>
      <c r="AO77" s="39">
        <f>Weather!P209</f>
        <v>11.700000000000001</v>
      </c>
      <c r="AP77" s="39">
        <f>Weather!Q209</f>
        <v>113.70000000000002</v>
      </c>
      <c r="AQ77" s="39">
        <f>Weather!R209</f>
        <v>22.700000000000003</v>
      </c>
      <c r="AR77" s="201">
        <v>0</v>
      </c>
      <c r="AS77" s="201">
        <v>0</v>
      </c>
      <c r="AT77" s="201">
        <v>0</v>
      </c>
      <c r="AU77" s="201">
        <v>1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 s="201">
        <v>0</v>
      </c>
      <c r="BD77" s="201">
        <v>1</v>
      </c>
      <c r="BE77" s="201">
        <v>0</v>
      </c>
      <c r="BF77" s="201">
        <v>1</v>
      </c>
      <c r="BG77" s="202">
        <f t="shared" si="20"/>
        <v>76</v>
      </c>
      <c r="BH77" s="201">
        <v>30</v>
      </c>
      <c r="BI77" s="201">
        <v>21</v>
      </c>
      <c r="BJ77" s="160">
        <f t="shared" si="21"/>
        <v>633.02189996885375</v>
      </c>
      <c r="BK77" s="160">
        <f t="shared" si="22"/>
        <v>21.100729998961793</v>
      </c>
      <c r="BL77" s="159">
        <f t="shared" si="23"/>
        <v>1272774.9328073761</v>
      </c>
      <c r="BM77" s="160">
        <f t="shared" si="24"/>
        <v>2609.4130062587287</v>
      </c>
      <c r="BN77" s="160">
        <f t="shared" si="25"/>
        <v>86.980433541957623</v>
      </c>
      <c r="BO77" s="160">
        <f t="shared" si="26"/>
        <v>458125.94346549083</v>
      </c>
      <c r="BP77" s="160">
        <f t="shared" si="27"/>
        <v>72779.332803817437</v>
      </c>
      <c r="BQ77" s="160">
        <f t="shared" si="28"/>
        <v>2425.9777601272481</v>
      </c>
      <c r="BR77" s="160">
        <f t="shared" si="29"/>
        <v>3465.6825144674972</v>
      </c>
      <c r="BS77" s="160">
        <f t="shared" si="30"/>
        <v>2510886.9817317012</v>
      </c>
      <c r="BT77" s="160">
        <f t="shared" si="31"/>
        <v>3586981.402473859</v>
      </c>
    </row>
    <row r="78" spans="1:72" x14ac:dyDescent="0.2">
      <c r="A78" s="204">
        <v>42491</v>
      </c>
      <c r="B78" s="205">
        <f t="shared" si="16"/>
        <v>2016</v>
      </c>
      <c r="C78" s="203">
        <v>41386492</v>
      </c>
      <c r="D78" s="203">
        <f>VLOOKUP(B78,CDM!$I$5:$N$15,2,FALSE)/12</f>
        <v>1262307.9842212892</v>
      </c>
      <c r="E78" s="203">
        <f t="shared" si="17"/>
        <v>42648799.984221287</v>
      </c>
      <c r="F78" s="206">
        <v>60305</v>
      </c>
      <c r="G78" s="206">
        <v>13344960</v>
      </c>
      <c r="H78" s="206">
        <v>5294</v>
      </c>
      <c r="I78" s="203">
        <f>VLOOKUP(B78,CDM!$I$5:$N$15,3,FALSE)/12</f>
        <v>702774.30396472511</v>
      </c>
      <c r="J78" s="203">
        <f t="shared" si="18"/>
        <v>14047734.303964725</v>
      </c>
      <c r="K78" s="206">
        <v>74482255</v>
      </c>
      <c r="L78" s="203">
        <f>VLOOKUP(B78,CDM!$I$5:$N$15,4,FALSE)/12</f>
        <v>2816466.4519510479</v>
      </c>
      <c r="M78" s="87">
        <f t="shared" si="19"/>
        <v>77298721.451951042</v>
      </c>
      <c r="N78" s="206">
        <v>190232</v>
      </c>
      <c r="O78" s="206">
        <v>1035</v>
      </c>
      <c r="P78" s="206">
        <v>666464</v>
      </c>
      <c r="Q78" s="206">
        <v>2304</v>
      </c>
      <c r="R78" s="208">
        <v>15252</v>
      </c>
      <c r="S78" s="206">
        <v>259477</v>
      </c>
      <c r="T78" s="202">
        <v>24</v>
      </c>
      <c r="U78" s="202">
        <v>560</v>
      </c>
      <c r="V78" s="37">
        <f>'Economic (2020 Adj.)'!C90</f>
        <v>692620.80000000005</v>
      </c>
      <c r="W78" s="37">
        <f>'Economic (2020 Adj.)'!D90</f>
        <v>6994.4</v>
      </c>
      <c r="X78" s="37">
        <f>'Economic (2020 Adj.)'!F90</f>
        <v>3217.7</v>
      </c>
      <c r="Y78" s="37">
        <f>'Economic (2020 Adj.)'!H90</f>
        <v>383.2</v>
      </c>
      <c r="Z78" s="37">
        <f>'Economic (2020 Adj.)'!E90</f>
        <v>6962.5</v>
      </c>
      <c r="AA78" s="37">
        <f>'Economic (2020 Adj.)'!G90</f>
        <v>3207.8</v>
      </c>
      <c r="AB78" s="37">
        <f>'Economic (2020 Adj.)'!I90</f>
        <v>382.3</v>
      </c>
      <c r="AC78" s="39">
        <f>Weather!D210</f>
        <v>13.870967741935482</v>
      </c>
      <c r="AD78" s="39">
        <f>Weather!E210</f>
        <v>203.6</v>
      </c>
      <c r="AE78" s="39">
        <f>Weather!F210</f>
        <v>13.599999999999998</v>
      </c>
      <c r="AF78" s="39">
        <f>Weather!G210</f>
        <v>156.09999999999997</v>
      </c>
      <c r="AG78" s="39">
        <f>Weather!H210</f>
        <v>28.099999999999998</v>
      </c>
      <c r="AH78" s="39">
        <f>Weather!I210</f>
        <v>113.69999999999999</v>
      </c>
      <c r="AI78" s="39">
        <f>Weather!J210</f>
        <v>47.699999999999989</v>
      </c>
      <c r="AJ78" s="39">
        <f>Weather!K210</f>
        <v>74.600000000000009</v>
      </c>
      <c r="AK78" s="39">
        <f>Weather!L210</f>
        <v>70.599999999999994</v>
      </c>
      <c r="AL78" s="39">
        <f>Weather!M210</f>
        <v>41.900000000000006</v>
      </c>
      <c r="AM78" s="39">
        <f>Weather!N210</f>
        <v>99.899999999999991</v>
      </c>
      <c r="AN78" s="39">
        <f>Weather!O210</f>
        <v>17.299999999999997</v>
      </c>
      <c r="AO78" s="39">
        <f>Weather!P210</f>
        <v>137.30000000000001</v>
      </c>
      <c r="AP78" s="39">
        <f>Weather!Q210</f>
        <v>4.5</v>
      </c>
      <c r="AQ78" s="39">
        <f>Weather!R210</f>
        <v>186.50000000000003</v>
      </c>
      <c r="AR78" s="201">
        <v>0</v>
      </c>
      <c r="AS78" s="201">
        <v>0</v>
      </c>
      <c r="AT78" s="201">
        <v>0</v>
      </c>
      <c r="AU78" s="201">
        <v>0</v>
      </c>
      <c r="AV78" s="201">
        <v>1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 s="201">
        <v>0</v>
      </c>
      <c r="BD78" s="201">
        <v>1</v>
      </c>
      <c r="BE78" s="201">
        <v>0</v>
      </c>
      <c r="BF78" s="201">
        <v>1</v>
      </c>
      <c r="BG78" s="202">
        <f t="shared" si="20"/>
        <v>77</v>
      </c>
      <c r="BH78" s="201">
        <v>31</v>
      </c>
      <c r="BI78" s="201">
        <v>21</v>
      </c>
      <c r="BJ78" s="160">
        <f t="shared" si="21"/>
        <v>707.21830667807455</v>
      </c>
      <c r="BK78" s="160">
        <f t="shared" si="22"/>
        <v>22.813493763808857</v>
      </c>
      <c r="BL78" s="159">
        <f t="shared" si="23"/>
        <v>1375767.741426493</v>
      </c>
      <c r="BM78" s="160">
        <f t="shared" si="24"/>
        <v>2653.5198911909188</v>
      </c>
      <c r="BN78" s="160">
        <f t="shared" si="25"/>
        <v>85.597415844868351</v>
      </c>
      <c r="BO78" s="160">
        <f t="shared" si="26"/>
        <v>453152.71948273305</v>
      </c>
      <c r="BP78" s="160">
        <f t="shared" si="27"/>
        <v>74684.755026039653</v>
      </c>
      <c r="BQ78" s="160">
        <f t="shared" si="28"/>
        <v>2409.1856460012791</v>
      </c>
      <c r="BR78" s="160">
        <f t="shared" si="29"/>
        <v>3556.416906001888</v>
      </c>
      <c r="BS78" s="160">
        <f t="shared" si="30"/>
        <v>2493507.143611324</v>
      </c>
      <c r="BT78" s="160">
        <f t="shared" si="31"/>
        <v>3680891.4977119542</v>
      </c>
    </row>
    <row r="79" spans="1:72" x14ac:dyDescent="0.2">
      <c r="A79" s="204">
        <v>42522</v>
      </c>
      <c r="B79" s="205">
        <f t="shared" si="16"/>
        <v>2016</v>
      </c>
      <c r="C79" s="203">
        <v>50574849</v>
      </c>
      <c r="D79" s="203">
        <f>VLOOKUP(B79,CDM!$I$5:$N$15,2,FALSE)/12</f>
        <v>1262307.9842212892</v>
      </c>
      <c r="E79" s="203">
        <f t="shared" si="17"/>
        <v>51837156.984221287</v>
      </c>
      <c r="F79" s="208">
        <v>60308</v>
      </c>
      <c r="G79" s="206">
        <v>14145403</v>
      </c>
      <c r="H79" s="208">
        <v>5264</v>
      </c>
      <c r="I79" s="203">
        <f>VLOOKUP(B79,CDM!$I$5:$N$15,3,FALSE)/12</f>
        <v>702774.30396472511</v>
      </c>
      <c r="J79" s="203">
        <f t="shared" si="18"/>
        <v>14848177.303964725</v>
      </c>
      <c r="K79" s="206">
        <v>77899377</v>
      </c>
      <c r="L79" s="203">
        <f>VLOOKUP(B79,CDM!$I$5:$N$15,4,FALSE)/12</f>
        <v>2816466.4519510479</v>
      </c>
      <c r="M79" s="87">
        <f t="shared" si="19"/>
        <v>80715843.451951042</v>
      </c>
      <c r="N79" s="206">
        <v>204631</v>
      </c>
      <c r="O79" s="208">
        <v>1033</v>
      </c>
      <c r="P79" s="206">
        <v>599799</v>
      </c>
      <c r="Q79" s="206">
        <v>2304</v>
      </c>
      <c r="R79" s="206">
        <v>15252</v>
      </c>
      <c r="S79" s="206">
        <v>258917</v>
      </c>
      <c r="T79" s="202">
        <v>24</v>
      </c>
      <c r="U79" s="202">
        <v>560</v>
      </c>
      <c r="V79" s="37">
        <f>'Economic (2020 Adj.)'!C91</f>
        <v>692620.80000000005</v>
      </c>
      <c r="W79" s="37">
        <f>'Economic (2020 Adj.)'!D91</f>
        <v>7001.9</v>
      </c>
      <c r="X79" s="37">
        <f>'Economic (2020 Adj.)'!F91</f>
        <v>3230.3</v>
      </c>
      <c r="Y79" s="37">
        <f>'Economic (2020 Adj.)'!H91</f>
        <v>382.1</v>
      </c>
      <c r="Z79" s="37">
        <f>'Economic (2020 Adj.)'!E91</f>
        <v>7047.3</v>
      </c>
      <c r="AA79" s="37">
        <f>'Economic (2020 Adj.)'!G91</f>
        <v>3251.8</v>
      </c>
      <c r="AB79" s="37">
        <f>'Economic (2020 Adj.)'!I91</f>
        <v>384.6</v>
      </c>
      <c r="AC79" s="39">
        <f>Weather!D211</f>
        <v>19.386666666666663</v>
      </c>
      <c r="AD79" s="39">
        <f>Weather!E211</f>
        <v>53</v>
      </c>
      <c r="AE79" s="39">
        <f>Weather!F211</f>
        <v>34.6</v>
      </c>
      <c r="AF79" s="39">
        <f>Weather!G211</f>
        <v>26.500000000000004</v>
      </c>
      <c r="AG79" s="39">
        <f>Weather!H211</f>
        <v>68.099999999999994</v>
      </c>
      <c r="AH79" s="39">
        <f>Weather!I211</f>
        <v>8.5</v>
      </c>
      <c r="AI79" s="39">
        <f>Weather!J211</f>
        <v>110.1</v>
      </c>
      <c r="AJ79" s="39">
        <f>Weather!K211</f>
        <v>2</v>
      </c>
      <c r="AK79" s="39">
        <f>Weather!L211</f>
        <v>163.6</v>
      </c>
      <c r="AL79" s="39">
        <f>Weather!M211</f>
        <v>0</v>
      </c>
      <c r="AM79" s="39">
        <f>Weather!N211</f>
        <v>221.60000000000002</v>
      </c>
      <c r="AN79" s="39">
        <f>Weather!O211</f>
        <v>0</v>
      </c>
      <c r="AO79" s="39">
        <f>Weather!P211</f>
        <v>281.60000000000008</v>
      </c>
      <c r="AP79" s="39">
        <f>Weather!Q211</f>
        <v>0</v>
      </c>
      <c r="AQ79" s="39">
        <f>Weather!R211</f>
        <v>341.6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1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 s="201">
        <v>0</v>
      </c>
      <c r="BD79" s="201">
        <v>0</v>
      </c>
      <c r="BE79" s="201">
        <v>0</v>
      </c>
      <c r="BF79" s="201">
        <v>0</v>
      </c>
      <c r="BG79" s="202">
        <f t="shared" si="20"/>
        <v>78</v>
      </c>
      <c r="BH79" s="201">
        <v>30</v>
      </c>
      <c r="BI79" s="201">
        <v>22</v>
      </c>
      <c r="BJ79" s="160">
        <f t="shared" si="21"/>
        <v>859.54030948168213</v>
      </c>
      <c r="BK79" s="160">
        <f t="shared" si="22"/>
        <v>28.651343649389403</v>
      </c>
      <c r="BL79" s="159">
        <f t="shared" si="23"/>
        <v>1727905.2328073762</v>
      </c>
      <c r="BM79" s="160">
        <f t="shared" si="24"/>
        <v>2820.7023753732378</v>
      </c>
      <c r="BN79" s="160">
        <f t="shared" si="25"/>
        <v>94.023412512441254</v>
      </c>
      <c r="BO79" s="160">
        <f t="shared" si="26"/>
        <v>494939.24346549081</v>
      </c>
      <c r="BP79" s="160">
        <f t="shared" si="27"/>
        <v>78137.312150969068</v>
      </c>
      <c r="BQ79" s="160">
        <f t="shared" si="28"/>
        <v>2604.5770716989691</v>
      </c>
      <c r="BR79" s="160">
        <f t="shared" si="29"/>
        <v>3551.6960068622302</v>
      </c>
      <c r="BS79" s="160">
        <f t="shared" si="30"/>
        <v>2690528.1150650349</v>
      </c>
      <c r="BT79" s="160">
        <f t="shared" si="31"/>
        <v>3668901.9750886839</v>
      </c>
    </row>
    <row r="80" spans="1:72" x14ac:dyDescent="0.2">
      <c r="A80" s="204">
        <v>42552</v>
      </c>
      <c r="B80" s="205">
        <f t="shared" si="16"/>
        <v>2016</v>
      </c>
      <c r="C80" s="203">
        <v>61688603</v>
      </c>
      <c r="D80" s="203">
        <f>VLOOKUP(B80,CDM!$I$5:$N$15,2,FALSE)/12</f>
        <v>1262307.9842212892</v>
      </c>
      <c r="E80" s="203">
        <f t="shared" si="17"/>
        <v>62950910.984221287</v>
      </c>
      <c r="F80" s="208">
        <v>60310</v>
      </c>
      <c r="G80" s="206">
        <v>15923666</v>
      </c>
      <c r="H80" s="208">
        <v>5262</v>
      </c>
      <c r="I80" s="203">
        <f>VLOOKUP(B80,CDM!$I$5:$N$15,3,FALSE)/12</f>
        <v>702774.30396472511</v>
      </c>
      <c r="J80" s="203">
        <f t="shared" si="18"/>
        <v>16626440.303964725</v>
      </c>
      <c r="K80" s="206">
        <v>84011912</v>
      </c>
      <c r="L80" s="203">
        <f>VLOOKUP(B80,CDM!$I$5:$N$15,4,FALSE)/12</f>
        <v>2816466.4519510479</v>
      </c>
      <c r="M80" s="87">
        <f t="shared" si="19"/>
        <v>86828378.451951042</v>
      </c>
      <c r="N80" s="206">
        <v>214922</v>
      </c>
      <c r="O80" s="208">
        <v>1034</v>
      </c>
      <c r="P80" s="206">
        <v>641842</v>
      </c>
      <c r="Q80" s="206">
        <v>2304</v>
      </c>
      <c r="R80" s="208">
        <v>15252</v>
      </c>
      <c r="S80" s="206">
        <v>259477</v>
      </c>
      <c r="T80" s="202">
        <v>24</v>
      </c>
      <c r="U80" s="202">
        <v>560</v>
      </c>
      <c r="V80" s="37">
        <f>'Economic (2020 Adj.)'!C92</f>
        <v>692620.80000000005</v>
      </c>
      <c r="W80" s="37">
        <f>'Economic (2020 Adj.)'!D92</f>
        <v>6995.7</v>
      </c>
      <c r="X80" s="37">
        <f>'Economic (2020 Adj.)'!F92</f>
        <v>3229.4</v>
      </c>
      <c r="Y80" s="37">
        <f>'Economic (2020 Adj.)'!H92</f>
        <v>379.1</v>
      </c>
      <c r="Z80" s="37">
        <f>'Economic (2020 Adj.)'!E92</f>
        <v>7090.8</v>
      </c>
      <c r="AA80" s="37">
        <f>'Economic (2020 Adj.)'!G92</f>
        <v>3265.5</v>
      </c>
      <c r="AB80" s="37">
        <f>'Economic (2020 Adj.)'!I92</f>
        <v>382.2</v>
      </c>
      <c r="AC80" s="39">
        <f>Weather!D212</f>
        <v>22.919354838709673</v>
      </c>
      <c r="AD80" s="39">
        <f>Weather!E212</f>
        <v>5.2999999999999972</v>
      </c>
      <c r="AE80" s="39">
        <f>Weather!F212</f>
        <v>95.800000000000026</v>
      </c>
      <c r="AF80" s="39">
        <f>Weather!G212</f>
        <v>0.10000000000000142</v>
      </c>
      <c r="AG80" s="39">
        <f>Weather!H212</f>
        <v>152.60000000000002</v>
      </c>
      <c r="AH80" s="39">
        <f>Weather!I212</f>
        <v>0</v>
      </c>
      <c r="AI80" s="39">
        <f>Weather!J212</f>
        <v>214.50000000000003</v>
      </c>
      <c r="AJ80" s="39">
        <f>Weather!K212</f>
        <v>0</v>
      </c>
      <c r="AK80" s="39">
        <f>Weather!L212</f>
        <v>276.5</v>
      </c>
      <c r="AL80" s="39">
        <f>Weather!M212</f>
        <v>0</v>
      </c>
      <c r="AM80" s="39">
        <f>Weather!N212</f>
        <v>338.49999999999994</v>
      </c>
      <c r="AN80" s="39">
        <f>Weather!O212</f>
        <v>0</v>
      </c>
      <c r="AO80" s="39">
        <f>Weather!P212</f>
        <v>400.49999999999983</v>
      </c>
      <c r="AP80" s="39">
        <f>Weather!Q212</f>
        <v>0</v>
      </c>
      <c r="AQ80" s="39">
        <f>Weather!R212</f>
        <v>462.49999999999989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1</v>
      </c>
      <c r="AY80" s="201">
        <v>0</v>
      </c>
      <c r="AZ80" s="201">
        <v>0</v>
      </c>
      <c r="BA80" s="201">
        <v>0</v>
      </c>
      <c r="BB80" s="201">
        <v>0</v>
      </c>
      <c r="BC80" s="201">
        <v>0</v>
      </c>
      <c r="BD80" s="201">
        <v>0</v>
      </c>
      <c r="BE80" s="201">
        <v>0</v>
      </c>
      <c r="BF80" s="201">
        <v>0</v>
      </c>
      <c r="BG80" s="202">
        <f t="shared" si="20"/>
        <v>79</v>
      </c>
      <c r="BH80" s="201">
        <v>31</v>
      </c>
      <c r="BI80" s="201">
        <v>20</v>
      </c>
      <c r="BJ80" s="160">
        <f t="shared" si="21"/>
        <v>1043.7889402125898</v>
      </c>
      <c r="BK80" s="160">
        <f t="shared" si="22"/>
        <v>33.670610974599668</v>
      </c>
      <c r="BL80" s="159">
        <f t="shared" si="23"/>
        <v>2030674.5478781061</v>
      </c>
      <c r="BM80" s="160">
        <f t="shared" si="24"/>
        <v>3159.7187958883933</v>
      </c>
      <c r="BN80" s="160">
        <f t="shared" si="25"/>
        <v>101.92641277059333</v>
      </c>
      <c r="BO80" s="160">
        <f t="shared" si="26"/>
        <v>536336.78399886214</v>
      </c>
      <c r="BP80" s="160">
        <f t="shared" si="27"/>
        <v>83973.28670401455</v>
      </c>
      <c r="BQ80" s="160">
        <f t="shared" si="28"/>
        <v>2708.8157001295017</v>
      </c>
      <c r="BR80" s="160">
        <f t="shared" si="29"/>
        <v>4198.6643352007277</v>
      </c>
      <c r="BS80" s="160">
        <f t="shared" si="30"/>
        <v>2800915.4339339044</v>
      </c>
      <c r="BT80" s="160">
        <f t="shared" si="31"/>
        <v>4341418.9225975517</v>
      </c>
    </row>
    <row r="81" spans="1:72" x14ac:dyDescent="0.2">
      <c r="A81" s="204">
        <v>42583</v>
      </c>
      <c r="B81" s="205">
        <f t="shared" si="16"/>
        <v>2016</v>
      </c>
      <c r="C81" s="203">
        <v>60215461</v>
      </c>
      <c r="D81" s="203">
        <f>VLOOKUP(B81,CDM!$I$5:$N$15,2,FALSE)/12</f>
        <v>1262307.9842212892</v>
      </c>
      <c r="E81" s="203">
        <f t="shared" si="17"/>
        <v>61477768.984221287</v>
      </c>
      <c r="F81" s="206">
        <v>60299</v>
      </c>
      <c r="G81" s="206">
        <v>16295761</v>
      </c>
      <c r="H81" s="206">
        <v>5260</v>
      </c>
      <c r="I81" s="203">
        <f>VLOOKUP(B81,CDM!$I$5:$N$15,3,FALSE)/12</f>
        <v>702774.30396472511</v>
      </c>
      <c r="J81" s="203">
        <f t="shared" si="18"/>
        <v>16998535.303964727</v>
      </c>
      <c r="K81" s="206">
        <v>87167726</v>
      </c>
      <c r="L81" s="203">
        <f>VLOOKUP(B81,CDM!$I$5:$N$15,4,FALSE)/12</f>
        <v>2816466.4519510479</v>
      </c>
      <c r="M81" s="87">
        <f t="shared" si="19"/>
        <v>89984192.451951042</v>
      </c>
      <c r="N81" s="206">
        <v>217408</v>
      </c>
      <c r="O81" s="206">
        <v>1034</v>
      </c>
      <c r="P81" s="206">
        <v>720249</v>
      </c>
      <c r="Q81" s="206">
        <v>2304</v>
      </c>
      <c r="R81" s="208">
        <v>15252</v>
      </c>
      <c r="S81" s="206">
        <v>259148</v>
      </c>
      <c r="T81" s="202">
        <v>24</v>
      </c>
      <c r="U81" s="202">
        <v>560</v>
      </c>
      <c r="V81" s="37">
        <f>'Economic (2020 Adj.)'!C93</f>
        <v>692620.80000000005</v>
      </c>
      <c r="W81" s="37">
        <f>'Economic (2020 Adj.)'!D93</f>
        <v>6990.6</v>
      </c>
      <c r="X81" s="37">
        <f>'Economic (2020 Adj.)'!F93</f>
        <v>3224.8</v>
      </c>
      <c r="Y81" s="37">
        <f>'Economic (2020 Adj.)'!H93</f>
        <v>379.5</v>
      </c>
      <c r="Z81" s="37">
        <f>'Economic (2020 Adj.)'!E93</f>
        <v>7083.3</v>
      </c>
      <c r="AA81" s="37">
        <f>'Economic (2020 Adj.)'!G93</f>
        <v>3263</v>
      </c>
      <c r="AB81" s="37">
        <f>'Economic (2020 Adj.)'!I93</f>
        <v>380.6</v>
      </c>
      <c r="AC81" s="39">
        <f>Weather!D213</f>
        <v>23.735483870967741</v>
      </c>
      <c r="AD81" s="39">
        <f>Weather!E213</f>
        <v>0.10000000000000142</v>
      </c>
      <c r="AE81" s="39">
        <f>Weather!F213</f>
        <v>115.89999999999998</v>
      </c>
      <c r="AF81" s="39">
        <f>Weather!G213</f>
        <v>0</v>
      </c>
      <c r="AG81" s="39">
        <f>Weather!H213</f>
        <v>177.79999999999998</v>
      </c>
      <c r="AH81" s="39">
        <f>Weather!I213</f>
        <v>0</v>
      </c>
      <c r="AI81" s="39">
        <f>Weather!J213</f>
        <v>239.79999999999998</v>
      </c>
      <c r="AJ81" s="39">
        <f>Weather!K213</f>
        <v>0</v>
      </c>
      <c r="AK81" s="39">
        <f>Weather!L213</f>
        <v>301.80000000000007</v>
      </c>
      <c r="AL81" s="39">
        <f>Weather!M213</f>
        <v>0</v>
      </c>
      <c r="AM81" s="39">
        <f>Weather!N213</f>
        <v>363.80000000000007</v>
      </c>
      <c r="AN81" s="39">
        <f>Weather!O213</f>
        <v>0</v>
      </c>
      <c r="AO81" s="39">
        <f>Weather!P213</f>
        <v>425.80000000000007</v>
      </c>
      <c r="AP81" s="39">
        <f>Weather!Q213</f>
        <v>0</v>
      </c>
      <c r="AQ81" s="39">
        <f>Weather!R213</f>
        <v>487.80000000000007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1</v>
      </c>
      <c r="AZ81" s="201">
        <v>0</v>
      </c>
      <c r="BA81" s="201">
        <v>0</v>
      </c>
      <c r="BB81" s="201">
        <v>0</v>
      </c>
      <c r="BC81" s="201">
        <v>0</v>
      </c>
      <c r="BD81" s="201">
        <v>0</v>
      </c>
      <c r="BE81" s="201">
        <v>0</v>
      </c>
      <c r="BF81" s="201">
        <v>0</v>
      </c>
      <c r="BG81" s="202">
        <f t="shared" si="20"/>
        <v>80</v>
      </c>
      <c r="BH81" s="201">
        <v>31</v>
      </c>
      <c r="BI81" s="201">
        <v>22</v>
      </c>
      <c r="BJ81" s="160">
        <f t="shared" si="21"/>
        <v>1019.5487318897708</v>
      </c>
      <c r="BK81" s="160">
        <f t="shared" si="22"/>
        <v>32.888668770637771</v>
      </c>
      <c r="BL81" s="159">
        <f t="shared" si="23"/>
        <v>1983153.8382006867</v>
      </c>
      <c r="BM81" s="160">
        <f t="shared" si="24"/>
        <v>3231.6607041758034</v>
      </c>
      <c r="BN81" s="160">
        <f t="shared" si="25"/>
        <v>104.24711948954204</v>
      </c>
      <c r="BO81" s="160">
        <f t="shared" si="26"/>
        <v>548339.84851499123</v>
      </c>
      <c r="BP81" s="160">
        <f t="shared" si="27"/>
        <v>87025.331191442019</v>
      </c>
      <c r="BQ81" s="160">
        <f t="shared" si="28"/>
        <v>2807.2687481110329</v>
      </c>
      <c r="BR81" s="160">
        <f t="shared" si="29"/>
        <v>3955.6968723382738</v>
      </c>
      <c r="BS81" s="160">
        <f t="shared" si="30"/>
        <v>2902715.8855468077</v>
      </c>
      <c r="BT81" s="160">
        <f t="shared" si="31"/>
        <v>4090190.5659977747</v>
      </c>
    </row>
    <row r="82" spans="1:72" x14ac:dyDescent="0.2">
      <c r="A82" s="204">
        <v>42614</v>
      </c>
      <c r="B82" s="205">
        <f t="shared" si="16"/>
        <v>2016</v>
      </c>
      <c r="C82" s="203">
        <v>49709783</v>
      </c>
      <c r="D82" s="203">
        <f>VLOOKUP(B82,CDM!$I$5:$N$15,2,FALSE)/12</f>
        <v>1262307.9842212892</v>
      </c>
      <c r="E82" s="203">
        <f t="shared" si="17"/>
        <v>50972090.984221287</v>
      </c>
      <c r="F82" s="208">
        <v>60320</v>
      </c>
      <c r="G82" s="206">
        <v>13976976</v>
      </c>
      <c r="H82" s="208">
        <v>5273</v>
      </c>
      <c r="I82" s="203">
        <f>VLOOKUP(B82,CDM!$I$5:$N$15,3,FALSE)/12</f>
        <v>702774.30396472511</v>
      </c>
      <c r="J82" s="203">
        <f t="shared" si="18"/>
        <v>14679750.303964725</v>
      </c>
      <c r="K82" s="206">
        <v>77840725</v>
      </c>
      <c r="L82" s="203">
        <f>VLOOKUP(B82,CDM!$I$5:$N$15,4,FALSE)/12</f>
        <v>2816466.4519510479</v>
      </c>
      <c r="M82" s="87">
        <f t="shared" si="19"/>
        <v>80657191.451951042</v>
      </c>
      <c r="N82" s="206">
        <v>218401</v>
      </c>
      <c r="O82" s="208">
        <v>1033</v>
      </c>
      <c r="P82" s="206">
        <v>794582</v>
      </c>
      <c r="Q82" s="206">
        <v>2304</v>
      </c>
      <c r="R82" s="206">
        <v>15252</v>
      </c>
      <c r="S82" s="206">
        <v>258866</v>
      </c>
      <c r="T82" s="202">
        <v>24</v>
      </c>
      <c r="U82" s="202">
        <v>559</v>
      </c>
      <c r="V82" s="37">
        <f>'Economic (2020 Adj.)'!C94</f>
        <v>692620.80000000005</v>
      </c>
      <c r="W82" s="37">
        <f>'Economic (2020 Adj.)'!D94</f>
        <v>6988.9</v>
      </c>
      <c r="X82" s="37">
        <f>'Economic (2020 Adj.)'!F94</f>
        <v>3216.9</v>
      </c>
      <c r="Y82" s="37">
        <f>'Economic (2020 Adj.)'!H94</f>
        <v>382.3</v>
      </c>
      <c r="Z82" s="37">
        <f>'Economic (2020 Adj.)'!E94</f>
        <v>7037</v>
      </c>
      <c r="AA82" s="37">
        <f>'Economic (2020 Adj.)'!G94</f>
        <v>3236.1</v>
      </c>
      <c r="AB82" s="37">
        <f>'Economic (2020 Adj.)'!I94</f>
        <v>381.7</v>
      </c>
      <c r="AC82" s="39">
        <f>Weather!D214</f>
        <v>20.029999999999998</v>
      </c>
      <c r="AD82" s="39">
        <f>Weather!E214</f>
        <v>41.900000000000013</v>
      </c>
      <c r="AE82" s="39">
        <f>Weather!F214</f>
        <v>42.800000000000011</v>
      </c>
      <c r="AF82" s="39">
        <f>Weather!G214</f>
        <v>15.500000000000002</v>
      </c>
      <c r="AG82" s="39">
        <f>Weather!H214</f>
        <v>76.40000000000002</v>
      </c>
      <c r="AH82" s="39">
        <f>Weather!I214</f>
        <v>3.7999999999999989</v>
      </c>
      <c r="AI82" s="39">
        <f>Weather!J214</f>
        <v>124.7</v>
      </c>
      <c r="AJ82" s="39">
        <f>Weather!K214</f>
        <v>9.9999999999999645E-2</v>
      </c>
      <c r="AK82" s="39">
        <f>Weather!L214</f>
        <v>181</v>
      </c>
      <c r="AL82" s="39">
        <f>Weather!M214</f>
        <v>0</v>
      </c>
      <c r="AM82" s="39">
        <f>Weather!N214</f>
        <v>240.9</v>
      </c>
      <c r="AN82" s="39">
        <f>Weather!O214</f>
        <v>0</v>
      </c>
      <c r="AO82" s="39">
        <f>Weather!P214</f>
        <v>300.89999999999992</v>
      </c>
      <c r="AP82" s="39">
        <f>Weather!Q214</f>
        <v>0</v>
      </c>
      <c r="AQ82" s="39">
        <f>Weather!R214</f>
        <v>360.89999999999992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1</v>
      </c>
      <c r="BA82" s="201">
        <v>0</v>
      </c>
      <c r="BB82" s="201">
        <v>0</v>
      </c>
      <c r="BC82" s="201">
        <v>0</v>
      </c>
      <c r="BD82" s="201">
        <v>0</v>
      </c>
      <c r="BE82" s="201">
        <v>1</v>
      </c>
      <c r="BF82" s="201">
        <v>1</v>
      </c>
      <c r="BG82" s="202">
        <f t="shared" si="20"/>
        <v>81</v>
      </c>
      <c r="BH82" s="201">
        <v>30</v>
      </c>
      <c r="BI82" s="201">
        <v>21</v>
      </c>
      <c r="BJ82" s="160">
        <f t="shared" si="21"/>
        <v>845.02803355804519</v>
      </c>
      <c r="BK82" s="160">
        <f t="shared" si="22"/>
        <v>28.167601118601507</v>
      </c>
      <c r="BL82" s="159">
        <f t="shared" si="23"/>
        <v>1699069.699474043</v>
      </c>
      <c r="BM82" s="160">
        <f t="shared" si="24"/>
        <v>2783.9465776530865</v>
      </c>
      <c r="BN82" s="160">
        <f t="shared" si="25"/>
        <v>92.798219255102879</v>
      </c>
      <c r="BO82" s="160">
        <f t="shared" si="26"/>
        <v>489325.01013215748</v>
      </c>
      <c r="BP82" s="160">
        <f t="shared" si="27"/>
        <v>78080.533835383394</v>
      </c>
      <c r="BQ82" s="160">
        <f t="shared" si="28"/>
        <v>2602.6844611794463</v>
      </c>
      <c r="BR82" s="160">
        <f t="shared" si="29"/>
        <v>3718.1206588277805</v>
      </c>
      <c r="BS82" s="160">
        <f t="shared" si="30"/>
        <v>2688573.0483983681</v>
      </c>
      <c r="BT82" s="160">
        <f t="shared" si="31"/>
        <v>3840818.6405690974</v>
      </c>
    </row>
    <row r="83" spans="1:72" x14ac:dyDescent="0.2">
      <c r="A83" s="204">
        <v>42644</v>
      </c>
      <c r="B83" s="205">
        <f t="shared" si="16"/>
        <v>2016</v>
      </c>
      <c r="C83" s="203">
        <v>41115850</v>
      </c>
      <c r="D83" s="203">
        <f>VLOOKUP(B83,CDM!$I$5:$N$15,2,FALSE)/12</f>
        <v>1262307.9842212892</v>
      </c>
      <c r="E83" s="203">
        <f t="shared" si="17"/>
        <v>42378157.984221287</v>
      </c>
      <c r="F83" s="208">
        <v>60321</v>
      </c>
      <c r="G83" s="206">
        <v>12868083</v>
      </c>
      <c r="H83" s="208">
        <v>5278</v>
      </c>
      <c r="I83" s="203">
        <f>VLOOKUP(B83,CDM!$I$5:$N$15,3,FALSE)/12</f>
        <v>702774.30396472511</v>
      </c>
      <c r="J83" s="203">
        <f t="shared" si="18"/>
        <v>13570857.303964725</v>
      </c>
      <c r="K83" s="206">
        <v>73150245</v>
      </c>
      <c r="L83" s="203">
        <f>VLOOKUP(B83,CDM!$I$5:$N$15,4,FALSE)/12</f>
        <v>2816466.4519510479</v>
      </c>
      <c r="M83" s="87">
        <f t="shared" si="19"/>
        <v>75966711.451951042</v>
      </c>
      <c r="N83" s="206">
        <v>211273</v>
      </c>
      <c r="O83" s="208">
        <v>1036</v>
      </c>
      <c r="P83" s="206">
        <v>926316</v>
      </c>
      <c r="Q83" s="206">
        <v>2304</v>
      </c>
      <c r="R83" s="208">
        <v>15252</v>
      </c>
      <c r="S83" s="206">
        <v>259426</v>
      </c>
      <c r="T83" s="202">
        <v>24</v>
      </c>
      <c r="U83" s="202">
        <v>559</v>
      </c>
      <c r="V83" s="37">
        <f>'Economic (2020 Adj.)'!C95</f>
        <v>692620.80000000005</v>
      </c>
      <c r="W83" s="37">
        <f>'Economic (2020 Adj.)'!D95</f>
        <v>7006.2</v>
      </c>
      <c r="X83" s="37">
        <f>'Economic (2020 Adj.)'!F95</f>
        <v>3209.8</v>
      </c>
      <c r="Y83" s="37">
        <f>'Economic (2020 Adj.)'!H95</f>
        <v>386.2</v>
      </c>
      <c r="Z83" s="37">
        <f>'Economic (2020 Adj.)'!E95</f>
        <v>7033.4</v>
      </c>
      <c r="AA83" s="37">
        <f>'Economic (2020 Adj.)'!G95</f>
        <v>3217.5</v>
      </c>
      <c r="AB83" s="37">
        <f>'Economic (2020 Adj.)'!I95</f>
        <v>384.6</v>
      </c>
      <c r="AC83" s="39">
        <f>Weather!D215</f>
        <v>13.20967741935484</v>
      </c>
      <c r="AD83" s="39">
        <f>Weather!E215</f>
        <v>212.29999999999998</v>
      </c>
      <c r="AE83" s="39">
        <f>Weather!F215</f>
        <v>1.7999999999999972</v>
      </c>
      <c r="AF83" s="39">
        <f>Weather!G215</f>
        <v>156.6</v>
      </c>
      <c r="AG83" s="39">
        <f>Weather!H215</f>
        <v>8.1000000000000014</v>
      </c>
      <c r="AH83" s="39">
        <f>Weather!I215</f>
        <v>111.3</v>
      </c>
      <c r="AI83" s="39">
        <f>Weather!J215</f>
        <v>24.799999999999997</v>
      </c>
      <c r="AJ83" s="39">
        <f>Weather!K215</f>
        <v>77.199999999999989</v>
      </c>
      <c r="AK83" s="39">
        <f>Weather!L215</f>
        <v>52.699999999999989</v>
      </c>
      <c r="AL83" s="39">
        <f>Weather!M215</f>
        <v>50.1</v>
      </c>
      <c r="AM83" s="39">
        <f>Weather!N215</f>
        <v>87.600000000000009</v>
      </c>
      <c r="AN83" s="39">
        <f>Weather!O215</f>
        <v>26.6</v>
      </c>
      <c r="AO83" s="39">
        <f>Weather!P215</f>
        <v>126.10000000000001</v>
      </c>
      <c r="AP83" s="39">
        <f>Weather!Q215</f>
        <v>10.800000000000002</v>
      </c>
      <c r="AQ83" s="39">
        <f>Weather!R215</f>
        <v>172.3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1</v>
      </c>
      <c r="BB83" s="201">
        <v>0</v>
      </c>
      <c r="BC83" s="201">
        <v>0</v>
      </c>
      <c r="BD83" s="201">
        <v>0</v>
      </c>
      <c r="BE83" s="201">
        <v>1</v>
      </c>
      <c r="BF83" s="201">
        <v>1</v>
      </c>
      <c r="BG83" s="202">
        <f t="shared" si="20"/>
        <v>82</v>
      </c>
      <c r="BH83" s="201">
        <v>31</v>
      </c>
      <c r="BI83" s="201">
        <v>20</v>
      </c>
      <c r="BJ83" s="160">
        <f t="shared" si="21"/>
        <v>702.54402254971376</v>
      </c>
      <c r="BK83" s="160">
        <f t="shared" si="22"/>
        <v>22.662710404829475</v>
      </c>
      <c r="BL83" s="159">
        <f t="shared" si="23"/>
        <v>1367037.354329719</v>
      </c>
      <c r="BM83" s="160">
        <f t="shared" si="24"/>
        <v>2571.2120697166965</v>
      </c>
      <c r="BN83" s="160">
        <f t="shared" si="25"/>
        <v>82.94232482957085</v>
      </c>
      <c r="BO83" s="160">
        <f t="shared" si="26"/>
        <v>437769.59045047499</v>
      </c>
      <c r="BP83" s="160">
        <f t="shared" si="27"/>
        <v>73326.941555937301</v>
      </c>
      <c r="BQ83" s="160">
        <f t="shared" si="28"/>
        <v>2365.3852114818483</v>
      </c>
      <c r="BR83" s="160">
        <f t="shared" si="29"/>
        <v>3666.3470777968651</v>
      </c>
      <c r="BS83" s="160">
        <f t="shared" si="30"/>
        <v>2450539.079095195</v>
      </c>
      <c r="BT83" s="160">
        <f t="shared" si="31"/>
        <v>3798335.5725975521</v>
      </c>
    </row>
    <row r="84" spans="1:72" x14ac:dyDescent="0.2">
      <c r="A84" s="204">
        <v>42675</v>
      </c>
      <c r="B84" s="205">
        <f t="shared" si="16"/>
        <v>2016</v>
      </c>
      <c r="C84" s="203">
        <v>37172567</v>
      </c>
      <c r="D84" s="203">
        <f>VLOOKUP(B84,CDM!$I$5:$N$15,2,FALSE)/12</f>
        <v>1262307.9842212892</v>
      </c>
      <c r="E84" s="203">
        <f t="shared" si="17"/>
        <v>38434874.984221287</v>
      </c>
      <c r="F84" s="206">
        <v>60345</v>
      </c>
      <c r="G84" s="206">
        <v>12936003</v>
      </c>
      <c r="H84" s="206">
        <v>5298</v>
      </c>
      <c r="I84" s="203">
        <f>VLOOKUP(B84,CDM!$I$5:$N$15,3,FALSE)/12</f>
        <v>702774.30396472511</v>
      </c>
      <c r="J84" s="203">
        <f t="shared" si="18"/>
        <v>13638777.303964725</v>
      </c>
      <c r="K84" s="206">
        <v>71615105</v>
      </c>
      <c r="L84" s="203">
        <f>VLOOKUP(B84,CDM!$I$5:$N$15,4,FALSE)/12</f>
        <v>2816466.4519510479</v>
      </c>
      <c r="M84" s="87">
        <f t="shared" si="19"/>
        <v>74431571.451951042</v>
      </c>
      <c r="N84" s="206">
        <v>211233</v>
      </c>
      <c r="O84" s="206">
        <v>1036</v>
      </c>
      <c r="P84" s="206">
        <v>986113</v>
      </c>
      <c r="Q84" s="206">
        <v>2304</v>
      </c>
      <c r="R84" s="208">
        <v>15253</v>
      </c>
      <c r="S84" s="206">
        <v>258781</v>
      </c>
      <c r="T84" s="202">
        <v>24</v>
      </c>
      <c r="U84" s="202">
        <v>559</v>
      </c>
      <c r="V84" s="37">
        <f>'Economic (2020 Adj.)'!C96</f>
        <v>692620.80000000005</v>
      </c>
      <c r="W84" s="37">
        <f>'Economic (2020 Adj.)'!D96</f>
        <v>7018.5</v>
      </c>
      <c r="X84" s="37">
        <f>'Economic (2020 Adj.)'!F96</f>
        <v>3207.3</v>
      </c>
      <c r="Y84" s="37">
        <f>'Economic (2020 Adj.)'!H96</f>
        <v>392.2</v>
      </c>
      <c r="Z84" s="37">
        <f>'Economic (2020 Adj.)'!E96</f>
        <v>7026.9</v>
      </c>
      <c r="AA84" s="37">
        <f>'Economic (2020 Adj.)'!G96</f>
        <v>3203.3</v>
      </c>
      <c r="AB84" s="37">
        <f>'Economic (2020 Adj.)'!I96</f>
        <v>391.8</v>
      </c>
      <c r="AC84" s="39">
        <f>Weather!D216</f>
        <v>8.2366666666666628</v>
      </c>
      <c r="AD84" s="39">
        <f>Weather!E216</f>
        <v>352.90000000000003</v>
      </c>
      <c r="AE84" s="39">
        <f>Weather!F216</f>
        <v>0</v>
      </c>
      <c r="AF84" s="39">
        <f>Weather!G216</f>
        <v>292.90000000000003</v>
      </c>
      <c r="AG84" s="39">
        <f>Weather!H216</f>
        <v>0</v>
      </c>
      <c r="AH84" s="39">
        <f>Weather!I216</f>
        <v>232.90000000000003</v>
      </c>
      <c r="AI84" s="39">
        <f>Weather!J216</f>
        <v>0</v>
      </c>
      <c r="AJ84" s="39">
        <f>Weather!K216</f>
        <v>174.8</v>
      </c>
      <c r="AK84" s="39">
        <f>Weather!L216</f>
        <v>1.9000000000000004</v>
      </c>
      <c r="AL84" s="39">
        <f>Weather!M216</f>
        <v>121.3</v>
      </c>
      <c r="AM84" s="39">
        <f>Weather!N216</f>
        <v>8.3999999999999986</v>
      </c>
      <c r="AN84" s="39">
        <f>Weather!O216</f>
        <v>76.000000000000014</v>
      </c>
      <c r="AO84" s="39">
        <f>Weather!P216</f>
        <v>23.099999999999998</v>
      </c>
      <c r="AP84" s="39">
        <f>Weather!Q216</f>
        <v>45.8</v>
      </c>
      <c r="AQ84" s="39">
        <f>Weather!R216</f>
        <v>52.900000000000006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1</v>
      </c>
      <c r="BC84" s="201">
        <v>0</v>
      </c>
      <c r="BD84" s="201">
        <v>0</v>
      </c>
      <c r="BE84" s="201">
        <v>1</v>
      </c>
      <c r="BF84" s="201">
        <v>1</v>
      </c>
      <c r="BG84" s="202">
        <f t="shared" si="20"/>
        <v>83</v>
      </c>
      <c r="BH84" s="201">
        <v>30</v>
      </c>
      <c r="BI84" s="201">
        <v>22</v>
      </c>
      <c r="BJ84" s="160">
        <f t="shared" si="21"/>
        <v>636.91896568433651</v>
      </c>
      <c r="BK84" s="160">
        <f t="shared" si="22"/>
        <v>21.230632189477884</v>
      </c>
      <c r="BL84" s="159">
        <f t="shared" si="23"/>
        <v>1281162.4994740428</v>
      </c>
      <c r="BM84" s="160">
        <f t="shared" si="24"/>
        <v>2574.3256519374718</v>
      </c>
      <c r="BN84" s="160">
        <f t="shared" si="25"/>
        <v>85.810855064582398</v>
      </c>
      <c r="BO84" s="160">
        <f t="shared" si="26"/>
        <v>454625.9101321575</v>
      </c>
      <c r="BP84" s="160">
        <f t="shared" si="27"/>
        <v>71845.146189141931</v>
      </c>
      <c r="BQ84" s="160">
        <f t="shared" si="28"/>
        <v>2394.8382063047311</v>
      </c>
      <c r="BR84" s="160">
        <f t="shared" si="29"/>
        <v>3265.6884631428152</v>
      </c>
      <c r="BS84" s="160">
        <f t="shared" si="30"/>
        <v>2481052.3817317015</v>
      </c>
      <c r="BT84" s="160">
        <f t="shared" si="31"/>
        <v>3383253.2478159564</v>
      </c>
    </row>
    <row r="85" spans="1:72" x14ac:dyDescent="0.2">
      <c r="A85" s="204">
        <v>42705</v>
      </c>
      <c r="B85" s="205">
        <f t="shared" si="16"/>
        <v>2016</v>
      </c>
      <c r="C85" s="203">
        <v>42809833</v>
      </c>
      <c r="D85" s="203">
        <f>VLOOKUP(B85,CDM!$I$5:$N$15,2,FALSE)/12</f>
        <v>1262307.9842212892</v>
      </c>
      <c r="E85" s="203">
        <f t="shared" si="17"/>
        <v>44072140.984221287</v>
      </c>
      <c r="F85" s="208">
        <v>60353</v>
      </c>
      <c r="G85" s="210">
        <v>14391209</v>
      </c>
      <c r="H85" s="208">
        <v>5297</v>
      </c>
      <c r="I85" s="203">
        <f>VLOOKUP(B85,CDM!$I$5:$N$15,3,FALSE)/12</f>
        <v>702774.30396472511</v>
      </c>
      <c r="J85" s="203">
        <f t="shared" si="18"/>
        <v>15093983.303964725</v>
      </c>
      <c r="K85" s="210">
        <v>73980352</v>
      </c>
      <c r="L85" s="203">
        <f>VLOOKUP(B85,CDM!$I$5:$N$15,4,FALSE)/12</f>
        <v>2816466.4519510479</v>
      </c>
      <c r="M85" s="87">
        <f t="shared" si="19"/>
        <v>76796818.451951042</v>
      </c>
      <c r="N85" s="206">
        <v>171682</v>
      </c>
      <c r="O85" s="208">
        <v>1036</v>
      </c>
      <c r="P85" s="211">
        <v>1068050</v>
      </c>
      <c r="Q85" s="211">
        <v>2304</v>
      </c>
      <c r="R85" s="206">
        <v>15253</v>
      </c>
      <c r="S85" s="206">
        <v>263175</v>
      </c>
      <c r="T85" s="207">
        <v>24</v>
      </c>
      <c r="U85" s="202">
        <v>559</v>
      </c>
      <c r="V85" s="37">
        <f>'Economic (2020 Adj.)'!C97</f>
        <v>692620.80000000005</v>
      </c>
      <c r="W85" s="37">
        <f>'Economic (2020 Adj.)'!D97</f>
        <v>7028.8</v>
      </c>
      <c r="X85" s="37">
        <f>'Economic (2020 Adj.)'!F97</f>
        <v>3203.9</v>
      </c>
      <c r="Y85" s="37">
        <f>'Economic (2020 Adj.)'!H97</f>
        <v>397.1</v>
      </c>
      <c r="Z85" s="37">
        <f>'Economic (2020 Adj.)'!E97</f>
        <v>7041.6</v>
      </c>
      <c r="AA85" s="37">
        <f>'Economic (2020 Adj.)'!G97</f>
        <v>3206.3</v>
      </c>
      <c r="AB85" s="37">
        <f>'Economic (2020 Adj.)'!I97</f>
        <v>398</v>
      </c>
      <c r="AC85" s="39">
        <f>Weather!D217</f>
        <v>-3.2258064516129135E-2</v>
      </c>
      <c r="AD85" s="39">
        <f>Weather!E217</f>
        <v>621</v>
      </c>
      <c r="AE85" s="39">
        <f>Weather!F217</f>
        <v>0</v>
      </c>
      <c r="AF85" s="39">
        <f>Weather!G217</f>
        <v>559</v>
      </c>
      <c r="AG85" s="39">
        <f>Weather!H217</f>
        <v>0</v>
      </c>
      <c r="AH85" s="39">
        <f>Weather!I217</f>
        <v>497</v>
      </c>
      <c r="AI85" s="39">
        <f>Weather!J217</f>
        <v>0</v>
      </c>
      <c r="AJ85" s="39">
        <f>Weather!K217</f>
        <v>435.00000000000006</v>
      </c>
      <c r="AK85" s="39">
        <f>Weather!L217</f>
        <v>0</v>
      </c>
      <c r="AL85" s="39">
        <f>Weather!M217</f>
        <v>373</v>
      </c>
      <c r="AM85" s="39">
        <f>Weather!N217</f>
        <v>0</v>
      </c>
      <c r="AN85" s="39">
        <f>Weather!O217</f>
        <v>311</v>
      </c>
      <c r="AO85" s="39">
        <f>Weather!P217</f>
        <v>0</v>
      </c>
      <c r="AP85" s="39">
        <f>Weather!Q217</f>
        <v>249</v>
      </c>
      <c r="AQ85" s="39">
        <f>Weather!R217</f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 s="201">
        <v>1</v>
      </c>
      <c r="BD85" s="201">
        <v>0</v>
      </c>
      <c r="BE85" s="201">
        <v>0</v>
      </c>
      <c r="BF85" s="201">
        <v>0</v>
      </c>
      <c r="BG85" s="202">
        <f t="shared" si="20"/>
        <v>84</v>
      </c>
      <c r="BH85" s="201">
        <v>31</v>
      </c>
      <c r="BI85" s="201">
        <v>20</v>
      </c>
      <c r="BJ85" s="160">
        <f t="shared" si="21"/>
        <v>730.23944102565383</v>
      </c>
      <c r="BK85" s="160">
        <f t="shared" si="22"/>
        <v>23.556111000827542</v>
      </c>
      <c r="BL85" s="159">
        <f t="shared" si="23"/>
        <v>1421681.9672329447</v>
      </c>
      <c r="BM85" s="160">
        <f t="shared" si="24"/>
        <v>2849.5343220624363</v>
      </c>
      <c r="BN85" s="160">
        <f t="shared" si="25"/>
        <v>91.920462002014077</v>
      </c>
      <c r="BO85" s="160">
        <f t="shared" si="26"/>
        <v>486902.68722466857</v>
      </c>
      <c r="BP85" s="160">
        <f t="shared" si="27"/>
        <v>74128.203138948884</v>
      </c>
      <c r="BQ85" s="160">
        <f t="shared" si="28"/>
        <v>2391.2323593209317</v>
      </c>
      <c r="BR85" s="160">
        <f t="shared" si="29"/>
        <v>3706.4101569474442</v>
      </c>
      <c r="BS85" s="160">
        <f t="shared" si="30"/>
        <v>2477316.7242564852</v>
      </c>
      <c r="BT85" s="160">
        <f t="shared" si="31"/>
        <v>3839840.9225975522</v>
      </c>
    </row>
    <row r="86" spans="1:72" x14ac:dyDescent="0.2">
      <c r="A86" s="204">
        <v>42736</v>
      </c>
      <c r="B86" s="205">
        <f t="shared" si="16"/>
        <v>2017</v>
      </c>
      <c r="C86" s="203">
        <v>43117838</v>
      </c>
      <c r="D86" s="203">
        <f>VLOOKUP(B86,CDM!$I$5:$N$15,2,FALSE)/12</f>
        <v>2395541.4291725992</v>
      </c>
      <c r="E86" s="203">
        <f t="shared" si="17"/>
        <v>45513379.429172598</v>
      </c>
      <c r="F86" s="208">
        <v>60357</v>
      </c>
      <c r="G86" s="210">
        <v>15042631</v>
      </c>
      <c r="H86" s="208">
        <v>5303</v>
      </c>
      <c r="I86" s="203">
        <f>VLOOKUP(B86,CDM!$I$5:$N$15,3,FALSE)/12</f>
        <v>805991.71630048659</v>
      </c>
      <c r="J86" s="203">
        <f t="shared" si="18"/>
        <v>15848622.716300488</v>
      </c>
      <c r="K86" s="210">
        <v>76397192</v>
      </c>
      <c r="L86" s="203">
        <f>VLOOKUP(B86,CDM!$I$5:$N$15,4,FALSE)/12</f>
        <v>3381552.6664580223</v>
      </c>
      <c r="M86" s="87">
        <f t="shared" si="19"/>
        <v>79778744.666458026</v>
      </c>
      <c r="N86" s="206">
        <v>189110</v>
      </c>
      <c r="O86" s="208">
        <v>1035</v>
      </c>
      <c r="P86" s="211">
        <v>1188321.3999999999</v>
      </c>
      <c r="Q86" s="211">
        <v>2623.4</v>
      </c>
      <c r="R86" s="208">
        <v>17184</v>
      </c>
      <c r="S86" s="206">
        <v>261189</v>
      </c>
      <c r="T86" s="207">
        <v>24</v>
      </c>
      <c r="U86" s="202">
        <v>562</v>
      </c>
      <c r="V86" s="37">
        <f>'Economic (2020 Adj.)'!C98</f>
        <v>713254.1</v>
      </c>
      <c r="W86" s="37">
        <f>'Economic (2020 Adj.)'!D98</f>
        <v>7045.6</v>
      </c>
      <c r="X86" s="37">
        <f>'Economic (2020 Adj.)'!F98</f>
        <v>3213.3</v>
      </c>
      <c r="Y86" s="37">
        <f>'Economic (2020 Adj.)'!H98</f>
        <v>398.1</v>
      </c>
      <c r="Z86" s="37">
        <f>'Economic (2020 Adj.)'!E98</f>
        <v>7018.6</v>
      </c>
      <c r="AA86" s="37">
        <f>'Economic (2020 Adj.)'!G98</f>
        <v>3203.7</v>
      </c>
      <c r="AB86" s="37">
        <f>'Economic (2020 Adj.)'!I98</f>
        <v>397.6</v>
      </c>
      <c r="AC86" s="39">
        <f>Weather!D218</f>
        <v>-0.34193548387096795</v>
      </c>
      <c r="AD86" s="39">
        <f>Weather!E218</f>
        <v>630.59999999999991</v>
      </c>
      <c r="AE86" s="39">
        <f>Weather!F218</f>
        <v>0</v>
      </c>
      <c r="AF86" s="39">
        <f>Weather!G218</f>
        <v>568.60000000000014</v>
      </c>
      <c r="AG86" s="39">
        <f>Weather!H218</f>
        <v>0</v>
      </c>
      <c r="AH86" s="39">
        <f>Weather!I218</f>
        <v>506.60000000000014</v>
      </c>
      <c r="AI86" s="39">
        <f>Weather!J218</f>
        <v>0</v>
      </c>
      <c r="AJ86" s="39">
        <f>Weather!K218</f>
        <v>444.60000000000008</v>
      </c>
      <c r="AK86" s="39">
        <f>Weather!L218</f>
        <v>0</v>
      </c>
      <c r="AL86" s="39">
        <f>Weather!M218</f>
        <v>382.60000000000008</v>
      </c>
      <c r="AM86" s="39">
        <f>Weather!N218</f>
        <v>0</v>
      </c>
      <c r="AN86" s="39">
        <f>Weather!O218</f>
        <v>320.59999999999997</v>
      </c>
      <c r="AO86" s="39">
        <f>Weather!P218</f>
        <v>0</v>
      </c>
      <c r="AP86" s="39">
        <f>Weather!Q218</f>
        <v>258.59999999999997</v>
      </c>
      <c r="AQ86" s="39">
        <f>Weather!R218</f>
        <v>0</v>
      </c>
      <c r="AR86" s="201">
        <v>1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 s="201">
        <v>0</v>
      </c>
      <c r="BD86" s="201">
        <v>0</v>
      </c>
      <c r="BE86" s="201">
        <v>0</v>
      </c>
      <c r="BF86" s="201">
        <v>0</v>
      </c>
      <c r="BG86" s="202">
        <f t="shared" si="20"/>
        <v>85</v>
      </c>
      <c r="BH86" s="201">
        <v>31</v>
      </c>
      <c r="BI86" s="201">
        <v>22</v>
      </c>
      <c r="BJ86" s="160">
        <f t="shared" si="21"/>
        <v>754.0696096421724</v>
      </c>
      <c r="BK86" s="160">
        <f t="shared" si="22"/>
        <v>24.324826117489433</v>
      </c>
      <c r="BL86" s="159">
        <f t="shared" si="23"/>
        <v>1468173.5299733097</v>
      </c>
      <c r="BM86" s="160">
        <f t="shared" si="24"/>
        <v>2988.6145042995449</v>
      </c>
      <c r="BN86" s="160">
        <f t="shared" si="25"/>
        <v>96.406919493533707</v>
      </c>
      <c r="BO86" s="160">
        <f t="shared" si="26"/>
        <v>511245.89407420927</v>
      </c>
      <c r="BP86" s="160">
        <f t="shared" si="27"/>
        <v>77080.912721215485</v>
      </c>
      <c r="BQ86" s="160">
        <f t="shared" si="28"/>
        <v>2486.4810555230802</v>
      </c>
      <c r="BR86" s="160">
        <f t="shared" si="29"/>
        <v>3503.6778509643405</v>
      </c>
      <c r="BS86" s="160">
        <f t="shared" si="30"/>
        <v>2573507.8924663877</v>
      </c>
      <c r="BT86" s="160">
        <f t="shared" si="31"/>
        <v>3626306.575748092</v>
      </c>
    </row>
    <row r="87" spans="1:72" x14ac:dyDescent="0.2">
      <c r="A87" s="204">
        <v>42767</v>
      </c>
      <c r="B87" s="205">
        <f t="shared" si="16"/>
        <v>2017</v>
      </c>
      <c r="C87" s="203">
        <v>36607845</v>
      </c>
      <c r="D87" s="203">
        <f>VLOOKUP(B87,CDM!$I$5:$N$15,2,FALSE)/12</f>
        <v>2395541.4291725992</v>
      </c>
      <c r="E87" s="203">
        <f t="shared" si="17"/>
        <v>39003386.429172598</v>
      </c>
      <c r="F87" s="206">
        <v>60440</v>
      </c>
      <c r="G87" s="210">
        <v>13349253</v>
      </c>
      <c r="H87" s="206">
        <v>5341</v>
      </c>
      <c r="I87" s="203">
        <f>VLOOKUP(B87,CDM!$I$5:$N$15,3,FALSE)/12</f>
        <v>805991.71630048659</v>
      </c>
      <c r="J87" s="203">
        <f t="shared" si="18"/>
        <v>14155244.716300488</v>
      </c>
      <c r="K87" s="210">
        <v>68237493</v>
      </c>
      <c r="L87" s="203">
        <f>VLOOKUP(B87,CDM!$I$5:$N$15,4,FALSE)/12</f>
        <v>3381552.6664580223</v>
      </c>
      <c r="M87" s="87">
        <f t="shared" si="19"/>
        <v>71619045.666458026</v>
      </c>
      <c r="N87" s="206">
        <v>187278</v>
      </c>
      <c r="O87" s="206">
        <v>999</v>
      </c>
      <c r="P87" s="211">
        <v>990953.3</v>
      </c>
      <c r="Q87" s="211">
        <v>2623.4</v>
      </c>
      <c r="R87" s="208">
        <v>17184</v>
      </c>
      <c r="S87" s="206">
        <v>260089</v>
      </c>
      <c r="T87" s="207">
        <v>24</v>
      </c>
      <c r="U87" s="202">
        <v>562</v>
      </c>
      <c r="V87" s="37">
        <f>'Economic (2020 Adj.)'!C99</f>
        <v>713254.1</v>
      </c>
      <c r="W87" s="37">
        <f>'Economic (2020 Adj.)'!D99</f>
        <v>7060.7</v>
      </c>
      <c r="X87" s="37">
        <f>'Economic (2020 Adj.)'!F99</f>
        <v>3230.3</v>
      </c>
      <c r="Y87" s="37">
        <f>'Economic (2020 Adj.)'!H99</f>
        <v>398.6</v>
      </c>
      <c r="Z87" s="37">
        <f>'Economic (2020 Adj.)'!E99</f>
        <v>6996</v>
      </c>
      <c r="AA87" s="37">
        <f>'Economic (2020 Adj.)'!G99</f>
        <v>3206.5</v>
      </c>
      <c r="AB87" s="37">
        <f>'Economic (2020 Adj.)'!I99</f>
        <v>396.1</v>
      </c>
      <c r="AC87" s="39">
        <f>Weather!D219</f>
        <v>1.1714285714285715</v>
      </c>
      <c r="AD87" s="39">
        <f>Weather!E219</f>
        <v>527.19999999999982</v>
      </c>
      <c r="AE87" s="39">
        <f>Weather!F219</f>
        <v>0</v>
      </c>
      <c r="AF87" s="39">
        <f>Weather!G219</f>
        <v>471.19999999999987</v>
      </c>
      <c r="AG87" s="39">
        <f>Weather!H219</f>
        <v>0</v>
      </c>
      <c r="AH87" s="39">
        <f>Weather!I219</f>
        <v>415.19999999999987</v>
      </c>
      <c r="AI87" s="39">
        <f>Weather!J219</f>
        <v>0</v>
      </c>
      <c r="AJ87" s="39">
        <f>Weather!K219</f>
        <v>359.19999999999993</v>
      </c>
      <c r="AK87" s="39">
        <f>Weather!L219</f>
        <v>0</v>
      </c>
      <c r="AL87" s="39">
        <f>Weather!M219</f>
        <v>303.19999999999993</v>
      </c>
      <c r="AM87" s="39">
        <f>Weather!N219</f>
        <v>0</v>
      </c>
      <c r="AN87" s="39">
        <f>Weather!O219</f>
        <v>247.7</v>
      </c>
      <c r="AO87" s="39">
        <f>Weather!P219</f>
        <v>0.5</v>
      </c>
      <c r="AP87" s="39">
        <f>Weather!Q219</f>
        <v>193.8</v>
      </c>
      <c r="AQ87" s="39">
        <f>Weather!R219</f>
        <v>2.5999999999999996</v>
      </c>
      <c r="AR87" s="201">
        <v>0</v>
      </c>
      <c r="AS87" s="201">
        <v>1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 s="201">
        <v>0</v>
      </c>
      <c r="BD87" s="201">
        <v>0</v>
      </c>
      <c r="BE87" s="201">
        <v>0</v>
      </c>
      <c r="BF87" s="201">
        <v>0</v>
      </c>
      <c r="BG87" s="202">
        <f t="shared" si="20"/>
        <v>86</v>
      </c>
      <c r="BH87" s="201">
        <v>28</v>
      </c>
      <c r="BI87" s="201">
        <v>19</v>
      </c>
      <c r="BJ87" s="160">
        <f t="shared" si="21"/>
        <v>645.32406401675382</v>
      </c>
      <c r="BK87" s="160">
        <f t="shared" si="22"/>
        <v>23.04728800059835</v>
      </c>
      <c r="BL87" s="159">
        <f t="shared" si="23"/>
        <v>1392978.0867561642</v>
      </c>
      <c r="BM87" s="160">
        <f t="shared" si="24"/>
        <v>2650.2985800974511</v>
      </c>
      <c r="BN87" s="160">
        <f t="shared" si="25"/>
        <v>94.653520717766114</v>
      </c>
      <c r="BO87" s="160">
        <f t="shared" si="26"/>
        <v>505544.45415358886</v>
      </c>
      <c r="BP87" s="160">
        <f t="shared" si="27"/>
        <v>71690.736402860886</v>
      </c>
      <c r="BQ87" s="160">
        <f t="shared" si="28"/>
        <v>2560.3834429593176</v>
      </c>
      <c r="BR87" s="160">
        <f t="shared" si="29"/>
        <v>3773.1966527821519</v>
      </c>
      <c r="BS87" s="160">
        <f t="shared" si="30"/>
        <v>2557823.0595163582</v>
      </c>
      <c r="BT87" s="160">
        <f t="shared" si="31"/>
        <v>3769423.4561293698</v>
      </c>
    </row>
    <row r="88" spans="1:72" x14ac:dyDescent="0.2">
      <c r="A88" s="204">
        <v>42795</v>
      </c>
      <c r="B88" s="205">
        <f t="shared" si="16"/>
        <v>2017</v>
      </c>
      <c r="C88" s="203">
        <v>38263912</v>
      </c>
      <c r="D88" s="203">
        <f>VLOOKUP(B88,CDM!$I$5:$N$15,2,FALSE)/12</f>
        <v>2395541.4291725992</v>
      </c>
      <c r="E88" s="203">
        <f t="shared" si="17"/>
        <v>40659453.429172598</v>
      </c>
      <c r="F88" s="208">
        <v>60475</v>
      </c>
      <c r="G88" s="210">
        <v>14302608</v>
      </c>
      <c r="H88" s="208">
        <v>5342</v>
      </c>
      <c r="I88" s="203">
        <f>VLOOKUP(B88,CDM!$I$5:$N$15,3,FALSE)/12</f>
        <v>805991.71630048659</v>
      </c>
      <c r="J88" s="203">
        <f t="shared" si="18"/>
        <v>15108599.716300488</v>
      </c>
      <c r="K88" s="210">
        <v>75471623</v>
      </c>
      <c r="L88" s="203">
        <f>VLOOKUP(B88,CDM!$I$5:$N$15,4,FALSE)/12</f>
        <v>3381552.6664580223</v>
      </c>
      <c r="M88" s="87">
        <f t="shared" si="19"/>
        <v>78853175.666458026</v>
      </c>
      <c r="N88" s="206">
        <v>182686</v>
      </c>
      <c r="O88" s="208">
        <v>1000</v>
      </c>
      <c r="P88" s="211">
        <v>977923.9</v>
      </c>
      <c r="Q88" s="211">
        <v>2623.4</v>
      </c>
      <c r="R88" s="206">
        <v>17184</v>
      </c>
      <c r="S88" s="206">
        <v>261919</v>
      </c>
      <c r="T88" s="207">
        <v>24</v>
      </c>
      <c r="U88" s="202">
        <v>562</v>
      </c>
      <c r="V88" s="37">
        <f>'Economic (2020 Adj.)'!C100</f>
        <v>713254.1</v>
      </c>
      <c r="W88" s="37">
        <f>'Economic (2020 Adj.)'!D100</f>
        <v>7074.2</v>
      </c>
      <c r="X88" s="37">
        <f>'Economic (2020 Adj.)'!F100</f>
        <v>3247.6</v>
      </c>
      <c r="Y88" s="37">
        <f>'Economic (2020 Adj.)'!H100</f>
        <v>402</v>
      </c>
      <c r="Z88" s="37">
        <f>'Economic (2020 Adj.)'!E100</f>
        <v>6972</v>
      </c>
      <c r="AA88" s="37">
        <f>'Economic (2020 Adj.)'!G100</f>
        <v>3204.7</v>
      </c>
      <c r="AB88" s="37">
        <f>'Economic (2020 Adj.)'!I100</f>
        <v>396.5</v>
      </c>
      <c r="AC88" s="39">
        <f>Weather!D220</f>
        <v>0.54193548387096779</v>
      </c>
      <c r="AD88" s="39">
        <f>Weather!E220</f>
        <v>603.20000000000005</v>
      </c>
      <c r="AE88" s="39">
        <f>Weather!F220</f>
        <v>0</v>
      </c>
      <c r="AF88" s="39">
        <f>Weather!G220</f>
        <v>541.20000000000005</v>
      </c>
      <c r="AG88" s="39">
        <f>Weather!H220</f>
        <v>0</v>
      </c>
      <c r="AH88" s="39">
        <f>Weather!I220</f>
        <v>479.2</v>
      </c>
      <c r="AI88" s="39">
        <f>Weather!J220</f>
        <v>0</v>
      </c>
      <c r="AJ88" s="39">
        <f>Weather!K220</f>
        <v>417.20000000000005</v>
      </c>
      <c r="AK88" s="39">
        <f>Weather!L220</f>
        <v>0</v>
      </c>
      <c r="AL88" s="39">
        <f>Weather!M220</f>
        <v>355.20000000000005</v>
      </c>
      <c r="AM88" s="39">
        <f>Weather!N220</f>
        <v>0</v>
      </c>
      <c r="AN88" s="39">
        <f>Weather!O220</f>
        <v>293.40000000000003</v>
      </c>
      <c r="AO88" s="39">
        <f>Weather!P220</f>
        <v>0.19999999999999929</v>
      </c>
      <c r="AP88" s="39">
        <f>Weather!Q220</f>
        <v>234.70000000000002</v>
      </c>
      <c r="AQ88" s="39">
        <f>Weather!R220</f>
        <v>3.4999999999999982</v>
      </c>
      <c r="AR88" s="201">
        <v>0</v>
      </c>
      <c r="AS88" s="201">
        <v>0</v>
      </c>
      <c r="AT88" s="201">
        <v>1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 s="201">
        <v>0</v>
      </c>
      <c r="BD88" s="201">
        <v>1</v>
      </c>
      <c r="BE88" s="201">
        <v>0</v>
      </c>
      <c r="BF88" s="201">
        <v>1</v>
      </c>
      <c r="BG88" s="202">
        <f t="shared" si="20"/>
        <v>87</v>
      </c>
      <c r="BH88" s="201">
        <v>31</v>
      </c>
      <c r="BI88" s="201">
        <v>23</v>
      </c>
      <c r="BJ88" s="160">
        <f t="shared" si="21"/>
        <v>672.33490581517322</v>
      </c>
      <c r="BK88" s="160">
        <f t="shared" si="22"/>
        <v>21.688222768231395</v>
      </c>
      <c r="BL88" s="159">
        <f t="shared" si="23"/>
        <v>1311595.2719087934</v>
      </c>
      <c r="BM88" s="160">
        <f t="shared" si="24"/>
        <v>2828.266513721544</v>
      </c>
      <c r="BN88" s="160">
        <f t="shared" si="25"/>
        <v>91.234403668436897</v>
      </c>
      <c r="BO88" s="160">
        <f t="shared" si="26"/>
        <v>487374.18439678993</v>
      </c>
      <c r="BP88" s="160">
        <f t="shared" si="27"/>
        <v>78853.175666458032</v>
      </c>
      <c r="BQ88" s="160">
        <f t="shared" si="28"/>
        <v>2543.6508279502591</v>
      </c>
      <c r="BR88" s="160">
        <f t="shared" si="29"/>
        <v>3428.3989420199146</v>
      </c>
      <c r="BS88" s="160">
        <f t="shared" si="30"/>
        <v>2543650.8279502587</v>
      </c>
      <c r="BT88" s="160">
        <f t="shared" si="31"/>
        <v>3428398.9420199143</v>
      </c>
    </row>
    <row r="89" spans="1:72" x14ac:dyDescent="0.2">
      <c r="A89" s="204">
        <v>42826</v>
      </c>
      <c r="B89" s="205">
        <f t="shared" si="16"/>
        <v>2017</v>
      </c>
      <c r="C89" s="203">
        <v>33970409</v>
      </c>
      <c r="D89" s="203">
        <f>VLOOKUP(B89,CDM!$I$5:$N$15,2,FALSE)/12</f>
        <v>2395541.4291725992</v>
      </c>
      <c r="E89" s="203">
        <f t="shared" si="17"/>
        <v>36365950.429172598</v>
      </c>
      <c r="F89" s="208">
        <v>60471</v>
      </c>
      <c r="G89" s="210">
        <v>12843245</v>
      </c>
      <c r="H89" s="208">
        <v>5344</v>
      </c>
      <c r="I89" s="203">
        <f>VLOOKUP(B89,CDM!$I$5:$N$15,3,FALSE)/12</f>
        <v>805991.71630048659</v>
      </c>
      <c r="J89" s="203">
        <f t="shared" si="18"/>
        <v>13649236.716300488</v>
      </c>
      <c r="K89" s="210">
        <v>68114633</v>
      </c>
      <c r="L89" s="203">
        <f>VLOOKUP(B89,CDM!$I$5:$N$15,4,FALSE)/12</f>
        <v>3381552.6664580223</v>
      </c>
      <c r="M89" s="87">
        <f t="shared" si="19"/>
        <v>71496185.666458026</v>
      </c>
      <c r="N89" s="206">
        <v>189895</v>
      </c>
      <c r="O89" s="208">
        <v>1000</v>
      </c>
      <c r="P89" s="211">
        <v>829657.1</v>
      </c>
      <c r="Q89" s="211">
        <v>2623.4</v>
      </c>
      <c r="R89" s="208">
        <v>17184</v>
      </c>
      <c r="S89" s="206">
        <v>259900</v>
      </c>
      <c r="T89" s="207">
        <v>24</v>
      </c>
      <c r="U89" s="202">
        <v>562</v>
      </c>
      <c r="V89" s="37">
        <f>'Economic (2020 Adj.)'!C101</f>
        <v>713254.1</v>
      </c>
      <c r="W89" s="37">
        <f>'Economic (2020 Adj.)'!D101</f>
        <v>7074.8</v>
      </c>
      <c r="X89" s="37">
        <f>'Economic (2020 Adj.)'!F101</f>
        <v>3257.7</v>
      </c>
      <c r="Y89" s="37">
        <f>'Economic (2020 Adj.)'!H101</f>
        <v>411</v>
      </c>
      <c r="Z89" s="37">
        <f>'Economic (2020 Adj.)'!E101</f>
        <v>6982.8</v>
      </c>
      <c r="AA89" s="37">
        <f>'Economic (2020 Adj.)'!G101</f>
        <v>3222.4</v>
      </c>
      <c r="AB89" s="37">
        <f>'Economic (2020 Adj.)'!I101</f>
        <v>406.8</v>
      </c>
      <c r="AC89" s="39">
        <f>Weather!D221</f>
        <v>8.9300000000000015</v>
      </c>
      <c r="AD89" s="39">
        <f>Weather!E221</f>
        <v>332.09999999999991</v>
      </c>
      <c r="AE89" s="39">
        <f>Weather!F221</f>
        <v>0</v>
      </c>
      <c r="AF89" s="39">
        <f>Weather!G221</f>
        <v>272.09999999999997</v>
      </c>
      <c r="AG89" s="39">
        <f>Weather!H221</f>
        <v>0</v>
      </c>
      <c r="AH89" s="39">
        <f>Weather!I221</f>
        <v>213</v>
      </c>
      <c r="AI89" s="39">
        <f>Weather!J221</f>
        <v>0.89999999999999858</v>
      </c>
      <c r="AJ89" s="39">
        <f>Weather!K221</f>
        <v>156.79999999999998</v>
      </c>
      <c r="AK89" s="39">
        <f>Weather!L221</f>
        <v>4.6999999999999993</v>
      </c>
      <c r="AL89" s="39">
        <f>Weather!M221</f>
        <v>107.10000000000002</v>
      </c>
      <c r="AM89" s="39">
        <f>Weather!N221</f>
        <v>15</v>
      </c>
      <c r="AN89" s="39">
        <f>Weather!O221</f>
        <v>65.800000000000011</v>
      </c>
      <c r="AO89" s="39">
        <f>Weather!P221</f>
        <v>33.700000000000003</v>
      </c>
      <c r="AP89" s="39">
        <f>Weather!Q221</f>
        <v>29.499999999999996</v>
      </c>
      <c r="AQ89" s="39">
        <f>Weather!R221</f>
        <v>57.4</v>
      </c>
      <c r="AR89" s="201">
        <v>0</v>
      </c>
      <c r="AS89" s="201">
        <v>0</v>
      </c>
      <c r="AT89" s="201">
        <v>0</v>
      </c>
      <c r="AU89" s="201">
        <v>1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 s="201">
        <v>0</v>
      </c>
      <c r="BD89" s="201">
        <v>1</v>
      </c>
      <c r="BE89" s="201">
        <v>0</v>
      </c>
      <c r="BF89" s="201">
        <v>1</v>
      </c>
      <c r="BG89" s="202">
        <f t="shared" si="20"/>
        <v>88</v>
      </c>
      <c r="BH89" s="201">
        <v>30</v>
      </c>
      <c r="BI89" s="201">
        <v>19</v>
      </c>
      <c r="BJ89" s="160">
        <f t="shared" si="21"/>
        <v>601.37835374266342</v>
      </c>
      <c r="BK89" s="160">
        <f t="shared" si="22"/>
        <v>20.045945124755448</v>
      </c>
      <c r="BL89" s="159">
        <f t="shared" si="23"/>
        <v>1212198.3476390867</v>
      </c>
      <c r="BM89" s="160">
        <f t="shared" si="24"/>
        <v>2554.1236370322767</v>
      </c>
      <c r="BN89" s="160">
        <f t="shared" si="25"/>
        <v>85.137454567742552</v>
      </c>
      <c r="BO89" s="160">
        <f t="shared" si="26"/>
        <v>454974.55721001624</v>
      </c>
      <c r="BP89" s="160">
        <f t="shared" si="27"/>
        <v>71496.185666458026</v>
      </c>
      <c r="BQ89" s="160">
        <f t="shared" si="28"/>
        <v>2383.2061888819344</v>
      </c>
      <c r="BR89" s="160">
        <f t="shared" si="29"/>
        <v>3762.9571403398963</v>
      </c>
      <c r="BS89" s="160">
        <f t="shared" si="30"/>
        <v>2383206.1888819342</v>
      </c>
      <c r="BT89" s="160">
        <f t="shared" si="31"/>
        <v>3762957.1403398961</v>
      </c>
    </row>
    <row r="90" spans="1:72" x14ac:dyDescent="0.2">
      <c r="A90" s="204">
        <v>42856</v>
      </c>
      <c r="B90" s="205">
        <f t="shared" si="16"/>
        <v>2017</v>
      </c>
      <c r="C90" s="203">
        <v>36857170</v>
      </c>
      <c r="D90" s="203">
        <f>VLOOKUP(B90,CDM!$I$5:$N$15,2,FALSE)/12</f>
        <v>2395541.4291725992</v>
      </c>
      <c r="E90" s="203">
        <f t="shared" si="17"/>
        <v>39252711.429172598</v>
      </c>
      <c r="F90" s="206">
        <v>60529</v>
      </c>
      <c r="G90" s="210">
        <v>13045355</v>
      </c>
      <c r="H90" s="206">
        <v>5341</v>
      </c>
      <c r="I90" s="203">
        <f>VLOOKUP(B90,CDM!$I$5:$N$15,3,FALSE)/12</f>
        <v>805991.71630048659</v>
      </c>
      <c r="J90" s="203">
        <f t="shared" si="18"/>
        <v>13851346.716300488</v>
      </c>
      <c r="K90" s="210">
        <v>72074085</v>
      </c>
      <c r="L90" s="203">
        <f>VLOOKUP(B90,CDM!$I$5:$N$15,4,FALSE)/12</f>
        <v>3381552.6664580223</v>
      </c>
      <c r="M90" s="87">
        <f t="shared" si="19"/>
        <v>75455637.666458026</v>
      </c>
      <c r="N90" s="206">
        <v>187094</v>
      </c>
      <c r="O90" s="206">
        <v>997</v>
      </c>
      <c r="P90" s="211">
        <v>755282.8</v>
      </c>
      <c r="Q90" s="211">
        <v>2623.4</v>
      </c>
      <c r="R90" s="208">
        <v>17184</v>
      </c>
      <c r="S90" s="206">
        <v>260353</v>
      </c>
      <c r="T90" s="207">
        <v>24</v>
      </c>
      <c r="U90" s="202">
        <v>561</v>
      </c>
      <c r="V90" s="37">
        <f>'Economic (2020 Adj.)'!C102</f>
        <v>713254.1</v>
      </c>
      <c r="W90" s="37">
        <f>'Economic (2020 Adj.)'!D102</f>
        <v>7080.7</v>
      </c>
      <c r="X90" s="37">
        <f>'Economic (2020 Adj.)'!F102</f>
        <v>3266.8</v>
      </c>
      <c r="Y90" s="37">
        <f>'Economic (2020 Adj.)'!H102</f>
        <v>416.7</v>
      </c>
      <c r="Z90" s="37">
        <f>'Economic (2020 Adj.)'!E102</f>
        <v>7047.4</v>
      </c>
      <c r="AA90" s="37">
        <f>'Economic (2020 Adj.)'!G102</f>
        <v>3255.9</v>
      </c>
      <c r="AB90" s="37">
        <f>'Economic (2020 Adj.)'!I102</f>
        <v>414.8</v>
      </c>
      <c r="AC90" s="39">
        <f>Weather!D222</f>
        <v>11.783870967741937</v>
      </c>
      <c r="AD90" s="39">
        <f>Weather!E222</f>
        <v>258.59999999999997</v>
      </c>
      <c r="AE90" s="39">
        <f>Weather!F222</f>
        <v>3.8999999999999986</v>
      </c>
      <c r="AF90" s="39">
        <f>Weather!G222</f>
        <v>200.5</v>
      </c>
      <c r="AG90" s="39">
        <f>Weather!H222</f>
        <v>7.7999999999999972</v>
      </c>
      <c r="AH90" s="39">
        <f>Weather!I222</f>
        <v>147.99999999999997</v>
      </c>
      <c r="AI90" s="39">
        <f>Weather!J222</f>
        <v>17.299999999999997</v>
      </c>
      <c r="AJ90" s="39">
        <f>Weather!K222</f>
        <v>98.600000000000009</v>
      </c>
      <c r="AK90" s="39">
        <f>Weather!L222</f>
        <v>29.9</v>
      </c>
      <c r="AL90" s="39">
        <f>Weather!M222</f>
        <v>57.899999999999991</v>
      </c>
      <c r="AM90" s="39">
        <f>Weather!N222</f>
        <v>51.199999999999996</v>
      </c>
      <c r="AN90" s="39">
        <f>Weather!O222</f>
        <v>25.700000000000003</v>
      </c>
      <c r="AO90" s="39">
        <f>Weather!P222</f>
        <v>81</v>
      </c>
      <c r="AP90" s="39">
        <f>Weather!Q222</f>
        <v>6.8000000000000007</v>
      </c>
      <c r="AQ90" s="39">
        <f>Weather!R222</f>
        <v>124.1</v>
      </c>
      <c r="AR90" s="201">
        <v>0</v>
      </c>
      <c r="AS90" s="201">
        <v>0</v>
      </c>
      <c r="AT90" s="201">
        <v>0</v>
      </c>
      <c r="AU90" s="201">
        <v>0</v>
      </c>
      <c r="AV90" s="201">
        <v>1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 s="201">
        <v>0</v>
      </c>
      <c r="BD90" s="201">
        <v>1</v>
      </c>
      <c r="BE90" s="201">
        <v>0</v>
      </c>
      <c r="BF90" s="201">
        <v>1</v>
      </c>
      <c r="BG90" s="202">
        <f t="shared" si="20"/>
        <v>89</v>
      </c>
      <c r="BH90" s="201">
        <v>31</v>
      </c>
      <c r="BI90" s="201">
        <v>22</v>
      </c>
      <c r="BJ90" s="160">
        <f t="shared" si="21"/>
        <v>648.49429908263141</v>
      </c>
      <c r="BK90" s="160">
        <f t="shared" si="22"/>
        <v>20.919170938149399</v>
      </c>
      <c r="BL90" s="159">
        <f t="shared" si="23"/>
        <v>1266216.497715245</v>
      </c>
      <c r="BM90" s="160">
        <f t="shared" si="24"/>
        <v>2593.3994975286441</v>
      </c>
      <c r="BN90" s="160">
        <f t="shared" si="25"/>
        <v>83.658048307375623</v>
      </c>
      <c r="BO90" s="160">
        <f t="shared" si="26"/>
        <v>446817.63600969315</v>
      </c>
      <c r="BP90" s="160">
        <f t="shared" si="27"/>
        <v>75682.685723628907</v>
      </c>
      <c r="BQ90" s="160">
        <f t="shared" si="28"/>
        <v>2441.3769588267392</v>
      </c>
      <c r="BR90" s="160">
        <f t="shared" si="29"/>
        <v>3440.1220783467684</v>
      </c>
      <c r="BS90" s="160">
        <f t="shared" si="30"/>
        <v>2434052.8279502587</v>
      </c>
      <c r="BT90" s="160">
        <f t="shared" si="31"/>
        <v>3429801.7121117283</v>
      </c>
    </row>
    <row r="91" spans="1:72" x14ac:dyDescent="0.2">
      <c r="A91" s="204">
        <v>42887</v>
      </c>
      <c r="B91" s="205">
        <f t="shared" si="16"/>
        <v>2017</v>
      </c>
      <c r="C91" s="203">
        <v>45233408</v>
      </c>
      <c r="D91" s="203">
        <f>VLOOKUP(B91,CDM!$I$5:$N$15,2,FALSE)/12</f>
        <v>2395541.4291725992</v>
      </c>
      <c r="E91" s="203">
        <f t="shared" si="17"/>
        <v>47628949.429172598</v>
      </c>
      <c r="F91" s="208">
        <v>60518</v>
      </c>
      <c r="G91" s="210">
        <v>13634874</v>
      </c>
      <c r="H91" s="208">
        <v>5339</v>
      </c>
      <c r="I91" s="203">
        <f>VLOOKUP(B91,CDM!$I$5:$N$15,3,FALSE)/12</f>
        <v>805991.71630048659</v>
      </c>
      <c r="J91" s="203">
        <f t="shared" si="18"/>
        <v>14440865.716300488</v>
      </c>
      <c r="K91" s="210">
        <v>75251236</v>
      </c>
      <c r="L91" s="203">
        <f>VLOOKUP(B91,CDM!$I$5:$N$15,4,FALSE)/12</f>
        <v>3381552.6664580223</v>
      </c>
      <c r="M91" s="87">
        <f t="shared" si="19"/>
        <v>78632788.666458026</v>
      </c>
      <c r="N91" s="206">
        <v>201444</v>
      </c>
      <c r="O91" s="208">
        <v>1001</v>
      </c>
      <c r="P91" s="211">
        <v>681040</v>
      </c>
      <c r="Q91" s="211">
        <v>2623.4</v>
      </c>
      <c r="R91" s="206">
        <v>17184</v>
      </c>
      <c r="S91" s="206">
        <v>259791</v>
      </c>
      <c r="T91" s="207">
        <v>24</v>
      </c>
      <c r="U91" s="202">
        <v>561</v>
      </c>
      <c r="V91" s="37">
        <f>'Economic (2020 Adj.)'!C103</f>
        <v>713254.1</v>
      </c>
      <c r="W91" s="37">
        <f>'Economic (2020 Adj.)'!D103</f>
        <v>7085.4</v>
      </c>
      <c r="X91" s="37">
        <f>'Economic (2020 Adj.)'!F103</f>
        <v>3268.7</v>
      </c>
      <c r="Y91" s="37">
        <f>'Economic (2020 Adj.)'!H103</f>
        <v>417.8</v>
      </c>
      <c r="Z91" s="37">
        <f>'Economic (2020 Adj.)'!E103</f>
        <v>7129.6</v>
      </c>
      <c r="AA91" s="37">
        <f>'Economic (2020 Adj.)'!G103</f>
        <v>3289.1</v>
      </c>
      <c r="AB91" s="37">
        <f>'Economic (2020 Adj.)'!I103</f>
        <v>419.3</v>
      </c>
      <c r="AC91" s="39">
        <f>Weather!D223</f>
        <v>19.303333333333331</v>
      </c>
      <c r="AD91" s="39">
        <f>Weather!E223</f>
        <v>57.4</v>
      </c>
      <c r="AE91" s="39">
        <f>Weather!F223</f>
        <v>36.5</v>
      </c>
      <c r="AF91" s="39">
        <f>Weather!G223</f>
        <v>29.300000000000004</v>
      </c>
      <c r="AG91" s="39">
        <f>Weather!H223</f>
        <v>68.399999999999991</v>
      </c>
      <c r="AH91" s="39">
        <f>Weather!I223</f>
        <v>8.9000000000000021</v>
      </c>
      <c r="AI91" s="39">
        <f>Weather!J223</f>
        <v>107.99999999999999</v>
      </c>
      <c r="AJ91" s="39">
        <f>Weather!K223</f>
        <v>0</v>
      </c>
      <c r="AK91" s="39">
        <f>Weather!L223</f>
        <v>159.10000000000002</v>
      </c>
      <c r="AL91" s="39">
        <f>Weather!M223</f>
        <v>0</v>
      </c>
      <c r="AM91" s="39">
        <f>Weather!N223</f>
        <v>219.10000000000002</v>
      </c>
      <c r="AN91" s="39">
        <f>Weather!O223</f>
        <v>0</v>
      </c>
      <c r="AO91" s="39">
        <f>Weather!P223</f>
        <v>279.10000000000002</v>
      </c>
      <c r="AP91" s="39">
        <f>Weather!Q223</f>
        <v>0</v>
      </c>
      <c r="AQ91" s="39">
        <f>Weather!R223</f>
        <v>339.09999999999997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1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 s="201">
        <v>0</v>
      </c>
      <c r="BD91" s="201">
        <v>0</v>
      </c>
      <c r="BE91" s="201">
        <v>0</v>
      </c>
      <c r="BF91" s="201">
        <v>0</v>
      </c>
      <c r="BG91" s="202">
        <f t="shared" si="20"/>
        <v>90</v>
      </c>
      <c r="BH91" s="201">
        <v>30</v>
      </c>
      <c r="BI91" s="201">
        <v>22</v>
      </c>
      <c r="BJ91" s="160">
        <f t="shared" si="21"/>
        <v>787.02120739569386</v>
      </c>
      <c r="BK91" s="160">
        <f t="shared" si="22"/>
        <v>26.234040246523129</v>
      </c>
      <c r="BL91" s="159">
        <f t="shared" si="23"/>
        <v>1587631.6476390867</v>
      </c>
      <c r="BM91" s="160">
        <f t="shared" si="24"/>
        <v>2704.7884840420465</v>
      </c>
      <c r="BN91" s="160">
        <f t="shared" si="25"/>
        <v>90.15961613473489</v>
      </c>
      <c r="BO91" s="160">
        <f t="shared" si="26"/>
        <v>481362.1905433496</v>
      </c>
      <c r="BP91" s="160">
        <f t="shared" si="27"/>
        <v>78554.234432026002</v>
      </c>
      <c r="BQ91" s="160">
        <f t="shared" si="28"/>
        <v>2618.4744810675334</v>
      </c>
      <c r="BR91" s="160">
        <f t="shared" si="29"/>
        <v>3570.6470196375453</v>
      </c>
      <c r="BS91" s="160">
        <f t="shared" si="30"/>
        <v>2621092.9555486008</v>
      </c>
      <c r="BT91" s="160">
        <f t="shared" si="31"/>
        <v>3574217.6666571829</v>
      </c>
    </row>
    <row r="92" spans="1:72" x14ac:dyDescent="0.2">
      <c r="A92" s="204">
        <v>42917</v>
      </c>
      <c r="B92" s="205">
        <f t="shared" si="16"/>
        <v>2017</v>
      </c>
      <c r="C92" s="203">
        <v>53399843</v>
      </c>
      <c r="D92" s="203">
        <f>VLOOKUP(B92,CDM!$I$5:$N$15,2,FALSE)/12</f>
        <v>2395541.4291725992</v>
      </c>
      <c r="E92" s="203">
        <f t="shared" si="17"/>
        <v>55795384.429172598</v>
      </c>
      <c r="F92" s="208">
        <v>60509</v>
      </c>
      <c r="G92" s="210">
        <v>14948502</v>
      </c>
      <c r="H92" s="208">
        <v>5337</v>
      </c>
      <c r="I92" s="203">
        <f>VLOOKUP(B92,CDM!$I$5:$N$15,3,FALSE)/12</f>
        <v>805991.71630048659</v>
      </c>
      <c r="J92" s="203">
        <f t="shared" si="18"/>
        <v>15754493.716300488</v>
      </c>
      <c r="K92" s="210">
        <v>79040629</v>
      </c>
      <c r="L92" s="203">
        <f>VLOOKUP(B92,CDM!$I$5:$N$15,4,FALSE)/12</f>
        <v>3381552.6664580223</v>
      </c>
      <c r="M92" s="87">
        <f t="shared" si="19"/>
        <v>82422181.666458026</v>
      </c>
      <c r="N92" s="206">
        <v>210283</v>
      </c>
      <c r="O92" s="208">
        <v>1001</v>
      </c>
      <c r="P92" s="211">
        <v>731410</v>
      </c>
      <c r="Q92" s="211">
        <v>2623.4</v>
      </c>
      <c r="R92" s="208">
        <v>17184</v>
      </c>
      <c r="S92" s="206">
        <v>260353</v>
      </c>
      <c r="T92" s="207">
        <v>24</v>
      </c>
      <c r="U92" s="202">
        <v>561</v>
      </c>
      <c r="V92" s="37">
        <f>'Economic (2020 Adj.)'!C104</f>
        <v>713254.1</v>
      </c>
      <c r="W92" s="37">
        <f>'Economic (2020 Adj.)'!D104</f>
        <v>7099.9</v>
      </c>
      <c r="X92" s="37">
        <f>'Economic (2020 Adj.)'!F104</f>
        <v>3270</v>
      </c>
      <c r="Y92" s="37">
        <f>'Economic (2020 Adj.)'!H104</f>
        <v>421.3</v>
      </c>
      <c r="Z92" s="37">
        <f>'Economic (2020 Adj.)'!E104</f>
        <v>7195</v>
      </c>
      <c r="AA92" s="37">
        <f>'Economic (2020 Adj.)'!G104</f>
        <v>3308.7</v>
      </c>
      <c r="AB92" s="37">
        <f>'Economic (2020 Adj.)'!I104</f>
        <v>422.9</v>
      </c>
      <c r="AC92" s="39">
        <f>Weather!D224</f>
        <v>21.661290322580644</v>
      </c>
      <c r="AD92" s="39">
        <f>Weather!E224</f>
        <v>5.3999999999999986</v>
      </c>
      <c r="AE92" s="39">
        <f>Weather!F224</f>
        <v>56.9</v>
      </c>
      <c r="AF92" s="39">
        <f>Weather!G224</f>
        <v>0</v>
      </c>
      <c r="AG92" s="39">
        <f>Weather!H224</f>
        <v>113.49999999999997</v>
      </c>
      <c r="AH92" s="39">
        <f>Weather!I224</f>
        <v>0</v>
      </c>
      <c r="AI92" s="39">
        <f>Weather!J224</f>
        <v>175.5</v>
      </c>
      <c r="AJ92" s="39">
        <f>Weather!K224</f>
        <v>0</v>
      </c>
      <c r="AK92" s="39">
        <f>Weather!L224</f>
        <v>237.5</v>
      </c>
      <c r="AL92" s="39">
        <f>Weather!M224</f>
        <v>0</v>
      </c>
      <c r="AM92" s="39">
        <f>Weather!N224</f>
        <v>299.50000000000006</v>
      </c>
      <c r="AN92" s="39">
        <f>Weather!O224</f>
        <v>0</v>
      </c>
      <c r="AO92" s="39">
        <f>Weather!P224</f>
        <v>361.50000000000011</v>
      </c>
      <c r="AP92" s="39">
        <f>Weather!Q224</f>
        <v>0</v>
      </c>
      <c r="AQ92" s="39">
        <f>Weather!R224</f>
        <v>423.50000000000011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1</v>
      </c>
      <c r="AY92" s="201">
        <v>0</v>
      </c>
      <c r="AZ92" s="201">
        <v>0</v>
      </c>
      <c r="BA92" s="201">
        <v>0</v>
      </c>
      <c r="BB92" s="201">
        <v>0</v>
      </c>
      <c r="BC92" s="201">
        <v>0</v>
      </c>
      <c r="BD92" s="201">
        <v>0</v>
      </c>
      <c r="BE92" s="201">
        <v>0</v>
      </c>
      <c r="BF92" s="201">
        <v>0</v>
      </c>
      <c r="BG92" s="202">
        <f t="shared" si="20"/>
        <v>91</v>
      </c>
      <c r="BH92" s="201">
        <v>31</v>
      </c>
      <c r="BI92" s="201">
        <v>20</v>
      </c>
      <c r="BJ92" s="160">
        <f t="shared" si="21"/>
        <v>922.1005871717033</v>
      </c>
      <c r="BK92" s="160">
        <f t="shared" si="22"/>
        <v>29.745180231345266</v>
      </c>
      <c r="BL92" s="159">
        <f t="shared" si="23"/>
        <v>1799851.1106184709</v>
      </c>
      <c r="BM92" s="160">
        <f t="shared" si="24"/>
        <v>2951.9381143527239</v>
      </c>
      <c r="BN92" s="160">
        <f t="shared" si="25"/>
        <v>95.22381014041045</v>
      </c>
      <c r="BO92" s="160">
        <f t="shared" si="26"/>
        <v>508209.47471937054</v>
      </c>
      <c r="BP92" s="160">
        <f t="shared" si="27"/>
        <v>82339.841824633389</v>
      </c>
      <c r="BQ92" s="160">
        <f t="shared" si="28"/>
        <v>2656.1239298268833</v>
      </c>
      <c r="BR92" s="160">
        <f t="shared" si="29"/>
        <v>4116.9920912316693</v>
      </c>
      <c r="BS92" s="160">
        <f t="shared" si="30"/>
        <v>2658780.0537567106</v>
      </c>
      <c r="BT92" s="160">
        <f t="shared" si="31"/>
        <v>4121109.0833229013</v>
      </c>
    </row>
    <row r="93" spans="1:72" x14ac:dyDescent="0.2">
      <c r="A93" s="204">
        <v>42948</v>
      </c>
      <c r="B93" s="205">
        <f t="shared" si="16"/>
        <v>2017</v>
      </c>
      <c r="C93" s="203">
        <v>50059809</v>
      </c>
      <c r="D93" s="203">
        <f>VLOOKUP(B93,CDM!$I$5:$N$15,2,FALSE)/12</f>
        <v>2395541.4291725992</v>
      </c>
      <c r="E93" s="203">
        <f t="shared" si="17"/>
        <v>52455350.429172598</v>
      </c>
      <c r="F93" s="206">
        <v>60503</v>
      </c>
      <c r="G93" s="210">
        <v>14562677</v>
      </c>
      <c r="H93" s="206">
        <v>5344</v>
      </c>
      <c r="I93" s="203">
        <f>VLOOKUP(B93,CDM!$I$5:$N$15,3,FALSE)/12</f>
        <v>805991.71630048659</v>
      </c>
      <c r="J93" s="203">
        <f t="shared" si="18"/>
        <v>15368668.716300488</v>
      </c>
      <c r="K93" s="210">
        <v>78939288</v>
      </c>
      <c r="L93" s="203">
        <f>VLOOKUP(B93,CDM!$I$5:$N$15,4,FALSE)/12</f>
        <v>3381552.6664580223</v>
      </c>
      <c r="M93" s="87">
        <f t="shared" si="19"/>
        <v>82320840.666458026</v>
      </c>
      <c r="N93" s="206">
        <v>205394</v>
      </c>
      <c r="O93" s="206">
        <v>1002</v>
      </c>
      <c r="P93" s="211">
        <v>822705</v>
      </c>
      <c r="Q93" s="211">
        <v>2623.4</v>
      </c>
      <c r="R93" s="208">
        <v>17184</v>
      </c>
      <c r="S93" s="206">
        <v>260072</v>
      </c>
      <c r="T93" s="207">
        <v>24</v>
      </c>
      <c r="U93" s="202">
        <v>561</v>
      </c>
      <c r="V93" s="37">
        <f>'Economic (2020 Adj.)'!C105</f>
        <v>713254.1</v>
      </c>
      <c r="W93" s="37">
        <f>'Economic (2020 Adj.)'!D105</f>
        <v>7121.3</v>
      </c>
      <c r="X93" s="37">
        <f>'Economic (2020 Adj.)'!F105</f>
        <v>3278.6</v>
      </c>
      <c r="Y93" s="37">
        <f>'Economic (2020 Adj.)'!H105</f>
        <v>427.8</v>
      </c>
      <c r="Z93" s="37">
        <f>'Economic (2020 Adj.)'!E105</f>
        <v>7213.7</v>
      </c>
      <c r="AA93" s="37">
        <f>'Economic (2020 Adj.)'!G105</f>
        <v>3315.2</v>
      </c>
      <c r="AB93" s="37">
        <f>'Economic (2020 Adj.)'!I105</f>
        <v>429.1</v>
      </c>
      <c r="AC93" s="39">
        <f>Weather!D225</f>
        <v>20.522580645161295</v>
      </c>
      <c r="AD93" s="39">
        <f>Weather!E225</f>
        <v>26.599999999999994</v>
      </c>
      <c r="AE93" s="39">
        <f>Weather!F225</f>
        <v>42.8</v>
      </c>
      <c r="AF93" s="39">
        <f>Weather!G225</f>
        <v>7.1999999999999993</v>
      </c>
      <c r="AG93" s="39">
        <f>Weather!H225</f>
        <v>85.4</v>
      </c>
      <c r="AH93" s="39">
        <f>Weather!I225</f>
        <v>0</v>
      </c>
      <c r="AI93" s="39">
        <f>Weather!J225</f>
        <v>140.19999999999999</v>
      </c>
      <c r="AJ93" s="39">
        <f>Weather!K225</f>
        <v>0</v>
      </c>
      <c r="AK93" s="39">
        <f>Weather!L225</f>
        <v>202.19999999999996</v>
      </c>
      <c r="AL93" s="39">
        <f>Weather!M225</f>
        <v>0</v>
      </c>
      <c r="AM93" s="39">
        <f>Weather!N225</f>
        <v>264.2</v>
      </c>
      <c r="AN93" s="39">
        <f>Weather!O225</f>
        <v>0</v>
      </c>
      <c r="AO93" s="39">
        <f>Weather!P225</f>
        <v>326.2</v>
      </c>
      <c r="AP93" s="39">
        <f>Weather!Q225</f>
        <v>0</v>
      </c>
      <c r="AQ93" s="39">
        <f>Weather!R225</f>
        <v>388.2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1</v>
      </c>
      <c r="AZ93" s="201">
        <v>0</v>
      </c>
      <c r="BA93" s="201">
        <v>0</v>
      </c>
      <c r="BB93" s="201">
        <v>0</v>
      </c>
      <c r="BC93" s="201">
        <v>0</v>
      </c>
      <c r="BD93" s="201">
        <v>0</v>
      </c>
      <c r="BE93" s="201">
        <v>0</v>
      </c>
      <c r="BF93" s="201">
        <v>0</v>
      </c>
      <c r="BG93" s="202">
        <f t="shared" si="20"/>
        <v>92</v>
      </c>
      <c r="BH93" s="201">
        <v>31</v>
      </c>
      <c r="BI93" s="201">
        <v>22</v>
      </c>
      <c r="BJ93" s="160">
        <f t="shared" si="21"/>
        <v>866.98759448577096</v>
      </c>
      <c r="BK93" s="160">
        <f t="shared" si="22"/>
        <v>27.967341757605514</v>
      </c>
      <c r="BL93" s="159">
        <f t="shared" si="23"/>
        <v>1692108.0783604064</v>
      </c>
      <c r="BM93" s="160">
        <f t="shared" si="24"/>
        <v>2875.8736370322767</v>
      </c>
      <c r="BN93" s="160">
        <f t="shared" si="25"/>
        <v>92.770117323621832</v>
      </c>
      <c r="BO93" s="160">
        <f t="shared" si="26"/>
        <v>495763.50697743508</v>
      </c>
      <c r="BP93" s="160">
        <f t="shared" si="27"/>
        <v>82156.52761123555</v>
      </c>
      <c r="BQ93" s="160">
        <f t="shared" si="28"/>
        <v>2650.2105681043727</v>
      </c>
      <c r="BR93" s="160">
        <f t="shared" si="29"/>
        <v>3734.3876186925249</v>
      </c>
      <c r="BS93" s="160">
        <f t="shared" si="30"/>
        <v>2655510.9892405816</v>
      </c>
      <c r="BT93" s="160">
        <f t="shared" si="31"/>
        <v>3741856.3939299104</v>
      </c>
    </row>
    <row r="94" spans="1:72" x14ac:dyDescent="0.2">
      <c r="A94" s="204">
        <v>42979</v>
      </c>
      <c r="B94" s="205">
        <f t="shared" si="16"/>
        <v>2017</v>
      </c>
      <c r="C94" s="203">
        <v>43473772</v>
      </c>
      <c r="D94" s="203">
        <f>VLOOKUP(B94,CDM!$I$5:$N$15,2,FALSE)/12</f>
        <v>2395541.4291725992</v>
      </c>
      <c r="E94" s="203">
        <f t="shared" si="17"/>
        <v>45869313.429172598</v>
      </c>
      <c r="F94" s="208">
        <v>60533</v>
      </c>
      <c r="G94" s="210">
        <v>13593689</v>
      </c>
      <c r="H94" s="208">
        <v>5350</v>
      </c>
      <c r="I94" s="203">
        <f>VLOOKUP(B94,CDM!$I$5:$N$15,3,FALSE)/12</f>
        <v>805991.71630048659</v>
      </c>
      <c r="J94" s="203">
        <f t="shared" si="18"/>
        <v>14399680.716300488</v>
      </c>
      <c r="K94" s="210">
        <v>74885800</v>
      </c>
      <c r="L94" s="203">
        <f>VLOOKUP(B94,CDM!$I$5:$N$15,4,FALSE)/12</f>
        <v>3381552.6664580223</v>
      </c>
      <c r="M94" s="87">
        <f t="shared" si="19"/>
        <v>78267352.666458026</v>
      </c>
      <c r="N94" s="206">
        <v>210407</v>
      </c>
      <c r="O94" s="208">
        <v>1001</v>
      </c>
      <c r="P94" s="211">
        <v>908096.9</v>
      </c>
      <c r="Q94" s="211">
        <v>2623.4</v>
      </c>
      <c r="R94" s="206">
        <v>17184</v>
      </c>
      <c r="S94" s="206">
        <v>260483</v>
      </c>
      <c r="T94" s="207">
        <v>24</v>
      </c>
      <c r="U94" s="202">
        <v>561</v>
      </c>
      <c r="V94" s="37">
        <f>'Economic (2020 Adj.)'!C106</f>
        <v>713254.1</v>
      </c>
      <c r="W94" s="37">
        <f>'Economic (2020 Adj.)'!D106</f>
        <v>7150.1</v>
      </c>
      <c r="X94" s="37">
        <f>'Economic (2020 Adj.)'!F106</f>
        <v>3297.7</v>
      </c>
      <c r="Y94" s="37">
        <f>'Economic (2020 Adj.)'!H106</f>
        <v>432.9</v>
      </c>
      <c r="Z94" s="37">
        <f>'Economic (2020 Adj.)'!E106</f>
        <v>7197</v>
      </c>
      <c r="AA94" s="37">
        <f>'Economic (2020 Adj.)'!G106</f>
        <v>3313.7</v>
      </c>
      <c r="AB94" s="37">
        <f>'Economic (2020 Adj.)'!I106</f>
        <v>432.4</v>
      </c>
      <c r="AC94" s="39">
        <f>Weather!D226</f>
        <v>18.610000000000003</v>
      </c>
      <c r="AD94" s="39">
        <f>Weather!E226</f>
        <v>72.199999999999989</v>
      </c>
      <c r="AE94" s="39">
        <f>Weather!F226</f>
        <v>30.500000000000004</v>
      </c>
      <c r="AF94" s="39">
        <f>Weather!G226</f>
        <v>41.699999999999996</v>
      </c>
      <c r="AG94" s="39">
        <f>Weather!H226</f>
        <v>60</v>
      </c>
      <c r="AH94" s="39">
        <f>Weather!I226</f>
        <v>18.599999999999998</v>
      </c>
      <c r="AI94" s="39">
        <f>Weather!J226</f>
        <v>96.9</v>
      </c>
      <c r="AJ94" s="39">
        <f>Weather!K226</f>
        <v>4.0999999999999996</v>
      </c>
      <c r="AK94" s="39">
        <f>Weather!L226</f>
        <v>142.4</v>
      </c>
      <c r="AL94" s="39">
        <f>Weather!M226</f>
        <v>1</v>
      </c>
      <c r="AM94" s="39">
        <f>Weather!N226</f>
        <v>199.29999999999998</v>
      </c>
      <c r="AN94" s="39">
        <f>Weather!O226</f>
        <v>0</v>
      </c>
      <c r="AO94" s="39">
        <f>Weather!P226</f>
        <v>258.29999999999995</v>
      </c>
      <c r="AP94" s="39">
        <f>Weather!Q226</f>
        <v>0</v>
      </c>
      <c r="AQ94" s="39">
        <f>Weather!R226</f>
        <v>318.3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1</v>
      </c>
      <c r="BA94" s="201">
        <v>0</v>
      </c>
      <c r="BB94" s="201">
        <v>0</v>
      </c>
      <c r="BC94" s="201">
        <v>0</v>
      </c>
      <c r="BD94" s="201">
        <v>0</v>
      </c>
      <c r="BE94" s="201">
        <v>1</v>
      </c>
      <c r="BF94" s="201">
        <v>1</v>
      </c>
      <c r="BG94" s="202">
        <f t="shared" si="20"/>
        <v>93</v>
      </c>
      <c r="BH94" s="201">
        <v>30</v>
      </c>
      <c r="BI94" s="201">
        <v>20</v>
      </c>
      <c r="BJ94" s="160">
        <f t="shared" si="21"/>
        <v>757.75714782304851</v>
      </c>
      <c r="BK94" s="160">
        <f t="shared" si="22"/>
        <v>25.258571594101618</v>
      </c>
      <c r="BL94" s="159">
        <f t="shared" si="23"/>
        <v>1528977.1143057533</v>
      </c>
      <c r="BM94" s="160">
        <f t="shared" si="24"/>
        <v>2691.5291058505586</v>
      </c>
      <c r="BN94" s="160">
        <f t="shared" si="25"/>
        <v>89.717636861685293</v>
      </c>
      <c r="BO94" s="160">
        <f t="shared" si="26"/>
        <v>479989.35721001623</v>
      </c>
      <c r="BP94" s="160">
        <f t="shared" si="27"/>
        <v>78189.163502955067</v>
      </c>
      <c r="BQ94" s="160">
        <f t="shared" si="28"/>
        <v>2606.3054500985022</v>
      </c>
      <c r="BR94" s="160">
        <f t="shared" si="29"/>
        <v>3909.4581751477535</v>
      </c>
      <c r="BS94" s="160">
        <f t="shared" si="30"/>
        <v>2608911.755548601</v>
      </c>
      <c r="BT94" s="160">
        <f t="shared" si="31"/>
        <v>3913367.6333229011</v>
      </c>
    </row>
    <row r="95" spans="1:72" x14ac:dyDescent="0.2">
      <c r="A95" s="204">
        <v>43009</v>
      </c>
      <c r="B95" s="205">
        <f t="shared" si="16"/>
        <v>2017</v>
      </c>
      <c r="C95" s="203">
        <v>38846178</v>
      </c>
      <c r="D95" s="203">
        <f>VLOOKUP(B95,CDM!$I$5:$N$15,2,FALSE)/12</f>
        <v>2395541.4291725992</v>
      </c>
      <c r="E95" s="203">
        <f t="shared" si="17"/>
        <v>41241719.429172598</v>
      </c>
      <c r="F95" s="208">
        <v>60537</v>
      </c>
      <c r="G95" s="210">
        <v>13303779</v>
      </c>
      <c r="H95" s="208">
        <v>5350</v>
      </c>
      <c r="I95" s="203">
        <f>VLOOKUP(B95,CDM!$I$5:$N$15,3,FALSE)/12</f>
        <v>805991.71630048659</v>
      </c>
      <c r="J95" s="203">
        <f t="shared" si="18"/>
        <v>14109770.716300488</v>
      </c>
      <c r="K95" s="210">
        <v>73030053</v>
      </c>
      <c r="L95" s="203">
        <f>VLOOKUP(B95,CDM!$I$5:$N$15,4,FALSE)/12</f>
        <v>3381552.6664580223</v>
      </c>
      <c r="M95" s="87">
        <f t="shared" si="19"/>
        <v>76411605.666458026</v>
      </c>
      <c r="N95" s="206">
        <v>214277</v>
      </c>
      <c r="O95" s="208">
        <v>1002</v>
      </c>
      <c r="P95" s="211">
        <v>1058156.8999999999</v>
      </c>
      <c r="Q95" s="211">
        <v>2526</v>
      </c>
      <c r="R95" s="208">
        <v>17184</v>
      </c>
      <c r="S95" s="206">
        <v>261070</v>
      </c>
      <c r="T95" s="207">
        <v>24</v>
      </c>
      <c r="U95" s="202">
        <v>563</v>
      </c>
      <c r="V95" s="37">
        <f>'Economic (2020 Adj.)'!C107</f>
        <v>713254.1</v>
      </c>
      <c r="W95" s="37">
        <f>'Economic (2020 Adj.)'!D107</f>
        <v>7170.5</v>
      </c>
      <c r="X95" s="37">
        <f>'Economic (2020 Adj.)'!F107</f>
        <v>3320.8</v>
      </c>
      <c r="Y95" s="37">
        <f>'Economic (2020 Adj.)'!H107</f>
        <v>430.7</v>
      </c>
      <c r="Z95" s="37">
        <f>'Economic (2020 Adj.)'!E107</f>
        <v>7193.7</v>
      </c>
      <c r="AA95" s="37">
        <f>'Economic (2020 Adj.)'!G107</f>
        <v>3320.5</v>
      </c>
      <c r="AB95" s="37">
        <f>'Economic (2020 Adj.)'!I107</f>
        <v>430.3</v>
      </c>
      <c r="AC95" s="39">
        <f>Weather!D227</f>
        <v>14.658064516129036</v>
      </c>
      <c r="AD95" s="39">
        <f>Weather!E227</f>
        <v>167.79999999999998</v>
      </c>
      <c r="AE95" s="39">
        <f>Weather!F227</f>
        <v>2.1999999999999993</v>
      </c>
      <c r="AF95" s="39">
        <f>Weather!G227</f>
        <v>113.30000000000003</v>
      </c>
      <c r="AG95" s="39">
        <f>Weather!H227</f>
        <v>9.6999999999999993</v>
      </c>
      <c r="AH95" s="39">
        <f>Weather!I227</f>
        <v>75.2</v>
      </c>
      <c r="AI95" s="39">
        <f>Weather!J227</f>
        <v>33.599999999999994</v>
      </c>
      <c r="AJ95" s="39">
        <f>Weather!K227</f>
        <v>47.5</v>
      </c>
      <c r="AK95" s="39">
        <f>Weather!L227</f>
        <v>67.900000000000006</v>
      </c>
      <c r="AL95" s="39">
        <f>Weather!M227</f>
        <v>26.3</v>
      </c>
      <c r="AM95" s="39">
        <f>Weather!N227</f>
        <v>108.7</v>
      </c>
      <c r="AN95" s="39">
        <f>Weather!O227</f>
        <v>12.3</v>
      </c>
      <c r="AO95" s="39">
        <f>Weather!P227</f>
        <v>156.69999999999996</v>
      </c>
      <c r="AP95" s="39">
        <f>Weather!Q227</f>
        <v>2.1000000000000005</v>
      </c>
      <c r="AQ95" s="39">
        <f>Weather!R227</f>
        <v>208.49999999999994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1</v>
      </c>
      <c r="BB95" s="201">
        <v>0</v>
      </c>
      <c r="BC95" s="201">
        <v>0</v>
      </c>
      <c r="BD95" s="201">
        <v>0</v>
      </c>
      <c r="BE95" s="201">
        <v>1</v>
      </c>
      <c r="BF95" s="201">
        <v>1</v>
      </c>
      <c r="BG95" s="202">
        <f t="shared" si="20"/>
        <v>94</v>
      </c>
      <c r="BH95" s="201">
        <v>31</v>
      </c>
      <c r="BI95" s="201">
        <v>21</v>
      </c>
      <c r="BJ95" s="160">
        <f t="shared" si="21"/>
        <v>681.26467167472117</v>
      </c>
      <c r="BK95" s="160">
        <f t="shared" si="22"/>
        <v>21.97627973144262</v>
      </c>
      <c r="BL95" s="159">
        <f t="shared" si="23"/>
        <v>1330378.046102342</v>
      </c>
      <c r="BM95" s="160">
        <f t="shared" si="24"/>
        <v>2637.3403208038294</v>
      </c>
      <c r="BN95" s="160">
        <f t="shared" si="25"/>
        <v>85.075494219478372</v>
      </c>
      <c r="BO95" s="160">
        <f t="shared" si="26"/>
        <v>455153.89407420927</v>
      </c>
      <c r="BP95" s="160">
        <f t="shared" si="27"/>
        <v>76259.087491475075</v>
      </c>
      <c r="BQ95" s="160">
        <f t="shared" si="28"/>
        <v>2459.9705642411313</v>
      </c>
      <c r="BR95" s="160">
        <f t="shared" si="29"/>
        <v>3631.38511864167</v>
      </c>
      <c r="BS95" s="160">
        <f t="shared" si="30"/>
        <v>2464890.5053696139</v>
      </c>
      <c r="BT95" s="160">
        <f t="shared" si="31"/>
        <v>3638647.8888789536</v>
      </c>
    </row>
    <row r="96" spans="1:72" x14ac:dyDescent="0.2">
      <c r="A96" s="204">
        <v>43040</v>
      </c>
      <c r="B96" s="205">
        <f t="shared" si="16"/>
        <v>2017</v>
      </c>
      <c r="C96" s="203">
        <v>36790700</v>
      </c>
      <c r="D96" s="203">
        <f>VLOOKUP(B96,CDM!$I$5:$N$15,2,FALSE)/12</f>
        <v>2395541.4291725992</v>
      </c>
      <c r="E96" s="203">
        <f t="shared" si="17"/>
        <v>39186241.429172598</v>
      </c>
      <c r="F96" s="206">
        <v>60558</v>
      </c>
      <c r="G96" s="210">
        <v>13353063</v>
      </c>
      <c r="H96" s="206">
        <v>5353</v>
      </c>
      <c r="I96" s="203">
        <f>VLOOKUP(B96,CDM!$I$5:$N$15,3,FALSE)/12</f>
        <v>805991.71630048659</v>
      </c>
      <c r="J96" s="203">
        <f t="shared" si="18"/>
        <v>14159054.716300488</v>
      </c>
      <c r="K96" s="210">
        <v>71461391</v>
      </c>
      <c r="L96" s="203">
        <f>VLOOKUP(B96,CDM!$I$5:$N$15,4,FALSE)/12</f>
        <v>3381552.6664580223</v>
      </c>
      <c r="M96" s="87">
        <f t="shared" si="19"/>
        <v>74842943.666458026</v>
      </c>
      <c r="N96" s="206">
        <v>211293</v>
      </c>
      <c r="O96" s="206">
        <v>1003</v>
      </c>
      <c r="P96" s="211">
        <v>1125753.3</v>
      </c>
      <c r="Q96" s="211">
        <v>2285.9</v>
      </c>
      <c r="R96" s="208">
        <v>17184</v>
      </c>
      <c r="S96" s="206">
        <v>260852</v>
      </c>
      <c r="T96" s="207">
        <v>24</v>
      </c>
      <c r="U96" s="202">
        <v>563</v>
      </c>
      <c r="V96" s="37">
        <f>'Economic (2020 Adj.)'!C108</f>
        <v>713254.1</v>
      </c>
      <c r="W96" s="37">
        <f>'Economic (2020 Adj.)'!D108</f>
        <v>7189.6</v>
      </c>
      <c r="X96" s="37">
        <f>'Economic (2020 Adj.)'!F108</f>
        <v>3335.4</v>
      </c>
      <c r="Y96" s="37">
        <f>'Economic (2020 Adj.)'!H108</f>
        <v>426.2</v>
      </c>
      <c r="Z96" s="37">
        <f>'Economic (2020 Adj.)'!E108</f>
        <v>7194.2</v>
      </c>
      <c r="AA96" s="37">
        <f>'Economic (2020 Adj.)'!G108</f>
        <v>3326.2</v>
      </c>
      <c r="AB96" s="37">
        <f>'Economic (2020 Adj.)'!I108</f>
        <v>426.2</v>
      </c>
      <c r="AC96" s="39">
        <f>Weather!D228</f>
        <v>5.0699999999999994</v>
      </c>
      <c r="AD96" s="39">
        <f>Weather!E228</f>
        <v>447.9</v>
      </c>
      <c r="AE96" s="39">
        <f>Weather!F228</f>
        <v>0</v>
      </c>
      <c r="AF96" s="39">
        <f>Weather!G228</f>
        <v>387.89999999999992</v>
      </c>
      <c r="AG96" s="39">
        <f>Weather!H228</f>
        <v>0</v>
      </c>
      <c r="AH96" s="39">
        <f>Weather!I228</f>
        <v>327.9</v>
      </c>
      <c r="AI96" s="39">
        <f>Weather!J228</f>
        <v>0</v>
      </c>
      <c r="AJ96" s="39">
        <f>Weather!K228</f>
        <v>267.89999999999998</v>
      </c>
      <c r="AK96" s="39">
        <f>Weather!L228</f>
        <v>0</v>
      </c>
      <c r="AL96" s="39">
        <f>Weather!M228</f>
        <v>208.10000000000005</v>
      </c>
      <c r="AM96" s="39">
        <f>Weather!N228</f>
        <v>0.19999999999999929</v>
      </c>
      <c r="AN96" s="39">
        <f>Weather!O228</f>
        <v>151.80000000000004</v>
      </c>
      <c r="AO96" s="39">
        <f>Weather!P228</f>
        <v>3.8999999999999986</v>
      </c>
      <c r="AP96" s="39">
        <f>Weather!Q228</f>
        <v>99.000000000000014</v>
      </c>
      <c r="AQ96" s="39">
        <f>Weather!R228</f>
        <v>11.099999999999998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1</v>
      </c>
      <c r="BC96" s="201">
        <v>0</v>
      </c>
      <c r="BD96" s="201">
        <v>0</v>
      </c>
      <c r="BE96" s="201">
        <v>1</v>
      </c>
      <c r="BF96" s="201">
        <v>1</v>
      </c>
      <c r="BG96" s="202">
        <f t="shared" si="20"/>
        <v>95</v>
      </c>
      <c r="BH96" s="201">
        <v>30</v>
      </c>
      <c r="BI96" s="201">
        <v>22</v>
      </c>
      <c r="BJ96" s="160">
        <f t="shared" si="21"/>
        <v>647.0861228767892</v>
      </c>
      <c r="BK96" s="160">
        <f t="shared" si="22"/>
        <v>21.569537429226308</v>
      </c>
      <c r="BL96" s="159">
        <f t="shared" si="23"/>
        <v>1306208.0476390866</v>
      </c>
      <c r="BM96" s="160">
        <f t="shared" si="24"/>
        <v>2645.0690671213315</v>
      </c>
      <c r="BN96" s="160">
        <f t="shared" si="25"/>
        <v>88.168968904044377</v>
      </c>
      <c r="BO96" s="160">
        <f t="shared" si="26"/>
        <v>471968.49054334959</v>
      </c>
      <c r="BP96" s="160">
        <f t="shared" si="27"/>
        <v>74619.086407236318</v>
      </c>
      <c r="BQ96" s="160">
        <f t="shared" si="28"/>
        <v>2487.3028802412105</v>
      </c>
      <c r="BR96" s="160">
        <f t="shared" si="29"/>
        <v>3391.776654874378</v>
      </c>
      <c r="BS96" s="160">
        <f t="shared" si="30"/>
        <v>2494764.7888819342</v>
      </c>
      <c r="BT96" s="160">
        <f t="shared" si="31"/>
        <v>3401951.9848390012</v>
      </c>
    </row>
    <row r="97" spans="1:72" x14ac:dyDescent="0.2">
      <c r="A97" s="204">
        <v>43070</v>
      </c>
      <c r="B97" s="205">
        <f t="shared" si="16"/>
        <v>2017</v>
      </c>
      <c r="C97" s="203">
        <v>44807567</v>
      </c>
      <c r="D97" s="203">
        <f>VLOOKUP(B97,CDM!$I$5:$N$15,2,FALSE)/12</f>
        <v>2395541.4291725992</v>
      </c>
      <c r="E97" s="203">
        <f t="shared" si="17"/>
        <v>47203108.429172598</v>
      </c>
      <c r="F97" s="206">
        <v>60594</v>
      </c>
      <c r="G97" s="206">
        <v>14914509</v>
      </c>
      <c r="H97" s="206">
        <v>5356</v>
      </c>
      <c r="I97" s="203">
        <f>VLOOKUP(B97,CDM!$I$5:$N$15,3,FALSE)/12</f>
        <v>805991.71630048659</v>
      </c>
      <c r="J97" s="203">
        <f t="shared" si="18"/>
        <v>15720500.716300488</v>
      </c>
      <c r="K97" s="206">
        <v>72692802</v>
      </c>
      <c r="L97" s="203">
        <f>VLOOKUP(B97,CDM!$I$5:$N$15,4,FALSE)/12</f>
        <v>3381552.6664580223</v>
      </c>
      <c r="M97" s="87">
        <f t="shared" si="19"/>
        <v>76074354.666458026</v>
      </c>
      <c r="N97" s="206">
        <v>174819</v>
      </c>
      <c r="O97" s="206">
        <v>1003</v>
      </c>
      <c r="P97" s="206">
        <v>1217354.1000000001</v>
      </c>
      <c r="Q97" s="206">
        <v>2029.3</v>
      </c>
      <c r="R97" s="206">
        <v>17184</v>
      </c>
      <c r="S97" s="206">
        <v>264173</v>
      </c>
      <c r="T97" s="202">
        <v>24</v>
      </c>
      <c r="U97" s="202">
        <v>564</v>
      </c>
      <c r="V97" s="37">
        <f>'Economic (2020 Adj.)'!C109</f>
        <v>713254.1</v>
      </c>
      <c r="W97" s="37">
        <f>'Economic (2020 Adj.)'!D109</f>
        <v>7203.1</v>
      </c>
      <c r="X97" s="37">
        <f>'Economic (2020 Adj.)'!F109</f>
        <v>3352.3</v>
      </c>
      <c r="Y97" s="37">
        <f>'Economic (2020 Adj.)'!H109</f>
        <v>421.4</v>
      </c>
      <c r="Z97" s="37">
        <f>'Economic (2020 Adj.)'!E109</f>
        <v>7213.4</v>
      </c>
      <c r="AA97" s="37">
        <f>'Economic (2020 Adj.)'!G109</f>
        <v>3351</v>
      </c>
      <c r="AB97" s="37">
        <f>'Economic (2020 Adj.)'!I109</f>
        <v>423.3</v>
      </c>
      <c r="AC97" s="39">
        <f>Weather!D229</f>
        <v>-2.9419354838709673</v>
      </c>
      <c r="AD97" s="39">
        <f>Weather!E229</f>
        <v>711.20000000000016</v>
      </c>
      <c r="AE97" s="39">
        <f>Weather!F229</f>
        <v>0</v>
      </c>
      <c r="AF97" s="39">
        <f>Weather!G229</f>
        <v>649.20000000000016</v>
      </c>
      <c r="AG97" s="39">
        <f>Weather!H229</f>
        <v>0</v>
      </c>
      <c r="AH97" s="39">
        <f>Weather!I229</f>
        <v>587.20000000000005</v>
      </c>
      <c r="AI97" s="39">
        <f>Weather!J229</f>
        <v>0</v>
      </c>
      <c r="AJ97" s="39">
        <f>Weather!K229</f>
        <v>525.19999999999993</v>
      </c>
      <c r="AK97" s="39">
        <f>Weather!L229</f>
        <v>0</v>
      </c>
      <c r="AL97" s="39">
        <f>Weather!M229</f>
        <v>463.20000000000005</v>
      </c>
      <c r="AM97" s="39">
        <f>Weather!N229</f>
        <v>0</v>
      </c>
      <c r="AN97" s="39">
        <f>Weather!O229</f>
        <v>401.20000000000005</v>
      </c>
      <c r="AO97" s="39">
        <f>Weather!P229</f>
        <v>0</v>
      </c>
      <c r="AP97" s="39">
        <f>Weather!Q229</f>
        <v>339.20000000000005</v>
      </c>
      <c r="AQ97" s="39">
        <f>Weather!R229</f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 s="201">
        <v>1</v>
      </c>
      <c r="BD97" s="201">
        <v>0</v>
      </c>
      <c r="BE97" s="201">
        <v>0</v>
      </c>
      <c r="BF97" s="201">
        <v>0</v>
      </c>
      <c r="BG97" s="202">
        <f t="shared" si="20"/>
        <v>96</v>
      </c>
      <c r="BH97" s="201">
        <v>31</v>
      </c>
      <c r="BI97" s="201">
        <v>19</v>
      </c>
      <c r="BJ97" s="160">
        <f t="shared" si="21"/>
        <v>779.00631133730394</v>
      </c>
      <c r="BK97" s="160">
        <f t="shared" si="22"/>
        <v>25.129235849590451</v>
      </c>
      <c r="BL97" s="159">
        <f t="shared" si="23"/>
        <v>1522680.9170700838</v>
      </c>
      <c r="BM97" s="160">
        <f t="shared" si="24"/>
        <v>2935.1196258962823</v>
      </c>
      <c r="BN97" s="160">
        <f t="shared" si="25"/>
        <v>94.681278254718777</v>
      </c>
      <c r="BO97" s="160">
        <f t="shared" si="26"/>
        <v>507112.92633227381</v>
      </c>
      <c r="BP97" s="160">
        <f t="shared" si="27"/>
        <v>75846.81422378667</v>
      </c>
      <c r="BQ97" s="160">
        <f t="shared" si="28"/>
        <v>2446.6714265737637</v>
      </c>
      <c r="BR97" s="160">
        <f t="shared" si="29"/>
        <v>3991.9375907256144</v>
      </c>
      <c r="BS97" s="160">
        <f t="shared" si="30"/>
        <v>2454011.4408534849</v>
      </c>
      <c r="BT97" s="160">
        <f t="shared" si="31"/>
        <v>4003913.4034977909</v>
      </c>
    </row>
    <row r="98" spans="1:72" x14ac:dyDescent="0.2">
      <c r="A98" s="204">
        <v>43101</v>
      </c>
      <c r="B98" s="205">
        <f t="shared" si="16"/>
        <v>2018</v>
      </c>
      <c r="C98" s="203">
        <v>45520102</v>
      </c>
      <c r="D98" s="203">
        <f>VLOOKUP(B98,CDM!$I$5:$N$15,2,FALSE)/12</f>
        <v>3038147.2214468326</v>
      </c>
      <c r="E98" s="203">
        <f t="shared" si="17"/>
        <v>48558249.221446835</v>
      </c>
      <c r="F98" s="206">
        <v>60779</v>
      </c>
      <c r="G98" s="206">
        <v>15643746</v>
      </c>
      <c r="H98" s="206">
        <v>5365</v>
      </c>
      <c r="I98" s="203">
        <f>VLOOKUP(B98,CDM!$I$5:$N$15,3,FALSE)/12</f>
        <v>1010612.3673393656</v>
      </c>
      <c r="J98" s="203">
        <f t="shared" si="18"/>
        <v>16654358.367339365</v>
      </c>
      <c r="K98" s="206">
        <v>77544300</v>
      </c>
      <c r="L98" s="203">
        <f>VLOOKUP(B98,CDM!$I$5:$N$15,4,FALSE)/12</f>
        <v>3957126.6568425861</v>
      </c>
      <c r="M98" s="87">
        <f t="shared" si="19"/>
        <v>81501426.656842589</v>
      </c>
      <c r="N98" s="206">
        <v>193600</v>
      </c>
      <c r="O98" s="206">
        <v>1002</v>
      </c>
      <c r="P98" s="206">
        <v>867512.8</v>
      </c>
      <c r="Q98" s="206">
        <v>1915.2</v>
      </c>
      <c r="R98" s="206">
        <v>17184</v>
      </c>
      <c r="S98" s="206">
        <v>262149</v>
      </c>
      <c r="T98" s="202">
        <v>24</v>
      </c>
      <c r="U98" s="202">
        <v>564</v>
      </c>
      <c r="V98" s="37">
        <f>'Economic (2020 Adj.)'!C110</f>
        <v>730276.2</v>
      </c>
      <c r="W98" s="37">
        <f>'Economic (2020 Adj.)'!D110</f>
        <v>7199.8</v>
      </c>
      <c r="X98" s="37">
        <f>'Economic (2020 Adj.)'!F110</f>
        <v>3357.1</v>
      </c>
      <c r="Y98" s="37">
        <f>'Economic (2020 Adj.)'!H110</f>
        <v>420.4</v>
      </c>
      <c r="Z98" s="37">
        <f>'Economic (2020 Adj.)'!E110</f>
        <v>7172.6</v>
      </c>
      <c r="AA98" s="37">
        <f>'Economic (2020 Adj.)'!G110</f>
        <v>3347.1</v>
      </c>
      <c r="AB98" s="37">
        <f>'Economic (2020 Adj.)'!I110</f>
        <v>420.7</v>
      </c>
      <c r="AC98" s="39">
        <f>Weather!D230</f>
        <v>-3.9451612903225803</v>
      </c>
      <c r="AD98" s="39">
        <f>Weather!E230</f>
        <v>742.29999999999984</v>
      </c>
      <c r="AE98" s="39">
        <f>Weather!F230</f>
        <v>0</v>
      </c>
      <c r="AF98" s="39">
        <f>Weather!G230</f>
        <v>680.29999999999984</v>
      </c>
      <c r="AG98" s="39">
        <f>Weather!H230</f>
        <v>0</v>
      </c>
      <c r="AH98" s="39">
        <f>Weather!I230</f>
        <v>618.29999999999984</v>
      </c>
      <c r="AI98" s="39">
        <f>Weather!J230</f>
        <v>0</v>
      </c>
      <c r="AJ98" s="39">
        <f>Weather!K230</f>
        <v>556.29999999999995</v>
      </c>
      <c r="AK98" s="39">
        <f>Weather!L230</f>
        <v>0</v>
      </c>
      <c r="AL98" s="39">
        <f>Weather!M230</f>
        <v>494.3</v>
      </c>
      <c r="AM98" s="39">
        <f>Weather!N230</f>
        <v>0</v>
      </c>
      <c r="AN98" s="39">
        <f>Weather!O230</f>
        <v>432.5</v>
      </c>
      <c r="AO98" s="39">
        <f>Weather!P230</f>
        <v>0.19999999999999929</v>
      </c>
      <c r="AP98" s="39">
        <f>Weather!Q230</f>
        <v>372.5</v>
      </c>
      <c r="AQ98" s="39">
        <f>Weather!R230</f>
        <v>2.1999999999999993</v>
      </c>
      <c r="AR98" s="201">
        <v>1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 s="201">
        <v>0</v>
      </c>
      <c r="BD98" s="201">
        <v>0</v>
      </c>
      <c r="BE98" s="201">
        <v>0</v>
      </c>
      <c r="BF98" s="201">
        <v>0</v>
      </c>
      <c r="BG98" s="202">
        <f t="shared" si="20"/>
        <v>97</v>
      </c>
      <c r="BH98" s="201">
        <v>31</v>
      </c>
      <c r="BI98" s="201">
        <v>22</v>
      </c>
      <c r="BJ98" s="160">
        <f t="shared" si="21"/>
        <v>798.93136151379315</v>
      </c>
      <c r="BK98" s="160">
        <f t="shared" si="22"/>
        <v>25.771979403670748</v>
      </c>
      <c r="BL98" s="159">
        <f t="shared" si="23"/>
        <v>1566395.1361757044</v>
      </c>
      <c r="BM98" s="160">
        <f t="shared" si="24"/>
        <v>3104.2606462887911</v>
      </c>
      <c r="BN98" s="160">
        <f t="shared" si="25"/>
        <v>100.13744020286423</v>
      </c>
      <c r="BO98" s="160">
        <f t="shared" si="26"/>
        <v>537237.36668836663</v>
      </c>
      <c r="BP98" s="160">
        <f t="shared" si="27"/>
        <v>81338.749158525534</v>
      </c>
      <c r="BQ98" s="160">
        <f t="shared" si="28"/>
        <v>2623.8306180169525</v>
      </c>
      <c r="BR98" s="160">
        <f t="shared" si="29"/>
        <v>3697.2158708420698</v>
      </c>
      <c r="BS98" s="160">
        <f t="shared" si="30"/>
        <v>2629078.2792529869</v>
      </c>
      <c r="BT98" s="160">
        <f t="shared" si="31"/>
        <v>3704610.3025837541</v>
      </c>
    </row>
    <row r="99" spans="1:72" x14ac:dyDescent="0.2">
      <c r="A99" s="204">
        <v>43132</v>
      </c>
      <c r="B99" s="205">
        <f t="shared" si="16"/>
        <v>2018</v>
      </c>
      <c r="C99" s="203">
        <v>37446591</v>
      </c>
      <c r="D99" s="203">
        <f>VLOOKUP(B99,CDM!$I$5:$N$15,2,FALSE)/12</f>
        <v>3038147.2214468326</v>
      </c>
      <c r="E99" s="203">
        <f t="shared" si="17"/>
        <v>40484738.221446835</v>
      </c>
      <c r="F99" s="206">
        <v>60797</v>
      </c>
      <c r="G99" s="206">
        <v>13639150</v>
      </c>
      <c r="H99" s="206">
        <v>5367</v>
      </c>
      <c r="I99" s="203">
        <f>VLOOKUP(B99,CDM!$I$5:$N$15,3,FALSE)/12</f>
        <v>1010612.3673393656</v>
      </c>
      <c r="J99" s="203">
        <f t="shared" si="18"/>
        <v>14649762.367339365</v>
      </c>
      <c r="K99" s="206">
        <v>68432722</v>
      </c>
      <c r="L99" s="203">
        <f>VLOOKUP(B99,CDM!$I$5:$N$15,4,FALSE)/12</f>
        <v>3957126.6568425861</v>
      </c>
      <c r="M99" s="87">
        <f t="shared" si="19"/>
        <v>72389848.656842589</v>
      </c>
      <c r="N99" s="206">
        <v>189385</v>
      </c>
      <c r="O99" s="206">
        <v>1004</v>
      </c>
      <c r="P99" s="206">
        <v>668680.30000000005</v>
      </c>
      <c r="Q99" s="206">
        <v>1770.2</v>
      </c>
      <c r="R99" s="206">
        <v>17184</v>
      </c>
      <c r="S99" s="206">
        <v>261046</v>
      </c>
      <c r="T99" s="202">
        <v>24</v>
      </c>
      <c r="U99" s="202">
        <v>564</v>
      </c>
      <c r="V99" s="37">
        <f>'Economic (2020 Adj.)'!C111</f>
        <v>730276.2</v>
      </c>
      <c r="W99" s="37">
        <f>'Economic (2020 Adj.)'!D111</f>
        <v>7189.2</v>
      </c>
      <c r="X99" s="37">
        <f>'Economic (2020 Adj.)'!F111</f>
        <v>3356.1</v>
      </c>
      <c r="Y99" s="37">
        <f>'Economic (2020 Adj.)'!H111</f>
        <v>415.9</v>
      </c>
      <c r="Z99" s="37">
        <f>'Economic (2020 Adj.)'!E111</f>
        <v>7125.8</v>
      </c>
      <c r="AA99" s="37">
        <f>'Economic (2020 Adj.)'!G111</f>
        <v>3334.6</v>
      </c>
      <c r="AB99" s="37">
        <f>'Economic (2020 Adj.)'!I111</f>
        <v>413.8</v>
      </c>
      <c r="AC99" s="39">
        <f>Weather!D231</f>
        <v>-0.28928571428571387</v>
      </c>
      <c r="AD99" s="39">
        <f>Weather!E231</f>
        <v>568.1</v>
      </c>
      <c r="AE99" s="39">
        <f>Weather!F231</f>
        <v>0</v>
      </c>
      <c r="AF99" s="39">
        <f>Weather!G231</f>
        <v>512.09999999999991</v>
      </c>
      <c r="AG99" s="39">
        <f>Weather!H231</f>
        <v>0</v>
      </c>
      <c r="AH99" s="39">
        <f>Weather!I231</f>
        <v>456.1</v>
      </c>
      <c r="AI99" s="39">
        <f>Weather!J231</f>
        <v>0</v>
      </c>
      <c r="AJ99" s="39">
        <f>Weather!K231</f>
        <v>400.1</v>
      </c>
      <c r="AK99" s="39">
        <f>Weather!L231</f>
        <v>0</v>
      </c>
      <c r="AL99" s="39">
        <f>Weather!M231</f>
        <v>344.10000000000008</v>
      </c>
      <c r="AM99" s="39">
        <f>Weather!N231</f>
        <v>0</v>
      </c>
      <c r="AN99" s="39">
        <f>Weather!O231</f>
        <v>288.50000000000006</v>
      </c>
      <c r="AO99" s="39">
        <f>Weather!P231</f>
        <v>0.40000000000000036</v>
      </c>
      <c r="AP99" s="39">
        <f>Weather!Q231</f>
        <v>235.5</v>
      </c>
      <c r="AQ99" s="39">
        <f>Weather!R231</f>
        <v>3.4000000000000004</v>
      </c>
      <c r="AR99" s="201">
        <v>0</v>
      </c>
      <c r="AS99" s="201">
        <v>1</v>
      </c>
      <c r="AT99" s="201">
        <v>0</v>
      </c>
      <c r="AU99" s="201">
        <v>0</v>
      </c>
      <c r="AV99" s="201">
        <v>0</v>
      </c>
      <c r="AW99" s="201">
        <v>0</v>
      </c>
      <c r="AX99" s="201">
        <v>0</v>
      </c>
      <c r="AY99" s="201">
        <v>0</v>
      </c>
      <c r="AZ99" s="201">
        <v>0</v>
      </c>
      <c r="BA99" s="201">
        <v>0</v>
      </c>
      <c r="BB99" s="201">
        <v>0</v>
      </c>
      <c r="BC99" s="201">
        <v>0</v>
      </c>
      <c r="BD99" s="201">
        <v>0</v>
      </c>
      <c r="BE99" s="201">
        <v>0</v>
      </c>
      <c r="BF99" s="201">
        <v>0</v>
      </c>
      <c r="BG99" s="202">
        <f t="shared" si="20"/>
        <v>98</v>
      </c>
      <c r="BH99" s="201">
        <v>28</v>
      </c>
      <c r="BI99" s="201">
        <v>19</v>
      </c>
      <c r="BJ99" s="160">
        <f t="shared" si="21"/>
        <v>665.90026187882358</v>
      </c>
      <c r="BK99" s="160">
        <f t="shared" si="22"/>
        <v>23.782152209957985</v>
      </c>
      <c r="BL99" s="159">
        <f t="shared" si="23"/>
        <v>1445883.5079088155</v>
      </c>
      <c r="BM99" s="160">
        <f t="shared" si="24"/>
        <v>2729.5998448554806</v>
      </c>
      <c r="BN99" s="160">
        <f t="shared" si="25"/>
        <v>97.48570874483859</v>
      </c>
      <c r="BO99" s="160">
        <f t="shared" si="26"/>
        <v>523205.79883354873</v>
      </c>
      <c r="BP99" s="160">
        <f t="shared" si="27"/>
        <v>72101.442885301381</v>
      </c>
      <c r="BQ99" s="160">
        <f t="shared" si="28"/>
        <v>2575.0515316179067</v>
      </c>
      <c r="BR99" s="160">
        <f t="shared" si="29"/>
        <v>3794.8127834369147</v>
      </c>
      <c r="BS99" s="160">
        <f t="shared" si="30"/>
        <v>2585351.7377443784</v>
      </c>
      <c r="BT99" s="160">
        <f t="shared" si="31"/>
        <v>3809992.0345706628</v>
      </c>
    </row>
    <row r="100" spans="1:72" x14ac:dyDescent="0.2">
      <c r="A100" s="204">
        <v>43160</v>
      </c>
      <c r="B100" s="205">
        <f t="shared" si="16"/>
        <v>2018</v>
      </c>
      <c r="C100" s="203">
        <v>38782369</v>
      </c>
      <c r="D100" s="203">
        <f>VLOOKUP(B100,CDM!$I$5:$N$15,2,FALSE)/12</f>
        <v>3038147.2214468326</v>
      </c>
      <c r="E100" s="203">
        <f t="shared" si="17"/>
        <v>41820516.221446835</v>
      </c>
      <c r="F100" s="206">
        <v>60798</v>
      </c>
      <c r="G100" s="206">
        <v>14498535</v>
      </c>
      <c r="H100" s="206">
        <v>5382</v>
      </c>
      <c r="I100" s="203">
        <f>VLOOKUP(B100,CDM!$I$5:$N$15,3,FALSE)/12</f>
        <v>1010612.3673393656</v>
      </c>
      <c r="J100" s="203">
        <f t="shared" si="18"/>
        <v>15509147.367339365</v>
      </c>
      <c r="K100" s="206">
        <v>73851189</v>
      </c>
      <c r="L100" s="203">
        <f>VLOOKUP(B100,CDM!$I$5:$N$15,4,FALSE)/12</f>
        <v>3957126.6568425861</v>
      </c>
      <c r="M100" s="87">
        <f t="shared" si="19"/>
        <v>77808315.656842589</v>
      </c>
      <c r="N100" s="206">
        <v>187159</v>
      </c>
      <c r="O100" s="206">
        <v>1008</v>
      </c>
      <c r="P100" s="206">
        <v>606508.19999999995</v>
      </c>
      <c r="Q100" s="206">
        <v>1627</v>
      </c>
      <c r="R100" s="206">
        <v>17184</v>
      </c>
      <c r="S100" s="206">
        <v>262882</v>
      </c>
      <c r="T100" s="202">
        <v>24</v>
      </c>
      <c r="U100" s="202">
        <v>564</v>
      </c>
      <c r="V100" s="37">
        <f>'Economic (2020 Adj.)'!C112</f>
        <v>730276.2</v>
      </c>
      <c r="W100" s="37">
        <f>'Economic (2020 Adj.)'!D112</f>
        <v>7185</v>
      </c>
      <c r="X100" s="37">
        <f>'Economic (2020 Adj.)'!F112</f>
        <v>3345.3</v>
      </c>
      <c r="Y100" s="37">
        <f>'Economic (2020 Adj.)'!H112</f>
        <v>413.4</v>
      </c>
      <c r="Z100" s="37">
        <f>'Economic (2020 Adj.)'!E112</f>
        <v>7082.3</v>
      </c>
      <c r="AA100" s="37">
        <f>'Economic (2020 Adj.)'!G112</f>
        <v>3305.7</v>
      </c>
      <c r="AB100" s="37">
        <f>'Economic (2020 Adj.)'!I112</f>
        <v>407.7</v>
      </c>
      <c r="AC100" s="39">
        <f>Weather!D232</f>
        <v>0.77741935483870972</v>
      </c>
      <c r="AD100" s="39">
        <f>Weather!E232</f>
        <v>595.9</v>
      </c>
      <c r="AE100" s="39">
        <f>Weather!F232</f>
        <v>0</v>
      </c>
      <c r="AF100" s="39">
        <f>Weather!G232</f>
        <v>533.9</v>
      </c>
      <c r="AG100" s="39">
        <f>Weather!H232</f>
        <v>0</v>
      </c>
      <c r="AH100" s="39">
        <f>Weather!I232</f>
        <v>471.89999999999992</v>
      </c>
      <c r="AI100" s="39">
        <f>Weather!J232</f>
        <v>0</v>
      </c>
      <c r="AJ100" s="39">
        <f>Weather!K232</f>
        <v>409.89999999999986</v>
      </c>
      <c r="AK100" s="39">
        <f>Weather!L232</f>
        <v>0</v>
      </c>
      <c r="AL100" s="39">
        <f>Weather!M232</f>
        <v>347.89999999999986</v>
      </c>
      <c r="AM100" s="39">
        <f>Weather!N232</f>
        <v>0</v>
      </c>
      <c r="AN100" s="39">
        <f>Weather!O232</f>
        <v>285.89999999999992</v>
      </c>
      <c r="AO100" s="39">
        <f>Weather!P232</f>
        <v>0</v>
      </c>
      <c r="AP100" s="39">
        <f>Weather!Q232</f>
        <v>223.89999999999998</v>
      </c>
      <c r="AQ100" s="39">
        <f>Weather!R232</f>
        <v>0</v>
      </c>
      <c r="AR100" s="201">
        <v>0</v>
      </c>
      <c r="AS100" s="201">
        <v>0</v>
      </c>
      <c r="AT100" s="201">
        <v>1</v>
      </c>
      <c r="AU100" s="201">
        <v>0</v>
      </c>
      <c r="AV100" s="201">
        <v>0</v>
      </c>
      <c r="AW100" s="201">
        <v>0</v>
      </c>
      <c r="AX100" s="201">
        <v>0</v>
      </c>
      <c r="AY100" s="201">
        <v>0</v>
      </c>
      <c r="AZ100" s="201">
        <v>0</v>
      </c>
      <c r="BA100" s="201">
        <v>0</v>
      </c>
      <c r="BB100" s="201">
        <v>0</v>
      </c>
      <c r="BC100" s="201">
        <v>0</v>
      </c>
      <c r="BD100" s="201">
        <v>1</v>
      </c>
      <c r="BE100" s="201">
        <v>0</v>
      </c>
      <c r="BF100" s="201">
        <v>1</v>
      </c>
      <c r="BG100" s="202">
        <f t="shared" si="20"/>
        <v>99</v>
      </c>
      <c r="BH100" s="201">
        <v>31</v>
      </c>
      <c r="BI100" s="201">
        <v>21</v>
      </c>
      <c r="BJ100" s="160">
        <f t="shared" si="21"/>
        <v>687.86006482856067</v>
      </c>
      <c r="BK100" s="160">
        <f t="shared" si="22"/>
        <v>22.189034349308407</v>
      </c>
      <c r="BL100" s="159">
        <f t="shared" si="23"/>
        <v>1349048.9103692528</v>
      </c>
      <c r="BM100" s="160">
        <f t="shared" si="24"/>
        <v>2881.669893597058</v>
      </c>
      <c r="BN100" s="160">
        <f t="shared" si="25"/>
        <v>92.957093341840576</v>
      </c>
      <c r="BO100" s="160">
        <f t="shared" si="26"/>
        <v>500295.07636578596</v>
      </c>
      <c r="BP100" s="160">
        <f t="shared" si="27"/>
        <v>77190.789342105738</v>
      </c>
      <c r="BQ100" s="160">
        <f t="shared" si="28"/>
        <v>2490.0254626485721</v>
      </c>
      <c r="BR100" s="160">
        <f t="shared" si="29"/>
        <v>3675.7518734336068</v>
      </c>
      <c r="BS100" s="160">
        <f t="shared" si="30"/>
        <v>2509945.6663497607</v>
      </c>
      <c r="BT100" s="160">
        <f t="shared" si="31"/>
        <v>3705157.8884210759</v>
      </c>
    </row>
    <row r="101" spans="1:72" x14ac:dyDescent="0.2">
      <c r="A101" s="204">
        <v>43191</v>
      </c>
      <c r="B101" s="205">
        <f t="shared" si="16"/>
        <v>2018</v>
      </c>
      <c r="C101" s="203">
        <v>35825905</v>
      </c>
      <c r="D101" s="203">
        <f>VLOOKUP(B101,CDM!$I$5:$N$15,2,FALSE)/12</f>
        <v>3038147.2214468326</v>
      </c>
      <c r="E101" s="203">
        <f t="shared" si="17"/>
        <v>38864052.221446835</v>
      </c>
      <c r="F101" s="206">
        <v>60792</v>
      </c>
      <c r="G101" s="206">
        <v>13441312</v>
      </c>
      <c r="H101" s="206">
        <v>5377</v>
      </c>
      <c r="I101" s="203">
        <f>VLOOKUP(B101,CDM!$I$5:$N$15,3,FALSE)/12</f>
        <v>1010612.3673393656</v>
      </c>
      <c r="J101" s="203">
        <f t="shared" si="18"/>
        <v>14451924.367339365</v>
      </c>
      <c r="K101" s="206">
        <v>70289177</v>
      </c>
      <c r="L101" s="203">
        <f>VLOOKUP(B101,CDM!$I$5:$N$15,4,FALSE)/12</f>
        <v>3957126.6568425861</v>
      </c>
      <c r="M101" s="87">
        <f t="shared" si="19"/>
        <v>74246303.656842589</v>
      </c>
      <c r="N101" s="206">
        <v>184065</v>
      </c>
      <c r="O101" s="206">
        <v>1006</v>
      </c>
      <c r="P101" s="206">
        <v>479278.6</v>
      </c>
      <c r="Q101" s="206">
        <v>1515.5</v>
      </c>
      <c r="R101" s="206">
        <v>17184</v>
      </c>
      <c r="S101" s="206">
        <v>260891</v>
      </c>
      <c r="T101" s="202">
        <v>24</v>
      </c>
      <c r="U101" s="202">
        <v>564</v>
      </c>
      <c r="V101" s="37">
        <f>'Economic (2020 Adj.)'!C113</f>
        <v>730276.2</v>
      </c>
      <c r="W101" s="37">
        <f>'Economic (2020 Adj.)'!D113</f>
        <v>7198.2</v>
      </c>
      <c r="X101" s="37">
        <f>'Economic (2020 Adj.)'!F113</f>
        <v>3338.5</v>
      </c>
      <c r="Y101" s="37">
        <f>'Economic (2020 Adj.)'!H113</f>
        <v>410</v>
      </c>
      <c r="Z101" s="37">
        <f>'Economic (2020 Adj.)'!E113</f>
        <v>7108.4</v>
      </c>
      <c r="AA101" s="37">
        <f>'Economic (2020 Adj.)'!G113</f>
        <v>3307.1</v>
      </c>
      <c r="AB101" s="37">
        <f>'Economic (2020 Adj.)'!I113</f>
        <v>403.8</v>
      </c>
      <c r="AC101" s="39">
        <f>Weather!D233</f>
        <v>4.0233333333333334</v>
      </c>
      <c r="AD101" s="39">
        <f>Weather!E233</f>
        <v>479.3</v>
      </c>
      <c r="AE101" s="39">
        <f>Weather!F233</f>
        <v>0</v>
      </c>
      <c r="AF101" s="39">
        <f>Weather!G233</f>
        <v>419.3</v>
      </c>
      <c r="AG101" s="39">
        <f>Weather!H233</f>
        <v>0</v>
      </c>
      <c r="AH101" s="39">
        <f>Weather!I233</f>
        <v>359.3</v>
      </c>
      <c r="AI101" s="39">
        <f>Weather!J233</f>
        <v>0</v>
      </c>
      <c r="AJ101" s="39">
        <f>Weather!K233</f>
        <v>299.3</v>
      </c>
      <c r="AK101" s="39">
        <f>Weather!L233</f>
        <v>0</v>
      </c>
      <c r="AL101" s="39">
        <f>Weather!M233</f>
        <v>239.3</v>
      </c>
      <c r="AM101" s="39">
        <f>Weather!N233</f>
        <v>0</v>
      </c>
      <c r="AN101" s="39">
        <f>Weather!O233</f>
        <v>180.8</v>
      </c>
      <c r="AO101" s="39">
        <f>Weather!P233</f>
        <v>1.5</v>
      </c>
      <c r="AP101" s="39">
        <f>Weather!Q233</f>
        <v>127.50000000000003</v>
      </c>
      <c r="AQ101" s="39">
        <f>Weather!R233</f>
        <v>8.1999999999999993</v>
      </c>
      <c r="AR101" s="201">
        <v>0</v>
      </c>
      <c r="AS101" s="201">
        <v>0</v>
      </c>
      <c r="AT101" s="201">
        <v>0</v>
      </c>
      <c r="AU101" s="201">
        <v>1</v>
      </c>
      <c r="AV101" s="201">
        <v>0</v>
      </c>
      <c r="AW101" s="201">
        <v>0</v>
      </c>
      <c r="AX101" s="201">
        <v>0</v>
      </c>
      <c r="AY101" s="201">
        <v>0</v>
      </c>
      <c r="AZ101" s="201">
        <v>0</v>
      </c>
      <c r="BA101" s="201">
        <v>0</v>
      </c>
      <c r="BB101" s="201">
        <v>0</v>
      </c>
      <c r="BC101" s="201">
        <v>0</v>
      </c>
      <c r="BD101" s="201">
        <v>1</v>
      </c>
      <c r="BE101" s="201">
        <v>0</v>
      </c>
      <c r="BF101" s="201">
        <v>1</v>
      </c>
      <c r="BG101" s="202">
        <f t="shared" si="20"/>
        <v>100</v>
      </c>
      <c r="BH101" s="201">
        <v>30</v>
      </c>
      <c r="BI101" s="201">
        <v>21</v>
      </c>
      <c r="BJ101" s="160">
        <f t="shared" si="21"/>
        <v>639.29550305051384</v>
      </c>
      <c r="BK101" s="160">
        <f t="shared" si="22"/>
        <v>21.309850101683796</v>
      </c>
      <c r="BL101" s="159">
        <f t="shared" si="23"/>
        <v>1295468.4073815611</v>
      </c>
      <c r="BM101" s="160">
        <f t="shared" si="24"/>
        <v>2687.7300292615519</v>
      </c>
      <c r="BN101" s="160">
        <f t="shared" si="25"/>
        <v>89.591000975385057</v>
      </c>
      <c r="BO101" s="160">
        <f t="shared" si="26"/>
        <v>481730.81224464549</v>
      </c>
      <c r="BP101" s="160">
        <f t="shared" si="27"/>
        <v>73803.482760280909</v>
      </c>
      <c r="BQ101" s="160">
        <f t="shared" si="28"/>
        <v>2460.1160920093635</v>
      </c>
      <c r="BR101" s="160">
        <f t="shared" si="29"/>
        <v>3514.4515600133768</v>
      </c>
      <c r="BS101" s="160">
        <f t="shared" si="30"/>
        <v>2474876.7885614196</v>
      </c>
      <c r="BT101" s="160">
        <f t="shared" si="31"/>
        <v>3535538.2693734565</v>
      </c>
    </row>
    <row r="102" spans="1:72" x14ac:dyDescent="0.2">
      <c r="A102" s="204">
        <v>43221</v>
      </c>
      <c r="B102" s="205">
        <f t="shared" si="16"/>
        <v>2018</v>
      </c>
      <c r="C102" s="203">
        <v>38850335</v>
      </c>
      <c r="D102" s="203">
        <f>VLOOKUP(B102,CDM!$I$5:$N$15,2,FALSE)/12</f>
        <v>3038147.2214468326</v>
      </c>
      <c r="E102" s="203">
        <f t="shared" si="17"/>
        <v>41888482.221446835</v>
      </c>
      <c r="F102" s="206">
        <v>60822</v>
      </c>
      <c r="G102" s="206">
        <v>13796645</v>
      </c>
      <c r="H102" s="206">
        <v>5371</v>
      </c>
      <c r="I102" s="203">
        <f>VLOOKUP(B102,CDM!$I$5:$N$15,3,FALSE)/12</f>
        <v>1010612.3673393656</v>
      </c>
      <c r="J102" s="203">
        <f t="shared" si="18"/>
        <v>14807257.367339365</v>
      </c>
      <c r="K102" s="206">
        <v>72846017</v>
      </c>
      <c r="L102" s="203">
        <f>VLOOKUP(B102,CDM!$I$5:$N$15,4,FALSE)/12</f>
        <v>3957126.6568425861</v>
      </c>
      <c r="M102" s="87">
        <f t="shared" si="19"/>
        <v>76803143.656842589</v>
      </c>
      <c r="N102" s="206">
        <v>187517</v>
      </c>
      <c r="O102" s="206">
        <v>1008</v>
      </c>
      <c r="P102" s="206">
        <v>435165</v>
      </c>
      <c r="Q102" s="206">
        <v>1511.5</v>
      </c>
      <c r="R102" s="206">
        <v>17184</v>
      </c>
      <c r="S102" s="206">
        <v>261428</v>
      </c>
      <c r="T102" s="202">
        <v>24</v>
      </c>
      <c r="U102" s="202">
        <v>564</v>
      </c>
      <c r="V102" s="37">
        <f>'Economic (2020 Adj.)'!C114</f>
        <v>730276.2</v>
      </c>
      <c r="W102" s="37">
        <f>'Economic (2020 Adj.)'!D114</f>
        <v>7208.1</v>
      </c>
      <c r="X102" s="37">
        <f>'Economic (2020 Adj.)'!F114</f>
        <v>3335</v>
      </c>
      <c r="Y102" s="37">
        <f>'Economic (2020 Adj.)'!H114</f>
        <v>412.2</v>
      </c>
      <c r="Z102" s="37">
        <f>'Economic (2020 Adj.)'!E114</f>
        <v>7174.7</v>
      </c>
      <c r="AA102" s="37">
        <f>'Economic (2020 Adj.)'!G114</f>
        <v>3326.5</v>
      </c>
      <c r="AB102" s="37">
        <f>'Economic (2020 Adj.)'!I114</f>
        <v>408.1</v>
      </c>
      <c r="AC102" s="39">
        <f>Weather!D234</f>
        <v>14.790322580645164</v>
      </c>
      <c r="AD102" s="39">
        <f>Weather!E234</f>
        <v>173.79999999999998</v>
      </c>
      <c r="AE102" s="39">
        <f>Weather!F234</f>
        <v>12.3</v>
      </c>
      <c r="AF102" s="39">
        <f>Weather!G234</f>
        <v>127.7</v>
      </c>
      <c r="AG102" s="39">
        <f>Weather!H234</f>
        <v>28.2</v>
      </c>
      <c r="AH102" s="39">
        <f>Weather!I234</f>
        <v>86</v>
      </c>
      <c r="AI102" s="39">
        <f>Weather!J234</f>
        <v>48.5</v>
      </c>
      <c r="AJ102" s="39">
        <f>Weather!K234</f>
        <v>50.5</v>
      </c>
      <c r="AK102" s="39">
        <f>Weather!L234</f>
        <v>74.999999999999986</v>
      </c>
      <c r="AL102" s="39">
        <f>Weather!M234</f>
        <v>25.199999999999996</v>
      </c>
      <c r="AM102" s="39">
        <f>Weather!N234</f>
        <v>111.69999999999997</v>
      </c>
      <c r="AN102" s="39">
        <f>Weather!O234</f>
        <v>6.8999999999999986</v>
      </c>
      <c r="AO102" s="39">
        <f>Weather!P234</f>
        <v>155.39999999999998</v>
      </c>
      <c r="AP102" s="39">
        <f>Weather!Q234</f>
        <v>0.69999999999999929</v>
      </c>
      <c r="AQ102" s="39">
        <f>Weather!R234</f>
        <v>211.20000000000002</v>
      </c>
      <c r="AR102" s="201">
        <v>0</v>
      </c>
      <c r="AS102" s="201">
        <v>0</v>
      </c>
      <c r="AT102" s="201">
        <v>0</v>
      </c>
      <c r="AU102" s="201">
        <v>0</v>
      </c>
      <c r="AV102" s="201">
        <v>1</v>
      </c>
      <c r="AW102" s="201">
        <v>0</v>
      </c>
      <c r="AX102" s="201">
        <v>0</v>
      </c>
      <c r="AY102" s="201">
        <v>0</v>
      </c>
      <c r="AZ102" s="201">
        <v>0</v>
      </c>
      <c r="BA102" s="201">
        <v>0</v>
      </c>
      <c r="BB102" s="201">
        <v>0</v>
      </c>
      <c r="BC102" s="201">
        <v>0</v>
      </c>
      <c r="BD102" s="201">
        <v>1</v>
      </c>
      <c r="BE102" s="201">
        <v>0</v>
      </c>
      <c r="BF102" s="201">
        <v>1</v>
      </c>
      <c r="BG102" s="202">
        <f t="shared" si="20"/>
        <v>101</v>
      </c>
      <c r="BH102" s="201">
        <v>31</v>
      </c>
      <c r="BI102" s="201">
        <v>22</v>
      </c>
      <c r="BJ102" s="160">
        <f t="shared" si="21"/>
        <v>688.70609683086445</v>
      </c>
      <c r="BK102" s="160">
        <f t="shared" si="22"/>
        <v>22.216325704221433</v>
      </c>
      <c r="BL102" s="159">
        <f t="shared" si="23"/>
        <v>1351241.3619821561</v>
      </c>
      <c r="BM102" s="160">
        <f t="shared" si="24"/>
        <v>2756.8902192030096</v>
      </c>
      <c r="BN102" s="160">
        <f t="shared" si="25"/>
        <v>88.931942554935787</v>
      </c>
      <c r="BO102" s="160">
        <f t="shared" si="26"/>
        <v>477653.46346256015</v>
      </c>
      <c r="BP102" s="160">
        <f t="shared" si="27"/>
        <v>76193.5948976613</v>
      </c>
      <c r="BQ102" s="160">
        <f t="shared" si="28"/>
        <v>2457.8578999245578</v>
      </c>
      <c r="BR102" s="160">
        <f t="shared" si="29"/>
        <v>3463.3452226209683</v>
      </c>
      <c r="BS102" s="160">
        <f t="shared" si="30"/>
        <v>2477520.7631239546</v>
      </c>
      <c r="BT102" s="160">
        <f t="shared" si="31"/>
        <v>3491051.9844019357</v>
      </c>
    </row>
    <row r="103" spans="1:72" x14ac:dyDescent="0.2">
      <c r="A103" s="204">
        <v>43252</v>
      </c>
      <c r="B103" s="205">
        <f t="shared" si="16"/>
        <v>2018</v>
      </c>
      <c r="C103" s="203">
        <v>49699411</v>
      </c>
      <c r="D103" s="203">
        <f>VLOOKUP(B103,CDM!$I$5:$N$15,2,FALSE)/12</f>
        <v>3038147.2214468326</v>
      </c>
      <c r="E103" s="203">
        <f t="shared" si="17"/>
        <v>52737558.221446835</v>
      </c>
      <c r="F103" s="206">
        <v>60920</v>
      </c>
      <c r="G103" s="206">
        <v>14595194</v>
      </c>
      <c r="H103" s="206">
        <v>5437</v>
      </c>
      <c r="I103" s="203">
        <f>VLOOKUP(B103,CDM!$I$5:$N$15,3,FALSE)/12</f>
        <v>1010612.3673393656</v>
      </c>
      <c r="J103" s="203">
        <f t="shared" si="18"/>
        <v>15605806.367339365</v>
      </c>
      <c r="K103" s="206">
        <v>74459387</v>
      </c>
      <c r="L103" s="203">
        <f>VLOOKUP(B103,CDM!$I$5:$N$15,4,FALSE)/12</f>
        <v>3957126.6568425861</v>
      </c>
      <c r="M103" s="87">
        <f t="shared" si="19"/>
        <v>78416513.656842589</v>
      </c>
      <c r="N103" s="206">
        <v>205707</v>
      </c>
      <c r="O103" s="206">
        <v>970</v>
      </c>
      <c r="P103" s="206">
        <v>392256</v>
      </c>
      <c r="Q103" s="206">
        <v>1511</v>
      </c>
      <c r="R103" s="206">
        <v>17184</v>
      </c>
      <c r="S103" s="206">
        <v>260815</v>
      </c>
      <c r="T103" s="202">
        <v>24</v>
      </c>
      <c r="U103" s="202">
        <v>564</v>
      </c>
      <c r="V103" s="37">
        <f>'Economic (2020 Adj.)'!C115</f>
        <v>730276.2</v>
      </c>
      <c r="W103" s="37">
        <f>'Economic (2020 Adj.)'!D115</f>
        <v>7224.1</v>
      </c>
      <c r="X103" s="37">
        <f>'Economic (2020 Adj.)'!F115</f>
        <v>3341.9</v>
      </c>
      <c r="Y103" s="37">
        <f>'Economic (2020 Adj.)'!H115</f>
        <v>414.9</v>
      </c>
      <c r="Z103" s="37">
        <f>'Economic (2020 Adj.)'!E115</f>
        <v>7269.2</v>
      </c>
      <c r="AA103" s="37">
        <f>'Economic (2020 Adj.)'!G115</f>
        <v>3363.4</v>
      </c>
      <c r="AB103" s="37">
        <f>'Economic (2020 Adj.)'!I115</f>
        <v>414.3</v>
      </c>
      <c r="AC103" s="39">
        <f>Weather!D235</f>
        <v>19.029999999999998</v>
      </c>
      <c r="AD103" s="39">
        <f>Weather!E235</f>
        <v>64.600000000000009</v>
      </c>
      <c r="AE103" s="39">
        <f>Weather!F235</f>
        <v>35.5</v>
      </c>
      <c r="AF103" s="39">
        <f>Weather!G235</f>
        <v>26.9</v>
      </c>
      <c r="AG103" s="39">
        <f>Weather!H235</f>
        <v>57.800000000000004</v>
      </c>
      <c r="AH103" s="39">
        <f>Weather!I235</f>
        <v>5.0000000000000018</v>
      </c>
      <c r="AI103" s="39">
        <f>Weather!J235</f>
        <v>95.899999999999977</v>
      </c>
      <c r="AJ103" s="39">
        <f>Weather!K235</f>
        <v>0.60000000000000142</v>
      </c>
      <c r="AK103" s="39">
        <f>Weather!L235</f>
        <v>151.49999999999997</v>
      </c>
      <c r="AL103" s="39">
        <f>Weather!M235</f>
        <v>0</v>
      </c>
      <c r="AM103" s="39">
        <f>Weather!N235</f>
        <v>210.90000000000006</v>
      </c>
      <c r="AN103" s="39">
        <f>Weather!O235</f>
        <v>0</v>
      </c>
      <c r="AO103" s="39">
        <f>Weather!P235</f>
        <v>270.90000000000009</v>
      </c>
      <c r="AP103" s="39">
        <f>Weather!Q235</f>
        <v>0</v>
      </c>
      <c r="AQ103" s="39">
        <f>Weather!R235</f>
        <v>330.90000000000009</v>
      </c>
      <c r="AR103" s="201">
        <v>0</v>
      </c>
      <c r="AS103" s="201">
        <v>0</v>
      </c>
      <c r="AT103" s="201">
        <v>0</v>
      </c>
      <c r="AU103" s="201">
        <v>0</v>
      </c>
      <c r="AV103" s="201">
        <v>0</v>
      </c>
      <c r="AW103" s="201">
        <v>1</v>
      </c>
      <c r="AX103" s="201">
        <v>0</v>
      </c>
      <c r="AY103" s="201">
        <v>0</v>
      </c>
      <c r="AZ103" s="201">
        <v>0</v>
      </c>
      <c r="BA103" s="201">
        <v>0</v>
      </c>
      <c r="BB103" s="201">
        <v>0</v>
      </c>
      <c r="BC103" s="201">
        <v>0</v>
      </c>
      <c r="BD103" s="201">
        <v>0</v>
      </c>
      <c r="BE103" s="201">
        <v>0</v>
      </c>
      <c r="BF103" s="201">
        <v>0</v>
      </c>
      <c r="BG103" s="202">
        <f t="shared" si="20"/>
        <v>102</v>
      </c>
      <c r="BH103" s="201">
        <v>30</v>
      </c>
      <c r="BI103" s="201">
        <v>21</v>
      </c>
      <c r="BJ103" s="160">
        <f t="shared" si="21"/>
        <v>865.6854599712218</v>
      </c>
      <c r="BK103" s="160">
        <f t="shared" si="22"/>
        <v>28.856181999040725</v>
      </c>
      <c r="BL103" s="159">
        <f t="shared" si="23"/>
        <v>1757918.6073815611</v>
      </c>
      <c r="BM103" s="160">
        <f t="shared" si="24"/>
        <v>2870.2972902960023</v>
      </c>
      <c r="BN103" s="160">
        <f t="shared" si="25"/>
        <v>95.676576343200082</v>
      </c>
      <c r="BO103" s="160">
        <f t="shared" si="26"/>
        <v>520193.54557797883</v>
      </c>
      <c r="BP103" s="160">
        <f t="shared" si="27"/>
        <v>80841.766656538748</v>
      </c>
      <c r="BQ103" s="160">
        <f t="shared" si="28"/>
        <v>2694.7255552179581</v>
      </c>
      <c r="BR103" s="160">
        <f t="shared" si="29"/>
        <v>3849.6079360256545</v>
      </c>
      <c r="BS103" s="160">
        <f t="shared" si="30"/>
        <v>2613883.7885614196</v>
      </c>
      <c r="BT103" s="160">
        <f t="shared" si="31"/>
        <v>3734119.6979448851</v>
      </c>
    </row>
    <row r="104" spans="1:72" x14ac:dyDescent="0.2">
      <c r="A104" s="204">
        <v>43282</v>
      </c>
      <c r="B104" s="205">
        <f t="shared" si="16"/>
        <v>2018</v>
      </c>
      <c r="C104" s="203">
        <v>62470256</v>
      </c>
      <c r="D104" s="203">
        <f>VLOOKUP(B104,CDM!$I$5:$N$15,2,FALSE)/12</f>
        <v>3038147.2214468326</v>
      </c>
      <c r="E104" s="203">
        <f t="shared" si="17"/>
        <v>65508403.221446835</v>
      </c>
      <c r="F104" s="206">
        <v>60944</v>
      </c>
      <c r="G104" s="206">
        <v>16326498</v>
      </c>
      <c r="H104" s="206">
        <v>5443</v>
      </c>
      <c r="I104" s="203">
        <f>VLOOKUP(B104,CDM!$I$5:$N$15,3,FALSE)/12</f>
        <v>1010612.3673393656</v>
      </c>
      <c r="J104" s="203">
        <f t="shared" si="18"/>
        <v>17337110.367339365</v>
      </c>
      <c r="K104" s="206">
        <v>79813563</v>
      </c>
      <c r="L104" s="203">
        <f>VLOOKUP(B104,CDM!$I$5:$N$15,4,FALSE)/12</f>
        <v>3957126.6568425861</v>
      </c>
      <c r="M104" s="87">
        <f t="shared" si="19"/>
        <v>83770689.656842589</v>
      </c>
      <c r="N104" s="206">
        <v>212958</v>
      </c>
      <c r="O104" s="206">
        <v>970</v>
      </c>
      <c r="P104" s="206">
        <v>418842.3</v>
      </c>
      <c r="Q104" s="206">
        <v>1502.3</v>
      </c>
      <c r="R104" s="206">
        <v>17184</v>
      </c>
      <c r="S104" s="206">
        <v>261377</v>
      </c>
      <c r="T104" s="202">
        <v>24</v>
      </c>
      <c r="U104" s="202">
        <v>563</v>
      </c>
      <c r="V104" s="37">
        <f>'Economic (2020 Adj.)'!C116</f>
        <v>730276.2</v>
      </c>
      <c r="W104" s="37">
        <f>'Economic (2020 Adj.)'!D116</f>
        <v>7258.6</v>
      </c>
      <c r="X104" s="37">
        <f>'Economic (2020 Adj.)'!F116</f>
        <v>3357.7</v>
      </c>
      <c r="Y104" s="37">
        <f>'Economic (2020 Adj.)'!H116</f>
        <v>416.4</v>
      </c>
      <c r="Z104" s="37">
        <f>'Economic (2020 Adj.)'!E116</f>
        <v>7352.5</v>
      </c>
      <c r="AA104" s="37">
        <f>'Economic (2020 Adj.)'!G116</f>
        <v>3397.6</v>
      </c>
      <c r="AB104" s="37">
        <f>'Economic (2020 Adj.)'!I116</f>
        <v>418.9</v>
      </c>
      <c r="AC104" s="39">
        <f>Weather!D236</f>
        <v>23.296774193548391</v>
      </c>
      <c r="AD104" s="39">
        <f>Weather!E236</f>
        <v>0.5</v>
      </c>
      <c r="AE104" s="39">
        <f>Weather!F236</f>
        <v>102.69999999999999</v>
      </c>
      <c r="AF104" s="39">
        <f>Weather!G236</f>
        <v>0</v>
      </c>
      <c r="AG104" s="39">
        <f>Weather!H236</f>
        <v>164.19999999999996</v>
      </c>
      <c r="AH104" s="39">
        <f>Weather!I236</f>
        <v>0</v>
      </c>
      <c r="AI104" s="39">
        <f>Weather!J236</f>
        <v>226.19999999999996</v>
      </c>
      <c r="AJ104" s="39">
        <f>Weather!K236</f>
        <v>0</v>
      </c>
      <c r="AK104" s="39">
        <f>Weather!L236</f>
        <v>288.2</v>
      </c>
      <c r="AL104" s="39">
        <f>Weather!M236</f>
        <v>0</v>
      </c>
      <c r="AM104" s="39">
        <f>Weather!N236</f>
        <v>350.2</v>
      </c>
      <c r="AN104" s="39">
        <f>Weather!O236</f>
        <v>0</v>
      </c>
      <c r="AO104" s="39">
        <f>Weather!P236</f>
        <v>412.20000000000005</v>
      </c>
      <c r="AP104" s="39">
        <f>Weather!Q236</f>
        <v>0</v>
      </c>
      <c r="AQ104" s="39">
        <f>Weather!R236</f>
        <v>474.2000000000001</v>
      </c>
      <c r="AR104" s="201">
        <v>0</v>
      </c>
      <c r="AS104" s="201">
        <v>0</v>
      </c>
      <c r="AT104" s="201">
        <v>0</v>
      </c>
      <c r="AU104" s="201">
        <v>0</v>
      </c>
      <c r="AV104" s="201">
        <v>0</v>
      </c>
      <c r="AW104" s="201">
        <v>0</v>
      </c>
      <c r="AX104" s="201">
        <v>1</v>
      </c>
      <c r="AY104" s="201">
        <v>0</v>
      </c>
      <c r="AZ104" s="201">
        <v>0</v>
      </c>
      <c r="BA104" s="201">
        <v>0</v>
      </c>
      <c r="BB104" s="201">
        <v>0</v>
      </c>
      <c r="BC104" s="201">
        <v>0</v>
      </c>
      <c r="BD104" s="201">
        <v>0</v>
      </c>
      <c r="BE104" s="201">
        <v>0</v>
      </c>
      <c r="BF104" s="201">
        <v>0</v>
      </c>
      <c r="BG104" s="202">
        <f t="shared" si="20"/>
        <v>103</v>
      </c>
      <c r="BH104" s="201">
        <v>31</v>
      </c>
      <c r="BI104" s="201">
        <v>21</v>
      </c>
      <c r="BJ104" s="160">
        <f t="shared" si="21"/>
        <v>1074.8950384196448</v>
      </c>
      <c r="BK104" s="160">
        <f t="shared" si="22"/>
        <v>34.674033497407898</v>
      </c>
      <c r="BL104" s="159">
        <f t="shared" si="23"/>
        <v>2113174.2974660271</v>
      </c>
      <c r="BM104" s="160">
        <f t="shared" si="24"/>
        <v>3185.2122666432788</v>
      </c>
      <c r="BN104" s="160">
        <f t="shared" si="25"/>
        <v>102.74878279494447</v>
      </c>
      <c r="BO104" s="160">
        <f t="shared" si="26"/>
        <v>559261.62475288275</v>
      </c>
      <c r="BP104" s="160">
        <f t="shared" si="27"/>
        <v>86361.535728703704</v>
      </c>
      <c r="BQ104" s="160">
        <f t="shared" si="28"/>
        <v>2785.8559912485066</v>
      </c>
      <c r="BR104" s="160">
        <f t="shared" si="29"/>
        <v>4112.4540823192237</v>
      </c>
      <c r="BS104" s="160">
        <f t="shared" si="30"/>
        <v>2702280.3115110514</v>
      </c>
      <c r="BT104" s="160">
        <f t="shared" si="31"/>
        <v>3989080.4598496472</v>
      </c>
    </row>
    <row r="105" spans="1:72" x14ac:dyDescent="0.2">
      <c r="A105" s="204">
        <v>43313</v>
      </c>
      <c r="B105" s="205">
        <f t="shared" si="16"/>
        <v>2018</v>
      </c>
      <c r="C105" s="203">
        <v>60684419</v>
      </c>
      <c r="D105" s="203">
        <f>VLOOKUP(B105,CDM!$I$5:$N$15,2,FALSE)/12</f>
        <v>3038147.2214468326</v>
      </c>
      <c r="E105" s="203">
        <f t="shared" si="17"/>
        <v>63722566.221446835</v>
      </c>
      <c r="F105" s="206">
        <v>60940</v>
      </c>
      <c r="G105" s="206">
        <v>16132239</v>
      </c>
      <c r="H105" s="206">
        <v>5466</v>
      </c>
      <c r="I105" s="203">
        <f>VLOOKUP(B105,CDM!$I$5:$N$15,3,FALSE)/12</f>
        <v>1010612.3673393656</v>
      </c>
      <c r="J105" s="203">
        <f t="shared" si="18"/>
        <v>17142851.367339365</v>
      </c>
      <c r="K105" s="206">
        <v>79970235</v>
      </c>
      <c r="L105" s="203">
        <f>VLOOKUP(B105,CDM!$I$5:$N$15,4,FALSE)/12</f>
        <v>3957126.6568425861</v>
      </c>
      <c r="M105" s="87">
        <f t="shared" si="19"/>
        <v>83927361.656842589</v>
      </c>
      <c r="N105" s="206">
        <v>205769</v>
      </c>
      <c r="O105" s="206">
        <v>970</v>
      </c>
      <c r="P105" s="206">
        <v>468399.7</v>
      </c>
      <c r="Q105" s="206">
        <v>1493.6</v>
      </c>
      <c r="R105" s="206">
        <v>17184</v>
      </c>
      <c r="S105" s="206">
        <v>261095</v>
      </c>
      <c r="T105" s="202">
        <v>24</v>
      </c>
      <c r="U105" s="202">
        <v>563</v>
      </c>
      <c r="V105" s="37">
        <f>'Economic (2020 Adj.)'!C117</f>
        <v>730276.2</v>
      </c>
      <c r="W105" s="37">
        <f>'Economic (2020 Adj.)'!D117</f>
        <v>7264.8</v>
      </c>
      <c r="X105" s="37">
        <f>'Economic (2020 Adj.)'!F117</f>
        <v>3354.6</v>
      </c>
      <c r="Y105" s="37">
        <f>'Economic (2020 Adj.)'!H117</f>
        <v>413.1</v>
      </c>
      <c r="Z105" s="37">
        <f>'Economic (2020 Adj.)'!E117</f>
        <v>7356</v>
      </c>
      <c r="AA105" s="37">
        <f>'Economic (2020 Adj.)'!G117</f>
        <v>3390.3</v>
      </c>
      <c r="AB105" s="37">
        <f>'Economic (2020 Adj.)'!I117</f>
        <v>416.3</v>
      </c>
      <c r="AC105" s="39">
        <f>Weather!D237</f>
        <v>23.283870967741933</v>
      </c>
      <c r="AD105" s="39">
        <f>Weather!E237</f>
        <v>5.8000000000000007</v>
      </c>
      <c r="AE105" s="39">
        <f>Weather!F237</f>
        <v>107.60000000000002</v>
      </c>
      <c r="AF105" s="39">
        <f>Weather!G237</f>
        <v>1.3000000000000007</v>
      </c>
      <c r="AG105" s="39">
        <f>Weather!H237</f>
        <v>165.10000000000002</v>
      </c>
      <c r="AH105" s="39">
        <f>Weather!I237</f>
        <v>0</v>
      </c>
      <c r="AI105" s="39">
        <f>Weather!J237</f>
        <v>225.8</v>
      </c>
      <c r="AJ105" s="39">
        <f>Weather!K237</f>
        <v>0</v>
      </c>
      <c r="AK105" s="39">
        <f>Weather!L237</f>
        <v>287.79999999999995</v>
      </c>
      <c r="AL105" s="39">
        <f>Weather!M237</f>
        <v>0</v>
      </c>
      <c r="AM105" s="39">
        <f>Weather!N237</f>
        <v>349.79999999999995</v>
      </c>
      <c r="AN105" s="39">
        <f>Weather!O237</f>
        <v>0</v>
      </c>
      <c r="AO105" s="39">
        <f>Weather!P237</f>
        <v>411.7999999999999</v>
      </c>
      <c r="AP105" s="39">
        <f>Weather!Q237</f>
        <v>0</v>
      </c>
      <c r="AQ105" s="39">
        <f>Weather!R237</f>
        <v>473.7999999999999</v>
      </c>
      <c r="AR105" s="201">
        <v>0</v>
      </c>
      <c r="AS105" s="201">
        <v>0</v>
      </c>
      <c r="AT105" s="201">
        <v>0</v>
      </c>
      <c r="AU105" s="201">
        <v>0</v>
      </c>
      <c r="AV105" s="201">
        <v>0</v>
      </c>
      <c r="AW105" s="201">
        <v>0</v>
      </c>
      <c r="AX105" s="201">
        <v>0</v>
      </c>
      <c r="AY105" s="201">
        <v>1</v>
      </c>
      <c r="AZ105" s="201">
        <v>0</v>
      </c>
      <c r="BA105" s="201">
        <v>0</v>
      </c>
      <c r="BB105" s="201">
        <v>0</v>
      </c>
      <c r="BC105" s="201">
        <v>0</v>
      </c>
      <c r="BD105" s="201">
        <v>0</v>
      </c>
      <c r="BE105" s="201">
        <v>0</v>
      </c>
      <c r="BF105" s="201">
        <v>0</v>
      </c>
      <c r="BG105" s="202">
        <f t="shared" si="20"/>
        <v>104</v>
      </c>
      <c r="BH105" s="201">
        <v>31</v>
      </c>
      <c r="BI105" s="201">
        <v>22</v>
      </c>
      <c r="BJ105" s="160">
        <f t="shared" si="21"/>
        <v>1045.6607519108441</v>
      </c>
      <c r="BK105" s="160">
        <f t="shared" si="22"/>
        <v>33.730991997124001</v>
      </c>
      <c r="BL105" s="159">
        <f t="shared" si="23"/>
        <v>2055566.6523047367</v>
      </c>
      <c r="BM105" s="160">
        <f t="shared" si="24"/>
        <v>3136.2699171861259</v>
      </c>
      <c r="BN105" s="160">
        <f t="shared" si="25"/>
        <v>101.1699973285847</v>
      </c>
      <c r="BO105" s="160">
        <f t="shared" si="26"/>
        <v>552995.20539804408</v>
      </c>
      <c r="BP105" s="160">
        <f t="shared" si="27"/>
        <v>86523.053254476894</v>
      </c>
      <c r="BQ105" s="160">
        <f t="shared" si="28"/>
        <v>2791.0662340153835</v>
      </c>
      <c r="BR105" s="160">
        <f t="shared" si="29"/>
        <v>3932.8660570216771</v>
      </c>
      <c r="BS105" s="160">
        <f t="shared" si="30"/>
        <v>2707334.2469949224</v>
      </c>
      <c r="BT105" s="160">
        <f t="shared" si="31"/>
        <v>3814880.075311027</v>
      </c>
    </row>
    <row r="106" spans="1:72" x14ac:dyDescent="0.2">
      <c r="A106" s="204">
        <v>43344</v>
      </c>
      <c r="B106" s="205">
        <f t="shared" si="16"/>
        <v>2018</v>
      </c>
      <c r="C106" s="203">
        <v>48255985</v>
      </c>
      <c r="D106" s="203">
        <f>VLOOKUP(B106,CDM!$I$5:$N$15,2,FALSE)/12</f>
        <v>3038147.2214468326</v>
      </c>
      <c r="E106" s="203">
        <f t="shared" si="17"/>
        <v>51294132.221446835</v>
      </c>
      <c r="F106" s="206">
        <v>60973</v>
      </c>
      <c r="G106" s="206">
        <v>14295949</v>
      </c>
      <c r="H106" s="206">
        <v>5466</v>
      </c>
      <c r="I106" s="203">
        <f>VLOOKUP(B106,CDM!$I$5:$N$15,3,FALSE)/12</f>
        <v>1010612.3673393656</v>
      </c>
      <c r="J106" s="203">
        <f t="shared" si="18"/>
        <v>15306561.367339365</v>
      </c>
      <c r="K106" s="206">
        <v>72439191</v>
      </c>
      <c r="L106" s="203">
        <f>VLOOKUP(B106,CDM!$I$5:$N$15,4,FALSE)/12</f>
        <v>3957126.6568425861</v>
      </c>
      <c r="M106" s="87">
        <f t="shared" si="19"/>
        <v>76396317.656842589</v>
      </c>
      <c r="N106" s="206">
        <v>206092</v>
      </c>
      <c r="O106" s="206">
        <v>974</v>
      </c>
      <c r="P106" s="206">
        <v>487042.4</v>
      </c>
      <c r="Q106" s="206">
        <v>1407</v>
      </c>
      <c r="R106" s="206">
        <v>17184</v>
      </c>
      <c r="S106" s="206">
        <v>260813</v>
      </c>
      <c r="T106" s="202">
        <v>24</v>
      </c>
      <c r="U106" s="202">
        <v>563</v>
      </c>
      <c r="V106" s="37">
        <f>'Economic (2020 Adj.)'!C118</f>
        <v>730276.2</v>
      </c>
      <c r="W106" s="37">
        <f>'Economic (2020 Adj.)'!D118</f>
        <v>7268.1</v>
      </c>
      <c r="X106" s="37">
        <f>'Economic (2020 Adj.)'!F118</f>
        <v>3347.2</v>
      </c>
      <c r="Y106" s="37">
        <f>'Economic (2020 Adj.)'!H118</f>
        <v>411.2</v>
      </c>
      <c r="Z106" s="37">
        <f>'Economic (2020 Adj.)'!E118</f>
        <v>7315.2</v>
      </c>
      <c r="AA106" s="37">
        <f>'Economic (2020 Adj.)'!G118</f>
        <v>3361.9</v>
      </c>
      <c r="AB106" s="37">
        <f>'Economic (2020 Adj.)'!I118</f>
        <v>412.4</v>
      </c>
      <c r="AC106" s="39">
        <f>Weather!D238</f>
        <v>19.446666666666669</v>
      </c>
      <c r="AD106" s="39">
        <f>Weather!E238</f>
        <v>57.199999999999996</v>
      </c>
      <c r="AE106" s="39">
        <f>Weather!F238</f>
        <v>40.599999999999994</v>
      </c>
      <c r="AF106" s="39">
        <f>Weather!G238</f>
        <v>27.800000000000004</v>
      </c>
      <c r="AG106" s="39">
        <f>Weather!H238</f>
        <v>71.199999999999989</v>
      </c>
      <c r="AH106" s="39">
        <f>Weather!I238</f>
        <v>11.300000000000002</v>
      </c>
      <c r="AI106" s="39">
        <f>Weather!J238</f>
        <v>114.70000000000003</v>
      </c>
      <c r="AJ106" s="39">
        <f>Weather!K238</f>
        <v>2.0000000000000018</v>
      </c>
      <c r="AK106" s="39">
        <f>Weather!L238</f>
        <v>165.40000000000003</v>
      </c>
      <c r="AL106" s="39">
        <f>Weather!M238</f>
        <v>0</v>
      </c>
      <c r="AM106" s="39">
        <f>Weather!N238</f>
        <v>223.39999999999998</v>
      </c>
      <c r="AN106" s="39">
        <f>Weather!O238</f>
        <v>0</v>
      </c>
      <c r="AO106" s="39">
        <f>Weather!P238</f>
        <v>283.39999999999998</v>
      </c>
      <c r="AP106" s="39">
        <f>Weather!Q238</f>
        <v>0</v>
      </c>
      <c r="AQ106" s="39">
        <f>Weather!R238</f>
        <v>343.39999999999992</v>
      </c>
      <c r="AR106" s="201">
        <v>0</v>
      </c>
      <c r="AS106" s="201">
        <v>0</v>
      </c>
      <c r="AT106" s="201">
        <v>0</v>
      </c>
      <c r="AU106" s="201">
        <v>0</v>
      </c>
      <c r="AV106" s="201">
        <v>0</v>
      </c>
      <c r="AW106" s="201">
        <v>0</v>
      </c>
      <c r="AX106" s="201">
        <v>0</v>
      </c>
      <c r="AY106" s="201">
        <v>0</v>
      </c>
      <c r="AZ106" s="201">
        <v>1</v>
      </c>
      <c r="BA106" s="201">
        <v>0</v>
      </c>
      <c r="BB106" s="201">
        <v>0</v>
      </c>
      <c r="BC106" s="201">
        <v>0</v>
      </c>
      <c r="BD106" s="201">
        <v>0</v>
      </c>
      <c r="BE106" s="201">
        <v>1</v>
      </c>
      <c r="BF106" s="201">
        <v>1</v>
      </c>
      <c r="BG106" s="202">
        <f t="shared" si="20"/>
        <v>105</v>
      </c>
      <c r="BH106" s="201">
        <v>30</v>
      </c>
      <c r="BI106" s="201">
        <v>19</v>
      </c>
      <c r="BJ106" s="160">
        <f t="shared" si="21"/>
        <v>841.2597743500703</v>
      </c>
      <c r="BK106" s="160">
        <f t="shared" si="22"/>
        <v>28.041992478335676</v>
      </c>
      <c r="BL106" s="159">
        <f t="shared" si="23"/>
        <v>1709804.4073815611</v>
      </c>
      <c r="BM106" s="160">
        <f t="shared" si="24"/>
        <v>2800.322240640206</v>
      </c>
      <c r="BN106" s="160">
        <f t="shared" si="25"/>
        <v>93.34407468800687</v>
      </c>
      <c r="BO106" s="160">
        <f t="shared" si="26"/>
        <v>510218.71224464552</v>
      </c>
      <c r="BP106" s="160">
        <f t="shared" si="27"/>
        <v>78435.6444115427</v>
      </c>
      <c r="BQ106" s="160">
        <f t="shared" si="28"/>
        <v>2614.5214803847566</v>
      </c>
      <c r="BR106" s="160">
        <f t="shared" si="29"/>
        <v>4128.1918111338264</v>
      </c>
      <c r="BS106" s="160">
        <f t="shared" si="30"/>
        <v>2546543.9218947529</v>
      </c>
      <c r="BT106" s="160">
        <f t="shared" si="31"/>
        <v>4020858.8240443468</v>
      </c>
    </row>
    <row r="107" spans="1:72" x14ac:dyDescent="0.2">
      <c r="A107" s="204">
        <v>43374</v>
      </c>
      <c r="B107" s="205">
        <f t="shared" si="16"/>
        <v>2018</v>
      </c>
      <c r="C107" s="203">
        <v>37999906</v>
      </c>
      <c r="D107" s="203">
        <f>VLOOKUP(B107,CDM!$I$5:$N$15,2,FALSE)/12</f>
        <v>3038147.2214468326</v>
      </c>
      <c r="E107" s="203">
        <f t="shared" si="17"/>
        <v>41038053.221446835</v>
      </c>
      <c r="F107" s="206">
        <v>60992</v>
      </c>
      <c r="G107" s="206">
        <v>13367196</v>
      </c>
      <c r="H107" s="206">
        <v>5469</v>
      </c>
      <c r="I107" s="203">
        <f>VLOOKUP(B107,CDM!$I$5:$N$15,3,FALSE)/12</f>
        <v>1010612.3673393656</v>
      </c>
      <c r="J107" s="203">
        <f t="shared" si="18"/>
        <v>14377808.367339365</v>
      </c>
      <c r="K107" s="206">
        <v>68627728</v>
      </c>
      <c r="L107" s="203">
        <f>VLOOKUP(B107,CDM!$I$5:$N$15,4,FALSE)/12</f>
        <v>3957126.6568425861</v>
      </c>
      <c r="M107" s="87">
        <f t="shared" si="19"/>
        <v>72584854.656842589</v>
      </c>
      <c r="N107" s="206">
        <v>205563</v>
      </c>
      <c r="O107" s="206">
        <v>972</v>
      </c>
      <c r="P107" s="206">
        <v>541847.9</v>
      </c>
      <c r="Q107" s="206">
        <v>1343.3</v>
      </c>
      <c r="R107" s="206">
        <v>17184</v>
      </c>
      <c r="S107" s="206">
        <v>261271</v>
      </c>
      <c r="T107" s="202">
        <v>24</v>
      </c>
      <c r="U107" s="202">
        <v>563</v>
      </c>
      <c r="V107" s="37">
        <f>'Economic (2020 Adj.)'!C119</f>
        <v>730276.2</v>
      </c>
      <c r="W107" s="37">
        <f>'Economic (2020 Adj.)'!D119</f>
        <v>7253</v>
      </c>
      <c r="X107" s="37">
        <f>'Economic (2020 Adj.)'!F119</f>
        <v>3346.6</v>
      </c>
      <c r="Y107" s="37">
        <f>'Economic (2020 Adj.)'!H119</f>
        <v>411.9</v>
      </c>
      <c r="Z107" s="37">
        <f>'Economic (2020 Adj.)'!E119</f>
        <v>7274.4</v>
      </c>
      <c r="AA107" s="37">
        <f>'Economic (2020 Adj.)'!G119</f>
        <v>3341.9</v>
      </c>
      <c r="AB107" s="37">
        <f>'Economic (2020 Adj.)'!I119</f>
        <v>412.1</v>
      </c>
      <c r="AC107" s="39">
        <f>Weather!D239</f>
        <v>10.645161290322582</v>
      </c>
      <c r="AD107" s="39">
        <f>Weather!E239</f>
        <v>295.49999999999989</v>
      </c>
      <c r="AE107" s="39">
        <f>Weather!F239</f>
        <v>5.5</v>
      </c>
      <c r="AF107" s="39">
        <f>Weather!G239</f>
        <v>237.49999999999997</v>
      </c>
      <c r="AG107" s="39">
        <f>Weather!H239</f>
        <v>9.5</v>
      </c>
      <c r="AH107" s="39">
        <f>Weather!I239</f>
        <v>182.2</v>
      </c>
      <c r="AI107" s="39">
        <f>Weather!J239</f>
        <v>16.2</v>
      </c>
      <c r="AJ107" s="39">
        <f>Weather!K239</f>
        <v>132.70000000000002</v>
      </c>
      <c r="AK107" s="39">
        <f>Weather!L239</f>
        <v>28.7</v>
      </c>
      <c r="AL107" s="39">
        <f>Weather!M239</f>
        <v>88.200000000000031</v>
      </c>
      <c r="AM107" s="39">
        <f>Weather!N239</f>
        <v>46.2</v>
      </c>
      <c r="AN107" s="39">
        <f>Weather!O239</f>
        <v>50.199999999999996</v>
      </c>
      <c r="AO107" s="39">
        <f>Weather!P239</f>
        <v>70.2</v>
      </c>
      <c r="AP107" s="39">
        <f>Weather!Q239</f>
        <v>20.599999999999994</v>
      </c>
      <c r="AQ107" s="39">
        <f>Weather!R239</f>
        <v>102.60000000000001</v>
      </c>
      <c r="AR107" s="201">
        <v>0</v>
      </c>
      <c r="AS107" s="201">
        <v>0</v>
      </c>
      <c r="AT107" s="201">
        <v>0</v>
      </c>
      <c r="AU107" s="201">
        <v>0</v>
      </c>
      <c r="AV107" s="201">
        <v>0</v>
      </c>
      <c r="AW107" s="201">
        <v>0</v>
      </c>
      <c r="AX107" s="201">
        <v>0</v>
      </c>
      <c r="AY107" s="201">
        <v>0</v>
      </c>
      <c r="AZ107" s="201">
        <v>0</v>
      </c>
      <c r="BA107" s="201">
        <v>1</v>
      </c>
      <c r="BB107" s="201">
        <v>0</v>
      </c>
      <c r="BC107" s="201">
        <v>0</v>
      </c>
      <c r="BD107" s="201">
        <v>0</v>
      </c>
      <c r="BE107" s="201">
        <v>1</v>
      </c>
      <c r="BF107" s="201">
        <v>1</v>
      </c>
      <c r="BG107" s="202">
        <f t="shared" si="20"/>
        <v>106</v>
      </c>
      <c r="BH107" s="201">
        <v>31</v>
      </c>
      <c r="BI107" s="201">
        <v>22</v>
      </c>
      <c r="BJ107" s="160">
        <f t="shared" si="21"/>
        <v>672.84321257618763</v>
      </c>
      <c r="BK107" s="160">
        <f t="shared" si="22"/>
        <v>21.704619760522181</v>
      </c>
      <c r="BL107" s="159">
        <f t="shared" si="23"/>
        <v>1323808.1684337689</v>
      </c>
      <c r="BM107" s="160">
        <f t="shared" si="24"/>
        <v>2628.9647773522333</v>
      </c>
      <c r="BN107" s="160">
        <f t="shared" si="25"/>
        <v>84.805315398459143</v>
      </c>
      <c r="BO107" s="160">
        <f t="shared" si="26"/>
        <v>463800.26991417306</v>
      </c>
      <c r="BP107" s="160">
        <f t="shared" si="27"/>
        <v>74675.776395928595</v>
      </c>
      <c r="BQ107" s="160">
        <f t="shared" si="28"/>
        <v>2408.8960127718901</v>
      </c>
      <c r="BR107" s="160">
        <f t="shared" si="29"/>
        <v>3394.3534725422087</v>
      </c>
      <c r="BS107" s="160">
        <f t="shared" si="30"/>
        <v>2341446.9244142771</v>
      </c>
      <c r="BT107" s="160">
        <f t="shared" si="31"/>
        <v>3299311.575311027</v>
      </c>
    </row>
    <row r="108" spans="1:72" x14ac:dyDescent="0.2">
      <c r="A108" s="204">
        <v>43405</v>
      </c>
      <c r="B108" s="205">
        <f t="shared" si="16"/>
        <v>2018</v>
      </c>
      <c r="C108" s="203">
        <v>38116428</v>
      </c>
      <c r="D108" s="203">
        <f>VLOOKUP(B108,CDM!$I$5:$N$15,2,FALSE)/12</f>
        <v>3038147.2214468326</v>
      </c>
      <c r="E108" s="203">
        <f t="shared" si="17"/>
        <v>41154575.221446835</v>
      </c>
      <c r="F108" s="206">
        <v>61031</v>
      </c>
      <c r="G108" s="206">
        <v>13835360</v>
      </c>
      <c r="H108" s="206">
        <v>5496</v>
      </c>
      <c r="I108" s="203">
        <f>VLOOKUP(B108,CDM!$I$5:$N$15,3,FALSE)/12</f>
        <v>1010612.3673393656</v>
      </c>
      <c r="J108" s="203">
        <f t="shared" si="18"/>
        <v>14845972.367339365</v>
      </c>
      <c r="K108" s="206">
        <v>68344175</v>
      </c>
      <c r="L108" s="203">
        <f>VLOOKUP(B108,CDM!$I$5:$N$15,4,FALSE)/12</f>
        <v>3957126.6568425861</v>
      </c>
      <c r="M108" s="87">
        <f t="shared" si="19"/>
        <v>72301301.656842589</v>
      </c>
      <c r="N108" s="206">
        <v>205844</v>
      </c>
      <c r="O108" s="206">
        <v>972</v>
      </c>
      <c r="P108" s="206">
        <v>565178.5</v>
      </c>
      <c r="Q108" s="206">
        <v>1317.1</v>
      </c>
      <c r="R108" s="206">
        <v>17184</v>
      </c>
      <c r="S108" s="206">
        <v>260703</v>
      </c>
      <c r="T108" s="202">
        <v>24</v>
      </c>
      <c r="U108" s="202">
        <v>562</v>
      </c>
      <c r="V108" s="37">
        <f>'Economic (2020 Adj.)'!C120</f>
        <v>730276.2</v>
      </c>
      <c r="W108" s="37">
        <f>'Economic (2020 Adj.)'!D120</f>
        <v>7273.5</v>
      </c>
      <c r="X108" s="37">
        <f>'Economic (2020 Adj.)'!F120</f>
        <v>3365.9</v>
      </c>
      <c r="Y108" s="37">
        <f>'Economic (2020 Adj.)'!H120</f>
        <v>416</v>
      </c>
      <c r="Z108" s="37">
        <f>'Economic (2020 Adj.)'!E120</f>
        <v>7279</v>
      </c>
      <c r="AA108" s="37">
        <f>'Economic (2020 Adj.)'!G120</f>
        <v>3354.2</v>
      </c>
      <c r="AB108" s="37">
        <f>'Economic (2020 Adj.)'!I120</f>
        <v>415.5</v>
      </c>
      <c r="AC108" s="39">
        <f>Weather!D240</f>
        <v>2.9200000000000004</v>
      </c>
      <c r="AD108" s="39">
        <f>Weather!E240</f>
        <v>512.4</v>
      </c>
      <c r="AE108" s="39">
        <f>Weather!F240</f>
        <v>0</v>
      </c>
      <c r="AF108" s="39">
        <f>Weather!G240</f>
        <v>452.40000000000003</v>
      </c>
      <c r="AG108" s="39">
        <f>Weather!H240</f>
        <v>0</v>
      </c>
      <c r="AH108" s="39">
        <f>Weather!I240</f>
        <v>392.40000000000003</v>
      </c>
      <c r="AI108" s="39">
        <f>Weather!J240</f>
        <v>0</v>
      </c>
      <c r="AJ108" s="39">
        <f>Weather!K240</f>
        <v>332.40000000000003</v>
      </c>
      <c r="AK108" s="39">
        <f>Weather!L240</f>
        <v>0</v>
      </c>
      <c r="AL108" s="39">
        <f>Weather!M240</f>
        <v>272.40000000000003</v>
      </c>
      <c r="AM108" s="39">
        <f>Weather!N240</f>
        <v>0</v>
      </c>
      <c r="AN108" s="39">
        <f>Weather!O240</f>
        <v>214.10000000000002</v>
      </c>
      <c r="AO108" s="39">
        <f>Weather!P240</f>
        <v>1.6999999999999993</v>
      </c>
      <c r="AP108" s="39">
        <f>Weather!Q240</f>
        <v>157.90000000000003</v>
      </c>
      <c r="AQ108" s="39">
        <f>Weather!R240</f>
        <v>5.5</v>
      </c>
      <c r="AR108" s="201">
        <v>0</v>
      </c>
      <c r="AS108" s="201">
        <v>0</v>
      </c>
      <c r="AT108" s="201">
        <v>0</v>
      </c>
      <c r="AU108" s="201">
        <v>0</v>
      </c>
      <c r="AV108" s="201">
        <v>0</v>
      </c>
      <c r="AW108" s="201">
        <v>0</v>
      </c>
      <c r="AX108" s="201">
        <v>0</v>
      </c>
      <c r="AY108" s="201">
        <v>0</v>
      </c>
      <c r="AZ108" s="201">
        <v>0</v>
      </c>
      <c r="BA108" s="201">
        <v>0</v>
      </c>
      <c r="BB108" s="201">
        <v>1</v>
      </c>
      <c r="BC108" s="201">
        <v>0</v>
      </c>
      <c r="BD108" s="201">
        <v>0</v>
      </c>
      <c r="BE108" s="201">
        <v>1</v>
      </c>
      <c r="BF108" s="201">
        <v>1</v>
      </c>
      <c r="BG108" s="202">
        <f t="shared" si="20"/>
        <v>107</v>
      </c>
      <c r="BH108" s="201">
        <v>30</v>
      </c>
      <c r="BI108" s="201">
        <v>22</v>
      </c>
      <c r="BJ108" s="160">
        <f t="shared" si="21"/>
        <v>674.32247909172122</v>
      </c>
      <c r="BK108" s="160">
        <f t="shared" si="22"/>
        <v>22.477415969724042</v>
      </c>
      <c r="BL108" s="159">
        <f t="shared" si="23"/>
        <v>1371819.1740482277</v>
      </c>
      <c r="BM108" s="160">
        <f t="shared" si="24"/>
        <v>2701.2322356876575</v>
      </c>
      <c r="BN108" s="160">
        <f t="shared" si="25"/>
        <v>90.041074522921917</v>
      </c>
      <c r="BO108" s="160">
        <f t="shared" si="26"/>
        <v>494865.74557797884</v>
      </c>
      <c r="BP108" s="160">
        <f t="shared" si="27"/>
        <v>74384.055202512958</v>
      </c>
      <c r="BQ108" s="160">
        <f t="shared" si="28"/>
        <v>2479.468506750432</v>
      </c>
      <c r="BR108" s="160">
        <f t="shared" si="29"/>
        <v>3381.0934182960436</v>
      </c>
      <c r="BS108" s="160">
        <f t="shared" si="30"/>
        <v>2410043.3885614197</v>
      </c>
      <c r="BT108" s="160">
        <f t="shared" si="31"/>
        <v>3286422.8025837541</v>
      </c>
    </row>
    <row r="109" spans="1:72" x14ac:dyDescent="0.2">
      <c r="A109" s="204">
        <v>43435</v>
      </c>
      <c r="B109" s="205">
        <f t="shared" si="16"/>
        <v>2018</v>
      </c>
      <c r="C109" s="203">
        <v>43149882</v>
      </c>
      <c r="D109" s="203">
        <f>VLOOKUP(B109,CDM!$I$5:$N$15,2,FALSE)/12</f>
        <v>3038147.2214468326</v>
      </c>
      <c r="E109" s="203">
        <f t="shared" si="17"/>
        <v>46188029.221446835</v>
      </c>
      <c r="F109" s="206">
        <v>61253</v>
      </c>
      <c r="G109" s="206">
        <v>14685286</v>
      </c>
      <c r="H109" s="206">
        <v>5494</v>
      </c>
      <c r="I109" s="203">
        <f>VLOOKUP(B109,CDM!$I$5:$N$15,3,FALSE)/12</f>
        <v>1010612.3673393656</v>
      </c>
      <c r="J109" s="203">
        <f t="shared" si="18"/>
        <v>15695898.367339365</v>
      </c>
      <c r="K109" s="206">
        <v>67665402</v>
      </c>
      <c r="L109" s="203">
        <f>VLOOKUP(B109,CDM!$I$5:$N$15,4,FALSE)/12</f>
        <v>3957126.6568425861</v>
      </c>
      <c r="M109" s="87">
        <f t="shared" si="19"/>
        <v>71622528.656842589</v>
      </c>
      <c r="N109" s="206">
        <v>169863</v>
      </c>
      <c r="O109" s="206">
        <v>974</v>
      </c>
      <c r="P109" s="206">
        <v>597310.9</v>
      </c>
      <c r="Q109" s="206">
        <v>1287.2</v>
      </c>
      <c r="R109" s="206">
        <v>17184</v>
      </c>
      <c r="S109" s="206">
        <v>264008</v>
      </c>
      <c r="T109" s="202">
        <v>24</v>
      </c>
      <c r="U109" s="202">
        <v>562</v>
      </c>
      <c r="V109" s="37">
        <f>'Economic (2020 Adj.)'!C121</f>
        <v>730276.2</v>
      </c>
      <c r="W109" s="37">
        <f>'Economic (2020 Adj.)'!D121</f>
        <v>7289.2</v>
      </c>
      <c r="X109" s="37">
        <f>'Economic (2020 Adj.)'!F121</f>
        <v>3382.8</v>
      </c>
      <c r="Y109" s="37">
        <f>'Economic (2020 Adj.)'!H121</f>
        <v>419.2</v>
      </c>
      <c r="Z109" s="37">
        <f>'Economic (2020 Adj.)'!E121</f>
        <v>7302.7</v>
      </c>
      <c r="AA109" s="37">
        <f>'Economic (2020 Adj.)'!G121</f>
        <v>3380.9</v>
      </c>
      <c r="AB109" s="37">
        <f>'Economic (2020 Adj.)'!I121</f>
        <v>420.7</v>
      </c>
      <c r="AC109" s="39">
        <f>Weather!D241</f>
        <v>1.3548387096774193</v>
      </c>
      <c r="AD109" s="39">
        <f>Weather!E241</f>
        <v>578.00000000000011</v>
      </c>
      <c r="AE109" s="39">
        <f>Weather!F241</f>
        <v>0</v>
      </c>
      <c r="AF109" s="39">
        <f>Weather!G241</f>
        <v>516.00000000000011</v>
      </c>
      <c r="AG109" s="39">
        <f>Weather!H241</f>
        <v>0</v>
      </c>
      <c r="AH109" s="39">
        <f>Weather!I241</f>
        <v>454.00000000000006</v>
      </c>
      <c r="AI109" s="39">
        <f>Weather!J241</f>
        <v>0</v>
      </c>
      <c r="AJ109" s="39">
        <f>Weather!K241</f>
        <v>392.00000000000006</v>
      </c>
      <c r="AK109" s="39">
        <f>Weather!L241</f>
        <v>0</v>
      </c>
      <c r="AL109" s="39">
        <f>Weather!M241</f>
        <v>330</v>
      </c>
      <c r="AM109" s="39">
        <f>Weather!N241</f>
        <v>0</v>
      </c>
      <c r="AN109" s="39">
        <f>Weather!O241</f>
        <v>267.99999999999994</v>
      </c>
      <c r="AO109" s="39">
        <f>Weather!P241</f>
        <v>0</v>
      </c>
      <c r="AP109" s="39">
        <f>Weather!Q241</f>
        <v>205.99999999999994</v>
      </c>
      <c r="AQ109" s="39">
        <f>Weather!R241</f>
        <v>0</v>
      </c>
      <c r="AR109" s="201">
        <v>0</v>
      </c>
      <c r="AS109" s="201">
        <v>0</v>
      </c>
      <c r="AT109" s="201">
        <v>0</v>
      </c>
      <c r="AU109" s="201">
        <v>0</v>
      </c>
      <c r="AV109" s="201">
        <v>0</v>
      </c>
      <c r="AW109" s="201">
        <v>0</v>
      </c>
      <c r="AX109" s="201">
        <v>0</v>
      </c>
      <c r="AY109" s="201">
        <v>0</v>
      </c>
      <c r="AZ109" s="201">
        <v>0</v>
      </c>
      <c r="BA109" s="201">
        <v>0</v>
      </c>
      <c r="BB109" s="201">
        <v>0</v>
      </c>
      <c r="BC109" s="201">
        <v>1</v>
      </c>
      <c r="BD109" s="201">
        <v>0</v>
      </c>
      <c r="BE109" s="201">
        <v>0</v>
      </c>
      <c r="BF109" s="201">
        <v>0</v>
      </c>
      <c r="BG109" s="202">
        <f t="shared" si="20"/>
        <v>108</v>
      </c>
      <c r="BH109" s="201">
        <v>31</v>
      </c>
      <c r="BI109" s="201">
        <v>19</v>
      </c>
      <c r="BJ109" s="160">
        <f t="shared" si="21"/>
        <v>754.05333977840814</v>
      </c>
      <c r="BK109" s="160">
        <f t="shared" si="22"/>
        <v>24.324301283174457</v>
      </c>
      <c r="BL109" s="159">
        <f t="shared" si="23"/>
        <v>1489936.426498285</v>
      </c>
      <c r="BM109" s="160">
        <f t="shared" si="24"/>
        <v>2856.9163391589673</v>
      </c>
      <c r="BN109" s="160">
        <f t="shared" si="25"/>
        <v>92.158591585773138</v>
      </c>
      <c r="BO109" s="160">
        <f t="shared" si="26"/>
        <v>506319.3021722376</v>
      </c>
      <c r="BP109" s="160">
        <f t="shared" si="27"/>
        <v>73534.423672322984</v>
      </c>
      <c r="BQ109" s="160">
        <f t="shared" si="28"/>
        <v>2372.0781829781608</v>
      </c>
      <c r="BR109" s="160">
        <f t="shared" si="29"/>
        <v>3870.2328248591043</v>
      </c>
      <c r="BS109" s="160">
        <f t="shared" si="30"/>
        <v>2310404.1502207285</v>
      </c>
      <c r="BT109" s="160">
        <f t="shared" si="31"/>
        <v>3769606.7714127679</v>
      </c>
    </row>
    <row r="110" spans="1:72" x14ac:dyDescent="0.2">
      <c r="A110" s="204">
        <v>43466</v>
      </c>
      <c r="B110" s="205">
        <f t="shared" si="16"/>
        <v>2019</v>
      </c>
      <c r="C110" s="203">
        <v>44752329</v>
      </c>
      <c r="D110" s="203">
        <f>VLOOKUP(B110,CDM!$I$5:$N$15,2,FALSE)/12</f>
        <v>3193894.2267185394</v>
      </c>
      <c r="E110" s="203">
        <f t="shared" si="17"/>
        <v>47946223.226718538</v>
      </c>
      <c r="F110" s="206">
        <v>61267</v>
      </c>
      <c r="G110" s="206">
        <v>15650151</v>
      </c>
      <c r="H110" s="206">
        <v>5499</v>
      </c>
      <c r="I110" s="203">
        <f>VLOOKUP(B110,CDM!$I$5:$N$15,3,FALSE)/12</f>
        <v>1180224.0660787106</v>
      </c>
      <c r="J110" s="203">
        <f t="shared" si="18"/>
        <v>16830375.066078711</v>
      </c>
      <c r="K110" s="206">
        <v>74411457</v>
      </c>
      <c r="L110" s="203">
        <f>VLOOKUP(B110,CDM!$I$5:$N$15,4,FALSE)/12</f>
        <v>4390209.5678070653</v>
      </c>
      <c r="M110" s="87">
        <f t="shared" si="19"/>
        <v>78801666.567807063</v>
      </c>
      <c r="N110" s="206">
        <v>179535</v>
      </c>
      <c r="O110" s="206">
        <v>974</v>
      </c>
      <c r="P110" s="206">
        <v>583065.5</v>
      </c>
      <c r="Q110" s="206">
        <v>1287.2</v>
      </c>
      <c r="R110" s="206">
        <v>17184</v>
      </c>
      <c r="S110" s="206">
        <v>262538</v>
      </c>
      <c r="T110" s="202">
        <v>24</v>
      </c>
      <c r="U110" s="202">
        <v>559</v>
      </c>
      <c r="V110" s="37">
        <f>'Economic (2020 Adj.)'!C122</f>
        <v>744439.6</v>
      </c>
      <c r="W110" s="37">
        <f>'Economic (2020 Adj.)'!D122</f>
        <v>7315.7</v>
      </c>
      <c r="X110" s="37">
        <f>'Economic (2020 Adj.)'!F122</f>
        <v>3394.9</v>
      </c>
      <c r="Y110" s="37">
        <f>'Economic (2020 Adj.)'!H122</f>
        <v>420.6</v>
      </c>
      <c r="Z110" s="37">
        <f>'Economic (2020 Adj.)'!E122</f>
        <v>7293.3</v>
      </c>
      <c r="AA110" s="37">
        <f>'Economic (2020 Adj.)'!G122</f>
        <v>3386.2</v>
      </c>
      <c r="AB110" s="37">
        <f>'Economic (2020 Adj.)'!I122</f>
        <v>420.6</v>
      </c>
      <c r="AC110" s="39">
        <f>Weather!D242</f>
        <v>-4.580645161290323</v>
      </c>
      <c r="AD110" s="39">
        <f>Weather!E242</f>
        <v>762</v>
      </c>
      <c r="AE110" s="39">
        <f>Weather!F242</f>
        <v>0</v>
      </c>
      <c r="AF110" s="39">
        <f>Weather!G242</f>
        <v>700</v>
      </c>
      <c r="AG110" s="39">
        <f>Weather!H242</f>
        <v>0</v>
      </c>
      <c r="AH110" s="39">
        <f>Weather!I242</f>
        <v>638</v>
      </c>
      <c r="AI110" s="39">
        <f>Weather!J242</f>
        <v>0</v>
      </c>
      <c r="AJ110" s="39">
        <f>Weather!K242</f>
        <v>576</v>
      </c>
      <c r="AK110" s="39">
        <f>Weather!L242</f>
        <v>0</v>
      </c>
      <c r="AL110" s="39">
        <f>Weather!M242</f>
        <v>514</v>
      </c>
      <c r="AM110" s="39">
        <f>Weather!N242</f>
        <v>0</v>
      </c>
      <c r="AN110" s="39">
        <f>Weather!O242</f>
        <v>452.00000000000006</v>
      </c>
      <c r="AO110" s="39">
        <f>Weather!P242</f>
        <v>0</v>
      </c>
      <c r="AP110" s="39">
        <f>Weather!Q242</f>
        <v>390.00000000000006</v>
      </c>
      <c r="AQ110" s="39">
        <f>Weather!R242</f>
        <v>0</v>
      </c>
      <c r="AR110" s="201">
        <v>1</v>
      </c>
      <c r="AS110" s="201">
        <v>0</v>
      </c>
      <c r="AT110" s="201">
        <v>0</v>
      </c>
      <c r="AU110" s="201">
        <v>0</v>
      </c>
      <c r="AV110" s="201">
        <v>0</v>
      </c>
      <c r="AW110" s="201">
        <v>0</v>
      </c>
      <c r="AX110" s="201">
        <v>0</v>
      </c>
      <c r="AY110" s="201">
        <v>0</v>
      </c>
      <c r="AZ110" s="201">
        <v>0</v>
      </c>
      <c r="BA110" s="201">
        <v>0</v>
      </c>
      <c r="BB110" s="201">
        <v>0</v>
      </c>
      <c r="BC110" s="201">
        <v>0</v>
      </c>
      <c r="BD110" s="202">
        <f>BD98</f>
        <v>0</v>
      </c>
      <c r="BE110" s="202">
        <f t="shared" ref="BE110:BF110" si="32">BE98</f>
        <v>0</v>
      </c>
      <c r="BF110" s="202">
        <f t="shared" si="32"/>
        <v>0</v>
      </c>
      <c r="BG110" s="202">
        <f t="shared" si="20"/>
        <v>109</v>
      </c>
      <c r="BH110" s="201">
        <f>BH62</f>
        <v>31</v>
      </c>
      <c r="BI110" s="201">
        <v>22</v>
      </c>
      <c r="BJ110" s="160">
        <f t="shared" si="21"/>
        <v>782.57827585353516</v>
      </c>
      <c r="BK110" s="160">
        <f t="shared" si="22"/>
        <v>25.244460511404359</v>
      </c>
      <c r="BL110" s="159">
        <f t="shared" si="23"/>
        <v>1546652.3621522109</v>
      </c>
      <c r="BM110" s="160">
        <f t="shared" si="24"/>
        <v>3060.6246710454102</v>
      </c>
      <c r="BN110" s="160">
        <f t="shared" si="25"/>
        <v>98.729828098239039</v>
      </c>
      <c r="BO110" s="160">
        <f t="shared" si="26"/>
        <v>542915.3247122165</v>
      </c>
      <c r="BP110" s="160">
        <f t="shared" si="27"/>
        <v>80905.201814996981</v>
      </c>
      <c r="BQ110" s="160">
        <f t="shared" si="28"/>
        <v>2609.8452198386121</v>
      </c>
      <c r="BR110" s="160">
        <f t="shared" si="29"/>
        <v>3677.5091734089538</v>
      </c>
      <c r="BS110" s="160">
        <f t="shared" si="30"/>
        <v>2541989.2441228083</v>
      </c>
      <c r="BT110" s="160">
        <f t="shared" si="31"/>
        <v>3581893.9349003211</v>
      </c>
    </row>
    <row r="111" spans="1:72" x14ac:dyDescent="0.2">
      <c r="A111" s="204">
        <v>43497</v>
      </c>
      <c r="B111" s="205">
        <f t="shared" si="16"/>
        <v>2019</v>
      </c>
      <c r="C111" s="203">
        <v>39641060</v>
      </c>
      <c r="D111" s="203">
        <f>VLOOKUP(B111,CDM!$I$5:$N$15,2,FALSE)/12</f>
        <v>3193894.2267185394</v>
      </c>
      <c r="E111" s="203">
        <f t="shared" si="17"/>
        <v>42834954.226718538</v>
      </c>
      <c r="F111" s="206">
        <v>61283</v>
      </c>
      <c r="G111" s="206">
        <v>14388779</v>
      </c>
      <c r="H111" s="206">
        <v>5507</v>
      </c>
      <c r="I111" s="203">
        <f>VLOOKUP(B111,CDM!$I$5:$N$15,3,FALSE)/12</f>
        <v>1180224.0660787106</v>
      </c>
      <c r="J111" s="203">
        <f t="shared" si="18"/>
        <v>15569003.066078711</v>
      </c>
      <c r="K111" s="206">
        <v>66941377</v>
      </c>
      <c r="L111" s="203">
        <f>VLOOKUP(B111,CDM!$I$5:$N$15,4,FALSE)/12</f>
        <v>4390209.5678070653</v>
      </c>
      <c r="M111" s="87">
        <f t="shared" si="19"/>
        <v>71331586.567807063</v>
      </c>
      <c r="N111" s="206">
        <v>190349</v>
      </c>
      <c r="O111" s="206">
        <v>972</v>
      </c>
      <c r="P111" s="206">
        <v>486224.5</v>
      </c>
      <c r="Q111" s="206">
        <v>1287.2</v>
      </c>
      <c r="R111" s="206">
        <v>17184</v>
      </c>
      <c r="S111" s="206">
        <v>261673</v>
      </c>
      <c r="T111" s="202">
        <v>24</v>
      </c>
      <c r="U111" s="202">
        <v>563</v>
      </c>
      <c r="V111" s="37">
        <f>'Economic (2020 Adj.)'!C123</f>
        <v>744439.6</v>
      </c>
      <c r="W111" s="37">
        <f>'Economic (2020 Adj.)'!D123</f>
        <v>7346.7</v>
      </c>
      <c r="X111" s="37">
        <f>'Economic (2020 Adj.)'!F123</f>
        <v>3412.3</v>
      </c>
      <c r="Y111" s="37">
        <f>'Economic (2020 Adj.)'!H123</f>
        <v>421.7</v>
      </c>
      <c r="Z111" s="37">
        <f>'Economic (2020 Adj.)'!E123</f>
        <v>7286.5</v>
      </c>
      <c r="AA111" s="37">
        <f>'Economic (2020 Adj.)'!G123</f>
        <v>3393.3</v>
      </c>
      <c r="AB111" s="37">
        <f>'Economic (2020 Adj.)'!I123</f>
        <v>419.8</v>
      </c>
      <c r="AC111" s="39">
        <f>Weather!D243</f>
        <v>-2.4178571428571423</v>
      </c>
      <c r="AD111" s="39">
        <f>Weather!E243</f>
        <v>627.70000000000005</v>
      </c>
      <c r="AE111" s="39">
        <f>Weather!F243</f>
        <v>0</v>
      </c>
      <c r="AF111" s="39">
        <f>Weather!G243</f>
        <v>571.70000000000016</v>
      </c>
      <c r="AG111" s="39">
        <f>Weather!H243</f>
        <v>0</v>
      </c>
      <c r="AH111" s="39">
        <f>Weather!I243</f>
        <v>515.70000000000005</v>
      </c>
      <c r="AI111" s="39">
        <f>Weather!J243</f>
        <v>0</v>
      </c>
      <c r="AJ111" s="39">
        <f>Weather!K243</f>
        <v>459.70000000000005</v>
      </c>
      <c r="AK111" s="39">
        <f>Weather!L243</f>
        <v>0</v>
      </c>
      <c r="AL111" s="39">
        <f>Weather!M243</f>
        <v>403.70000000000005</v>
      </c>
      <c r="AM111" s="39">
        <f>Weather!N243</f>
        <v>0</v>
      </c>
      <c r="AN111" s="39">
        <f>Weather!O243</f>
        <v>347.70000000000005</v>
      </c>
      <c r="AO111" s="39">
        <f>Weather!P243</f>
        <v>0</v>
      </c>
      <c r="AP111" s="39">
        <f>Weather!Q243</f>
        <v>293.70000000000005</v>
      </c>
      <c r="AQ111" s="39">
        <f>Weather!R243</f>
        <v>2</v>
      </c>
      <c r="AR111" s="201">
        <v>0</v>
      </c>
      <c r="AS111" s="201">
        <v>1</v>
      </c>
      <c r="AT111" s="201">
        <v>0</v>
      </c>
      <c r="AU111" s="201">
        <v>0</v>
      </c>
      <c r="AV111" s="201">
        <v>0</v>
      </c>
      <c r="AW111" s="201">
        <v>0</v>
      </c>
      <c r="AX111" s="201">
        <v>0</v>
      </c>
      <c r="AY111" s="201">
        <v>0</v>
      </c>
      <c r="AZ111" s="201">
        <v>0</v>
      </c>
      <c r="BA111" s="201">
        <v>0</v>
      </c>
      <c r="BB111" s="201">
        <v>0</v>
      </c>
      <c r="BC111" s="201">
        <v>0</v>
      </c>
      <c r="BD111" s="202">
        <f t="shared" ref="BD111:BF121" si="33">BD99</f>
        <v>0</v>
      </c>
      <c r="BE111" s="202">
        <f t="shared" si="33"/>
        <v>0</v>
      </c>
      <c r="BF111" s="202">
        <f t="shared" si="33"/>
        <v>0</v>
      </c>
      <c r="BG111" s="202">
        <f t="shared" si="20"/>
        <v>110</v>
      </c>
      <c r="BH111" s="201">
        <f t="shared" ref="BH111:BH128" si="34">BH63</f>
        <v>28</v>
      </c>
      <c r="BI111" s="201">
        <v>19</v>
      </c>
      <c r="BJ111" s="160">
        <f t="shared" si="21"/>
        <v>698.9696037517507</v>
      </c>
      <c r="BK111" s="160">
        <f t="shared" si="22"/>
        <v>24.963200133991098</v>
      </c>
      <c r="BL111" s="159">
        <f t="shared" si="23"/>
        <v>1529819.7938113764</v>
      </c>
      <c r="BM111" s="160">
        <f t="shared" si="24"/>
        <v>2827.1296651677339</v>
      </c>
      <c r="BN111" s="160">
        <f t="shared" si="25"/>
        <v>100.96891661313336</v>
      </c>
      <c r="BO111" s="160">
        <f t="shared" si="26"/>
        <v>556035.82378852542</v>
      </c>
      <c r="BP111" s="160">
        <f t="shared" si="27"/>
        <v>73386.405933957882</v>
      </c>
      <c r="BQ111" s="160">
        <f t="shared" si="28"/>
        <v>2620.9430690699241</v>
      </c>
      <c r="BR111" s="160">
        <f t="shared" si="29"/>
        <v>3862.4424175767308</v>
      </c>
      <c r="BS111" s="160">
        <f t="shared" si="30"/>
        <v>2547556.6631359668</v>
      </c>
      <c r="BT111" s="160">
        <f t="shared" si="31"/>
        <v>3754294.0298845824</v>
      </c>
    </row>
    <row r="112" spans="1:72" x14ac:dyDescent="0.2">
      <c r="A112" s="204">
        <v>43525</v>
      </c>
      <c r="B112" s="205">
        <f t="shared" si="16"/>
        <v>2019</v>
      </c>
      <c r="C112" s="203">
        <v>39959681</v>
      </c>
      <c r="D112" s="203">
        <f>VLOOKUP(B112,CDM!$I$5:$N$15,2,FALSE)/12</f>
        <v>3193894.2267185394</v>
      </c>
      <c r="E112" s="203">
        <f t="shared" si="17"/>
        <v>43153575.226718538</v>
      </c>
      <c r="F112" s="206">
        <v>61278</v>
      </c>
      <c r="G112" s="206">
        <v>15138621</v>
      </c>
      <c r="H112" s="206">
        <v>5500</v>
      </c>
      <c r="I112" s="203">
        <f>VLOOKUP(B112,CDM!$I$5:$N$15,3,FALSE)/12</f>
        <v>1180224.0660787106</v>
      </c>
      <c r="J112" s="203">
        <f t="shared" si="18"/>
        <v>16318845.066078711</v>
      </c>
      <c r="K112" s="206">
        <v>71747602</v>
      </c>
      <c r="L112" s="203">
        <f>VLOOKUP(B112,CDM!$I$5:$N$15,4,FALSE)/12</f>
        <v>4390209.5678070653</v>
      </c>
      <c r="M112" s="87">
        <f t="shared" si="19"/>
        <v>76137811.567807063</v>
      </c>
      <c r="N112" s="206">
        <v>186476</v>
      </c>
      <c r="O112" s="206">
        <v>972</v>
      </c>
      <c r="P112" s="206">
        <v>479831.6</v>
      </c>
      <c r="Q112" s="206">
        <v>1287.2</v>
      </c>
      <c r="R112" s="206">
        <v>17184</v>
      </c>
      <c r="S112" s="206">
        <v>263490</v>
      </c>
      <c r="T112" s="202">
        <v>24</v>
      </c>
      <c r="U112" s="202">
        <v>563</v>
      </c>
      <c r="V112" s="37">
        <f>'Economic (2020 Adj.)'!C124</f>
        <v>744439.6</v>
      </c>
      <c r="W112" s="37">
        <f>'Economic (2020 Adj.)'!D124</f>
        <v>7371</v>
      </c>
      <c r="X112" s="37">
        <f>'Economic (2020 Adj.)'!F124</f>
        <v>3430.6</v>
      </c>
      <c r="Y112" s="37">
        <f>'Economic (2020 Adj.)'!H124</f>
        <v>420.5</v>
      </c>
      <c r="Z112" s="37">
        <f>'Economic (2020 Adj.)'!E124</f>
        <v>7268.2</v>
      </c>
      <c r="AA112" s="37">
        <f>'Economic (2020 Adj.)'!G124</f>
        <v>3393.6</v>
      </c>
      <c r="AB112" s="37">
        <f>'Economic (2020 Adj.)'!I124</f>
        <v>415.1</v>
      </c>
      <c r="AC112" s="39">
        <f>Weather!D244</f>
        <v>4.8387096774193415E-2</v>
      </c>
      <c r="AD112" s="39">
        <f>Weather!E244</f>
        <v>618.49999999999989</v>
      </c>
      <c r="AE112" s="39">
        <f>Weather!F244</f>
        <v>0</v>
      </c>
      <c r="AF112" s="39">
        <f>Weather!G244</f>
        <v>556.49999999999989</v>
      </c>
      <c r="AG112" s="39">
        <f>Weather!H244</f>
        <v>0</v>
      </c>
      <c r="AH112" s="39">
        <f>Weather!I244</f>
        <v>494.49999999999989</v>
      </c>
      <c r="AI112" s="39">
        <f>Weather!J244</f>
        <v>0</v>
      </c>
      <c r="AJ112" s="39">
        <f>Weather!K244</f>
        <v>432.49999999999989</v>
      </c>
      <c r="AK112" s="39">
        <f>Weather!L244</f>
        <v>0</v>
      </c>
      <c r="AL112" s="39">
        <f>Weather!M244</f>
        <v>370.49999999999989</v>
      </c>
      <c r="AM112" s="39">
        <f>Weather!N244</f>
        <v>0</v>
      </c>
      <c r="AN112" s="39">
        <f>Weather!O244</f>
        <v>308.49999999999994</v>
      </c>
      <c r="AO112" s="39">
        <f>Weather!P244</f>
        <v>0</v>
      </c>
      <c r="AP112" s="39">
        <f>Weather!Q244</f>
        <v>246.6</v>
      </c>
      <c r="AQ112" s="39">
        <f>Weather!R244</f>
        <v>9.9999999999999645E-2</v>
      </c>
      <c r="AR112" s="201">
        <v>0</v>
      </c>
      <c r="AS112" s="201">
        <v>0</v>
      </c>
      <c r="AT112" s="201">
        <v>1</v>
      </c>
      <c r="AU112" s="201">
        <v>0</v>
      </c>
      <c r="AV112" s="201">
        <v>0</v>
      </c>
      <c r="AW112" s="201">
        <v>0</v>
      </c>
      <c r="AX112" s="201">
        <v>0</v>
      </c>
      <c r="AY112" s="201">
        <v>0</v>
      </c>
      <c r="AZ112" s="201">
        <v>0</v>
      </c>
      <c r="BA112" s="201">
        <v>0</v>
      </c>
      <c r="BB112" s="201">
        <v>0</v>
      </c>
      <c r="BC112" s="201">
        <v>0</v>
      </c>
      <c r="BD112" s="202">
        <f t="shared" si="33"/>
        <v>1</v>
      </c>
      <c r="BE112" s="202">
        <f t="shared" si="33"/>
        <v>0</v>
      </c>
      <c r="BF112" s="202">
        <f t="shared" si="33"/>
        <v>1</v>
      </c>
      <c r="BG112" s="202">
        <f t="shared" si="20"/>
        <v>111</v>
      </c>
      <c r="BH112" s="201">
        <f t="shared" si="34"/>
        <v>31</v>
      </c>
      <c r="BI112" s="201">
        <v>22</v>
      </c>
      <c r="BJ112" s="160">
        <f t="shared" si="21"/>
        <v>704.22623497370239</v>
      </c>
      <c r="BK112" s="160">
        <f t="shared" si="22"/>
        <v>22.716975321732335</v>
      </c>
      <c r="BL112" s="159">
        <f t="shared" si="23"/>
        <v>1392050.8137651142</v>
      </c>
      <c r="BM112" s="160">
        <f t="shared" si="24"/>
        <v>2967.0627392870383</v>
      </c>
      <c r="BN112" s="160">
        <f t="shared" si="25"/>
        <v>95.711701267323818</v>
      </c>
      <c r="BO112" s="160">
        <f t="shared" si="26"/>
        <v>526414.35697028099</v>
      </c>
      <c r="BP112" s="160">
        <f t="shared" si="27"/>
        <v>78331.081859883809</v>
      </c>
      <c r="BQ112" s="160">
        <f t="shared" si="28"/>
        <v>2526.8090922543165</v>
      </c>
      <c r="BR112" s="160">
        <f t="shared" si="29"/>
        <v>3560.5037209038096</v>
      </c>
      <c r="BS112" s="160">
        <f t="shared" si="30"/>
        <v>2456058.4376711957</v>
      </c>
      <c r="BT112" s="160">
        <f t="shared" si="31"/>
        <v>3460809.6167185027</v>
      </c>
    </row>
    <row r="113" spans="1:72" x14ac:dyDescent="0.2">
      <c r="A113" s="204">
        <v>43556</v>
      </c>
      <c r="B113" s="205">
        <f t="shared" si="16"/>
        <v>2019</v>
      </c>
      <c r="C113" s="203">
        <v>34942768</v>
      </c>
      <c r="D113" s="203">
        <f>VLOOKUP(B113,CDM!$I$5:$N$15,2,FALSE)/12</f>
        <v>3193894.2267185394</v>
      </c>
      <c r="E113" s="203">
        <f t="shared" si="17"/>
        <v>38136662.226718538</v>
      </c>
      <c r="F113" s="206">
        <v>61471</v>
      </c>
      <c r="G113" s="206">
        <v>13349194</v>
      </c>
      <c r="H113" s="206">
        <v>5496</v>
      </c>
      <c r="I113" s="203">
        <f>VLOOKUP(B113,CDM!$I$5:$N$15,3,FALSE)/12</f>
        <v>1180224.0660787106</v>
      </c>
      <c r="J113" s="203">
        <f t="shared" si="18"/>
        <v>14529418.066078711</v>
      </c>
      <c r="K113" s="206">
        <v>65493567</v>
      </c>
      <c r="L113" s="203">
        <f>VLOOKUP(B113,CDM!$I$5:$N$15,4,FALSE)/12</f>
        <v>4390209.5678070653</v>
      </c>
      <c r="M113" s="87">
        <f t="shared" si="19"/>
        <v>69883776.567807063</v>
      </c>
      <c r="N113" s="206">
        <v>182739</v>
      </c>
      <c r="O113" s="206">
        <v>973</v>
      </c>
      <c r="P113" s="206">
        <v>407082.6</v>
      </c>
      <c r="Q113" s="206">
        <v>1287.2</v>
      </c>
      <c r="R113" s="206">
        <v>17184</v>
      </c>
      <c r="S113" s="206">
        <v>261275</v>
      </c>
      <c r="T113" s="202">
        <v>24</v>
      </c>
      <c r="U113" s="202">
        <v>563</v>
      </c>
      <c r="V113" s="37">
        <f>'Economic (2020 Adj.)'!C125</f>
        <v>744439.6</v>
      </c>
      <c r="W113" s="37">
        <f>'Economic (2020 Adj.)'!D125</f>
        <v>7395.4</v>
      </c>
      <c r="X113" s="37">
        <f>'Economic (2020 Adj.)'!F125</f>
        <v>3447.9</v>
      </c>
      <c r="Y113" s="37">
        <f>'Economic (2020 Adj.)'!H125</f>
        <v>417.5</v>
      </c>
      <c r="Z113" s="37">
        <f>'Economic (2020 Adj.)'!E125</f>
        <v>7304.3</v>
      </c>
      <c r="AA113" s="37">
        <f>'Economic (2020 Adj.)'!G125</f>
        <v>3418.2</v>
      </c>
      <c r="AB113" s="37">
        <f>'Economic (2020 Adj.)'!I125</f>
        <v>411.2</v>
      </c>
      <c r="AC113" s="39">
        <f>Weather!D245</f>
        <v>6.2700000000000005</v>
      </c>
      <c r="AD113" s="39">
        <f>Weather!E245</f>
        <v>411.9</v>
      </c>
      <c r="AE113" s="39">
        <f>Weather!F245</f>
        <v>0</v>
      </c>
      <c r="AF113" s="39">
        <f>Weather!G245</f>
        <v>351.9</v>
      </c>
      <c r="AG113" s="39">
        <f>Weather!H245</f>
        <v>0</v>
      </c>
      <c r="AH113" s="39">
        <f>Weather!I245</f>
        <v>291.89999999999998</v>
      </c>
      <c r="AI113" s="39">
        <f>Weather!J245</f>
        <v>0</v>
      </c>
      <c r="AJ113" s="39">
        <f>Weather!K245</f>
        <v>231.89999999999995</v>
      </c>
      <c r="AK113" s="39">
        <f>Weather!L245</f>
        <v>0</v>
      </c>
      <c r="AL113" s="39">
        <f>Weather!M245</f>
        <v>173.29999999999998</v>
      </c>
      <c r="AM113" s="39">
        <f>Weather!N245</f>
        <v>1.4000000000000004</v>
      </c>
      <c r="AN113" s="39">
        <f>Weather!O245</f>
        <v>116.70000000000002</v>
      </c>
      <c r="AO113" s="39">
        <f>Weather!P245</f>
        <v>4.8000000000000007</v>
      </c>
      <c r="AP113" s="39">
        <f>Weather!Q245</f>
        <v>71.400000000000006</v>
      </c>
      <c r="AQ113" s="39">
        <f>Weather!R245</f>
        <v>19.5</v>
      </c>
      <c r="AR113" s="201">
        <v>0</v>
      </c>
      <c r="AS113" s="201">
        <v>0</v>
      </c>
      <c r="AT113" s="201">
        <v>0</v>
      </c>
      <c r="AU113" s="201">
        <v>1</v>
      </c>
      <c r="AV113" s="201">
        <v>0</v>
      </c>
      <c r="AW113" s="201">
        <v>0</v>
      </c>
      <c r="AX113" s="201">
        <v>0</v>
      </c>
      <c r="AY113" s="201">
        <v>0</v>
      </c>
      <c r="AZ113" s="201">
        <v>0</v>
      </c>
      <c r="BA113" s="201">
        <v>0</v>
      </c>
      <c r="BB113" s="201">
        <v>0</v>
      </c>
      <c r="BC113" s="201">
        <v>0</v>
      </c>
      <c r="BD113" s="202">
        <f t="shared" si="33"/>
        <v>1</v>
      </c>
      <c r="BE113" s="202">
        <f t="shared" si="33"/>
        <v>0</v>
      </c>
      <c r="BF113" s="202">
        <f t="shared" si="33"/>
        <v>1</v>
      </c>
      <c r="BG113" s="202">
        <f t="shared" si="20"/>
        <v>112</v>
      </c>
      <c r="BH113" s="201">
        <f t="shared" si="34"/>
        <v>30</v>
      </c>
      <c r="BI113" s="201">
        <v>21</v>
      </c>
      <c r="BJ113" s="160">
        <f t="shared" si="21"/>
        <v>620.40087564410112</v>
      </c>
      <c r="BK113" s="160">
        <f t="shared" si="22"/>
        <v>20.680029188136704</v>
      </c>
      <c r="BL113" s="159">
        <f t="shared" si="23"/>
        <v>1271222.0742239512</v>
      </c>
      <c r="BM113" s="160">
        <f t="shared" si="24"/>
        <v>2643.6350193010758</v>
      </c>
      <c r="BN113" s="160">
        <f t="shared" si="25"/>
        <v>88.121167310035858</v>
      </c>
      <c r="BO113" s="160">
        <f t="shared" si="26"/>
        <v>484313.93553595705</v>
      </c>
      <c r="BP113" s="160">
        <f t="shared" si="27"/>
        <v>71822.997500315585</v>
      </c>
      <c r="BQ113" s="160">
        <f t="shared" si="28"/>
        <v>2394.0999166771862</v>
      </c>
      <c r="BR113" s="160">
        <f t="shared" si="29"/>
        <v>3420.1427381102658</v>
      </c>
      <c r="BS113" s="160">
        <f t="shared" si="30"/>
        <v>2329459.2189269019</v>
      </c>
      <c r="BT113" s="160">
        <f t="shared" si="31"/>
        <v>3327798.8841812885</v>
      </c>
    </row>
    <row r="114" spans="1:72" x14ac:dyDescent="0.2">
      <c r="A114" s="204">
        <v>43586</v>
      </c>
      <c r="B114" s="205">
        <f t="shared" si="16"/>
        <v>2019</v>
      </c>
      <c r="C114" s="203">
        <v>35494086</v>
      </c>
      <c r="D114" s="203">
        <f>VLOOKUP(B114,CDM!$I$5:$N$15,2,FALSE)/12</f>
        <v>3193894.2267185394</v>
      </c>
      <c r="E114" s="203">
        <f t="shared" si="17"/>
        <v>38687980.226718538</v>
      </c>
      <c r="F114" s="206">
        <v>61467</v>
      </c>
      <c r="G114" s="206">
        <v>13091106</v>
      </c>
      <c r="H114" s="206">
        <v>5489</v>
      </c>
      <c r="I114" s="203">
        <f>VLOOKUP(B114,CDM!$I$5:$N$15,3,FALSE)/12</f>
        <v>1180224.0660787106</v>
      </c>
      <c r="J114" s="203">
        <f t="shared" si="18"/>
        <v>14271330.066078711</v>
      </c>
      <c r="K114" s="206">
        <v>66534124</v>
      </c>
      <c r="L114" s="203">
        <f>VLOOKUP(B114,CDM!$I$5:$N$15,4,FALSE)/12</f>
        <v>4390209.5678070653</v>
      </c>
      <c r="M114" s="87">
        <f t="shared" si="19"/>
        <v>70924333.567807063</v>
      </c>
      <c r="N114" s="206">
        <v>180588</v>
      </c>
      <c r="O114" s="206">
        <v>977</v>
      </c>
      <c r="P114" s="206">
        <v>370589.6</v>
      </c>
      <c r="Q114" s="206">
        <v>1287.2</v>
      </c>
      <c r="R114" s="206">
        <v>17184</v>
      </c>
      <c r="S114" s="206">
        <v>261806</v>
      </c>
      <c r="T114" s="202">
        <v>24</v>
      </c>
      <c r="U114" s="202">
        <v>563</v>
      </c>
      <c r="V114" s="37">
        <f>'Economic (2020 Adj.)'!C126</f>
        <v>744439.6</v>
      </c>
      <c r="W114" s="37">
        <f>'Economic (2020 Adj.)'!D126</f>
        <v>7412.6</v>
      </c>
      <c r="X114" s="37">
        <f>'Economic (2020 Adj.)'!F126</f>
        <v>3461.7</v>
      </c>
      <c r="Y114" s="37">
        <f>'Economic (2020 Adj.)'!H126</f>
        <v>415.7</v>
      </c>
      <c r="Z114" s="37">
        <f>'Economic (2020 Adj.)'!E126</f>
        <v>7376.9</v>
      </c>
      <c r="AA114" s="37">
        <f>'Economic (2020 Adj.)'!G126</f>
        <v>3452.9</v>
      </c>
      <c r="AB114" s="37">
        <f>'Economic (2020 Adj.)'!I126</f>
        <v>411.2</v>
      </c>
      <c r="AC114" s="39">
        <f>Weather!D246</f>
        <v>11.058064516129033</v>
      </c>
      <c r="AD114" s="39">
        <f>Weather!E246</f>
        <v>277.2</v>
      </c>
      <c r="AE114" s="39">
        <f>Weather!F246</f>
        <v>0</v>
      </c>
      <c r="AF114" s="39">
        <f>Weather!G246</f>
        <v>215.59999999999997</v>
      </c>
      <c r="AG114" s="39">
        <f>Weather!H246</f>
        <v>0.39999999999999858</v>
      </c>
      <c r="AH114" s="39">
        <f>Weather!I246</f>
        <v>157.79999999999998</v>
      </c>
      <c r="AI114" s="39">
        <f>Weather!J246</f>
        <v>4.5999999999999979</v>
      </c>
      <c r="AJ114" s="39">
        <f>Weather!K246</f>
        <v>105.80000000000003</v>
      </c>
      <c r="AK114" s="39">
        <f>Weather!L246</f>
        <v>14.6</v>
      </c>
      <c r="AL114" s="39">
        <f>Weather!M246</f>
        <v>63.5</v>
      </c>
      <c r="AM114" s="39">
        <f>Weather!N246</f>
        <v>34.299999999999997</v>
      </c>
      <c r="AN114" s="39">
        <f>Weather!O246</f>
        <v>33.1</v>
      </c>
      <c r="AO114" s="39">
        <f>Weather!P246</f>
        <v>65.899999999999991</v>
      </c>
      <c r="AP114" s="39">
        <f>Weather!Q246</f>
        <v>13.399999999999999</v>
      </c>
      <c r="AQ114" s="39">
        <f>Weather!R246</f>
        <v>108.19999999999997</v>
      </c>
      <c r="AR114" s="201">
        <v>0</v>
      </c>
      <c r="AS114" s="201">
        <v>0</v>
      </c>
      <c r="AT114" s="201">
        <v>0</v>
      </c>
      <c r="AU114" s="201">
        <v>0</v>
      </c>
      <c r="AV114" s="201">
        <v>1</v>
      </c>
      <c r="AW114" s="201">
        <v>0</v>
      </c>
      <c r="AX114" s="201">
        <v>0</v>
      </c>
      <c r="AY114" s="201">
        <v>0</v>
      </c>
      <c r="AZ114" s="201">
        <v>0</v>
      </c>
      <c r="BA114" s="201">
        <v>0</v>
      </c>
      <c r="BB114" s="201">
        <v>0</v>
      </c>
      <c r="BC114" s="201">
        <v>0</v>
      </c>
      <c r="BD114" s="202">
        <f t="shared" si="33"/>
        <v>1</v>
      </c>
      <c r="BE114" s="202">
        <f t="shared" si="33"/>
        <v>0</v>
      </c>
      <c r="BF114" s="202">
        <f t="shared" si="33"/>
        <v>1</v>
      </c>
      <c r="BG114" s="202">
        <f t="shared" si="20"/>
        <v>113</v>
      </c>
      <c r="BH114" s="201">
        <f t="shared" si="34"/>
        <v>31</v>
      </c>
      <c r="BI114" s="201">
        <v>20</v>
      </c>
      <c r="BJ114" s="160">
        <f t="shared" si="21"/>
        <v>629.41058172220119</v>
      </c>
      <c r="BK114" s="160">
        <f t="shared" si="22"/>
        <v>20.30356715232907</v>
      </c>
      <c r="BL114" s="159">
        <f t="shared" si="23"/>
        <v>1247999.3621522109</v>
      </c>
      <c r="BM114" s="160">
        <f t="shared" si="24"/>
        <v>2599.9872592601041</v>
      </c>
      <c r="BN114" s="160">
        <f t="shared" si="25"/>
        <v>83.870556750325946</v>
      </c>
      <c r="BO114" s="160">
        <f t="shared" si="26"/>
        <v>460365.48600253905</v>
      </c>
      <c r="BP114" s="160">
        <f t="shared" si="27"/>
        <v>72593.995463466796</v>
      </c>
      <c r="BQ114" s="160">
        <f t="shared" si="28"/>
        <v>2341.74178914409</v>
      </c>
      <c r="BR114" s="160">
        <f t="shared" si="29"/>
        <v>3629.69977317334</v>
      </c>
      <c r="BS114" s="160">
        <f t="shared" si="30"/>
        <v>2287881.7279937761</v>
      </c>
      <c r="BT114" s="160">
        <f t="shared" si="31"/>
        <v>3546216.678390353</v>
      </c>
    </row>
    <row r="115" spans="1:72" x14ac:dyDescent="0.2">
      <c r="A115" s="204">
        <v>43617</v>
      </c>
      <c r="B115" s="205">
        <f t="shared" si="16"/>
        <v>2019</v>
      </c>
      <c r="C115" s="203">
        <v>42615902</v>
      </c>
      <c r="D115" s="203">
        <f>VLOOKUP(B115,CDM!$I$5:$N$15,2,FALSE)/12</f>
        <v>3193894.2267185394</v>
      </c>
      <c r="E115" s="203">
        <f t="shared" si="17"/>
        <v>45809796.226718538</v>
      </c>
      <c r="F115" s="206">
        <v>61472</v>
      </c>
      <c r="G115" s="206">
        <v>13624072</v>
      </c>
      <c r="H115" s="206">
        <v>5489</v>
      </c>
      <c r="I115" s="203">
        <f>VLOOKUP(B115,CDM!$I$5:$N$15,3,FALSE)/12</f>
        <v>1180224.0660787106</v>
      </c>
      <c r="J115" s="203">
        <f t="shared" si="18"/>
        <v>14804296.066078711</v>
      </c>
      <c r="K115" s="206">
        <v>67552624</v>
      </c>
      <c r="L115" s="203">
        <f>VLOOKUP(B115,CDM!$I$5:$N$15,4,FALSE)/12</f>
        <v>4390209.5678070653</v>
      </c>
      <c r="M115" s="87">
        <f t="shared" si="19"/>
        <v>71942833.567807063</v>
      </c>
      <c r="N115" s="206">
        <v>184356</v>
      </c>
      <c r="O115" s="206">
        <v>982</v>
      </c>
      <c r="P115" s="206">
        <v>334161.40000000002</v>
      </c>
      <c r="Q115" s="206">
        <v>1287.2</v>
      </c>
      <c r="R115" s="206">
        <v>17184</v>
      </c>
      <c r="S115" s="206">
        <v>261241</v>
      </c>
      <c r="T115" s="202">
        <v>24</v>
      </c>
      <c r="U115" s="202">
        <v>561</v>
      </c>
      <c r="V115" s="37">
        <f>'Economic (2020 Adj.)'!C127</f>
        <v>744439.6</v>
      </c>
      <c r="W115" s="37">
        <f>'Economic (2020 Adj.)'!D127</f>
        <v>7430.3</v>
      </c>
      <c r="X115" s="37">
        <f>'Economic (2020 Adj.)'!F127</f>
        <v>3472.4</v>
      </c>
      <c r="Y115" s="37">
        <f>'Economic (2020 Adj.)'!H127</f>
        <v>416.3</v>
      </c>
      <c r="Z115" s="37">
        <f>'Economic (2020 Adj.)'!E127</f>
        <v>7472.1</v>
      </c>
      <c r="AA115" s="37">
        <f>'Economic (2020 Adj.)'!G127</f>
        <v>3492.2</v>
      </c>
      <c r="AB115" s="37">
        <f>'Economic (2020 Adj.)'!I127</f>
        <v>415.4</v>
      </c>
      <c r="AC115" s="39">
        <f>Weather!D247</f>
        <v>17.306666666666668</v>
      </c>
      <c r="AD115" s="39">
        <f>Weather!E247</f>
        <v>96.9</v>
      </c>
      <c r="AE115" s="39">
        <f>Weather!F247</f>
        <v>16.100000000000001</v>
      </c>
      <c r="AF115" s="39">
        <f>Weather!G247</f>
        <v>54.899999999999991</v>
      </c>
      <c r="AG115" s="39">
        <f>Weather!H247</f>
        <v>34.1</v>
      </c>
      <c r="AH115" s="39">
        <f>Weather!I247</f>
        <v>22</v>
      </c>
      <c r="AI115" s="39">
        <f>Weather!J247</f>
        <v>61.2</v>
      </c>
      <c r="AJ115" s="39">
        <f>Weather!K247</f>
        <v>4.3999999999999986</v>
      </c>
      <c r="AK115" s="39">
        <f>Weather!L247</f>
        <v>103.60000000000002</v>
      </c>
      <c r="AL115" s="39">
        <f>Weather!M247</f>
        <v>0.19999999999999929</v>
      </c>
      <c r="AM115" s="39">
        <f>Weather!N247</f>
        <v>159.4</v>
      </c>
      <c r="AN115" s="39">
        <f>Weather!O247</f>
        <v>0</v>
      </c>
      <c r="AO115" s="39">
        <f>Weather!P247</f>
        <v>219.2</v>
      </c>
      <c r="AP115" s="39">
        <f>Weather!Q247</f>
        <v>0</v>
      </c>
      <c r="AQ115" s="39">
        <f>Weather!R247</f>
        <v>279.2</v>
      </c>
      <c r="AR115" s="201">
        <v>0</v>
      </c>
      <c r="AS115" s="201">
        <v>0</v>
      </c>
      <c r="AT115" s="201">
        <v>0</v>
      </c>
      <c r="AU115" s="201">
        <v>0</v>
      </c>
      <c r="AV115" s="201">
        <v>0</v>
      </c>
      <c r="AW115" s="201">
        <v>1</v>
      </c>
      <c r="AX115" s="201">
        <v>0</v>
      </c>
      <c r="AY115" s="201">
        <v>0</v>
      </c>
      <c r="AZ115" s="201">
        <v>0</v>
      </c>
      <c r="BA115" s="201">
        <v>0</v>
      </c>
      <c r="BB115" s="201">
        <v>0</v>
      </c>
      <c r="BC115" s="201">
        <v>0</v>
      </c>
      <c r="BD115" s="202">
        <f t="shared" si="33"/>
        <v>0</v>
      </c>
      <c r="BE115" s="202">
        <f t="shared" si="33"/>
        <v>0</v>
      </c>
      <c r="BF115" s="202">
        <f t="shared" si="33"/>
        <v>0</v>
      </c>
      <c r="BG115" s="202">
        <f t="shared" si="20"/>
        <v>114</v>
      </c>
      <c r="BH115" s="201">
        <f t="shared" si="34"/>
        <v>30</v>
      </c>
      <c r="BI115" s="201">
        <v>22</v>
      </c>
      <c r="BJ115" s="160">
        <f t="shared" si="21"/>
        <v>745.21401982558791</v>
      </c>
      <c r="BK115" s="160">
        <f t="shared" si="22"/>
        <v>24.840467327519598</v>
      </c>
      <c r="BL115" s="159">
        <f t="shared" si="23"/>
        <v>1526993.2075572845</v>
      </c>
      <c r="BM115" s="160">
        <f t="shared" si="24"/>
        <v>2697.0843625576081</v>
      </c>
      <c r="BN115" s="160">
        <f t="shared" si="25"/>
        <v>89.902812085253601</v>
      </c>
      <c r="BO115" s="160">
        <f t="shared" si="26"/>
        <v>493476.53553595702</v>
      </c>
      <c r="BP115" s="160">
        <f t="shared" si="27"/>
        <v>73261.541311412482</v>
      </c>
      <c r="BQ115" s="160">
        <f t="shared" si="28"/>
        <v>2442.051377047083</v>
      </c>
      <c r="BR115" s="160">
        <f t="shared" si="29"/>
        <v>3330.0700596096581</v>
      </c>
      <c r="BS115" s="160">
        <f t="shared" si="30"/>
        <v>2398094.4522602353</v>
      </c>
      <c r="BT115" s="160">
        <f t="shared" si="31"/>
        <v>3270128.7985366848</v>
      </c>
    </row>
    <row r="116" spans="1:72" x14ac:dyDescent="0.2">
      <c r="A116" s="204">
        <v>43647</v>
      </c>
      <c r="B116" s="205">
        <f t="shared" si="16"/>
        <v>2019</v>
      </c>
      <c r="C116" s="203">
        <v>60513434</v>
      </c>
      <c r="D116" s="203">
        <f>VLOOKUP(B116,CDM!$I$5:$N$15,2,FALSE)/12</f>
        <v>3193894.2267185394</v>
      </c>
      <c r="E116" s="203">
        <f t="shared" si="17"/>
        <v>63707328.226718538</v>
      </c>
      <c r="F116" s="206">
        <v>61470</v>
      </c>
      <c r="G116" s="206">
        <v>16138863</v>
      </c>
      <c r="H116" s="206">
        <v>5495</v>
      </c>
      <c r="I116" s="203">
        <f>VLOOKUP(B116,CDM!$I$5:$N$15,3,FALSE)/12</f>
        <v>1180224.0660787106</v>
      </c>
      <c r="J116" s="203">
        <f t="shared" si="18"/>
        <v>17319087.066078711</v>
      </c>
      <c r="K116" s="206">
        <v>78868328</v>
      </c>
      <c r="L116" s="203">
        <f>VLOOKUP(B116,CDM!$I$5:$N$15,4,FALSE)/12</f>
        <v>4390209.5678070653</v>
      </c>
      <c r="M116" s="87">
        <f t="shared" si="19"/>
        <v>83258537.567807063</v>
      </c>
      <c r="N116" s="206">
        <v>199980</v>
      </c>
      <c r="O116" s="206">
        <v>982</v>
      </c>
      <c r="P116" s="206">
        <v>358876.3</v>
      </c>
      <c r="Q116" s="206">
        <v>1287.2</v>
      </c>
      <c r="R116" s="206">
        <v>17184</v>
      </c>
      <c r="S116" s="206">
        <v>261806</v>
      </c>
      <c r="T116" s="202">
        <v>24</v>
      </c>
      <c r="U116" s="202">
        <v>561</v>
      </c>
      <c r="V116" s="37">
        <f>'Economic (2020 Adj.)'!C128</f>
        <v>744439.6</v>
      </c>
      <c r="W116" s="37">
        <f>'Economic (2020 Adj.)'!D128</f>
        <v>7432.9</v>
      </c>
      <c r="X116" s="37">
        <f>'Economic (2020 Adj.)'!F128</f>
        <v>3487.5</v>
      </c>
      <c r="Y116" s="37">
        <f>'Economic (2020 Adj.)'!H128</f>
        <v>415.9</v>
      </c>
      <c r="Z116" s="37">
        <f>'Economic (2020 Adj.)'!E128</f>
        <v>7524.4</v>
      </c>
      <c r="AA116" s="37">
        <f>'Economic (2020 Adj.)'!G128</f>
        <v>3526.4</v>
      </c>
      <c r="AB116" s="37">
        <f>'Economic (2020 Adj.)'!I128</f>
        <v>417.8</v>
      </c>
      <c r="AC116" s="39">
        <f>Weather!D248</f>
        <v>22.92258064516129</v>
      </c>
      <c r="AD116" s="39">
        <f>Weather!E248</f>
        <v>1.4000000000000021</v>
      </c>
      <c r="AE116" s="39">
        <f>Weather!F248</f>
        <v>92</v>
      </c>
      <c r="AF116" s="39">
        <f>Weather!G248</f>
        <v>0</v>
      </c>
      <c r="AG116" s="39">
        <f>Weather!H248</f>
        <v>152.6</v>
      </c>
      <c r="AH116" s="39">
        <f>Weather!I248</f>
        <v>0</v>
      </c>
      <c r="AI116" s="39">
        <f>Weather!J248</f>
        <v>214.60000000000002</v>
      </c>
      <c r="AJ116" s="39">
        <f>Weather!K248</f>
        <v>0</v>
      </c>
      <c r="AK116" s="39">
        <f>Weather!L248</f>
        <v>276.59999999999997</v>
      </c>
      <c r="AL116" s="39">
        <f>Weather!M248</f>
        <v>0</v>
      </c>
      <c r="AM116" s="39">
        <f>Weather!N248</f>
        <v>338.59999999999997</v>
      </c>
      <c r="AN116" s="39">
        <f>Weather!O248</f>
        <v>0</v>
      </c>
      <c r="AO116" s="39">
        <f>Weather!P248</f>
        <v>400.59999999999997</v>
      </c>
      <c r="AP116" s="39">
        <f>Weather!Q248</f>
        <v>0</v>
      </c>
      <c r="AQ116" s="39">
        <f>Weather!R248</f>
        <v>462.59999999999997</v>
      </c>
      <c r="AR116" s="201">
        <v>0</v>
      </c>
      <c r="AS116" s="201">
        <v>0</v>
      </c>
      <c r="AT116" s="201">
        <v>0</v>
      </c>
      <c r="AU116" s="201">
        <v>0</v>
      </c>
      <c r="AV116" s="201">
        <v>0</v>
      </c>
      <c r="AW116" s="201">
        <v>0</v>
      </c>
      <c r="AX116" s="201">
        <v>1</v>
      </c>
      <c r="AY116" s="201">
        <v>0</v>
      </c>
      <c r="AZ116" s="201">
        <v>0</v>
      </c>
      <c r="BA116" s="201">
        <v>0</v>
      </c>
      <c r="BB116" s="201">
        <v>0</v>
      </c>
      <c r="BC116" s="201">
        <v>0</v>
      </c>
      <c r="BD116" s="202">
        <f t="shared" si="33"/>
        <v>0</v>
      </c>
      <c r="BE116" s="202">
        <f t="shared" si="33"/>
        <v>0</v>
      </c>
      <c r="BF116" s="202">
        <f t="shared" si="33"/>
        <v>0</v>
      </c>
      <c r="BG116" s="202">
        <f t="shared" si="20"/>
        <v>115</v>
      </c>
      <c r="BH116" s="201">
        <f t="shared" si="34"/>
        <v>31</v>
      </c>
      <c r="BI116" s="201">
        <v>22</v>
      </c>
      <c r="BJ116" s="160">
        <f t="shared" si="21"/>
        <v>1036.3970754305928</v>
      </c>
      <c r="BK116" s="160">
        <f t="shared" si="22"/>
        <v>33.432163723567513</v>
      </c>
      <c r="BL116" s="159">
        <f t="shared" si="23"/>
        <v>2055075.1040876948</v>
      </c>
      <c r="BM116" s="160">
        <f t="shared" si="24"/>
        <v>3151.7901849096834</v>
      </c>
      <c r="BN116" s="160">
        <f t="shared" si="25"/>
        <v>101.67065112611881</v>
      </c>
      <c r="BO116" s="160">
        <f t="shared" si="26"/>
        <v>558680.22793802293</v>
      </c>
      <c r="BP116" s="160">
        <f t="shared" si="27"/>
        <v>84784.661474345281</v>
      </c>
      <c r="BQ116" s="160">
        <f t="shared" si="28"/>
        <v>2734.9890798175898</v>
      </c>
      <c r="BR116" s="160">
        <f t="shared" si="29"/>
        <v>3853.8482488338764</v>
      </c>
      <c r="BS116" s="160">
        <f t="shared" si="30"/>
        <v>2685759.2763808728</v>
      </c>
      <c r="BT116" s="160">
        <f t="shared" si="31"/>
        <v>3784478.9803548665</v>
      </c>
    </row>
    <row r="117" spans="1:72" x14ac:dyDescent="0.2">
      <c r="A117" s="204">
        <v>43678</v>
      </c>
      <c r="B117" s="205">
        <f t="shared" si="16"/>
        <v>2019</v>
      </c>
      <c r="C117" s="203">
        <v>55597872</v>
      </c>
      <c r="D117" s="203">
        <f>VLOOKUP(B117,CDM!$I$5:$N$15,2,FALSE)/12</f>
        <v>3193894.2267185394</v>
      </c>
      <c r="E117" s="203">
        <f t="shared" si="17"/>
        <v>58791766.226718538</v>
      </c>
      <c r="F117" s="206">
        <v>61464</v>
      </c>
      <c r="G117" s="206">
        <v>15404829</v>
      </c>
      <c r="H117" s="206">
        <v>5492</v>
      </c>
      <c r="I117" s="203">
        <f>VLOOKUP(B117,CDM!$I$5:$N$15,3,FALSE)/12</f>
        <v>1180224.0660787106</v>
      </c>
      <c r="J117" s="203">
        <f t="shared" si="18"/>
        <v>16585053.066078711</v>
      </c>
      <c r="K117" s="206">
        <v>75469633</v>
      </c>
      <c r="L117" s="203">
        <f>VLOOKUP(B117,CDM!$I$5:$N$15,4,FALSE)/12</f>
        <v>4390209.5678070653</v>
      </c>
      <c r="M117" s="87">
        <f t="shared" si="19"/>
        <v>79859842.567807063</v>
      </c>
      <c r="N117" s="206">
        <v>205692</v>
      </c>
      <c r="O117" s="206">
        <v>983</v>
      </c>
      <c r="P117" s="206">
        <v>403671.4</v>
      </c>
      <c r="Q117" s="206">
        <v>1287.2</v>
      </c>
      <c r="R117" s="206">
        <v>17184</v>
      </c>
      <c r="S117" s="206">
        <v>261523</v>
      </c>
      <c r="T117" s="202">
        <v>24</v>
      </c>
      <c r="U117" s="202">
        <v>561</v>
      </c>
      <c r="V117" s="37">
        <f>'Economic (2020 Adj.)'!C129</f>
        <v>744439.6</v>
      </c>
      <c r="W117" s="37">
        <f>'Economic (2020 Adj.)'!D129</f>
        <v>7449.6</v>
      </c>
      <c r="X117" s="37">
        <f>'Economic (2020 Adj.)'!F129</f>
        <v>3500.1</v>
      </c>
      <c r="Y117" s="37">
        <f>'Economic (2020 Adj.)'!H129</f>
        <v>418.8</v>
      </c>
      <c r="Z117" s="37">
        <f>'Economic (2020 Adj.)'!E129</f>
        <v>7540.9</v>
      </c>
      <c r="AA117" s="37">
        <f>'Economic (2020 Adj.)'!G129</f>
        <v>3533.8</v>
      </c>
      <c r="AB117" s="37">
        <f>'Economic (2020 Adj.)'!I129</f>
        <v>422.3</v>
      </c>
      <c r="AC117" s="39">
        <f>Weather!D249</f>
        <v>21.267741935483876</v>
      </c>
      <c r="AD117" s="39">
        <f>Weather!E249</f>
        <v>10.700000000000003</v>
      </c>
      <c r="AE117" s="39">
        <f>Weather!F249</f>
        <v>50</v>
      </c>
      <c r="AF117" s="39">
        <f>Weather!G249</f>
        <v>1.4000000000000021</v>
      </c>
      <c r="AG117" s="39">
        <f>Weather!H249</f>
        <v>102.69999999999999</v>
      </c>
      <c r="AH117" s="39">
        <f>Weather!I249</f>
        <v>0</v>
      </c>
      <c r="AI117" s="39">
        <f>Weather!J249</f>
        <v>163.29999999999998</v>
      </c>
      <c r="AJ117" s="39">
        <f>Weather!K249</f>
        <v>0</v>
      </c>
      <c r="AK117" s="39">
        <f>Weather!L249</f>
        <v>225.29999999999998</v>
      </c>
      <c r="AL117" s="39">
        <f>Weather!M249</f>
        <v>0</v>
      </c>
      <c r="AM117" s="39">
        <f>Weather!N249</f>
        <v>287.3</v>
      </c>
      <c r="AN117" s="39">
        <f>Weather!O249</f>
        <v>0</v>
      </c>
      <c r="AO117" s="39">
        <f>Weather!P249</f>
        <v>349.3</v>
      </c>
      <c r="AP117" s="39">
        <f>Weather!Q249</f>
        <v>0</v>
      </c>
      <c r="AQ117" s="39">
        <f>Weather!R249</f>
        <v>411.29999999999995</v>
      </c>
      <c r="AR117" s="201">
        <v>0</v>
      </c>
      <c r="AS117" s="201">
        <v>0</v>
      </c>
      <c r="AT117" s="201">
        <v>0</v>
      </c>
      <c r="AU117" s="201">
        <v>0</v>
      </c>
      <c r="AV117" s="201">
        <v>0</v>
      </c>
      <c r="AW117" s="201">
        <v>0</v>
      </c>
      <c r="AX117" s="201">
        <v>0</v>
      </c>
      <c r="AY117" s="201">
        <v>1</v>
      </c>
      <c r="AZ117" s="201">
        <v>0</v>
      </c>
      <c r="BA117" s="201">
        <v>0</v>
      </c>
      <c r="BB117" s="201">
        <v>0</v>
      </c>
      <c r="BC117" s="201">
        <v>0</v>
      </c>
      <c r="BD117" s="202">
        <f t="shared" si="33"/>
        <v>0</v>
      </c>
      <c r="BE117" s="202">
        <f t="shared" si="33"/>
        <v>0</v>
      </c>
      <c r="BF117" s="202">
        <f t="shared" si="33"/>
        <v>0</v>
      </c>
      <c r="BG117" s="202">
        <f t="shared" si="20"/>
        <v>116</v>
      </c>
      <c r="BH117" s="201">
        <f t="shared" si="34"/>
        <v>31</v>
      </c>
      <c r="BI117" s="201">
        <v>20</v>
      </c>
      <c r="BJ117" s="160">
        <f t="shared" si="21"/>
        <v>956.52359473380409</v>
      </c>
      <c r="BK117" s="160">
        <f t="shared" si="22"/>
        <v>30.855599830122713</v>
      </c>
      <c r="BL117" s="159">
        <f t="shared" si="23"/>
        <v>1896508.5879586625</v>
      </c>
      <c r="BM117" s="160">
        <f t="shared" si="24"/>
        <v>3019.8567126873108</v>
      </c>
      <c r="BN117" s="160">
        <f t="shared" si="25"/>
        <v>97.414732667332615</v>
      </c>
      <c r="BO117" s="160">
        <f t="shared" si="26"/>
        <v>535001.71180899069</v>
      </c>
      <c r="BP117" s="160">
        <f t="shared" si="27"/>
        <v>81240.938522692843</v>
      </c>
      <c r="BQ117" s="160">
        <f t="shared" si="28"/>
        <v>2620.6754362158981</v>
      </c>
      <c r="BR117" s="160">
        <f t="shared" si="29"/>
        <v>4062.046926134642</v>
      </c>
      <c r="BS117" s="160">
        <f t="shared" si="30"/>
        <v>2576123.953800228</v>
      </c>
      <c r="BT117" s="160">
        <f t="shared" si="31"/>
        <v>3992992.1283903532</v>
      </c>
    </row>
    <row r="118" spans="1:72" x14ac:dyDescent="0.2">
      <c r="A118" s="204">
        <v>43709</v>
      </c>
      <c r="B118" s="205">
        <f t="shared" si="16"/>
        <v>2019</v>
      </c>
      <c r="C118" s="203">
        <v>41652448</v>
      </c>
      <c r="D118" s="203">
        <f>VLOOKUP(B118,CDM!$I$5:$N$15,2,FALSE)/12</f>
        <v>3193894.2267185394</v>
      </c>
      <c r="E118" s="203">
        <f t="shared" si="17"/>
        <v>44846342.226718538</v>
      </c>
      <c r="F118" s="206">
        <v>61464</v>
      </c>
      <c r="G118" s="206">
        <v>13545211</v>
      </c>
      <c r="H118" s="206">
        <v>5496</v>
      </c>
      <c r="I118" s="203">
        <f>VLOOKUP(B118,CDM!$I$5:$N$15,3,FALSE)/12</f>
        <v>1180224.0660787106</v>
      </c>
      <c r="J118" s="203">
        <f t="shared" si="18"/>
        <v>14725435.066078711</v>
      </c>
      <c r="K118" s="206">
        <v>68830744</v>
      </c>
      <c r="L118" s="203">
        <f>VLOOKUP(B118,CDM!$I$5:$N$15,4,FALSE)/12</f>
        <v>4390209.5678070653</v>
      </c>
      <c r="M118" s="87">
        <f t="shared" si="19"/>
        <v>73220953.567807063</v>
      </c>
      <c r="N118" s="206">
        <v>201400</v>
      </c>
      <c r="O118" s="206">
        <v>981</v>
      </c>
      <c r="P118" s="206">
        <v>445569.9</v>
      </c>
      <c r="Q118" s="206">
        <v>1287.2</v>
      </c>
      <c r="R118" s="206">
        <v>17184</v>
      </c>
      <c r="S118" s="206">
        <v>261241</v>
      </c>
      <c r="T118" s="202">
        <v>24</v>
      </c>
      <c r="U118" s="202">
        <v>561</v>
      </c>
      <c r="V118" s="37">
        <f>'Economic (2020 Adj.)'!C130</f>
        <v>744439.6</v>
      </c>
      <c r="W118" s="37">
        <f>'Economic (2020 Adj.)'!D130</f>
        <v>7478.3</v>
      </c>
      <c r="X118" s="37">
        <f>'Economic (2020 Adj.)'!F130</f>
        <v>3522.9</v>
      </c>
      <c r="Y118" s="37">
        <f>'Economic (2020 Adj.)'!H130</f>
        <v>419.9</v>
      </c>
      <c r="Z118" s="37">
        <f>'Economic (2020 Adj.)'!E130</f>
        <v>7535</v>
      </c>
      <c r="AA118" s="37">
        <f>'Economic (2020 Adj.)'!G130</f>
        <v>3545.3</v>
      </c>
      <c r="AB118" s="37">
        <f>'Economic (2020 Adj.)'!I130</f>
        <v>423.1</v>
      </c>
      <c r="AC118" s="39">
        <f>Weather!D250</f>
        <v>18.453333333333333</v>
      </c>
      <c r="AD118" s="39">
        <f>Weather!E250</f>
        <v>58</v>
      </c>
      <c r="AE118" s="39">
        <f>Weather!F250</f>
        <v>11.599999999999994</v>
      </c>
      <c r="AF118" s="39">
        <f>Weather!G250</f>
        <v>21.8</v>
      </c>
      <c r="AG118" s="39">
        <f>Weather!H250</f>
        <v>35.4</v>
      </c>
      <c r="AH118" s="39">
        <f>Weather!I250</f>
        <v>5.0999999999999996</v>
      </c>
      <c r="AI118" s="39">
        <f>Weather!J250</f>
        <v>78.7</v>
      </c>
      <c r="AJ118" s="39">
        <f>Weather!K250</f>
        <v>0.30000000000000071</v>
      </c>
      <c r="AK118" s="39">
        <f>Weather!L250</f>
        <v>133.90000000000003</v>
      </c>
      <c r="AL118" s="39">
        <f>Weather!M250</f>
        <v>0</v>
      </c>
      <c r="AM118" s="39">
        <f>Weather!N250</f>
        <v>193.6</v>
      </c>
      <c r="AN118" s="39">
        <f>Weather!O250</f>
        <v>0</v>
      </c>
      <c r="AO118" s="39">
        <f>Weather!P250</f>
        <v>253.59999999999997</v>
      </c>
      <c r="AP118" s="39">
        <f>Weather!Q250</f>
        <v>0</v>
      </c>
      <c r="AQ118" s="39">
        <f>Weather!R250</f>
        <v>313.59999999999997</v>
      </c>
      <c r="AR118" s="201">
        <v>0</v>
      </c>
      <c r="AS118" s="201">
        <v>0</v>
      </c>
      <c r="AT118" s="201">
        <v>0</v>
      </c>
      <c r="AU118" s="201">
        <v>0</v>
      </c>
      <c r="AV118" s="201">
        <v>0</v>
      </c>
      <c r="AW118" s="201">
        <v>0</v>
      </c>
      <c r="AX118" s="201">
        <v>0</v>
      </c>
      <c r="AY118" s="201">
        <v>0</v>
      </c>
      <c r="AZ118" s="201">
        <v>1</v>
      </c>
      <c r="BA118" s="201">
        <v>0</v>
      </c>
      <c r="BB118" s="201">
        <v>0</v>
      </c>
      <c r="BC118" s="201">
        <v>0</v>
      </c>
      <c r="BD118" s="202">
        <f t="shared" si="33"/>
        <v>0</v>
      </c>
      <c r="BE118" s="202">
        <f t="shared" si="33"/>
        <v>1</v>
      </c>
      <c r="BF118" s="202">
        <f t="shared" si="33"/>
        <v>1</v>
      </c>
      <c r="BG118" s="202">
        <f t="shared" si="20"/>
        <v>117</v>
      </c>
      <c r="BH118" s="201">
        <f t="shared" si="34"/>
        <v>30</v>
      </c>
      <c r="BI118" s="201">
        <v>21</v>
      </c>
      <c r="BJ118" s="160">
        <f t="shared" si="21"/>
        <v>729.63592064816055</v>
      </c>
      <c r="BK118" s="160">
        <f t="shared" si="22"/>
        <v>24.321197354938686</v>
      </c>
      <c r="BL118" s="159">
        <f t="shared" si="23"/>
        <v>1494878.0742239512</v>
      </c>
      <c r="BM118" s="160">
        <f t="shared" si="24"/>
        <v>2679.3004123141759</v>
      </c>
      <c r="BN118" s="160">
        <f t="shared" si="25"/>
        <v>89.310013743805868</v>
      </c>
      <c r="BO118" s="160">
        <f t="shared" si="26"/>
        <v>490847.83553595707</v>
      </c>
      <c r="BP118" s="160">
        <f t="shared" si="27"/>
        <v>74639.096399395581</v>
      </c>
      <c r="BQ118" s="160">
        <f t="shared" si="28"/>
        <v>2487.9698799798525</v>
      </c>
      <c r="BR118" s="160">
        <f t="shared" si="29"/>
        <v>3554.2426856855041</v>
      </c>
      <c r="BS118" s="160">
        <f t="shared" si="30"/>
        <v>2440698.4522602353</v>
      </c>
      <c r="BT118" s="160">
        <f t="shared" si="31"/>
        <v>3486712.0746574793</v>
      </c>
    </row>
    <row r="119" spans="1:72" x14ac:dyDescent="0.2">
      <c r="A119" s="204">
        <v>43739</v>
      </c>
      <c r="B119" s="205">
        <f t="shared" si="16"/>
        <v>2019</v>
      </c>
      <c r="C119" s="203">
        <v>36759662</v>
      </c>
      <c r="D119" s="203">
        <f>VLOOKUP(B119,CDM!$I$5:$N$15,2,FALSE)/12</f>
        <v>3193894.2267185394</v>
      </c>
      <c r="E119" s="203">
        <f t="shared" si="17"/>
        <v>39953556.226718538</v>
      </c>
      <c r="F119" s="206">
        <v>61500</v>
      </c>
      <c r="G119" s="206">
        <v>12862432</v>
      </c>
      <c r="H119" s="206">
        <v>5495</v>
      </c>
      <c r="I119" s="203">
        <f>VLOOKUP(B119,CDM!$I$5:$N$15,3,FALSE)/12</f>
        <v>1180224.0660787106</v>
      </c>
      <c r="J119" s="203">
        <f t="shared" si="18"/>
        <v>14042656.066078711</v>
      </c>
      <c r="K119" s="206">
        <v>66661539</v>
      </c>
      <c r="L119" s="203">
        <f>VLOOKUP(B119,CDM!$I$5:$N$15,4,FALSE)/12</f>
        <v>4390209.5678070653</v>
      </c>
      <c r="M119" s="87">
        <f t="shared" si="19"/>
        <v>71051748.567807063</v>
      </c>
      <c r="N119" s="206">
        <v>195686</v>
      </c>
      <c r="O119" s="206">
        <v>980</v>
      </c>
      <c r="P119" s="206">
        <v>519107</v>
      </c>
      <c r="Q119" s="206">
        <v>1287</v>
      </c>
      <c r="R119" s="206">
        <v>17184</v>
      </c>
      <c r="S119" s="206">
        <v>261806</v>
      </c>
      <c r="T119" s="202">
        <v>24</v>
      </c>
      <c r="U119" s="202">
        <v>561</v>
      </c>
      <c r="V119" s="37">
        <f>'Economic (2020 Adj.)'!C131</f>
        <v>744439.6</v>
      </c>
      <c r="W119" s="37">
        <f>'Economic (2020 Adj.)'!D131</f>
        <v>7504</v>
      </c>
      <c r="X119" s="37">
        <f>'Economic (2020 Adj.)'!F131</f>
        <v>3525.5</v>
      </c>
      <c r="Y119" s="37">
        <f>'Economic (2020 Adj.)'!H131</f>
        <v>427.3</v>
      </c>
      <c r="Z119" s="37">
        <f>'Economic (2020 Adj.)'!E131</f>
        <v>7538.5</v>
      </c>
      <c r="AA119" s="37">
        <f>'Economic (2020 Adj.)'!G131</f>
        <v>3530.2</v>
      </c>
      <c r="AB119" s="37">
        <f>'Economic (2020 Adj.)'!I131</f>
        <v>433.4</v>
      </c>
      <c r="AC119" s="39">
        <f>Weather!D251</f>
        <v>12.125806451612904</v>
      </c>
      <c r="AD119" s="39">
        <f>Weather!E251</f>
        <v>247.00000000000003</v>
      </c>
      <c r="AE119" s="39">
        <f>Weather!F251</f>
        <v>2.8999999999999986</v>
      </c>
      <c r="AF119" s="39">
        <f>Weather!G251</f>
        <v>187.00000000000003</v>
      </c>
      <c r="AG119" s="39">
        <f>Weather!H251</f>
        <v>4.8999999999999986</v>
      </c>
      <c r="AH119" s="39">
        <f>Weather!I251</f>
        <v>128.5</v>
      </c>
      <c r="AI119" s="39">
        <f>Weather!J251</f>
        <v>8.3999999999999986</v>
      </c>
      <c r="AJ119" s="39">
        <f>Weather!K251</f>
        <v>74.100000000000009</v>
      </c>
      <c r="AK119" s="39">
        <f>Weather!L251</f>
        <v>15.999999999999998</v>
      </c>
      <c r="AL119" s="39">
        <f>Weather!M251</f>
        <v>32</v>
      </c>
      <c r="AM119" s="39">
        <f>Weather!N251</f>
        <v>35.9</v>
      </c>
      <c r="AN119" s="39">
        <f>Weather!O251</f>
        <v>10.4</v>
      </c>
      <c r="AO119" s="39">
        <f>Weather!P251</f>
        <v>76.299999999999983</v>
      </c>
      <c r="AP119" s="39">
        <f>Weather!Q251</f>
        <v>0.29999999999999982</v>
      </c>
      <c r="AQ119" s="39">
        <f>Weather!R251</f>
        <v>128.19999999999999</v>
      </c>
      <c r="AR119" s="201">
        <v>0</v>
      </c>
      <c r="AS119" s="201">
        <v>0</v>
      </c>
      <c r="AT119" s="201">
        <v>0</v>
      </c>
      <c r="AU119" s="201">
        <v>0</v>
      </c>
      <c r="AV119" s="201">
        <v>0</v>
      </c>
      <c r="AW119" s="201">
        <v>0</v>
      </c>
      <c r="AX119" s="201">
        <v>0</v>
      </c>
      <c r="AY119" s="201">
        <v>0</v>
      </c>
      <c r="AZ119" s="201">
        <v>0</v>
      </c>
      <c r="BA119" s="201">
        <v>1</v>
      </c>
      <c r="BB119" s="201">
        <v>0</v>
      </c>
      <c r="BC119" s="201">
        <v>0</v>
      </c>
      <c r="BD119" s="202">
        <f t="shared" si="33"/>
        <v>0</v>
      </c>
      <c r="BE119" s="202">
        <f t="shared" si="33"/>
        <v>1</v>
      </c>
      <c r="BF119" s="202">
        <f t="shared" si="33"/>
        <v>1</v>
      </c>
      <c r="BG119" s="202">
        <f t="shared" si="20"/>
        <v>118</v>
      </c>
      <c r="BH119" s="201">
        <f t="shared" si="34"/>
        <v>31</v>
      </c>
      <c r="BI119" s="201">
        <v>21</v>
      </c>
      <c r="BJ119" s="160">
        <f t="shared" si="21"/>
        <v>649.65132075965107</v>
      </c>
      <c r="BK119" s="160">
        <f t="shared" si="22"/>
        <v>20.956494218053262</v>
      </c>
      <c r="BL119" s="159">
        <f t="shared" si="23"/>
        <v>1288824.3944102754</v>
      </c>
      <c r="BM119" s="160">
        <f t="shared" si="24"/>
        <v>2555.5334060197838</v>
      </c>
      <c r="BN119" s="160">
        <f t="shared" si="25"/>
        <v>82.436561484509156</v>
      </c>
      <c r="BO119" s="160">
        <f t="shared" si="26"/>
        <v>452988.90535737778</v>
      </c>
      <c r="BP119" s="160">
        <f t="shared" si="27"/>
        <v>72501.784252864352</v>
      </c>
      <c r="BQ119" s="160">
        <f t="shared" si="28"/>
        <v>2338.7672339633664</v>
      </c>
      <c r="BR119" s="160">
        <f t="shared" si="29"/>
        <v>3452.4659168030644</v>
      </c>
      <c r="BS119" s="160">
        <f t="shared" si="30"/>
        <v>2291991.889284099</v>
      </c>
      <c r="BT119" s="160">
        <f t="shared" si="31"/>
        <v>3383416.5984670031</v>
      </c>
    </row>
    <row r="120" spans="1:72" x14ac:dyDescent="0.2">
      <c r="A120" s="204">
        <v>43770</v>
      </c>
      <c r="B120" s="205">
        <f t="shared" si="16"/>
        <v>2019</v>
      </c>
      <c r="C120" s="203">
        <v>37785130</v>
      </c>
      <c r="D120" s="203">
        <f>VLOOKUP(B120,CDM!$I$5:$N$15,2,FALSE)/12</f>
        <v>3193894.2267185394</v>
      </c>
      <c r="E120" s="203">
        <f t="shared" si="17"/>
        <v>40979024.226718538</v>
      </c>
      <c r="F120" s="206">
        <v>61496</v>
      </c>
      <c r="G120" s="206">
        <v>13334890</v>
      </c>
      <c r="H120" s="206">
        <v>5456</v>
      </c>
      <c r="I120" s="203">
        <f>VLOOKUP(B120,CDM!$I$5:$N$15,3,FALSE)/12</f>
        <v>1180224.0660787106</v>
      </c>
      <c r="J120" s="203">
        <f t="shared" si="18"/>
        <v>14515114.066078711</v>
      </c>
      <c r="K120" s="206">
        <v>67091476</v>
      </c>
      <c r="L120" s="203">
        <f>VLOOKUP(B120,CDM!$I$5:$N$15,4,FALSE)/12</f>
        <v>4390209.5678070653</v>
      </c>
      <c r="M120" s="87">
        <f t="shared" si="19"/>
        <v>71481685.567807063</v>
      </c>
      <c r="N120" s="206">
        <v>196909</v>
      </c>
      <c r="O120" s="206">
        <v>1020</v>
      </c>
      <c r="P120" s="206">
        <v>552268</v>
      </c>
      <c r="Q120" s="206">
        <v>1287</v>
      </c>
      <c r="R120" s="206">
        <v>17184</v>
      </c>
      <c r="S120" s="206">
        <v>261241</v>
      </c>
      <c r="T120" s="202">
        <v>24</v>
      </c>
      <c r="U120" s="202">
        <v>561</v>
      </c>
      <c r="V120" s="37">
        <f>'Economic (2020 Adj.)'!C132</f>
        <v>744439.6</v>
      </c>
      <c r="W120" s="37">
        <f>'Economic (2020 Adj.)'!D132</f>
        <v>7517.3</v>
      </c>
      <c r="X120" s="37">
        <f>'Economic (2020 Adj.)'!F132</f>
        <v>3531.7</v>
      </c>
      <c r="Y120" s="37">
        <f>'Economic (2020 Adj.)'!H132</f>
        <v>427.5</v>
      </c>
      <c r="Z120" s="37">
        <f>'Economic (2020 Adj.)'!E132</f>
        <v>7530.1</v>
      </c>
      <c r="AA120" s="37">
        <f>'Economic (2020 Adj.)'!G132</f>
        <v>3530.8</v>
      </c>
      <c r="AB120" s="37">
        <f>'Economic (2020 Adj.)'!I132</f>
        <v>434.3</v>
      </c>
      <c r="AC120" s="39">
        <f>Weather!D252</f>
        <v>2.5333333333333332</v>
      </c>
      <c r="AD120" s="39">
        <f>Weather!E252</f>
        <v>524</v>
      </c>
      <c r="AE120" s="39">
        <f>Weather!F252</f>
        <v>0</v>
      </c>
      <c r="AF120" s="39">
        <f>Weather!G252</f>
        <v>464</v>
      </c>
      <c r="AG120" s="39">
        <f>Weather!H252</f>
        <v>0</v>
      </c>
      <c r="AH120" s="39">
        <f>Weather!I252</f>
        <v>403.99999999999994</v>
      </c>
      <c r="AI120" s="39">
        <f>Weather!J252</f>
        <v>0</v>
      </c>
      <c r="AJ120" s="39">
        <f>Weather!K252</f>
        <v>343.99999999999994</v>
      </c>
      <c r="AK120" s="39">
        <f>Weather!L252</f>
        <v>0</v>
      </c>
      <c r="AL120" s="39">
        <f>Weather!M252</f>
        <v>284</v>
      </c>
      <c r="AM120" s="39">
        <f>Weather!N252</f>
        <v>0</v>
      </c>
      <c r="AN120" s="39">
        <f>Weather!O252</f>
        <v>224.00000000000006</v>
      </c>
      <c r="AO120" s="39">
        <f>Weather!P252</f>
        <v>0</v>
      </c>
      <c r="AP120" s="39">
        <f>Weather!Q252</f>
        <v>165.8</v>
      </c>
      <c r="AQ120" s="39">
        <f>Weather!R252</f>
        <v>1.8000000000000007</v>
      </c>
      <c r="AR120" s="201">
        <v>0</v>
      </c>
      <c r="AS120" s="201">
        <v>0</v>
      </c>
      <c r="AT120" s="201">
        <v>0</v>
      </c>
      <c r="AU120" s="201">
        <v>0</v>
      </c>
      <c r="AV120" s="201">
        <v>0</v>
      </c>
      <c r="AW120" s="201">
        <v>0</v>
      </c>
      <c r="AX120" s="201">
        <v>0</v>
      </c>
      <c r="AY120" s="201">
        <v>0</v>
      </c>
      <c r="AZ120" s="201">
        <v>0</v>
      </c>
      <c r="BA120" s="201">
        <v>0</v>
      </c>
      <c r="BB120" s="201">
        <v>1</v>
      </c>
      <c r="BC120" s="201">
        <v>0</v>
      </c>
      <c r="BD120" s="202">
        <f t="shared" si="33"/>
        <v>0</v>
      </c>
      <c r="BE120" s="202">
        <f t="shared" si="33"/>
        <v>1</v>
      </c>
      <c r="BF120" s="202">
        <f t="shared" si="33"/>
        <v>1</v>
      </c>
      <c r="BG120" s="202">
        <f t="shared" si="20"/>
        <v>119</v>
      </c>
      <c r="BH120" s="201">
        <f t="shared" si="34"/>
        <v>30</v>
      </c>
      <c r="BI120" s="201">
        <v>21</v>
      </c>
      <c r="BJ120" s="160">
        <f t="shared" si="21"/>
        <v>666.36893825156983</v>
      </c>
      <c r="BK120" s="160">
        <f t="shared" si="22"/>
        <v>22.212297941718994</v>
      </c>
      <c r="BL120" s="159">
        <f t="shared" si="23"/>
        <v>1365967.4742239513</v>
      </c>
      <c r="BM120" s="160">
        <f t="shared" si="24"/>
        <v>2660.3948068326085</v>
      </c>
      <c r="BN120" s="160">
        <f t="shared" si="25"/>
        <v>88.679826894420287</v>
      </c>
      <c r="BO120" s="160">
        <f t="shared" si="26"/>
        <v>483837.13553595706</v>
      </c>
      <c r="BP120" s="160">
        <f t="shared" si="27"/>
        <v>70080.083890006921</v>
      </c>
      <c r="BQ120" s="160">
        <f t="shared" si="28"/>
        <v>2336.0027963335642</v>
      </c>
      <c r="BR120" s="160">
        <f t="shared" si="29"/>
        <v>3337.1468519050914</v>
      </c>
      <c r="BS120" s="160">
        <f t="shared" si="30"/>
        <v>2382722.8522602352</v>
      </c>
      <c r="BT120" s="160">
        <f t="shared" si="31"/>
        <v>3403889.7889431934</v>
      </c>
    </row>
    <row r="121" spans="1:72" x14ac:dyDescent="0.2">
      <c r="A121" s="204">
        <v>43800</v>
      </c>
      <c r="B121" s="205">
        <f t="shared" si="16"/>
        <v>2019</v>
      </c>
      <c r="C121" s="203">
        <v>42866511</v>
      </c>
      <c r="D121" s="203">
        <f>VLOOKUP(B121,CDM!$I$5:$N$15,2,FALSE)/12</f>
        <v>3193894.2267185394</v>
      </c>
      <c r="E121" s="203">
        <f t="shared" si="17"/>
        <v>46060405.226718538</v>
      </c>
      <c r="F121" s="206">
        <v>61500</v>
      </c>
      <c r="G121" s="206">
        <v>14175336</v>
      </c>
      <c r="H121" s="206">
        <v>5460</v>
      </c>
      <c r="I121" s="203">
        <f>VLOOKUP(B121,CDM!$I$5:$N$15,3,FALSE)/12</f>
        <v>1180224.0660787106</v>
      </c>
      <c r="J121" s="203">
        <f t="shared" si="18"/>
        <v>15355560.066078711</v>
      </c>
      <c r="K121" s="206">
        <v>67934124</v>
      </c>
      <c r="L121" s="203">
        <f>VLOOKUP(B121,CDM!$I$5:$N$15,4,FALSE)/12</f>
        <v>4390209.5678070653</v>
      </c>
      <c r="M121" s="87">
        <f t="shared" si="19"/>
        <v>72324333.567807063</v>
      </c>
      <c r="N121" s="206">
        <v>171774</v>
      </c>
      <c r="O121" s="206">
        <v>1022</v>
      </c>
      <c r="P121" s="206">
        <v>597205.1</v>
      </c>
      <c r="Q121" s="206">
        <v>1287</v>
      </c>
      <c r="R121" s="206">
        <v>17184</v>
      </c>
      <c r="S121" s="206">
        <v>264551</v>
      </c>
      <c r="T121" s="202">
        <v>24</v>
      </c>
      <c r="U121" s="202">
        <v>561</v>
      </c>
      <c r="V121" s="37">
        <f>'Economic (2020 Adj.)'!C133</f>
        <v>744439.6</v>
      </c>
      <c r="W121" s="37">
        <f>'Economic (2020 Adj.)'!D133</f>
        <v>7525</v>
      </c>
      <c r="X121" s="37">
        <f>'Economic (2020 Adj.)'!F133</f>
        <v>3532</v>
      </c>
      <c r="Y121" s="37">
        <f>'Economic (2020 Adj.)'!H133</f>
        <v>429.5</v>
      </c>
      <c r="Z121" s="37">
        <f>'Economic (2020 Adj.)'!E133</f>
        <v>7535.2</v>
      </c>
      <c r="AA121" s="37">
        <f>'Economic (2020 Adj.)'!G133</f>
        <v>3534.9</v>
      </c>
      <c r="AB121" s="37">
        <f>'Economic (2020 Adj.)'!I133</f>
        <v>437.6</v>
      </c>
      <c r="AC121" s="39">
        <f>Weather!D253</f>
        <v>1.2129032258064516</v>
      </c>
      <c r="AD121" s="39">
        <f>Weather!E253</f>
        <v>582.39999999999986</v>
      </c>
      <c r="AE121" s="39">
        <f>Weather!F253</f>
        <v>0</v>
      </c>
      <c r="AF121" s="39">
        <f>Weather!G253</f>
        <v>520.39999999999986</v>
      </c>
      <c r="AG121" s="39">
        <f>Weather!H253</f>
        <v>0</v>
      </c>
      <c r="AH121" s="39">
        <f>Weather!I253</f>
        <v>458.4</v>
      </c>
      <c r="AI121" s="39">
        <f>Weather!J253</f>
        <v>0</v>
      </c>
      <c r="AJ121" s="39">
        <f>Weather!K253</f>
        <v>396.4</v>
      </c>
      <c r="AK121" s="39">
        <f>Weather!L253</f>
        <v>0</v>
      </c>
      <c r="AL121" s="39">
        <f>Weather!M253</f>
        <v>334.40000000000003</v>
      </c>
      <c r="AM121" s="39">
        <f>Weather!N253</f>
        <v>0</v>
      </c>
      <c r="AN121" s="39">
        <f>Weather!O253</f>
        <v>272.40000000000003</v>
      </c>
      <c r="AO121" s="39">
        <f>Weather!P253</f>
        <v>0</v>
      </c>
      <c r="AP121" s="39">
        <f>Weather!Q253</f>
        <v>210.40000000000006</v>
      </c>
      <c r="AQ121" s="39">
        <f>Weather!R253</f>
        <v>0</v>
      </c>
      <c r="AR121" s="201">
        <v>0</v>
      </c>
      <c r="AS121" s="201">
        <v>0</v>
      </c>
      <c r="AT121" s="201">
        <v>0</v>
      </c>
      <c r="AU121" s="201">
        <v>0</v>
      </c>
      <c r="AV121" s="201">
        <v>0</v>
      </c>
      <c r="AW121" s="201">
        <v>0</v>
      </c>
      <c r="AX121" s="201">
        <v>0</v>
      </c>
      <c r="AY121" s="201">
        <v>0</v>
      </c>
      <c r="AZ121" s="201">
        <v>0</v>
      </c>
      <c r="BA121" s="201">
        <v>0</v>
      </c>
      <c r="BB121" s="201">
        <v>0</v>
      </c>
      <c r="BC121" s="201">
        <v>1</v>
      </c>
      <c r="BD121" s="202">
        <f t="shared" si="33"/>
        <v>0</v>
      </c>
      <c r="BE121" s="202">
        <f t="shared" si="33"/>
        <v>0</v>
      </c>
      <c r="BF121" s="202">
        <f t="shared" si="33"/>
        <v>0</v>
      </c>
      <c r="BG121" s="202">
        <f t="shared" si="20"/>
        <v>120</v>
      </c>
      <c r="BH121" s="201">
        <f t="shared" si="34"/>
        <v>31</v>
      </c>
      <c r="BI121" s="201">
        <v>21</v>
      </c>
      <c r="BJ121" s="160">
        <f t="shared" si="21"/>
        <v>748.94967848322824</v>
      </c>
      <c r="BK121" s="160">
        <f t="shared" si="22"/>
        <v>24.159667047846071</v>
      </c>
      <c r="BL121" s="159">
        <f t="shared" si="23"/>
        <v>1485819.5234425336</v>
      </c>
      <c r="BM121" s="160">
        <f t="shared" si="24"/>
        <v>2812.3736384759545</v>
      </c>
      <c r="BN121" s="160">
        <f t="shared" si="25"/>
        <v>90.72173027341789</v>
      </c>
      <c r="BO121" s="160">
        <f t="shared" si="26"/>
        <v>495340.64729286166</v>
      </c>
      <c r="BP121" s="160">
        <f t="shared" si="27"/>
        <v>70767.449674957985</v>
      </c>
      <c r="BQ121" s="160">
        <f t="shared" si="28"/>
        <v>2282.8209572567093</v>
      </c>
      <c r="BR121" s="160">
        <f t="shared" si="29"/>
        <v>3369.8785559503804</v>
      </c>
      <c r="BS121" s="160">
        <f t="shared" si="30"/>
        <v>2333043.0183163569</v>
      </c>
      <c r="BT121" s="160">
        <f t="shared" si="31"/>
        <v>3444015.8841812885</v>
      </c>
    </row>
    <row r="122" spans="1:72" x14ac:dyDescent="0.2">
      <c r="A122" s="204">
        <v>43831</v>
      </c>
      <c r="B122" s="205">
        <f t="shared" si="16"/>
        <v>2020</v>
      </c>
      <c r="C122" s="203">
        <v>42516448</v>
      </c>
      <c r="D122" s="203">
        <f>VLOOKUP(B122,CDM!$I$5:$N$15,2,FALSE)/12</f>
        <v>3162552.9639182501</v>
      </c>
      <c r="E122" s="203">
        <f t="shared" si="17"/>
        <v>45679000.963918254</v>
      </c>
      <c r="F122" s="206">
        <v>61510</v>
      </c>
      <c r="G122" s="206">
        <v>14647166</v>
      </c>
      <c r="H122" s="206">
        <v>5491</v>
      </c>
      <c r="I122" s="203">
        <f>VLOOKUP(B122,CDM!$I$5:$N$15,3,FALSE)/12</f>
        <v>1225739.4544440347</v>
      </c>
      <c r="J122" s="203">
        <f t="shared" si="18"/>
        <v>15872905.454444034</v>
      </c>
      <c r="K122" s="206">
        <v>71089387</v>
      </c>
      <c r="L122" s="203">
        <f>VLOOKUP(B122,CDM!$I$5:$N$15,4,FALSE)/12</f>
        <v>4650534.554761284</v>
      </c>
      <c r="M122" s="87">
        <f t="shared" si="19"/>
        <v>75739921.554761291</v>
      </c>
      <c r="N122" s="206">
        <v>186004</v>
      </c>
      <c r="O122" s="206">
        <v>1006</v>
      </c>
      <c r="P122" s="206">
        <v>583415</v>
      </c>
      <c r="Q122" s="206">
        <v>1287</v>
      </c>
      <c r="R122" s="206">
        <v>17184</v>
      </c>
      <c r="S122" s="206">
        <v>262170</v>
      </c>
      <c r="T122" s="202">
        <v>24</v>
      </c>
      <c r="U122" s="202">
        <v>560</v>
      </c>
      <c r="BH122" s="201">
        <f t="shared" si="34"/>
        <v>31</v>
      </c>
      <c r="BJ122" s="160">
        <f t="shared" ref="BJ122:BJ127" si="35">E122/F122</f>
        <v>742.62723075789711</v>
      </c>
      <c r="BK122" s="160">
        <f t="shared" ref="BK122:BK127" si="36">BJ122/BH122</f>
        <v>23.955717121222488</v>
      </c>
      <c r="BL122" s="159">
        <f t="shared" ref="BL122:BL127" si="37">E122/BH122</f>
        <v>1473516.1601263953</v>
      </c>
      <c r="BM122" s="160">
        <f t="shared" ref="BM122:BM127" si="38">J122/H122</f>
        <v>2890.7130676459724</v>
      </c>
      <c r="BN122" s="160">
        <f t="shared" ref="BN122:BN127" si="39">BM122/BH122</f>
        <v>93.248808633741049</v>
      </c>
      <c r="BO122" s="160">
        <f t="shared" ref="BO122:BO127" si="40">J122/BH122</f>
        <v>512029.20820787206</v>
      </c>
      <c r="BP122" s="160">
        <f t="shared" ref="BP122:BP127" si="41">M122/O122</f>
        <v>75288.192400359141</v>
      </c>
      <c r="BQ122" s="160">
        <f t="shared" ref="BQ122:BQ127" si="42">BP122/BH122</f>
        <v>2428.6513677535208</v>
      </c>
      <c r="BR122" s="160" t="e">
        <f t="shared" ref="BR122:BR127" si="43">BP122/BI122</f>
        <v>#DIV/0!</v>
      </c>
      <c r="BS122" s="160">
        <f t="shared" ref="BS122:BS127" si="44">M122/BH122</f>
        <v>2443223.2759600417</v>
      </c>
      <c r="BT122" s="160" t="e">
        <f t="shared" ref="BT122:BT127" si="45">M122/BI122</f>
        <v>#DIV/0!</v>
      </c>
    </row>
    <row r="123" spans="1:72" x14ac:dyDescent="0.2">
      <c r="A123" s="204">
        <v>43862</v>
      </c>
      <c r="B123" s="205">
        <f t="shared" si="16"/>
        <v>2020</v>
      </c>
      <c r="C123" s="203">
        <v>38488264</v>
      </c>
      <c r="D123" s="203">
        <f>VLOOKUP(B123,CDM!$I$5:$N$15,2,FALSE)/12</f>
        <v>3162552.9639182501</v>
      </c>
      <c r="E123" s="203">
        <f t="shared" si="17"/>
        <v>41650816.963918254</v>
      </c>
      <c r="F123" s="206">
        <v>61517</v>
      </c>
      <c r="G123" s="206">
        <v>13734811</v>
      </c>
      <c r="H123" s="206">
        <v>5489</v>
      </c>
      <c r="I123" s="203">
        <f>VLOOKUP(B123,CDM!$I$5:$N$15,3,FALSE)/12</f>
        <v>1225739.4544440347</v>
      </c>
      <c r="J123" s="203">
        <f t="shared" si="18"/>
        <v>14960550.454444034</v>
      </c>
      <c r="K123" s="206">
        <v>66026640</v>
      </c>
      <c r="L123" s="203">
        <f>VLOOKUP(B123,CDM!$I$5:$N$15,4,FALSE)/12</f>
        <v>4650534.554761284</v>
      </c>
      <c r="M123" s="87">
        <f t="shared" si="19"/>
        <v>70677174.554761291</v>
      </c>
      <c r="N123" s="206">
        <v>181813</v>
      </c>
      <c r="O123" s="206">
        <v>996</v>
      </c>
      <c r="P123" s="206">
        <v>504160</v>
      </c>
      <c r="Q123" s="206">
        <v>1287</v>
      </c>
      <c r="R123" s="206">
        <v>17184</v>
      </c>
      <c r="S123" s="206">
        <v>261630</v>
      </c>
      <c r="T123" s="202">
        <v>24</v>
      </c>
      <c r="U123" s="202">
        <v>560</v>
      </c>
      <c r="BH123" s="201">
        <f t="shared" si="34"/>
        <v>29</v>
      </c>
      <c r="BJ123" s="160">
        <f t="shared" si="35"/>
        <v>677.06190100164599</v>
      </c>
      <c r="BK123" s="160">
        <f t="shared" si="36"/>
        <v>23.346962103505035</v>
      </c>
      <c r="BL123" s="159">
        <f t="shared" si="37"/>
        <v>1436235.0677213192</v>
      </c>
      <c r="BM123" s="160">
        <f t="shared" si="38"/>
        <v>2725.5511849961804</v>
      </c>
      <c r="BN123" s="160">
        <f t="shared" si="39"/>
        <v>93.984523620557951</v>
      </c>
      <c r="BO123" s="160">
        <f t="shared" si="40"/>
        <v>515881.05015324254</v>
      </c>
      <c r="BP123" s="160">
        <f t="shared" si="41"/>
        <v>70961.018629278406</v>
      </c>
      <c r="BQ123" s="160">
        <f t="shared" si="42"/>
        <v>2446.931676871669</v>
      </c>
      <c r="BR123" s="160" t="e">
        <f t="shared" si="43"/>
        <v>#DIV/0!</v>
      </c>
      <c r="BS123" s="160">
        <f t="shared" si="44"/>
        <v>2437143.9501641826</v>
      </c>
      <c r="BT123" s="160" t="e">
        <f t="shared" si="45"/>
        <v>#DIV/0!</v>
      </c>
    </row>
    <row r="124" spans="1:72" x14ac:dyDescent="0.2">
      <c r="A124" s="204">
        <v>43891</v>
      </c>
      <c r="B124" s="205">
        <f t="shared" si="16"/>
        <v>2020</v>
      </c>
      <c r="C124" s="203">
        <v>39753999</v>
      </c>
      <c r="D124" s="203">
        <f>VLOOKUP(B124,CDM!$I$5:$N$15,2,FALSE)/12</f>
        <v>3162552.9639182501</v>
      </c>
      <c r="E124" s="203">
        <f t="shared" si="17"/>
        <v>42916551.963918254</v>
      </c>
      <c r="F124" s="206">
        <v>61554</v>
      </c>
      <c r="G124" s="206">
        <v>12984635</v>
      </c>
      <c r="H124" s="206">
        <v>5500</v>
      </c>
      <c r="I124" s="203">
        <f>VLOOKUP(B124,CDM!$I$5:$N$15,3,FALSE)/12</f>
        <v>1225739.4544440347</v>
      </c>
      <c r="J124" s="203">
        <f t="shared" si="18"/>
        <v>14210374.454444034</v>
      </c>
      <c r="K124" s="206">
        <v>65772926</v>
      </c>
      <c r="L124" s="203">
        <f>VLOOKUP(B124,CDM!$I$5:$N$15,4,FALSE)/12</f>
        <v>4650534.554761284</v>
      </c>
      <c r="M124" s="87">
        <f t="shared" si="19"/>
        <v>70423460.554761291</v>
      </c>
      <c r="N124" s="206">
        <v>176012</v>
      </c>
      <c r="O124" s="206">
        <v>1008</v>
      </c>
      <c r="P124" s="206">
        <v>481602</v>
      </c>
      <c r="Q124" s="206">
        <v>1287</v>
      </c>
      <c r="R124" s="206">
        <v>17184</v>
      </c>
      <c r="S124" s="206">
        <v>262824</v>
      </c>
      <c r="T124" s="202">
        <v>24</v>
      </c>
      <c r="U124" s="202">
        <v>560</v>
      </c>
      <c r="BH124" s="201">
        <f t="shared" si="34"/>
        <v>31</v>
      </c>
      <c r="BJ124" s="160">
        <f t="shared" si="35"/>
        <v>697.21792188839481</v>
      </c>
      <c r="BK124" s="160">
        <f t="shared" si="36"/>
        <v>22.490900706077252</v>
      </c>
      <c r="BL124" s="159">
        <f t="shared" si="37"/>
        <v>1384404.9020618792</v>
      </c>
      <c r="BM124" s="160">
        <f t="shared" si="38"/>
        <v>2583.7044462625518</v>
      </c>
      <c r="BN124" s="160">
        <f t="shared" si="39"/>
        <v>83.345304718146835</v>
      </c>
      <c r="BO124" s="160">
        <f t="shared" si="40"/>
        <v>458399.17594980757</v>
      </c>
      <c r="BP124" s="160">
        <f t="shared" si="41"/>
        <v>69864.544201152079</v>
      </c>
      <c r="BQ124" s="160">
        <f t="shared" si="42"/>
        <v>2253.6949742307124</v>
      </c>
      <c r="BR124" s="160" t="e">
        <f t="shared" si="43"/>
        <v>#DIV/0!</v>
      </c>
      <c r="BS124" s="160">
        <f t="shared" si="44"/>
        <v>2271724.5340245576</v>
      </c>
      <c r="BT124" s="160" t="e">
        <f t="shared" si="45"/>
        <v>#DIV/0!</v>
      </c>
    </row>
    <row r="125" spans="1:72" x14ac:dyDescent="0.2">
      <c r="A125" s="204">
        <v>43922</v>
      </c>
      <c r="B125" s="205">
        <f t="shared" si="16"/>
        <v>2020</v>
      </c>
      <c r="C125" s="203">
        <v>38131876</v>
      </c>
      <c r="D125" s="203">
        <f>VLOOKUP(B125,CDM!$I$5:$N$15,2,FALSE)/12</f>
        <v>3162552.9639182501</v>
      </c>
      <c r="E125" s="203">
        <f t="shared" si="17"/>
        <v>41294428.963918254</v>
      </c>
      <c r="F125" s="206">
        <v>61567</v>
      </c>
      <c r="G125" s="206">
        <v>10484278</v>
      </c>
      <c r="H125" s="206">
        <v>5502</v>
      </c>
      <c r="I125" s="203">
        <f>VLOOKUP(B125,CDM!$I$5:$N$15,3,FALSE)/12</f>
        <v>1225739.4544440347</v>
      </c>
      <c r="J125" s="203">
        <f t="shared" si="18"/>
        <v>11710017.454444034</v>
      </c>
      <c r="K125" s="206">
        <v>55975600</v>
      </c>
      <c r="L125" s="203">
        <f>VLOOKUP(B125,CDM!$I$5:$N$15,4,FALSE)/12</f>
        <v>4650534.554761284</v>
      </c>
      <c r="M125" s="87">
        <f t="shared" si="19"/>
        <v>60626134.554761283</v>
      </c>
      <c r="N125" s="206">
        <v>173194</v>
      </c>
      <c r="O125" s="206">
        <v>1008</v>
      </c>
      <c r="P125" s="206">
        <v>408912</v>
      </c>
      <c r="Q125" s="206">
        <v>1287</v>
      </c>
      <c r="R125" s="206">
        <v>17184</v>
      </c>
      <c r="S125" s="206">
        <v>261154</v>
      </c>
      <c r="T125" s="202">
        <v>24</v>
      </c>
      <c r="U125" s="202">
        <v>560</v>
      </c>
      <c r="BH125" s="201">
        <f t="shared" si="34"/>
        <v>30</v>
      </c>
      <c r="BJ125" s="160">
        <f t="shared" si="35"/>
        <v>670.72342267640545</v>
      </c>
      <c r="BK125" s="160">
        <f t="shared" si="36"/>
        <v>22.357447422546848</v>
      </c>
      <c r="BL125" s="159">
        <f t="shared" si="37"/>
        <v>1376480.9654639417</v>
      </c>
      <c r="BM125" s="160">
        <f t="shared" si="38"/>
        <v>2128.3201480269054</v>
      </c>
      <c r="BN125" s="160">
        <f t="shared" si="39"/>
        <v>70.944004934230179</v>
      </c>
      <c r="BO125" s="160">
        <f t="shared" si="40"/>
        <v>390333.91514813446</v>
      </c>
      <c r="BP125" s="160">
        <f t="shared" si="41"/>
        <v>60144.974756707619</v>
      </c>
      <c r="BQ125" s="160">
        <f t="shared" si="42"/>
        <v>2004.832491890254</v>
      </c>
      <c r="BR125" s="160" t="e">
        <f t="shared" si="43"/>
        <v>#DIV/0!</v>
      </c>
      <c r="BS125" s="160">
        <f t="shared" si="44"/>
        <v>2020871.1518253761</v>
      </c>
      <c r="BT125" s="160" t="e">
        <f t="shared" si="45"/>
        <v>#DIV/0!</v>
      </c>
    </row>
    <row r="126" spans="1:72" x14ac:dyDescent="0.2">
      <c r="A126" s="204">
        <v>43952</v>
      </c>
      <c r="B126" s="205">
        <f t="shared" si="16"/>
        <v>2020</v>
      </c>
      <c r="C126" s="203">
        <v>43261573</v>
      </c>
      <c r="D126" s="203">
        <f>VLOOKUP(B126,CDM!$I$5:$N$15,2,FALSE)/12</f>
        <v>3162552.9639182501</v>
      </c>
      <c r="E126" s="203">
        <f t="shared" si="17"/>
        <v>46424125.963918254</v>
      </c>
      <c r="F126" s="206">
        <v>61593</v>
      </c>
      <c r="G126" s="206">
        <v>10764776</v>
      </c>
      <c r="H126" s="206">
        <v>5501</v>
      </c>
      <c r="I126" s="203">
        <f>VLOOKUP(B126,CDM!$I$5:$N$15,3,FALSE)/12</f>
        <v>1225739.4544440347</v>
      </c>
      <c r="J126" s="203">
        <f t="shared" si="18"/>
        <v>11990515.454444034</v>
      </c>
      <c r="K126" s="206">
        <v>58847546</v>
      </c>
      <c r="L126" s="203">
        <f>VLOOKUP(B126,CDM!$I$5:$N$15,4,FALSE)/12</f>
        <v>4650534.554761284</v>
      </c>
      <c r="M126" s="87">
        <f t="shared" si="19"/>
        <v>63498080.554761283</v>
      </c>
      <c r="N126" s="206">
        <v>153016</v>
      </c>
      <c r="O126" s="206">
        <v>1006</v>
      </c>
      <c r="P126" s="206">
        <v>372302</v>
      </c>
      <c r="Q126" s="206">
        <v>1287</v>
      </c>
      <c r="R126" s="206">
        <v>17184</v>
      </c>
      <c r="S126" s="206">
        <v>261691</v>
      </c>
      <c r="T126" s="202">
        <v>24</v>
      </c>
      <c r="U126" s="202">
        <v>559</v>
      </c>
      <c r="BH126" s="201">
        <f t="shared" si="34"/>
        <v>31</v>
      </c>
      <c r="BJ126" s="160">
        <f t="shared" si="35"/>
        <v>753.7240589664126</v>
      </c>
      <c r="BK126" s="160">
        <f t="shared" si="36"/>
        <v>24.31367932149718</v>
      </c>
      <c r="BL126" s="159">
        <f t="shared" si="37"/>
        <v>1497552.4504489759</v>
      </c>
      <c r="BM126" s="160">
        <f t="shared" si="38"/>
        <v>2179.6974103697571</v>
      </c>
      <c r="BN126" s="160">
        <f t="shared" si="39"/>
        <v>70.312819689347009</v>
      </c>
      <c r="BO126" s="160">
        <f t="shared" si="40"/>
        <v>386790.82111109787</v>
      </c>
      <c r="BP126" s="160">
        <f t="shared" si="41"/>
        <v>63119.364368549985</v>
      </c>
      <c r="BQ126" s="160">
        <f t="shared" si="42"/>
        <v>2036.1085280177415</v>
      </c>
      <c r="BR126" s="160" t="e">
        <f t="shared" si="43"/>
        <v>#DIV/0!</v>
      </c>
      <c r="BS126" s="160">
        <f t="shared" si="44"/>
        <v>2048325.1791858478</v>
      </c>
      <c r="BT126" s="160" t="e">
        <f t="shared" si="45"/>
        <v>#DIV/0!</v>
      </c>
    </row>
    <row r="127" spans="1:72" x14ac:dyDescent="0.2">
      <c r="A127" s="204">
        <v>43983</v>
      </c>
      <c r="B127" s="205">
        <f t="shared" si="16"/>
        <v>2020</v>
      </c>
      <c r="C127" s="203">
        <v>55961410</v>
      </c>
      <c r="D127" s="203">
        <f>VLOOKUP(B127,CDM!$I$5:$N$15,2,FALSE)/12</f>
        <v>3162552.9639182501</v>
      </c>
      <c r="E127" s="203">
        <f t="shared" si="17"/>
        <v>59123962.963918254</v>
      </c>
      <c r="F127" s="206">
        <v>61616</v>
      </c>
      <c r="G127" s="206">
        <v>12508826</v>
      </c>
      <c r="H127" s="206">
        <v>5504</v>
      </c>
      <c r="I127" s="203">
        <f>VLOOKUP(B127,CDM!$I$5:$N$15,3,FALSE)/12</f>
        <v>1225739.4544440347</v>
      </c>
      <c r="J127" s="203">
        <f t="shared" ref="J127" si="46">G127+I127</f>
        <v>13734565.454444034</v>
      </c>
      <c r="K127" s="206">
        <v>65334774</v>
      </c>
      <c r="L127" s="203">
        <f>VLOOKUP(B127,CDM!$I$5:$N$15,4,FALSE)/12</f>
        <v>4650534.554761284</v>
      </c>
      <c r="M127" s="87">
        <f t="shared" ref="M127" si="47">K127+L127</f>
        <v>69985308.554761291</v>
      </c>
      <c r="N127" s="206">
        <v>179263</v>
      </c>
      <c r="O127" s="206">
        <v>1005</v>
      </c>
      <c r="P127" s="206">
        <v>335068</v>
      </c>
      <c r="Q127" s="206">
        <v>1287</v>
      </c>
      <c r="R127" s="206">
        <v>17184</v>
      </c>
      <c r="S127" s="206">
        <v>261017</v>
      </c>
      <c r="T127" s="202">
        <v>24</v>
      </c>
      <c r="U127" s="202">
        <v>559</v>
      </c>
      <c r="BH127" s="201">
        <f t="shared" si="34"/>
        <v>30</v>
      </c>
      <c r="BJ127" s="160">
        <f t="shared" si="35"/>
        <v>959.55535841207245</v>
      </c>
      <c r="BK127" s="160">
        <f t="shared" si="36"/>
        <v>31.985178613735748</v>
      </c>
      <c r="BL127" s="159">
        <f t="shared" si="37"/>
        <v>1970798.7654639417</v>
      </c>
      <c r="BM127" s="160">
        <f t="shared" si="38"/>
        <v>2495.3788979731166</v>
      </c>
      <c r="BN127" s="160">
        <f t="shared" si="39"/>
        <v>83.179296599103893</v>
      </c>
      <c r="BO127" s="160">
        <f t="shared" si="40"/>
        <v>457818.84848146781</v>
      </c>
      <c r="BP127" s="160">
        <f t="shared" si="41"/>
        <v>69637.122940060988</v>
      </c>
      <c r="BQ127" s="160">
        <f t="shared" si="42"/>
        <v>2321.2374313353662</v>
      </c>
      <c r="BR127" s="160" t="e">
        <f t="shared" si="43"/>
        <v>#DIV/0!</v>
      </c>
      <c r="BS127" s="160">
        <f t="shared" si="44"/>
        <v>2332843.6184920431</v>
      </c>
      <c r="BT127" s="160" t="e">
        <f t="shared" si="45"/>
        <v>#DIV/0!</v>
      </c>
    </row>
    <row r="128" spans="1:72" x14ac:dyDescent="0.2">
      <c r="A128" s="204">
        <v>44013</v>
      </c>
      <c r="B128" s="205">
        <f t="shared" si="16"/>
        <v>2020</v>
      </c>
      <c r="F128" s="206">
        <v>61659</v>
      </c>
      <c r="H128" s="206">
        <v>5501</v>
      </c>
      <c r="O128" s="206">
        <v>1004</v>
      </c>
      <c r="P128" s="201"/>
      <c r="Q128" s="201"/>
      <c r="R128" s="201"/>
      <c r="S128" s="201"/>
      <c r="T128" s="202">
        <v>24</v>
      </c>
      <c r="U128" s="201"/>
      <c r="BH128" s="201">
        <f t="shared" si="34"/>
        <v>31</v>
      </c>
    </row>
    <row r="129" spans="1:2" x14ac:dyDescent="0.2">
      <c r="A129" s="204"/>
      <c r="B129" s="205"/>
    </row>
  </sheetData>
  <pageMargins left="0.75" right="0.75" top="1" bottom="1" header="0.5" footer="0.5"/>
  <pageSetup scale="44" fitToHeight="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7" tint="0.79998168889431442"/>
  </sheetPr>
  <dimension ref="A1:AC305"/>
  <sheetViews>
    <sheetView workbookViewId="0">
      <selection activeCell="S38" sqref="S38"/>
    </sheetView>
  </sheetViews>
  <sheetFormatPr defaultRowHeight="12.75" x14ac:dyDescent="0.2"/>
  <cols>
    <col min="1" max="1" width="11.33203125" bestFit="1" customWidth="1"/>
    <col min="11" max="11" width="12" customWidth="1"/>
    <col min="12" max="12" width="13.6640625" customWidth="1"/>
    <col min="13" max="13" width="14" bestFit="1" customWidth="1"/>
    <col min="14" max="14" width="13.5" bestFit="1" customWidth="1"/>
    <col min="15" max="15" width="13" bestFit="1" customWidth="1"/>
    <col min="16" max="16" width="13.33203125" customWidth="1"/>
    <col min="17" max="17" width="18.83203125" customWidth="1"/>
    <col min="18" max="18" width="21.6640625" bestFit="1" customWidth="1"/>
    <col min="20" max="20" width="9.33203125" style="217"/>
    <col min="21" max="21" width="12.5" style="217" customWidth="1"/>
    <col min="22" max="22" width="14.33203125" style="217" bestFit="1" customWidth="1"/>
    <col min="23" max="23" width="11.33203125" style="217" customWidth="1"/>
    <col min="24" max="25" width="14.33203125" style="217" bestFit="1" customWidth="1"/>
    <col min="26" max="27" width="9.5" style="217" bestFit="1" customWidth="1"/>
    <col min="28" max="28" width="9.33203125" style="217"/>
  </cols>
  <sheetData>
    <row r="1" spans="1:29" x14ac:dyDescent="0.2">
      <c r="A1" t="s">
        <v>16</v>
      </c>
      <c r="B1" t="s">
        <v>0</v>
      </c>
      <c r="C1" t="s">
        <v>17</v>
      </c>
      <c r="D1" t="s">
        <v>18</v>
      </c>
      <c r="E1" t="s">
        <v>21</v>
      </c>
      <c r="F1" t="s">
        <v>19</v>
      </c>
      <c r="G1" t="s">
        <v>22</v>
      </c>
      <c r="H1" t="s">
        <v>20</v>
      </c>
      <c r="I1" t="s">
        <v>23</v>
      </c>
      <c r="T1" s="179" t="s">
        <v>224</v>
      </c>
      <c r="U1" s="13" t="str">
        <f t="shared" ref="U1:AC2" si="0">A1</f>
        <v>Date</v>
      </c>
      <c r="V1" s="13" t="str">
        <f t="shared" si="0"/>
        <v>Year</v>
      </c>
      <c r="W1" s="13" t="str">
        <f t="shared" si="0"/>
        <v>GDP</v>
      </c>
      <c r="X1" s="13" t="str">
        <f t="shared" si="0"/>
        <v>Ont_FTEAdj</v>
      </c>
      <c r="Y1" s="13" t="str">
        <f t="shared" si="0"/>
        <v>Ont_FTE</v>
      </c>
      <c r="Z1" s="13" t="str">
        <f t="shared" si="0"/>
        <v>Tor_FTEAdj</v>
      </c>
      <c r="AA1" s="13" t="str">
        <f t="shared" si="0"/>
        <v>Tor_FTE</v>
      </c>
      <c r="AB1" s="13" t="str">
        <f t="shared" si="0"/>
        <v>Ham_FTEAdj</v>
      </c>
      <c r="AC1" s="13" t="str">
        <f t="shared" si="0"/>
        <v>Ham_FTE</v>
      </c>
    </row>
    <row r="2" spans="1:29" x14ac:dyDescent="0.2">
      <c r="A2" s="13">
        <v>39814</v>
      </c>
      <c r="B2" s="14">
        <f>YEAR(A2)</f>
        <v>2009</v>
      </c>
      <c r="C2">
        <v>591636.5</v>
      </c>
      <c r="D2" s="143">
        <v>6541.6</v>
      </c>
      <c r="E2" s="143">
        <v>6506.5</v>
      </c>
      <c r="F2" s="143">
        <v>2842.1</v>
      </c>
      <c r="G2" s="143">
        <v>2835.9</v>
      </c>
      <c r="H2" s="143">
        <v>361.3</v>
      </c>
      <c r="I2" s="143">
        <v>358.8</v>
      </c>
      <c r="K2" t="s">
        <v>252</v>
      </c>
      <c r="T2"/>
      <c r="U2" s="13">
        <f t="shared" si="0"/>
        <v>39814</v>
      </c>
      <c r="V2" s="14">
        <f t="shared" si="0"/>
        <v>2009</v>
      </c>
      <c r="W2" s="14">
        <f t="shared" si="0"/>
        <v>591636.5</v>
      </c>
      <c r="X2" s="14">
        <f t="shared" si="0"/>
        <v>6541.6</v>
      </c>
      <c r="Y2" s="14">
        <f t="shared" si="0"/>
        <v>6506.5</v>
      </c>
      <c r="Z2" s="14">
        <f t="shared" si="0"/>
        <v>2842.1</v>
      </c>
      <c r="AA2" s="14">
        <f t="shared" si="0"/>
        <v>2835.9</v>
      </c>
      <c r="AB2" s="14">
        <f t="shared" si="0"/>
        <v>361.3</v>
      </c>
      <c r="AC2" s="14">
        <f t="shared" si="0"/>
        <v>358.8</v>
      </c>
    </row>
    <row r="3" spans="1:29" x14ac:dyDescent="0.2">
      <c r="A3" s="13">
        <v>39845</v>
      </c>
      <c r="B3" s="14">
        <f t="shared" ref="B3:B66" si="1">YEAR(A3)</f>
        <v>2009</v>
      </c>
      <c r="C3">
        <v>591636.5</v>
      </c>
      <c r="D3" s="143">
        <v>6506</v>
      </c>
      <c r="E3" s="143">
        <v>6436.2</v>
      </c>
      <c r="F3" s="143">
        <v>2838</v>
      </c>
      <c r="G3" s="143">
        <v>2820.5</v>
      </c>
      <c r="H3" s="143">
        <v>364.6</v>
      </c>
      <c r="I3" s="143">
        <v>357.3</v>
      </c>
      <c r="K3" s="253" t="s">
        <v>223</v>
      </c>
      <c r="L3" s="253"/>
      <c r="M3" s="253"/>
      <c r="N3" s="253"/>
      <c r="O3" s="253"/>
      <c r="P3" s="253"/>
      <c r="Q3" s="253"/>
      <c r="R3" s="253"/>
      <c r="T3"/>
      <c r="U3" s="13">
        <f t="shared" ref="U3:U66" si="2">A3</f>
        <v>39845</v>
      </c>
      <c r="V3" s="14">
        <f t="shared" ref="V3:V66" si="3">B3</f>
        <v>2009</v>
      </c>
      <c r="W3" s="14">
        <f t="shared" ref="W3:W66" si="4">C3</f>
        <v>591636.5</v>
      </c>
      <c r="X3" s="14">
        <f t="shared" ref="X3:X66" si="5">D3</f>
        <v>6506</v>
      </c>
      <c r="Y3" s="14">
        <f t="shared" ref="Y3:Y66" si="6">E3</f>
        <v>6436.2</v>
      </c>
      <c r="Z3" s="14">
        <f t="shared" ref="Z3:Z66" si="7">F3</f>
        <v>2838</v>
      </c>
      <c r="AA3" s="14">
        <f t="shared" ref="AA3:AA66" si="8">G3</f>
        <v>2820.5</v>
      </c>
      <c r="AB3" s="14">
        <f t="shared" ref="AB3:AB66" si="9">H3</f>
        <v>364.6</v>
      </c>
      <c r="AC3" s="14">
        <f t="shared" ref="AC3:AC66" si="10">I3</f>
        <v>357.3</v>
      </c>
    </row>
    <row r="4" spans="1:29" x14ac:dyDescent="0.2">
      <c r="A4" s="13">
        <v>39873</v>
      </c>
      <c r="B4" s="14">
        <f t="shared" si="1"/>
        <v>2009</v>
      </c>
      <c r="C4">
        <v>591636.5</v>
      </c>
      <c r="D4" s="143">
        <v>6466.8</v>
      </c>
      <c r="E4" s="143">
        <v>6363.8</v>
      </c>
      <c r="F4" s="143">
        <v>2839.9</v>
      </c>
      <c r="G4" s="143">
        <v>2804.5</v>
      </c>
      <c r="H4" s="143">
        <v>369.7</v>
      </c>
      <c r="I4" s="143">
        <v>359.9</v>
      </c>
      <c r="L4" s="15" t="s">
        <v>25</v>
      </c>
      <c r="M4" s="15" t="s">
        <v>26</v>
      </c>
      <c r="N4" s="15" t="s">
        <v>27</v>
      </c>
      <c r="O4" s="15" t="s">
        <v>28</v>
      </c>
      <c r="P4" s="15" t="s">
        <v>31</v>
      </c>
      <c r="Q4" s="15" t="s">
        <v>183</v>
      </c>
      <c r="R4" s="15" t="s">
        <v>29</v>
      </c>
      <c r="S4" s="15"/>
      <c r="T4"/>
      <c r="U4" s="13">
        <f t="shared" si="2"/>
        <v>39873</v>
      </c>
      <c r="V4" s="14">
        <f t="shared" si="3"/>
        <v>2009</v>
      </c>
      <c r="W4" s="14">
        <f t="shared" si="4"/>
        <v>591636.5</v>
      </c>
      <c r="X4" s="14">
        <f t="shared" si="5"/>
        <v>6466.8</v>
      </c>
      <c r="Y4" s="14">
        <f t="shared" si="6"/>
        <v>6363.8</v>
      </c>
      <c r="Z4" s="14">
        <f t="shared" si="7"/>
        <v>2839.9</v>
      </c>
      <c r="AA4" s="14">
        <f t="shared" si="8"/>
        <v>2804.5</v>
      </c>
      <c r="AB4" s="14">
        <f t="shared" si="9"/>
        <v>369.7</v>
      </c>
      <c r="AC4" s="14">
        <f t="shared" si="10"/>
        <v>359.9</v>
      </c>
    </row>
    <row r="5" spans="1:29" x14ac:dyDescent="0.2">
      <c r="A5" s="13">
        <v>39904</v>
      </c>
      <c r="B5" s="14">
        <f t="shared" si="1"/>
        <v>2009</v>
      </c>
      <c r="C5">
        <v>591636.5</v>
      </c>
      <c r="D5" s="143">
        <v>6445.5</v>
      </c>
      <c r="E5" s="143">
        <v>6359.6</v>
      </c>
      <c r="F5" s="143">
        <v>2843.4</v>
      </c>
      <c r="G5" s="143">
        <v>2816.6</v>
      </c>
      <c r="H5" s="143">
        <v>374.2</v>
      </c>
      <c r="I5" s="143">
        <v>366.2</v>
      </c>
      <c r="K5" s="15" t="s">
        <v>30</v>
      </c>
      <c r="L5" s="16">
        <v>43993</v>
      </c>
      <c r="M5" s="16">
        <v>43999</v>
      </c>
      <c r="N5" s="16">
        <v>44047</v>
      </c>
      <c r="O5" s="16">
        <v>43992</v>
      </c>
      <c r="P5" s="16"/>
      <c r="Q5" s="17"/>
      <c r="T5"/>
      <c r="U5" s="13">
        <f t="shared" si="2"/>
        <v>39904</v>
      </c>
      <c r="V5" s="14">
        <f t="shared" si="3"/>
        <v>2009</v>
      </c>
      <c r="W5" s="14">
        <f t="shared" si="4"/>
        <v>591636.5</v>
      </c>
      <c r="X5" s="14">
        <f t="shared" si="5"/>
        <v>6445.5</v>
      </c>
      <c r="Y5" s="14">
        <f t="shared" si="6"/>
        <v>6359.6</v>
      </c>
      <c r="Z5" s="14">
        <f t="shared" si="7"/>
        <v>2843.4</v>
      </c>
      <c r="AA5" s="14">
        <f t="shared" si="8"/>
        <v>2816.6</v>
      </c>
      <c r="AB5" s="14">
        <f t="shared" si="9"/>
        <v>374.2</v>
      </c>
      <c r="AC5" s="14">
        <f t="shared" si="10"/>
        <v>366.2</v>
      </c>
    </row>
    <row r="6" spans="1:29" x14ac:dyDescent="0.2">
      <c r="A6" s="13">
        <v>39934</v>
      </c>
      <c r="B6" s="14">
        <f t="shared" si="1"/>
        <v>2009</v>
      </c>
      <c r="C6">
        <v>591636.5</v>
      </c>
      <c r="D6" s="143">
        <v>6420.3</v>
      </c>
      <c r="E6" s="143">
        <v>6382.1</v>
      </c>
      <c r="F6" s="143">
        <v>2837.3</v>
      </c>
      <c r="G6" s="143">
        <v>2824.5</v>
      </c>
      <c r="H6" s="143">
        <v>376.7</v>
      </c>
      <c r="I6" s="143">
        <v>374.5</v>
      </c>
      <c r="K6" s="15" t="s">
        <v>24</v>
      </c>
      <c r="L6" s="18"/>
      <c r="N6" s="18"/>
      <c r="O6" s="18"/>
      <c r="P6" s="18"/>
      <c r="Q6" s="18"/>
      <c r="T6"/>
      <c r="U6" s="13">
        <f t="shared" si="2"/>
        <v>39934</v>
      </c>
      <c r="V6" s="14">
        <f t="shared" si="3"/>
        <v>2009</v>
      </c>
      <c r="W6" s="14">
        <f t="shared" si="4"/>
        <v>591636.5</v>
      </c>
      <c r="X6" s="14">
        <f t="shared" si="5"/>
        <v>6420.3</v>
      </c>
      <c r="Y6" s="14">
        <f t="shared" si="6"/>
        <v>6382.1</v>
      </c>
      <c r="Z6" s="14">
        <f t="shared" si="7"/>
        <v>2837.3</v>
      </c>
      <c r="AA6" s="14">
        <f t="shared" si="8"/>
        <v>2824.5</v>
      </c>
      <c r="AB6" s="14">
        <f t="shared" si="9"/>
        <v>376.7</v>
      </c>
      <c r="AC6" s="14">
        <f t="shared" si="10"/>
        <v>374.5</v>
      </c>
    </row>
    <row r="7" spans="1:29" x14ac:dyDescent="0.2">
      <c r="A7" s="13">
        <v>39965</v>
      </c>
      <c r="B7" s="14">
        <f t="shared" si="1"/>
        <v>2009</v>
      </c>
      <c r="C7">
        <v>591636.5</v>
      </c>
      <c r="D7" s="143">
        <v>6393.2</v>
      </c>
      <c r="E7" s="143">
        <v>6429.4</v>
      </c>
      <c r="F7" s="143">
        <v>2810.4</v>
      </c>
      <c r="G7" s="143">
        <v>2820.1</v>
      </c>
      <c r="H7" s="143">
        <v>373.4</v>
      </c>
      <c r="I7" s="143">
        <v>376.9</v>
      </c>
      <c r="K7" s="15">
        <v>2019</v>
      </c>
      <c r="L7" s="18">
        <v>2.9000000000000001E-2</v>
      </c>
      <c r="M7" s="18">
        <v>2.9000000000000001E-2</v>
      </c>
      <c r="N7" s="18">
        <v>2.9000000000000001E-2</v>
      </c>
      <c r="O7" s="18">
        <v>2.9000000000000001E-2</v>
      </c>
      <c r="P7" s="18"/>
      <c r="Q7" s="18">
        <f>AVERAGE(L7,M7,N7,O7)</f>
        <v>2.9000000000000001E-2</v>
      </c>
      <c r="R7" s="144">
        <f>AVERAGE(L7:P7)</f>
        <v>2.9000000000000001E-2</v>
      </c>
      <c r="T7"/>
      <c r="U7" s="13">
        <f t="shared" si="2"/>
        <v>39965</v>
      </c>
      <c r="V7" s="14">
        <f t="shared" si="3"/>
        <v>2009</v>
      </c>
      <c r="W7" s="14">
        <f t="shared" si="4"/>
        <v>591636.5</v>
      </c>
      <c r="X7" s="14">
        <f t="shared" si="5"/>
        <v>6393.2</v>
      </c>
      <c r="Y7" s="14">
        <f t="shared" si="6"/>
        <v>6429.4</v>
      </c>
      <c r="Z7" s="14">
        <f t="shared" si="7"/>
        <v>2810.4</v>
      </c>
      <c r="AA7" s="14">
        <f t="shared" si="8"/>
        <v>2820.1</v>
      </c>
      <c r="AB7" s="14">
        <f t="shared" si="9"/>
        <v>373.4</v>
      </c>
      <c r="AC7" s="14">
        <f t="shared" si="10"/>
        <v>376.9</v>
      </c>
    </row>
    <row r="8" spans="1:29" x14ac:dyDescent="0.2">
      <c r="A8" s="13">
        <v>39995</v>
      </c>
      <c r="B8" s="14">
        <f t="shared" si="1"/>
        <v>2009</v>
      </c>
      <c r="C8">
        <v>591636.5</v>
      </c>
      <c r="D8" s="143">
        <v>6390.2</v>
      </c>
      <c r="E8" s="143">
        <v>6467</v>
      </c>
      <c r="F8" s="143">
        <v>2796.2</v>
      </c>
      <c r="G8" s="143">
        <v>2818</v>
      </c>
      <c r="H8" s="143">
        <v>370</v>
      </c>
      <c r="I8" s="143">
        <v>375.1</v>
      </c>
      <c r="K8" s="15">
        <v>2020</v>
      </c>
      <c r="L8" s="18">
        <v>-3.9E-2</v>
      </c>
      <c r="M8" s="18">
        <v>-0.06</v>
      </c>
      <c r="N8" s="18">
        <v>-5.8000000000000003E-2</v>
      </c>
      <c r="O8" s="18">
        <v>-4.7E-2</v>
      </c>
      <c r="P8" s="18"/>
      <c r="Q8" s="18">
        <f>AVERAGE(L8,M8,N8,O8)</f>
        <v>-5.1000000000000004E-2</v>
      </c>
      <c r="R8" s="144">
        <f t="shared" ref="R8:R9" si="11">AVERAGE(L8:P8)</f>
        <v>-5.1000000000000004E-2</v>
      </c>
      <c r="T8"/>
      <c r="U8" s="13">
        <f t="shared" si="2"/>
        <v>39995</v>
      </c>
      <c r="V8" s="14">
        <f t="shared" si="3"/>
        <v>2009</v>
      </c>
      <c r="W8" s="14">
        <f t="shared" si="4"/>
        <v>591636.5</v>
      </c>
      <c r="X8" s="14">
        <f t="shared" si="5"/>
        <v>6390.2</v>
      </c>
      <c r="Y8" s="14">
        <f t="shared" si="6"/>
        <v>6467</v>
      </c>
      <c r="Z8" s="14">
        <f t="shared" si="7"/>
        <v>2796.2</v>
      </c>
      <c r="AA8" s="14">
        <f t="shared" si="8"/>
        <v>2818</v>
      </c>
      <c r="AB8" s="14">
        <f t="shared" si="9"/>
        <v>370</v>
      </c>
      <c r="AC8" s="14">
        <f t="shared" si="10"/>
        <v>375.1</v>
      </c>
    </row>
    <row r="9" spans="1:29" x14ac:dyDescent="0.2">
      <c r="A9" s="13">
        <v>40026</v>
      </c>
      <c r="B9" s="14">
        <f t="shared" si="1"/>
        <v>2009</v>
      </c>
      <c r="C9">
        <v>591636.5</v>
      </c>
      <c r="D9" s="143">
        <v>6401</v>
      </c>
      <c r="E9" s="143">
        <v>6487.6</v>
      </c>
      <c r="F9" s="143">
        <v>2791.5</v>
      </c>
      <c r="G9" s="143">
        <v>2817</v>
      </c>
      <c r="H9" s="143">
        <v>365.6</v>
      </c>
      <c r="I9" s="143">
        <v>372.7</v>
      </c>
      <c r="K9">
        <v>2021</v>
      </c>
      <c r="L9" s="18">
        <v>5.6000000000000001E-2</v>
      </c>
      <c r="M9" s="18">
        <v>5.8999999999999997E-2</v>
      </c>
      <c r="N9" s="18">
        <v>0.06</v>
      </c>
      <c r="O9" s="18">
        <v>5.3999999999999999E-2</v>
      </c>
      <c r="P9" s="18"/>
      <c r="Q9" s="18">
        <f t="shared" ref="Q9:Q14" si="12">AVERAGE(L9,M9,N9,O9)</f>
        <v>5.7249999999999995E-2</v>
      </c>
      <c r="R9" s="144">
        <f t="shared" si="11"/>
        <v>5.7249999999999995E-2</v>
      </c>
      <c r="T9"/>
      <c r="U9" s="13">
        <f t="shared" si="2"/>
        <v>40026</v>
      </c>
      <c r="V9" s="14">
        <f t="shared" si="3"/>
        <v>2009</v>
      </c>
      <c r="W9" s="14">
        <f t="shared" si="4"/>
        <v>591636.5</v>
      </c>
      <c r="X9" s="14">
        <f t="shared" si="5"/>
        <v>6401</v>
      </c>
      <c r="Y9" s="14">
        <f t="shared" si="6"/>
        <v>6487.6</v>
      </c>
      <c r="Z9" s="14">
        <f t="shared" si="7"/>
        <v>2791.5</v>
      </c>
      <c r="AA9" s="14">
        <f t="shared" si="8"/>
        <v>2817</v>
      </c>
      <c r="AB9" s="14">
        <f t="shared" si="9"/>
        <v>365.6</v>
      </c>
      <c r="AC9" s="14">
        <f t="shared" si="10"/>
        <v>372.7</v>
      </c>
    </row>
    <row r="10" spans="1:29" x14ac:dyDescent="0.2">
      <c r="A10" s="13">
        <v>40057</v>
      </c>
      <c r="B10" s="14">
        <f t="shared" si="1"/>
        <v>2009</v>
      </c>
      <c r="C10">
        <v>591636.5</v>
      </c>
      <c r="D10" s="143">
        <v>6421.2</v>
      </c>
      <c r="E10" s="143">
        <v>6470.2</v>
      </c>
      <c r="F10" s="143">
        <v>2796.5</v>
      </c>
      <c r="G10" s="143">
        <v>2808.4</v>
      </c>
      <c r="H10" s="143">
        <v>367.1</v>
      </c>
      <c r="I10" s="143">
        <v>371.5</v>
      </c>
      <c r="L10" s="18"/>
      <c r="N10" s="18"/>
      <c r="O10" s="18"/>
      <c r="P10" s="18"/>
      <c r="Q10" s="18"/>
      <c r="R10" s="144"/>
      <c r="T10"/>
      <c r="U10" s="13">
        <f t="shared" si="2"/>
        <v>40057</v>
      </c>
      <c r="V10" s="14">
        <f t="shared" si="3"/>
        <v>2009</v>
      </c>
      <c r="W10" s="14">
        <f t="shared" si="4"/>
        <v>591636.5</v>
      </c>
      <c r="X10" s="14">
        <f t="shared" si="5"/>
        <v>6421.2</v>
      </c>
      <c r="Y10" s="14">
        <f t="shared" si="6"/>
        <v>6470.2</v>
      </c>
      <c r="Z10" s="14">
        <f t="shared" si="7"/>
        <v>2796.5</v>
      </c>
      <c r="AA10" s="14">
        <f t="shared" si="8"/>
        <v>2808.4</v>
      </c>
      <c r="AB10" s="14">
        <f t="shared" si="9"/>
        <v>367.1</v>
      </c>
      <c r="AC10" s="14">
        <f t="shared" si="10"/>
        <v>371.5</v>
      </c>
    </row>
    <row r="11" spans="1:29" x14ac:dyDescent="0.2">
      <c r="A11" s="13">
        <v>40087</v>
      </c>
      <c r="B11" s="14">
        <f t="shared" si="1"/>
        <v>2009</v>
      </c>
      <c r="C11">
        <v>591636.5</v>
      </c>
      <c r="D11" s="143">
        <v>6438.2</v>
      </c>
      <c r="E11" s="143">
        <v>6472.1</v>
      </c>
      <c r="F11" s="143">
        <v>2803.9</v>
      </c>
      <c r="G11" s="143">
        <v>2811.8</v>
      </c>
      <c r="H11" s="143">
        <v>370.5</v>
      </c>
      <c r="I11" s="143">
        <v>374.6</v>
      </c>
      <c r="K11" s="15" t="s">
        <v>17</v>
      </c>
      <c r="L11" s="16">
        <v>43993</v>
      </c>
      <c r="M11" s="16">
        <v>43999</v>
      </c>
      <c r="N11" s="16">
        <v>44047</v>
      </c>
      <c r="O11" s="16">
        <v>43992</v>
      </c>
      <c r="P11" s="16"/>
      <c r="Q11" s="18"/>
      <c r="R11" s="144"/>
      <c r="T11"/>
      <c r="U11" s="13">
        <f t="shared" si="2"/>
        <v>40087</v>
      </c>
      <c r="V11" s="14">
        <f t="shared" si="3"/>
        <v>2009</v>
      </c>
      <c r="W11" s="14">
        <f t="shared" si="4"/>
        <v>591636.5</v>
      </c>
      <c r="X11" s="14">
        <f t="shared" si="5"/>
        <v>6438.2</v>
      </c>
      <c r="Y11" s="14">
        <f t="shared" si="6"/>
        <v>6472.1</v>
      </c>
      <c r="Z11" s="14">
        <f t="shared" si="7"/>
        <v>2803.9</v>
      </c>
      <c r="AA11" s="14">
        <f t="shared" si="8"/>
        <v>2811.8</v>
      </c>
      <c r="AB11" s="14">
        <f t="shared" si="9"/>
        <v>370.5</v>
      </c>
      <c r="AC11" s="14">
        <f t="shared" si="10"/>
        <v>374.6</v>
      </c>
    </row>
    <row r="12" spans="1:29" x14ac:dyDescent="0.2">
      <c r="A12" s="13">
        <v>40118</v>
      </c>
      <c r="B12" s="14">
        <f t="shared" si="1"/>
        <v>2009</v>
      </c>
      <c r="C12">
        <v>591636.5</v>
      </c>
      <c r="D12" s="143">
        <v>6454</v>
      </c>
      <c r="E12" s="143">
        <v>6465.6</v>
      </c>
      <c r="F12" s="143">
        <v>2815.8</v>
      </c>
      <c r="G12" s="143">
        <v>2817.5</v>
      </c>
      <c r="H12" s="143">
        <v>373</v>
      </c>
      <c r="I12" s="143">
        <v>373.5</v>
      </c>
      <c r="K12" s="15">
        <v>2019</v>
      </c>
      <c r="L12" s="18">
        <v>1.9E-2</v>
      </c>
      <c r="M12" s="18">
        <v>1.9E-2</v>
      </c>
      <c r="N12" s="18">
        <v>1.6E-2</v>
      </c>
      <c r="O12" s="18">
        <v>1.9E-2</v>
      </c>
      <c r="P12" s="18"/>
      <c r="Q12" s="18">
        <f>AVERAGE(L12,M12,N12,O12)</f>
        <v>1.8249999999999999E-2</v>
      </c>
      <c r="R12" s="144">
        <f>AVERAGE(L12:P12)</f>
        <v>1.8249999999999999E-2</v>
      </c>
      <c r="T12"/>
      <c r="U12" s="13">
        <f t="shared" si="2"/>
        <v>40118</v>
      </c>
      <c r="V12" s="14">
        <f t="shared" si="3"/>
        <v>2009</v>
      </c>
      <c r="W12" s="14">
        <f t="shared" si="4"/>
        <v>591636.5</v>
      </c>
      <c r="X12" s="14">
        <f t="shared" si="5"/>
        <v>6454</v>
      </c>
      <c r="Y12" s="14">
        <f t="shared" si="6"/>
        <v>6465.6</v>
      </c>
      <c r="Z12" s="14">
        <f t="shared" si="7"/>
        <v>2815.8</v>
      </c>
      <c r="AA12" s="14">
        <f t="shared" si="8"/>
        <v>2817.5</v>
      </c>
      <c r="AB12" s="14">
        <f t="shared" si="9"/>
        <v>373</v>
      </c>
      <c r="AC12" s="14">
        <f t="shared" si="10"/>
        <v>373.5</v>
      </c>
    </row>
    <row r="13" spans="1:29" x14ac:dyDescent="0.2">
      <c r="A13" s="13">
        <v>40148</v>
      </c>
      <c r="B13" s="14">
        <f t="shared" si="1"/>
        <v>2009</v>
      </c>
      <c r="C13">
        <v>591636.5</v>
      </c>
      <c r="D13" s="143">
        <v>6458.5</v>
      </c>
      <c r="E13" s="143">
        <v>6467.5</v>
      </c>
      <c r="F13" s="143">
        <v>2823.8</v>
      </c>
      <c r="G13" s="143">
        <v>2834.8</v>
      </c>
      <c r="H13" s="143">
        <v>370.8</v>
      </c>
      <c r="I13" s="143">
        <v>370.8</v>
      </c>
      <c r="K13" s="15">
        <v>2020</v>
      </c>
      <c r="L13" s="18">
        <v>-0.06</v>
      </c>
      <c r="M13" s="18">
        <f>-0.062</f>
        <v>-6.2E-2</v>
      </c>
      <c r="N13" s="18">
        <v>-6.4000000000000001E-2</v>
      </c>
      <c r="O13" s="18">
        <v>-5.8000000000000003E-2</v>
      </c>
      <c r="P13" s="18"/>
      <c r="Q13" s="18">
        <f t="shared" si="12"/>
        <v>-6.0999999999999999E-2</v>
      </c>
      <c r="R13" s="144">
        <f t="shared" ref="R13:R14" si="13">AVERAGE(L13:P13)</f>
        <v>-6.0999999999999999E-2</v>
      </c>
      <c r="T13"/>
      <c r="U13" s="13">
        <f t="shared" si="2"/>
        <v>40148</v>
      </c>
      <c r="V13" s="14">
        <f t="shared" si="3"/>
        <v>2009</v>
      </c>
      <c r="W13" s="14">
        <f t="shared" si="4"/>
        <v>591636.5</v>
      </c>
      <c r="X13" s="14">
        <f t="shared" si="5"/>
        <v>6458.5</v>
      </c>
      <c r="Y13" s="14">
        <f t="shared" si="6"/>
        <v>6467.5</v>
      </c>
      <c r="Z13" s="14">
        <f t="shared" si="7"/>
        <v>2823.8</v>
      </c>
      <c r="AA13" s="14">
        <f t="shared" si="8"/>
        <v>2834.8</v>
      </c>
      <c r="AB13" s="14">
        <f t="shared" si="9"/>
        <v>370.8</v>
      </c>
      <c r="AC13" s="14">
        <f t="shared" si="10"/>
        <v>370.8</v>
      </c>
    </row>
    <row r="14" spans="1:29" x14ac:dyDescent="0.2">
      <c r="A14" s="13">
        <v>40179</v>
      </c>
      <c r="B14" s="14">
        <f t="shared" si="1"/>
        <v>2010</v>
      </c>
      <c r="C14">
        <v>609770.30000000005</v>
      </c>
      <c r="D14" s="143">
        <v>6466.9</v>
      </c>
      <c r="E14" s="143">
        <v>6434.5</v>
      </c>
      <c r="F14" s="143">
        <v>2836.8</v>
      </c>
      <c r="G14" s="143">
        <v>2831.9</v>
      </c>
      <c r="H14" s="143">
        <v>368.4</v>
      </c>
      <c r="I14" s="143">
        <v>365.5</v>
      </c>
      <c r="K14" s="15">
        <v>2021</v>
      </c>
      <c r="L14" s="18">
        <v>0.06</v>
      </c>
      <c r="M14" s="18">
        <v>5.0999999999999997E-2</v>
      </c>
      <c r="N14" s="18">
        <v>5.2999999999999999E-2</v>
      </c>
      <c r="O14" s="18">
        <v>4.2000000000000003E-2</v>
      </c>
      <c r="P14" s="18"/>
      <c r="Q14" s="18">
        <f t="shared" si="12"/>
        <v>5.1499999999999997E-2</v>
      </c>
      <c r="R14" s="144">
        <f t="shared" si="13"/>
        <v>5.1499999999999997E-2</v>
      </c>
      <c r="T14"/>
      <c r="U14" s="13">
        <f t="shared" si="2"/>
        <v>40179</v>
      </c>
      <c r="V14" s="14">
        <f t="shared" si="3"/>
        <v>2010</v>
      </c>
      <c r="W14" s="14">
        <f t="shared" si="4"/>
        <v>609770.30000000005</v>
      </c>
      <c r="X14" s="14">
        <f t="shared" si="5"/>
        <v>6466.9</v>
      </c>
      <c r="Y14" s="14">
        <f t="shared" si="6"/>
        <v>6434.5</v>
      </c>
      <c r="Z14" s="14">
        <f t="shared" si="7"/>
        <v>2836.8</v>
      </c>
      <c r="AA14" s="14">
        <f t="shared" si="8"/>
        <v>2831.9</v>
      </c>
      <c r="AB14" s="14">
        <f t="shared" si="9"/>
        <v>368.4</v>
      </c>
      <c r="AC14" s="14">
        <f t="shared" si="10"/>
        <v>365.5</v>
      </c>
    </row>
    <row r="15" spans="1:29" x14ac:dyDescent="0.2">
      <c r="A15" s="13">
        <v>40210</v>
      </c>
      <c r="B15" s="14">
        <f t="shared" si="1"/>
        <v>2010</v>
      </c>
      <c r="C15">
        <v>609770.30000000005</v>
      </c>
      <c r="D15" s="143">
        <v>6471</v>
      </c>
      <c r="E15" s="143">
        <v>6404.1</v>
      </c>
      <c r="F15" s="143">
        <v>2842.3</v>
      </c>
      <c r="G15" s="143">
        <v>2825.6</v>
      </c>
      <c r="H15" s="143">
        <v>366.3</v>
      </c>
      <c r="I15" s="143">
        <v>360.3</v>
      </c>
      <c r="T15"/>
      <c r="U15" s="13">
        <f t="shared" si="2"/>
        <v>40210</v>
      </c>
      <c r="V15" s="14">
        <f t="shared" si="3"/>
        <v>2010</v>
      </c>
      <c r="W15" s="14">
        <f t="shared" si="4"/>
        <v>609770.30000000005</v>
      </c>
      <c r="X15" s="14">
        <f t="shared" si="5"/>
        <v>6471</v>
      </c>
      <c r="Y15" s="14">
        <f t="shared" si="6"/>
        <v>6404.1</v>
      </c>
      <c r="Z15" s="14">
        <f t="shared" si="7"/>
        <v>2842.3</v>
      </c>
      <c r="AA15" s="14">
        <f t="shared" si="8"/>
        <v>2825.6</v>
      </c>
      <c r="AB15" s="14">
        <f t="shared" si="9"/>
        <v>366.3</v>
      </c>
      <c r="AC15" s="14">
        <f t="shared" si="10"/>
        <v>360.3</v>
      </c>
    </row>
    <row r="16" spans="1:29" x14ac:dyDescent="0.2">
      <c r="A16" s="13">
        <v>40238</v>
      </c>
      <c r="B16" s="14">
        <f t="shared" si="1"/>
        <v>2010</v>
      </c>
      <c r="C16">
        <v>609770.30000000005</v>
      </c>
      <c r="D16" s="143">
        <v>6477.5</v>
      </c>
      <c r="E16" s="143">
        <v>6377.2</v>
      </c>
      <c r="F16" s="143">
        <v>2849.8</v>
      </c>
      <c r="G16" s="143">
        <v>2813.8</v>
      </c>
      <c r="H16" s="143">
        <v>367.5</v>
      </c>
      <c r="I16" s="143">
        <v>359.4</v>
      </c>
      <c r="T16"/>
      <c r="U16" s="13">
        <f t="shared" si="2"/>
        <v>40238</v>
      </c>
      <c r="V16" s="14">
        <f t="shared" si="3"/>
        <v>2010</v>
      </c>
      <c r="W16" s="14">
        <f t="shared" si="4"/>
        <v>609770.30000000005</v>
      </c>
      <c r="X16" s="14">
        <f t="shared" si="5"/>
        <v>6477.5</v>
      </c>
      <c r="Y16" s="14">
        <f t="shared" si="6"/>
        <v>6377.2</v>
      </c>
      <c r="Z16" s="14">
        <f t="shared" si="7"/>
        <v>2849.8</v>
      </c>
      <c r="AA16" s="14">
        <f t="shared" si="8"/>
        <v>2813.8</v>
      </c>
      <c r="AB16" s="14">
        <f t="shared" si="9"/>
        <v>367.5</v>
      </c>
      <c r="AC16" s="14">
        <f t="shared" si="10"/>
        <v>359.4</v>
      </c>
    </row>
    <row r="17" spans="1:29" x14ac:dyDescent="0.2">
      <c r="A17" s="13">
        <v>40269</v>
      </c>
      <c r="B17" s="14">
        <f t="shared" si="1"/>
        <v>2010</v>
      </c>
      <c r="C17">
        <v>609770.30000000005</v>
      </c>
      <c r="D17" s="143">
        <v>6485</v>
      </c>
      <c r="E17" s="143">
        <v>6401.7</v>
      </c>
      <c r="F17" s="143">
        <v>2844.4</v>
      </c>
      <c r="G17" s="143">
        <v>2815.5</v>
      </c>
      <c r="H17" s="143">
        <v>364.7</v>
      </c>
      <c r="I17" s="143">
        <v>358.4</v>
      </c>
      <c r="K17" s="254" t="s">
        <v>253</v>
      </c>
      <c r="L17" s="254"/>
      <c r="M17" s="254"/>
      <c r="N17" s="254"/>
      <c r="O17" s="254"/>
      <c r="P17" s="254"/>
      <c r="Q17" s="254"/>
      <c r="R17" s="254"/>
      <c r="T17"/>
      <c r="U17" s="13">
        <f t="shared" si="2"/>
        <v>40269</v>
      </c>
      <c r="V17" s="14">
        <f t="shared" si="3"/>
        <v>2010</v>
      </c>
      <c r="W17" s="14">
        <f t="shared" si="4"/>
        <v>609770.30000000005</v>
      </c>
      <c r="X17" s="14">
        <f t="shared" si="5"/>
        <v>6485</v>
      </c>
      <c r="Y17" s="14">
        <f t="shared" si="6"/>
        <v>6401.7</v>
      </c>
      <c r="Z17" s="14">
        <f t="shared" si="7"/>
        <v>2844.4</v>
      </c>
      <c r="AA17" s="14">
        <f t="shared" si="8"/>
        <v>2815.5</v>
      </c>
      <c r="AB17" s="14">
        <f t="shared" si="9"/>
        <v>364.7</v>
      </c>
      <c r="AC17" s="14">
        <f t="shared" si="10"/>
        <v>358.4</v>
      </c>
    </row>
    <row r="18" spans="1:29" x14ac:dyDescent="0.2">
      <c r="A18" s="13">
        <v>40299</v>
      </c>
      <c r="B18" s="14">
        <f t="shared" si="1"/>
        <v>2010</v>
      </c>
      <c r="C18">
        <v>609770.30000000005</v>
      </c>
      <c r="D18" s="143">
        <v>6506.8</v>
      </c>
      <c r="E18" s="143">
        <v>6468.9</v>
      </c>
      <c r="F18" s="143">
        <v>2847.5</v>
      </c>
      <c r="G18" s="143">
        <v>2831.7</v>
      </c>
      <c r="H18" s="143">
        <v>364.3</v>
      </c>
      <c r="I18" s="143">
        <v>362.4</v>
      </c>
      <c r="K18" t="s">
        <v>24</v>
      </c>
      <c r="N18" s="16">
        <v>43938</v>
      </c>
      <c r="O18" s="16">
        <v>43934</v>
      </c>
      <c r="T18"/>
      <c r="U18" s="13">
        <f t="shared" si="2"/>
        <v>40299</v>
      </c>
      <c r="V18" s="14">
        <f t="shared" si="3"/>
        <v>2010</v>
      </c>
      <c r="W18" s="14">
        <f t="shared" si="4"/>
        <v>609770.30000000005</v>
      </c>
      <c r="X18" s="14">
        <f t="shared" si="5"/>
        <v>6506.8</v>
      </c>
      <c r="Y18" s="14">
        <f t="shared" si="6"/>
        <v>6468.9</v>
      </c>
      <c r="Z18" s="14">
        <f t="shared" si="7"/>
        <v>2847.5</v>
      </c>
      <c r="AA18" s="14">
        <f t="shared" si="8"/>
        <v>2831.7</v>
      </c>
      <c r="AB18" s="14">
        <f t="shared" si="9"/>
        <v>364.3</v>
      </c>
      <c r="AC18" s="14">
        <f t="shared" si="10"/>
        <v>362.4</v>
      </c>
    </row>
    <row r="19" spans="1:29" x14ac:dyDescent="0.2">
      <c r="A19" s="13">
        <v>40330</v>
      </c>
      <c r="B19" s="14">
        <f t="shared" si="1"/>
        <v>2010</v>
      </c>
      <c r="C19">
        <v>609770.30000000005</v>
      </c>
      <c r="D19" s="143">
        <v>6540.8</v>
      </c>
      <c r="E19" s="143">
        <v>6578.9</v>
      </c>
      <c r="F19" s="143">
        <v>2859.9</v>
      </c>
      <c r="G19" s="143">
        <v>2867.7</v>
      </c>
      <c r="H19" s="143">
        <v>367.2</v>
      </c>
      <c r="I19" s="143">
        <v>370.1</v>
      </c>
      <c r="K19" s="15">
        <v>2020</v>
      </c>
      <c r="L19" s="18"/>
      <c r="M19" s="18"/>
      <c r="N19" s="18">
        <v>-8.4000000000000005E-2</v>
      </c>
      <c r="O19" s="18"/>
      <c r="P19" s="18"/>
      <c r="Q19" s="18"/>
      <c r="R19" s="18"/>
      <c r="T19"/>
      <c r="U19" s="13">
        <f t="shared" si="2"/>
        <v>40330</v>
      </c>
      <c r="V19" s="14">
        <f t="shared" si="3"/>
        <v>2010</v>
      </c>
      <c r="W19" s="14">
        <f t="shared" si="4"/>
        <v>609770.30000000005</v>
      </c>
      <c r="X19" s="14">
        <f t="shared" si="5"/>
        <v>6540.8</v>
      </c>
      <c r="Y19" s="14">
        <f t="shared" si="6"/>
        <v>6578.9</v>
      </c>
      <c r="Z19" s="14">
        <f t="shared" si="7"/>
        <v>2859.9</v>
      </c>
      <c r="AA19" s="14">
        <f t="shared" si="8"/>
        <v>2867.7</v>
      </c>
      <c r="AB19" s="14">
        <f t="shared" si="9"/>
        <v>367.2</v>
      </c>
      <c r="AC19" s="14">
        <f t="shared" si="10"/>
        <v>370.1</v>
      </c>
    </row>
    <row r="20" spans="1:29" x14ac:dyDescent="0.2">
      <c r="A20" s="13">
        <v>40360</v>
      </c>
      <c r="B20" s="14">
        <f t="shared" si="1"/>
        <v>2010</v>
      </c>
      <c r="C20">
        <v>609770.30000000005</v>
      </c>
      <c r="D20" s="143">
        <v>6561</v>
      </c>
      <c r="E20" s="143">
        <v>6640.9</v>
      </c>
      <c r="F20" s="143">
        <v>2878.7</v>
      </c>
      <c r="G20" s="143">
        <v>2899.6</v>
      </c>
      <c r="H20" s="143">
        <v>372.2</v>
      </c>
      <c r="I20" s="143">
        <v>375.7</v>
      </c>
      <c r="K20" s="15">
        <v>2021</v>
      </c>
      <c r="L20" s="18"/>
      <c r="M20" s="18"/>
      <c r="N20" s="18">
        <v>7.3999999999999996E-2</v>
      </c>
      <c r="O20" s="18"/>
      <c r="P20" s="18"/>
      <c r="Q20" s="18"/>
      <c r="R20" s="18"/>
      <c r="T20"/>
      <c r="U20" s="13">
        <f t="shared" si="2"/>
        <v>40360</v>
      </c>
      <c r="V20" s="14">
        <f t="shared" si="3"/>
        <v>2010</v>
      </c>
      <c r="W20" s="14">
        <f t="shared" si="4"/>
        <v>609770.30000000005</v>
      </c>
      <c r="X20" s="14">
        <f t="shared" si="5"/>
        <v>6561</v>
      </c>
      <c r="Y20" s="14">
        <f t="shared" si="6"/>
        <v>6640.9</v>
      </c>
      <c r="Z20" s="14">
        <f t="shared" si="7"/>
        <v>2878.7</v>
      </c>
      <c r="AA20" s="14">
        <f t="shared" si="8"/>
        <v>2899.6</v>
      </c>
      <c r="AB20" s="14">
        <f t="shared" si="9"/>
        <v>372.2</v>
      </c>
      <c r="AC20" s="14">
        <f t="shared" si="10"/>
        <v>375.7</v>
      </c>
    </row>
    <row r="21" spans="1:29" ht="15" x14ac:dyDescent="0.2">
      <c r="A21" s="13">
        <v>40391</v>
      </c>
      <c r="B21" s="14">
        <f t="shared" si="1"/>
        <v>2010</v>
      </c>
      <c r="C21">
        <v>609770.30000000005</v>
      </c>
      <c r="D21" s="143">
        <v>6568.9</v>
      </c>
      <c r="E21" s="143">
        <v>6662.6</v>
      </c>
      <c r="F21" s="143">
        <v>2895.3</v>
      </c>
      <c r="G21" s="143">
        <v>2928.4</v>
      </c>
      <c r="H21" s="143">
        <v>377</v>
      </c>
      <c r="I21" s="143">
        <v>379.1</v>
      </c>
      <c r="K21" s="147"/>
      <c r="L21" s="145"/>
      <c r="M21" s="145"/>
      <c r="N21" s="146"/>
      <c r="O21" s="146"/>
      <c r="P21" s="146"/>
      <c r="T21"/>
      <c r="U21" s="13">
        <f t="shared" si="2"/>
        <v>40391</v>
      </c>
      <c r="V21" s="14">
        <f t="shared" si="3"/>
        <v>2010</v>
      </c>
      <c r="W21" s="14">
        <f t="shared" si="4"/>
        <v>609770.30000000005</v>
      </c>
      <c r="X21" s="14">
        <f t="shared" si="5"/>
        <v>6568.9</v>
      </c>
      <c r="Y21" s="14">
        <f t="shared" si="6"/>
        <v>6662.6</v>
      </c>
      <c r="Z21" s="14">
        <f t="shared" si="7"/>
        <v>2895.3</v>
      </c>
      <c r="AA21" s="14">
        <f t="shared" si="8"/>
        <v>2928.4</v>
      </c>
      <c r="AB21" s="14">
        <f t="shared" si="9"/>
        <v>377</v>
      </c>
      <c r="AC21" s="14">
        <f t="shared" si="10"/>
        <v>379.1</v>
      </c>
    </row>
    <row r="22" spans="1:29" x14ac:dyDescent="0.2">
      <c r="A22" s="13">
        <v>40422</v>
      </c>
      <c r="B22" s="14">
        <f t="shared" si="1"/>
        <v>2010</v>
      </c>
      <c r="C22">
        <v>609770.30000000005</v>
      </c>
      <c r="D22" s="143">
        <v>6556</v>
      </c>
      <c r="E22" s="143">
        <v>6611.2</v>
      </c>
      <c r="F22" s="143">
        <v>2891.8</v>
      </c>
      <c r="G22" s="143">
        <v>2912</v>
      </c>
      <c r="H22" s="143">
        <v>377.3</v>
      </c>
      <c r="I22" s="143">
        <v>376.7</v>
      </c>
      <c r="K22" t="s">
        <v>17</v>
      </c>
      <c r="L22" s="16">
        <v>43966</v>
      </c>
      <c r="M22" s="16"/>
      <c r="N22" s="16">
        <v>43938</v>
      </c>
      <c r="O22" s="16">
        <v>43934</v>
      </c>
      <c r="P22" s="16">
        <v>43996</v>
      </c>
      <c r="T22"/>
      <c r="U22" s="13">
        <f t="shared" si="2"/>
        <v>40422</v>
      </c>
      <c r="V22" s="14">
        <f t="shared" si="3"/>
        <v>2010</v>
      </c>
      <c r="W22" s="14">
        <f t="shared" si="4"/>
        <v>609770.30000000005</v>
      </c>
      <c r="X22" s="14">
        <f t="shared" si="5"/>
        <v>6556</v>
      </c>
      <c r="Y22" s="14">
        <f t="shared" si="6"/>
        <v>6611.2</v>
      </c>
      <c r="Z22" s="14">
        <f t="shared" si="7"/>
        <v>2891.8</v>
      </c>
      <c r="AA22" s="14">
        <f t="shared" si="8"/>
        <v>2912</v>
      </c>
      <c r="AB22" s="14">
        <f t="shared" si="9"/>
        <v>377.3</v>
      </c>
      <c r="AC22" s="14">
        <f t="shared" si="10"/>
        <v>376.7</v>
      </c>
    </row>
    <row r="23" spans="1:29" x14ac:dyDescent="0.2">
      <c r="A23" s="13">
        <v>40452</v>
      </c>
      <c r="B23" s="14">
        <f t="shared" si="1"/>
        <v>2010</v>
      </c>
      <c r="C23">
        <v>609770.30000000005</v>
      </c>
      <c r="D23" s="143">
        <v>6551.6</v>
      </c>
      <c r="E23" s="143">
        <v>6587.1</v>
      </c>
      <c r="F23" s="143">
        <v>2893.7</v>
      </c>
      <c r="G23" s="143">
        <v>2907.8</v>
      </c>
      <c r="H23" s="143">
        <v>373.6</v>
      </c>
      <c r="I23" s="143">
        <v>372.9</v>
      </c>
      <c r="K23" s="15">
        <v>2020</v>
      </c>
      <c r="L23" s="18">
        <v>-0.06</v>
      </c>
      <c r="M23" s="18"/>
      <c r="N23" s="18">
        <v>-9.0999999999999998E-2</v>
      </c>
      <c r="O23" s="18">
        <v>-4.9000000000000002E-2</v>
      </c>
      <c r="P23" s="18">
        <v>-6.2E-2</v>
      </c>
      <c r="Q23" s="18"/>
      <c r="R23" s="18"/>
      <c r="T23"/>
      <c r="U23" s="13">
        <f t="shared" si="2"/>
        <v>40452</v>
      </c>
      <c r="V23" s="14">
        <f t="shared" si="3"/>
        <v>2010</v>
      </c>
      <c r="W23" s="14">
        <f t="shared" si="4"/>
        <v>609770.30000000005</v>
      </c>
      <c r="X23" s="14">
        <f t="shared" si="5"/>
        <v>6551.6</v>
      </c>
      <c r="Y23" s="14">
        <f t="shared" si="6"/>
        <v>6587.1</v>
      </c>
      <c r="Z23" s="14">
        <f t="shared" si="7"/>
        <v>2893.7</v>
      </c>
      <c r="AA23" s="14">
        <f t="shared" si="8"/>
        <v>2907.8</v>
      </c>
      <c r="AB23" s="14">
        <f t="shared" si="9"/>
        <v>373.6</v>
      </c>
      <c r="AC23" s="14">
        <f t="shared" si="10"/>
        <v>372.9</v>
      </c>
    </row>
    <row r="24" spans="1:29" x14ac:dyDescent="0.2">
      <c r="A24" s="13">
        <v>40483</v>
      </c>
      <c r="B24" s="14">
        <f t="shared" si="1"/>
        <v>2010</v>
      </c>
      <c r="C24">
        <v>609770.30000000005</v>
      </c>
      <c r="D24" s="143">
        <v>6555.7</v>
      </c>
      <c r="E24" s="143">
        <v>6566.6</v>
      </c>
      <c r="F24" s="143">
        <v>2893.6</v>
      </c>
      <c r="G24" s="143">
        <v>2895.2</v>
      </c>
      <c r="H24" s="143">
        <v>372.3</v>
      </c>
      <c r="I24" s="143">
        <v>371.5</v>
      </c>
      <c r="K24" s="15">
        <v>2021</v>
      </c>
      <c r="L24" s="18">
        <v>0.06</v>
      </c>
      <c r="M24" s="18"/>
      <c r="N24" s="18">
        <v>6.5000000000000002E-2</v>
      </c>
      <c r="O24" s="18">
        <v>3.4000000000000002E-2</v>
      </c>
      <c r="P24" s="18">
        <v>5.5E-2</v>
      </c>
      <c r="Q24" s="18"/>
      <c r="R24" s="18"/>
      <c r="T24"/>
      <c r="U24" s="13">
        <f t="shared" si="2"/>
        <v>40483</v>
      </c>
      <c r="V24" s="14">
        <f t="shared" si="3"/>
        <v>2010</v>
      </c>
      <c r="W24" s="14">
        <f t="shared" si="4"/>
        <v>609770.30000000005</v>
      </c>
      <c r="X24" s="14">
        <f t="shared" si="5"/>
        <v>6555.7</v>
      </c>
      <c r="Y24" s="14">
        <f t="shared" si="6"/>
        <v>6566.6</v>
      </c>
      <c r="Z24" s="14">
        <f t="shared" si="7"/>
        <v>2893.6</v>
      </c>
      <c r="AA24" s="14">
        <f t="shared" si="8"/>
        <v>2895.2</v>
      </c>
      <c r="AB24" s="14">
        <f t="shared" si="9"/>
        <v>372.3</v>
      </c>
      <c r="AC24" s="14">
        <f t="shared" si="10"/>
        <v>371.5</v>
      </c>
    </row>
    <row r="25" spans="1:29" x14ac:dyDescent="0.2">
      <c r="A25" s="13">
        <v>40513</v>
      </c>
      <c r="B25" s="14">
        <f t="shared" si="1"/>
        <v>2010</v>
      </c>
      <c r="C25">
        <v>609770.30000000005</v>
      </c>
      <c r="D25" s="143">
        <v>6578.3</v>
      </c>
      <c r="E25" s="143">
        <v>6584.1</v>
      </c>
      <c r="F25" s="143">
        <v>2918.5</v>
      </c>
      <c r="G25" s="143">
        <v>2927.8</v>
      </c>
      <c r="H25" s="143">
        <v>370.9</v>
      </c>
      <c r="I25" s="143">
        <v>370.2</v>
      </c>
      <c r="O25" s="144"/>
      <c r="P25" s="16"/>
      <c r="T25"/>
      <c r="U25" s="13">
        <f t="shared" si="2"/>
        <v>40513</v>
      </c>
      <c r="V25" s="14">
        <f t="shared" si="3"/>
        <v>2010</v>
      </c>
      <c r="W25" s="14">
        <f t="shared" si="4"/>
        <v>609770.30000000005</v>
      </c>
      <c r="X25" s="14">
        <f t="shared" si="5"/>
        <v>6578.3</v>
      </c>
      <c r="Y25" s="14">
        <f t="shared" si="6"/>
        <v>6584.1</v>
      </c>
      <c r="Z25" s="14">
        <f t="shared" si="7"/>
        <v>2918.5</v>
      </c>
      <c r="AA25" s="14">
        <f t="shared" si="8"/>
        <v>2927.8</v>
      </c>
      <c r="AB25" s="14">
        <f t="shared" si="9"/>
        <v>370.9</v>
      </c>
      <c r="AC25" s="14">
        <f t="shared" si="10"/>
        <v>370.2</v>
      </c>
    </row>
    <row r="26" spans="1:29" x14ac:dyDescent="0.2">
      <c r="A26" s="13">
        <v>40544</v>
      </c>
      <c r="B26" s="14">
        <f t="shared" si="1"/>
        <v>2011</v>
      </c>
      <c r="C26">
        <v>625936.9</v>
      </c>
      <c r="D26" s="143">
        <v>6606.3</v>
      </c>
      <c r="E26" s="143">
        <v>6571.2</v>
      </c>
      <c r="F26" s="143">
        <v>2938.5</v>
      </c>
      <c r="G26" s="143">
        <v>2934.1</v>
      </c>
      <c r="H26" s="143">
        <v>372.1</v>
      </c>
      <c r="I26" s="143">
        <v>369.4</v>
      </c>
      <c r="P26" s="12"/>
      <c r="T26"/>
      <c r="U26" s="13">
        <f t="shared" si="2"/>
        <v>40544</v>
      </c>
      <c r="V26" s="14">
        <f t="shared" si="3"/>
        <v>2011</v>
      </c>
      <c r="W26" s="14">
        <f t="shared" si="4"/>
        <v>625936.9</v>
      </c>
      <c r="X26" s="14">
        <f t="shared" si="5"/>
        <v>6606.3</v>
      </c>
      <c r="Y26" s="14">
        <f t="shared" si="6"/>
        <v>6571.2</v>
      </c>
      <c r="Z26" s="14">
        <f t="shared" si="7"/>
        <v>2938.5</v>
      </c>
      <c r="AA26" s="14">
        <f t="shared" si="8"/>
        <v>2934.1</v>
      </c>
      <c r="AB26" s="14">
        <f t="shared" si="9"/>
        <v>372.1</v>
      </c>
      <c r="AC26" s="14">
        <f t="shared" si="10"/>
        <v>369.4</v>
      </c>
    </row>
    <row r="27" spans="1:29" x14ac:dyDescent="0.2">
      <c r="A27" s="13">
        <v>40575</v>
      </c>
      <c r="B27" s="14">
        <f t="shared" si="1"/>
        <v>2011</v>
      </c>
      <c r="C27">
        <v>625936.9</v>
      </c>
      <c r="D27" s="143">
        <v>6619.5</v>
      </c>
      <c r="E27" s="143">
        <v>6548.1</v>
      </c>
      <c r="F27" s="143">
        <v>2947.4</v>
      </c>
      <c r="G27" s="143">
        <v>2929.4</v>
      </c>
      <c r="H27" s="143">
        <v>369.6</v>
      </c>
      <c r="I27" s="143">
        <v>365.4</v>
      </c>
      <c r="T27"/>
      <c r="U27" s="13">
        <f t="shared" si="2"/>
        <v>40575</v>
      </c>
      <c r="V27" s="14">
        <f t="shared" si="3"/>
        <v>2011</v>
      </c>
      <c r="W27" s="14">
        <f t="shared" si="4"/>
        <v>625936.9</v>
      </c>
      <c r="X27" s="14">
        <f t="shared" si="5"/>
        <v>6619.5</v>
      </c>
      <c r="Y27" s="14">
        <f t="shared" si="6"/>
        <v>6548.1</v>
      </c>
      <c r="Z27" s="14">
        <f t="shared" si="7"/>
        <v>2947.4</v>
      </c>
      <c r="AA27" s="14">
        <f t="shared" si="8"/>
        <v>2929.4</v>
      </c>
      <c r="AB27" s="14">
        <f t="shared" si="9"/>
        <v>369.6</v>
      </c>
      <c r="AC27" s="14">
        <f t="shared" si="10"/>
        <v>365.4</v>
      </c>
    </row>
    <row r="28" spans="1:29" x14ac:dyDescent="0.2">
      <c r="A28" s="13">
        <v>40603</v>
      </c>
      <c r="B28" s="14">
        <f t="shared" si="1"/>
        <v>2011</v>
      </c>
      <c r="C28">
        <v>625936.9</v>
      </c>
      <c r="D28" s="143">
        <v>6628.6</v>
      </c>
      <c r="E28" s="143">
        <v>6523.7</v>
      </c>
      <c r="F28" s="143">
        <v>2938.7</v>
      </c>
      <c r="G28" s="143">
        <v>2901.9</v>
      </c>
      <c r="H28" s="143">
        <v>369.8</v>
      </c>
      <c r="I28" s="143">
        <v>363.6</v>
      </c>
      <c r="K28" s="256" t="s">
        <v>258</v>
      </c>
      <c r="L28" s="256"/>
      <c r="M28" s="256"/>
      <c r="Q28" t="s">
        <v>234</v>
      </c>
      <c r="T28"/>
      <c r="U28" s="13">
        <f t="shared" si="2"/>
        <v>40603</v>
      </c>
      <c r="V28" s="14">
        <f t="shared" si="3"/>
        <v>2011</v>
      </c>
      <c r="W28" s="14">
        <f t="shared" si="4"/>
        <v>625936.9</v>
      </c>
      <c r="X28" s="14">
        <f t="shared" si="5"/>
        <v>6628.6</v>
      </c>
      <c r="Y28" s="14">
        <f t="shared" si="6"/>
        <v>6523.7</v>
      </c>
      <c r="Z28" s="14">
        <f t="shared" si="7"/>
        <v>2938.7</v>
      </c>
      <c r="AA28" s="14">
        <f t="shared" si="8"/>
        <v>2901.9</v>
      </c>
      <c r="AB28" s="14">
        <f t="shared" si="9"/>
        <v>369.8</v>
      </c>
      <c r="AC28" s="14">
        <f t="shared" si="10"/>
        <v>363.6</v>
      </c>
    </row>
    <row r="29" spans="1:29" x14ac:dyDescent="0.2">
      <c r="A29" s="13">
        <v>40634</v>
      </c>
      <c r="B29" s="14">
        <f t="shared" si="1"/>
        <v>2011</v>
      </c>
      <c r="C29">
        <v>625936.9</v>
      </c>
      <c r="D29" s="143">
        <v>6635.5</v>
      </c>
      <c r="E29" s="143">
        <v>6550</v>
      </c>
      <c r="F29" s="143">
        <v>2929.9</v>
      </c>
      <c r="G29" s="143">
        <v>2898.7</v>
      </c>
      <c r="H29" s="143">
        <v>372</v>
      </c>
      <c r="I29" s="143">
        <v>367.1</v>
      </c>
      <c r="K29" s="256"/>
      <c r="L29" s="256"/>
      <c r="M29" s="256"/>
      <c r="Q29" s="255" t="s">
        <v>224</v>
      </c>
      <c r="R29" s="255"/>
      <c r="T29"/>
      <c r="U29" s="13">
        <f t="shared" si="2"/>
        <v>40634</v>
      </c>
      <c r="V29" s="14">
        <f t="shared" si="3"/>
        <v>2011</v>
      </c>
      <c r="W29" s="14">
        <f t="shared" si="4"/>
        <v>625936.9</v>
      </c>
      <c r="X29" s="14">
        <f t="shared" si="5"/>
        <v>6635.5</v>
      </c>
      <c r="Y29" s="14">
        <f t="shared" si="6"/>
        <v>6550</v>
      </c>
      <c r="Z29" s="14">
        <f t="shared" si="7"/>
        <v>2929.9</v>
      </c>
      <c r="AA29" s="14">
        <f t="shared" si="8"/>
        <v>2898.7</v>
      </c>
      <c r="AB29" s="14">
        <f t="shared" si="9"/>
        <v>372</v>
      </c>
      <c r="AC29" s="14">
        <f t="shared" si="10"/>
        <v>367.1</v>
      </c>
    </row>
    <row r="30" spans="1:29" x14ac:dyDescent="0.2">
      <c r="A30" s="13">
        <v>40664</v>
      </c>
      <c r="B30" s="14">
        <f t="shared" si="1"/>
        <v>2011</v>
      </c>
      <c r="C30">
        <v>625936.9</v>
      </c>
      <c r="D30" s="143">
        <v>6645.8</v>
      </c>
      <c r="E30" s="143">
        <v>6612</v>
      </c>
      <c r="F30" s="143">
        <v>2930.2</v>
      </c>
      <c r="G30" s="143">
        <v>2912</v>
      </c>
      <c r="H30" s="143">
        <v>375</v>
      </c>
      <c r="I30" s="143">
        <v>374.6</v>
      </c>
      <c r="K30" s="256"/>
      <c r="L30" s="256"/>
      <c r="M30" s="256"/>
      <c r="Q30" t="s">
        <v>24</v>
      </c>
      <c r="R30" t="s">
        <v>17</v>
      </c>
      <c r="T30"/>
      <c r="U30" s="13">
        <f t="shared" si="2"/>
        <v>40664</v>
      </c>
      <c r="V30" s="14">
        <f t="shared" si="3"/>
        <v>2011</v>
      </c>
      <c r="W30" s="14">
        <f t="shared" si="4"/>
        <v>625936.9</v>
      </c>
      <c r="X30" s="14">
        <f t="shared" si="5"/>
        <v>6645.8</v>
      </c>
      <c r="Y30" s="14">
        <f t="shared" si="6"/>
        <v>6612</v>
      </c>
      <c r="Z30" s="14">
        <f t="shared" si="7"/>
        <v>2930.2</v>
      </c>
      <c r="AA30" s="14">
        <f t="shared" si="8"/>
        <v>2912</v>
      </c>
      <c r="AB30" s="14">
        <f t="shared" si="9"/>
        <v>375</v>
      </c>
      <c r="AC30" s="14">
        <f t="shared" si="10"/>
        <v>374.6</v>
      </c>
    </row>
    <row r="31" spans="1:29" x14ac:dyDescent="0.2">
      <c r="A31" s="13">
        <v>40695</v>
      </c>
      <c r="B31" s="14">
        <f t="shared" si="1"/>
        <v>2011</v>
      </c>
      <c r="C31">
        <v>625936.9</v>
      </c>
      <c r="D31" s="143">
        <v>6662</v>
      </c>
      <c r="E31" s="143">
        <v>6706.8</v>
      </c>
      <c r="F31" s="143">
        <v>2934.9</v>
      </c>
      <c r="G31" s="143">
        <v>2941</v>
      </c>
      <c r="H31" s="143">
        <v>375.2</v>
      </c>
      <c r="I31" s="143">
        <v>379.2</v>
      </c>
      <c r="K31" s="256"/>
      <c r="L31" s="256"/>
      <c r="M31" s="256"/>
      <c r="P31">
        <v>2020</v>
      </c>
      <c r="Q31" s="144">
        <v>1.9E-2</v>
      </c>
      <c r="R31" s="144">
        <v>1.7999999999999999E-2</v>
      </c>
      <c r="T31"/>
      <c r="U31" s="13">
        <f t="shared" si="2"/>
        <v>40695</v>
      </c>
      <c r="V31" s="14">
        <f t="shared" si="3"/>
        <v>2011</v>
      </c>
      <c r="W31" s="14">
        <f t="shared" si="4"/>
        <v>625936.9</v>
      </c>
      <c r="X31" s="14">
        <f t="shared" si="5"/>
        <v>6662</v>
      </c>
      <c r="Y31" s="14">
        <f t="shared" si="6"/>
        <v>6706.8</v>
      </c>
      <c r="Z31" s="14">
        <f t="shared" si="7"/>
        <v>2934.9</v>
      </c>
      <c r="AA31" s="14">
        <f t="shared" si="8"/>
        <v>2941</v>
      </c>
      <c r="AB31" s="14">
        <f t="shared" si="9"/>
        <v>375.2</v>
      </c>
      <c r="AC31" s="14">
        <f t="shared" si="10"/>
        <v>379.2</v>
      </c>
    </row>
    <row r="32" spans="1:29" x14ac:dyDescent="0.2">
      <c r="A32" s="13">
        <v>40725</v>
      </c>
      <c r="B32" s="14">
        <f t="shared" si="1"/>
        <v>2011</v>
      </c>
      <c r="C32">
        <v>625936.9</v>
      </c>
      <c r="D32" s="143">
        <v>6665.8</v>
      </c>
      <c r="E32" s="143">
        <v>6755.3</v>
      </c>
      <c r="F32" s="143">
        <v>2928.1</v>
      </c>
      <c r="G32" s="143">
        <v>2949.3</v>
      </c>
      <c r="H32" s="143">
        <v>375.3</v>
      </c>
      <c r="I32" s="143">
        <v>379.4</v>
      </c>
      <c r="P32">
        <v>2021</v>
      </c>
      <c r="Q32" s="144">
        <v>1.2E-2</v>
      </c>
      <c r="R32" s="144">
        <v>1.7999999999999999E-2</v>
      </c>
      <c r="T32"/>
      <c r="U32" s="13">
        <f t="shared" si="2"/>
        <v>40725</v>
      </c>
      <c r="V32" s="14">
        <f t="shared" si="3"/>
        <v>2011</v>
      </c>
      <c r="W32" s="14">
        <f t="shared" si="4"/>
        <v>625936.9</v>
      </c>
      <c r="X32" s="14">
        <f t="shared" si="5"/>
        <v>6665.8</v>
      </c>
      <c r="Y32" s="14">
        <f t="shared" si="6"/>
        <v>6755.3</v>
      </c>
      <c r="Z32" s="14">
        <f t="shared" si="7"/>
        <v>2928.1</v>
      </c>
      <c r="AA32" s="14">
        <f t="shared" si="8"/>
        <v>2949.3</v>
      </c>
      <c r="AB32" s="14">
        <f t="shared" si="9"/>
        <v>375.3</v>
      </c>
      <c r="AC32" s="14">
        <f t="shared" si="10"/>
        <v>379.4</v>
      </c>
    </row>
    <row r="33" spans="1:29" x14ac:dyDescent="0.2">
      <c r="A33" s="13">
        <v>40756</v>
      </c>
      <c r="B33" s="14">
        <f t="shared" si="1"/>
        <v>2011</v>
      </c>
      <c r="C33">
        <v>625936.9</v>
      </c>
      <c r="D33" s="143">
        <v>6677.5</v>
      </c>
      <c r="E33" s="143">
        <v>6778</v>
      </c>
      <c r="F33" s="143">
        <v>2922.7</v>
      </c>
      <c r="G33" s="143">
        <v>2957.5</v>
      </c>
      <c r="H33" s="143">
        <v>371.4</v>
      </c>
      <c r="I33" s="143">
        <v>372.8</v>
      </c>
      <c r="T33"/>
      <c r="U33" s="13">
        <f t="shared" si="2"/>
        <v>40756</v>
      </c>
      <c r="V33" s="14">
        <f t="shared" si="3"/>
        <v>2011</v>
      </c>
      <c r="W33" s="14">
        <f t="shared" si="4"/>
        <v>625936.9</v>
      </c>
      <c r="X33" s="14">
        <f t="shared" si="5"/>
        <v>6677.5</v>
      </c>
      <c r="Y33" s="14">
        <f t="shared" si="6"/>
        <v>6778</v>
      </c>
      <c r="Z33" s="14">
        <f t="shared" si="7"/>
        <v>2922.7</v>
      </c>
      <c r="AA33" s="14">
        <f t="shared" si="8"/>
        <v>2957.5</v>
      </c>
      <c r="AB33" s="14">
        <f t="shared" si="9"/>
        <v>371.4</v>
      </c>
      <c r="AC33" s="14">
        <f t="shared" si="10"/>
        <v>372.8</v>
      </c>
    </row>
    <row r="34" spans="1:29" x14ac:dyDescent="0.2">
      <c r="A34" s="13">
        <v>40787</v>
      </c>
      <c r="B34" s="14">
        <f t="shared" si="1"/>
        <v>2011</v>
      </c>
      <c r="C34">
        <v>625936.9</v>
      </c>
      <c r="D34" s="143">
        <v>6674.4</v>
      </c>
      <c r="E34" s="143">
        <v>6734.6</v>
      </c>
      <c r="F34" s="143">
        <v>2918.3</v>
      </c>
      <c r="G34" s="143">
        <v>2940.6</v>
      </c>
      <c r="H34" s="143">
        <v>372.6</v>
      </c>
      <c r="I34" s="143">
        <v>371.1</v>
      </c>
      <c r="T34"/>
      <c r="U34" s="13">
        <f t="shared" si="2"/>
        <v>40787</v>
      </c>
      <c r="V34" s="14">
        <f t="shared" si="3"/>
        <v>2011</v>
      </c>
      <c r="W34" s="14">
        <f t="shared" si="4"/>
        <v>625936.9</v>
      </c>
      <c r="X34" s="14">
        <f t="shared" si="5"/>
        <v>6674.4</v>
      </c>
      <c r="Y34" s="14">
        <f t="shared" si="6"/>
        <v>6734.6</v>
      </c>
      <c r="Z34" s="14">
        <f t="shared" si="7"/>
        <v>2918.3</v>
      </c>
      <c r="AA34" s="14">
        <f t="shared" si="8"/>
        <v>2940.6</v>
      </c>
      <c r="AB34" s="14">
        <f t="shared" si="9"/>
        <v>372.6</v>
      </c>
      <c r="AC34" s="14">
        <f t="shared" si="10"/>
        <v>371.1</v>
      </c>
    </row>
    <row r="35" spans="1:29" x14ac:dyDescent="0.2">
      <c r="A35" s="13">
        <v>40817</v>
      </c>
      <c r="B35" s="14">
        <f t="shared" si="1"/>
        <v>2011</v>
      </c>
      <c r="C35">
        <v>625936.9</v>
      </c>
      <c r="D35" s="143">
        <v>6668.1</v>
      </c>
      <c r="E35" s="143">
        <v>6702.2</v>
      </c>
      <c r="F35" s="143">
        <v>2912.1</v>
      </c>
      <c r="G35" s="143">
        <v>2925.9</v>
      </c>
      <c r="H35" s="143">
        <v>374.6</v>
      </c>
      <c r="I35" s="143">
        <v>373.4</v>
      </c>
      <c r="T35"/>
      <c r="U35" s="13">
        <f t="shared" si="2"/>
        <v>40817</v>
      </c>
      <c r="V35" s="14">
        <f t="shared" si="3"/>
        <v>2011</v>
      </c>
      <c r="W35" s="14">
        <f t="shared" si="4"/>
        <v>625936.9</v>
      </c>
      <c r="X35" s="14">
        <f t="shared" si="5"/>
        <v>6668.1</v>
      </c>
      <c r="Y35" s="14">
        <f t="shared" si="6"/>
        <v>6702.2</v>
      </c>
      <c r="Z35" s="14">
        <f t="shared" si="7"/>
        <v>2912.1</v>
      </c>
      <c r="AA35" s="14">
        <f t="shared" si="8"/>
        <v>2925.9</v>
      </c>
      <c r="AB35" s="14">
        <f t="shared" si="9"/>
        <v>374.6</v>
      </c>
      <c r="AC35" s="14">
        <f t="shared" si="10"/>
        <v>373.4</v>
      </c>
    </row>
    <row r="36" spans="1:29" x14ac:dyDescent="0.2">
      <c r="A36" s="13">
        <v>40848</v>
      </c>
      <c r="B36" s="14">
        <f t="shared" si="1"/>
        <v>2011</v>
      </c>
      <c r="C36">
        <v>625936.9</v>
      </c>
      <c r="D36" s="143">
        <v>6662.8</v>
      </c>
      <c r="E36" s="143">
        <v>6669.4</v>
      </c>
      <c r="F36" s="143">
        <v>2908.5</v>
      </c>
      <c r="G36" s="143">
        <v>2909.9</v>
      </c>
      <c r="H36" s="143">
        <v>383.7</v>
      </c>
      <c r="I36" s="143">
        <v>381.7</v>
      </c>
      <c r="K36" t="s">
        <v>228</v>
      </c>
      <c r="N36" s="234" t="s">
        <v>27</v>
      </c>
      <c r="O36" s="234"/>
      <c r="P36" s="234" t="s">
        <v>31</v>
      </c>
      <c r="T36"/>
      <c r="U36" s="13">
        <f t="shared" si="2"/>
        <v>40848</v>
      </c>
      <c r="V36" s="14">
        <f t="shared" si="3"/>
        <v>2011</v>
      </c>
      <c r="W36" s="14">
        <f t="shared" si="4"/>
        <v>625936.9</v>
      </c>
      <c r="X36" s="14">
        <f t="shared" si="5"/>
        <v>6662.8</v>
      </c>
      <c r="Y36" s="14">
        <f t="shared" si="6"/>
        <v>6669.4</v>
      </c>
      <c r="Z36" s="14">
        <f t="shared" si="7"/>
        <v>2908.5</v>
      </c>
      <c r="AA36" s="14">
        <f t="shared" si="8"/>
        <v>2909.9</v>
      </c>
      <c r="AB36" s="14">
        <f t="shared" si="9"/>
        <v>383.7</v>
      </c>
      <c r="AC36" s="14">
        <f t="shared" si="10"/>
        <v>381.7</v>
      </c>
    </row>
    <row r="37" spans="1:29" x14ac:dyDescent="0.2">
      <c r="A37" s="13">
        <v>40878</v>
      </c>
      <c r="B37" s="14">
        <f t="shared" si="1"/>
        <v>2011</v>
      </c>
      <c r="C37">
        <v>625936.9</v>
      </c>
      <c r="D37" s="143">
        <v>6667.5</v>
      </c>
      <c r="E37" s="143">
        <v>6668.3</v>
      </c>
      <c r="F37" s="143">
        <v>2903</v>
      </c>
      <c r="G37" s="143">
        <v>2910.1</v>
      </c>
      <c r="H37" s="143">
        <v>387.6</v>
      </c>
      <c r="I37" s="143">
        <v>386.4</v>
      </c>
      <c r="N37" s="16">
        <v>43987</v>
      </c>
      <c r="P37" s="186">
        <v>43998</v>
      </c>
      <c r="Q37" t="s">
        <v>235</v>
      </c>
      <c r="R37" t="s">
        <v>236</v>
      </c>
      <c r="S37" t="s">
        <v>237</v>
      </c>
      <c r="T37"/>
      <c r="U37" s="13">
        <f t="shared" si="2"/>
        <v>40878</v>
      </c>
      <c r="V37" s="14">
        <f t="shared" si="3"/>
        <v>2011</v>
      </c>
      <c r="W37" s="14">
        <f t="shared" si="4"/>
        <v>625936.9</v>
      </c>
      <c r="X37" s="14">
        <f t="shared" si="5"/>
        <v>6667.5</v>
      </c>
      <c r="Y37" s="14">
        <f t="shared" si="6"/>
        <v>6668.3</v>
      </c>
      <c r="Z37" s="14">
        <f t="shared" si="7"/>
        <v>2903</v>
      </c>
      <c r="AA37" s="14">
        <f t="shared" si="8"/>
        <v>2910.1</v>
      </c>
      <c r="AB37" s="14">
        <f t="shared" si="9"/>
        <v>387.6</v>
      </c>
      <c r="AC37" s="14">
        <f t="shared" si="10"/>
        <v>386.4</v>
      </c>
    </row>
    <row r="38" spans="1:29" x14ac:dyDescent="0.2">
      <c r="A38" s="13">
        <v>40909</v>
      </c>
      <c r="B38" s="14">
        <f t="shared" si="1"/>
        <v>2012</v>
      </c>
      <c r="C38">
        <v>634944.30000000005</v>
      </c>
      <c r="D38" s="143">
        <v>6673.6</v>
      </c>
      <c r="E38" s="143">
        <v>6635.9</v>
      </c>
      <c r="F38" s="143">
        <v>2903.3</v>
      </c>
      <c r="G38" s="143">
        <v>2898.2</v>
      </c>
      <c r="H38" s="143">
        <v>390.1</v>
      </c>
      <c r="I38" s="143">
        <v>387.2</v>
      </c>
      <c r="K38" t="s">
        <v>222</v>
      </c>
      <c r="N38" s="144">
        <v>-6.6000000000000003E-2</v>
      </c>
      <c r="P38" s="144">
        <v>-6.2E-2</v>
      </c>
      <c r="Q38" s="157">
        <f>AVERAGE(L38:P38)</f>
        <v>-6.4000000000000001E-2</v>
      </c>
      <c r="T38"/>
      <c r="U38" s="13">
        <f t="shared" si="2"/>
        <v>40909</v>
      </c>
      <c r="V38" s="14">
        <f t="shared" si="3"/>
        <v>2012</v>
      </c>
      <c r="W38" s="14">
        <f t="shared" si="4"/>
        <v>634944.30000000005</v>
      </c>
      <c r="X38" s="14">
        <f t="shared" si="5"/>
        <v>6673.6</v>
      </c>
      <c r="Y38" s="14">
        <f t="shared" si="6"/>
        <v>6635.9</v>
      </c>
      <c r="Z38" s="14">
        <f t="shared" si="7"/>
        <v>2903.3</v>
      </c>
      <c r="AA38" s="14">
        <f t="shared" si="8"/>
        <v>2898.2</v>
      </c>
      <c r="AB38" s="14">
        <f t="shared" si="9"/>
        <v>390.1</v>
      </c>
      <c r="AC38" s="14">
        <f t="shared" si="10"/>
        <v>387.2</v>
      </c>
    </row>
    <row r="39" spans="1:29" x14ac:dyDescent="0.2">
      <c r="A39" s="13">
        <v>40940</v>
      </c>
      <c r="B39" s="14">
        <f t="shared" si="1"/>
        <v>2012</v>
      </c>
      <c r="C39">
        <v>634944.30000000005</v>
      </c>
      <c r="D39" s="143">
        <v>6670.7</v>
      </c>
      <c r="E39" s="143">
        <v>6598</v>
      </c>
      <c r="F39" s="143">
        <v>2901.2</v>
      </c>
      <c r="G39" s="143">
        <v>2881</v>
      </c>
      <c r="H39" s="143">
        <v>388.4</v>
      </c>
      <c r="I39" s="143">
        <v>385.8</v>
      </c>
      <c r="K39" t="s">
        <v>229</v>
      </c>
      <c r="N39" s="144">
        <v>-8.2000000000000003E-2</v>
      </c>
      <c r="P39" s="144">
        <v>-8.2000000000000003E-2</v>
      </c>
      <c r="Q39" s="157">
        <f t="shared" ref="Q39:Q42" si="14">AVERAGE(L39:P39)</f>
        <v>-8.2000000000000003E-2</v>
      </c>
      <c r="R39" s="248">
        <f>Q39/3+R$48/3</f>
        <v>-8.8928084049733819E-2</v>
      </c>
      <c r="S39" s="248">
        <f>Q39/3+S$48/3</f>
        <v>-5.92593550637842E-2</v>
      </c>
      <c r="T39"/>
      <c r="U39" s="13">
        <f t="shared" si="2"/>
        <v>40940</v>
      </c>
      <c r="V39" s="14">
        <f t="shared" si="3"/>
        <v>2012</v>
      </c>
      <c r="W39" s="14">
        <f t="shared" si="4"/>
        <v>634944.30000000005</v>
      </c>
      <c r="X39" s="14">
        <f t="shared" si="5"/>
        <v>6670.7</v>
      </c>
      <c r="Y39" s="14">
        <f t="shared" si="6"/>
        <v>6598</v>
      </c>
      <c r="Z39" s="14">
        <f t="shared" si="7"/>
        <v>2901.2</v>
      </c>
      <c r="AA39" s="14">
        <f t="shared" si="8"/>
        <v>2881</v>
      </c>
      <c r="AB39" s="14">
        <f t="shared" si="9"/>
        <v>388.4</v>
      </c>
      <c r="AC39" s="14">
        <f t="shared" si="10"/>
        <v>385.8</v>
      </c>
    </row>
    <row r="40" spans="1:29" x14ac:dyDescent="0.2">
      <c r="A40" s="13">
        <v>40969</v>
      </c>
      <c r="B40" s="14">
        <f t="shared" si="1"/>
        <v>2012</v>
      </c>
      <c r="C40">
        <v>634944.30000000005</v>
      </c>
      <c r="D40" s="143">
        <v>6674</v>
      </c>
      <c r="E40" s="143">
        <v>6569.8</v>
      </c>
      <c r="F40" s="143">
        <v>2907.4</v>
      </c>
      <c r="G40" s="143">
        <v>2869.6</v>
      </c>
      <c r="H40" s="143">
        <v>385</v>
      </c>
      <c r="I40" s="143">
        <v>380.7</v>
      </c>
      <c r="K40" t="s">
        <v>230</v>
      </c>
      <c r="N40" s="178">
        <v>-0.4</v>
      </c>
      <c r="P40" s="144">
        <v>-0.42099999999999999</v>
      </c>
      <c r="Q40" s="157">
        <f t="shared" si="14"/>
        <v>-0.41049999999999998</v>
      </c>
      <c r="R40" s="248">
        <f>$Q40/4+R$48/2</f>
        <v>-0.1950171260746007</v>
      </c>
      <c r="S40" s="248">
        <f>$Q40/3+S$48</f>
        <v>-0.23261139852468593</v>
      </c>
      <c r="T40"/>
      <c r="U40" s="13">
        <f t="shared" si="2"/>
        <v>40969</v>
      </c>
      <c r="V40" s="14">
        <f t="shared" si="3"/>
        <v>2012</v>
      </c>
      <c r="W40" s="14">
        <f t="shared" si="4"/>
        <v>634944.30000000005</v>
      </c>
      <c r="X40" s="14">
        <f t="shared" si="5"/>
        <v>6674</v>
      </c>
      <c r="Y40" s="14">
        <f t="shared" si="6"/>
        <v>6569.8</v>
      </c>
      <c r="Z40" s="14">
        <f t="shared" si="7"/>
        <v>2907.4</v>
      </c>
      <c r="AA40" s="14">
        <f t="shared" si="8"/>
        <v>2869.6</v>
      </c>
      <c r="AB40" s="14">
        <f t="shared" si="9"/>
        <v>385</v>
      </c>
      <c r="AC40" s="14">
        <f t="shared" si="10"/>
        <v>380.7</v>
      </c>
    </row>
    <row r="41" spans="1:29" x14ac:dyDescent="0.2">
      <c r="A41" s="13">
        <v>41000</v>
      </c>
      <c r="B41" s="14">
        <f t="shared" si="1"/>
        <v>2012</v>
      </c>
      <c r="C41">
        <v>634944.30000000005</v>
      </c>
      <c r="D41" s="143">
        <v>6685.8</v>
      </c>
      <c r="E41" s="143">
        <v>6603.3</v>
      </c>
      <c r="F41" s="143">
        <v>2912.5</v>
      </c>
      <c r="G41" s="143">
        <v>2883</v>
      </c>
      <c r="H41" s="143">
        <v>382.5</v>
      </c>
      <c r="I41" s="143">
        <v>378.9</v>
      </c>
      <c r="K41" t="s">
        <v>231</v>
      </c>
      <c r="N41" s="144">
        <v>0.33500000000000002</v>
      </c>
      <c r="P41" s="144">
        <v>0.377</v>
      </c>
      <c r="Q41" s="157">
        <f t="shared" si="14"/>
        <v>0.35599999999999998</v>
      </c>
      <c r="R41" s="248">
        <f>$Q41/3+R$48/2</f>
        <v>2.6274540592065937E-2</v>
      </c>
      <c r="S41" s="248">
        <f>$Q41/3+S$48/2</f>
        <v>7.0777634070990358E-2</v>
      </c>
      <c r="T41"/>
      <c r="U41" s="13">
        <f t="shared" si="2"/>
        <v>41000</v>
      </c>
      <c r="V41" s="14">
        <f t="shared" si="3"/>
        <v>2012</v>
      </c>
      <c r="W41" s="14">
        <f t="shared" si="4"/>
        <v>634944.30000000005</v>
      </c>
      <c r="X41" s="14">
        <f t="shared" si="5"/>
        <v>6685.8</v>
      </c>
      <c r="Y41" s="14">
        <f t="shared" si="6"/>
        <v>6603.3</v>
      </c>
      <c r="Z41" s="14">
        <f t="shared" si="7"/>
        <v>2912.5</v>
      </c>
      <c r="AA41" s="14">
        <f t="shared" si="8"/>
        <v>2883</v>
      </c>
      <c r="AB41" s="14">
        <f t="shared" si="9"/>
        <v>382.5</v>
      </c>
      <c r="AC41" s="14">
        <f t="shared" si="10"/>
        <v>378.9</v>
      </c>
    </row>
    <row r="42" spans="1:29" x14ac:dyDescent="0.2">
      <c r="A42" s="13">
        <v>41030</v>
      </c>
      <c r="B42" s="14">
        <f t="shared" si="1"/>
        <v>2012</v>
      </c>
      <c r="C42">
        <v>634944.30000000005</v>
      </c>
      <c r="D42" s="143">
        <v>6690.1</v>
      </c>
      <c r="E42" s="143">
        <v>6658.1</v>
      </c>
      <c r="F42" s="143">
        <v>2917.9</v>
      </c>
      <c r="G42" s="143">
        <v>2902.3</v>
      </c>
      <c r="H42" s="143">
        <v>376.3</v>
      </c>
      <c r="I42" s="143">
        <v>375.1</v>
      </c>
      <c r="K42" t="s">
        <v>232</v>
      </c>
      <c r="N42" s="144">
        <v>0.126</v>
      </c>
      <c r="P42" s="144">
        <v>7.0999999999999994E-2</v>
      </c>
      <c r="Q42" s="157">
        <f t="shared" si="14"/>
        <v>9.8500000000000004E-2</v>
      </c>
      <c r="R42" s="248">
        <f>$Q42/3</f>
        <v>3.2833333333333332E-2</v>
      </c>
      <c r="S42" s="248">
        <f>$Q42/2</f>
        <v>4.9250000000000002E-2</v>
      </c>
      <c r="T42"/>
      <c r="U42" s="13">
        <f t="shared" si="2"/>
        <v>41030</v>
      </c>
      <c r="V42" s="14">
        <f t="shared" si="3"/>
        <v>2012</v>
      </c>
      <c r="W42" s="14">
        <f t="shared" si="4"/>
        <v>634944.30000000005</v>
      </c>
      <c r="X42" s="14">
        <f t="shared" si="5"/>
        <v>6690.1</v>
      </c>
      <c r="Y42" s="14">
        <f t="shared" si="6"/>
        <v>6658.1</v>
      </c>
      <c r="Z42" s="14">
        <f t="shared" si="7"/>
        <v>2917.9</v>
      </c>
      <c r="AA42" s="14">
        <f t="shared" si="8"/>
        <v>2902.3</v>
      </c>
      <c r="AB42" s="14">
        <f t="shared" si="9"/>
        <v>376.3</v>
      </c>
      <c r="AC42" s="14">
        <f t="shared" si="10"/>
        <v>375.1</v>
      </c>
    </row>
    <row r="43" spans="1:29" x14ac:dyDescent="0.2">
      <c r="A43" s="13">
        <v>41061</v>
      </c>
      <c r="B43" s="14">
        <f t="shared" si="1"/>
        <v>2012</v>
      </c>
      <c r="C43">
        <v>634944.30000000005</v>
      </c>
      <c r="D43" s="143">
        <v>6693.3</v>
      </c>
      <c r="E43" s="143">
        <v>6737.2</v>
      </c>
      <c r="F43" s="143">
        <v>2928.6</v>
      </c>
      <c r="G43" s="143">
        <v>2937.8</v>
      </c>
      <c r="H43" s="143">
        <v>371.5</v>
      </c>
      <c r="I43" s="143">
        <v>373.8</v>
      </c>
      <c r="Q43" s="178"/>
      <c r="R43" s="248"/>
      <c r="S43" s="248"/>
      <c r="T43"/>
      <c r="U43" s="13">
        <f t="shared" si="2"/>
        <v>41061</v>
      </c>
      <c r="V43" s="14">
        <f t="shared" si="3"/>
        <v>2012</v>
      </c>
      <c r="W43" s="14">
        <f t="shared" si="4"/>
        <v>634944.30000000005</v>
      </c>
      <c r="X43" s="14">
        <f t="shared" si="5"/>
        <v>6693.3</v>
      </c>
      <c r="Y43" s="14">
        <f t="shared" si="6"/>
        <v>6737.2</v>
      </c>
      <c r="Z43" s="14">
        <f t="shared" si="7"/>
        <v>2928.6</v>
      </c>
      <c r="AA43" s="14">
        <f t="shared" si="8"/>
        <v>2937.8</v>
      </c>
      <c r="AB43" s="14">
        <f t="shared" si="9"/>
        <v>371.5</v>
      </c>
      <c r="AC43" s="14">
        <f t="shared" si="10"/>
        <v>373.8</v>
      </c>
    </row>
    <row r="44" spans="1:29" x14ac:dyDescent="0.2">
      <c r="A44" s="13">
        <v>41091</v>
      </c>
      <c r="B44" s="14">
        <f t="shared" si="1"/>
        <v>2012</v>
      </c>
      <c r="C44">
        <v>634944.30000000005</v>
      </c>
      <c r="D44" s="143">
        <v>6694.6</v>
      </c>
      <c r="E44" s="143">
        <v>6778.6</v>
      </c>
      <c r="F44" s="143">
        <v>2949.2</v>
      </c>
      <c r="G44" s="143">
        <v>2965.9</v>
      </c>
      <c r="H44" s="143">
        <v>368.7</v>
      </c>
      <c r="I44" s="143">
        <v>372.6</v>
      </c>
      <c r="K44" t="s">
        <v>223</v>
      </c>
      <c r="Q44" s="48" cm="1">
        <f t="array" ref="Q44">GEOMEAN(1+Q39:Q42)</f>
        <v>0.94753783516389489</v>
      </c>
      <c r="R44" s="48" cm="1">
        <f t="array" ref="R44">GEOMEAN(1+R39:R42)</f>
        <v>0.93898418003449924</v>
      </c>
      <c r="S44" s="48" cm="1">
        <f t="array" ref="S44">GEOMEAN(1+S39:S42)</f>
        <v>0.94899927437430975</v>
      </c>
      <c r="T44"/>
      <c r="U44" s="13">
        <f t="shared" si="2"/>
        <v>41091</v>
      </c>
      <c r="V44" s="14">
        <f t="shared" si="3"/>
        <v>2012</v>
      </c>
      <c r="W44" s="14">
        <f t="shared" si="4"/>
        <v>634944.30000000005</v>
      </c>
      <c r="X44" s="14">
        <f t="shared" si="5"/>
        <v>6694.6</v>
      </c>
      <c r="Y44" s="14">
        <f t="shared" si="6"/>
        <v>6778.6</v>
      </c>
      <c r="Z44" s="14">
        <f t="shared" si="7"/>
        <v>2949.2</v>
      </c>
      <c r="AA44" s="14">
        <f t="shared" si="8"/>
        <v>2965.9</v>
      </c>
      <c r="AB44" s="14">
        <f t="shared" si="9"/>
        <v>368.7</v>
      </c>
      <c r="AC44" s="14">
        <f t="shared" si="10"/>
        <v>372.6</v>
      </c>
    </row>
    <row r="45" spans="1:29" x14ac:dyDescent="0.2">
      <c r="A45" s="13">
        <v>41122</v>
      </c>
      <c r="B45" s="14">
        <f t="shared" si="1"/>
        <v>2012</v>
      </c>
      <c r="C45">
        <v>634944.30000000005</v>
      </c>
      <c r="D45" s="143">
        <v>6703.3</v>
      </c>
      <c r="E45" s="143">
        <v>6797.9</v>
      </c>
      <c r="F45" s="143">
        <v>2968.4</v>
      </c>
      <c r="G45" s="143">
        <v>2997.9</v>
      </c>
      <c r="H45" s="143">
        <v>371.3</v>
      </c>
      <c r="I45" s="143">
        <v>374.1</v>
      </c>
      <c r="K45" s="174" t="s">
        <v>229</v>
      </c>
      <c r="Q45" s="248">
        <f>1+Q13</f>
        <v>0.93900000000000006</v>
      </c>
      <c r="R45" s="248">
        <f>1+Q13</f>
        <v>0.93900000000000006</v>
      </c>
      <c r="S45" s="248">
        <f>1+R8</f>
        <v>0.94899999999999995</v>
      </c>
      <c r="T45"/>
      <c r="U45" s="13">
        <f t="shared" si="2"/>
        <v>41122</v>
      </c>
      <c r="V45" s="14">
        <f t="shared" si="3"/>
        <v>2012</v>
      </c>
      <c r="W45" s="14">
        <f t="shared" si="4"/>
        <v>634944.30000000005</v>
      </c>
      <c r="X45" s="14">
        <f t="shared" si="5"/>
        <v>6703.3</v>
      </c>
      <c r="Y45" s="14">
        <f t="shared" si="6"/>
        <v>6797.9</v>
      </c>
      <c r="Z45" s="14">
        <f t="shared" si="7"/>
        <v>2968.4</v>
      </c>
      <c r="AA45" s="14">
        <f t="shared" si="8"/>
        <v>2997.9</v>
      </c>
      <c r="AB45" s="14">
        <f t="shared" si="9"/>
        <v>371.3</v>
      </c>
      <c r="AC45" s="14">
        <f t="shared" si="10"/>
        <v>374.1</v>
      </c>
    </row>
    <row r="46" spans="1:29" x14ac:dyDescent="0.2">
      <c r="A46" s="13">
        <v>41153</v>
      </c>
      <c r="B46" s="14">
        <f t="shared" si="1"/>
        <v>2012</v>
      </c>
      <c r="C46">
        <v>634944.30000000005</v>
      </c>
      <c r="D46" s="143">
        <v>6707.4</v>
      </c>
      <c r="E46" s="143">
        <v>6763.1</v>
      </c>
      <c r="F46" s="143">
        <v>2985.6</v>
      </c>
      <c r="G46" s="143">
        <v>3001.5</v>
      </c>
      <c r="H46" s="143">
        <v>376.3</v>
      </c>
      <c r="I46" s="143">
        <v>376.1</v>
      </c>
      <c r="K46" s="174" t="s">
        <v>230</v>
      </c>
      <c r="Q46" s="178">
        <f>Q45-Q44</f>
        <v>-8.5378351638948358E-3</v>
      </c>
      <c r="T46"/>
      <c r="U46" s="13">
        <f t="shared" si="2"/>
        <v>41153</v>
      </c>
      <c r="V46" s="14">
        <f t="shared" si="3"/>
        <v>2012</v>
      </c>
      <c r="W46" s="14">
        <f t="shared" si="4"/>
        <v>634944.30000000005</v>
      </c>
      <c r="X46" s="14">
        <f t="shared" si="5"/>
        <v>6707.4</v>
      </c>
      <c r="Y46" s="14">
        <f t="shared" si="6"/>
        <v>6763.1</v>
      </c>
      <c r="Z46" s="14">
        <f t="shared" si="7"/>
        <v>2985.6</v>
      </c>
      <c r="AA46" s="14">
        <f t="shared" si="8"/>
        <v>3001.5</v>
      </c>
      <c r="AB46" s="14">
        <f t="shared" si="9"/>
        <v>376.3</v>
      </c>
      <c r="AC46" s="14">
        <f t="shared" si="10"/>
        <v>376.1</v>
      </c>
    </row>
    <row r="47" spans="1:29" x14ac:dyDescent="0.2">
      <c r="A47" s="13">
        <v>41183</v>
      </c>
      <c r="B47" s="14">
        <f t="shared" si="1"/>
        <v>2012</v>
      </c>
      <c r="C47">
        <v>634944.30000000005</v>
      </c>
      <c r="D47" s="143">
        <v>6710</v>
      </c>
      <c r="E47" s="143">
        <v>6740.9</v>
      </c>
      <c r="F47" s="143">
        <v>3002.1</v>
      </c>
      <c r="G47" s="143">
        <v>3012.7</v>
      </c>
      <c r="H47" s="143">
        <v>377.5</v>
      </c>
      <c r="I47" s="143">
        <v>375.9</v>
      </c>
      <c r="K47" s="174" t="s">
        <v>231</v>
      </c>
      <c r="T47"/>
      <c r="U47" s="13">
        <f t="shared" si="2"/>
        <v>41183</v>
      </c>
      <c r="V47" s="14">
        <f t="shared" si="3"/>
        <v>2012</v>
      </c>
      <c r="W47" s="14">
        <f t="shared" si="4"/>
        <v>634944.30000000005</v>
      </c>
      <c r="X47" s="14">
        <f t="shared" si="5"/>
        <v>6710</v>
      </c>
      <c r="Y47" s="14">
        <f t="shared" si="6"/>
        <v>6740.9</v>
      </c>
      <c r="Z47" s="14">
        <f t="shared" si="7"/>
        <v>3002.1</v>
      </c>
      <c r="AA47" s="14">
        <f t="shared" si="8"/>
        <v>3012.7</v>
      </c>
      <c r="AB47" s="14">
        <f t="shared" si="9"/>
        <v>377.5</v>
      </c>
      <c r="AC47" s="14">
        <f t="shared" si="10"/>
        <v>375.9</v>
      </c>
    </row>
    <row r="48" spans="1:29" x14ac:dyDescent="0.2">
      <c r="A48" s="13">
        <v>41214</v>
      </c>
      <c r="B48" s="14">
        <f t="shared" si="1"/>
        <v>2012</v>
      </c>
      <c r="C48">
        <v>634944.30000000005</v>
      </c>
      <c r="D48" s="143">
        <v>6722.4</v>
      </c>
      <c r="E48" s="143">
        <v>6727.4</v>
      </c>
      <c r="F48" s="143">
        <v>3019.5</v>
      </c>
      <c r="G48" s="143">
        <v>3019</v>
      </c>
      <c r="H48" s="143">
        <v>377.9</v>
      </c>
      <c r="I48" s="143">
        <v>373.6</v>
      </c>
      <c r="K48" s="174" t="s">
        <v>232</v>
      </c>
      <c r="Q48" t="s">
        <v>254</v>
      </c>
      <c r="R48">
        <v>-0.18478425214920144</v>
      </c>
      <c r="S48">
        <v>-9.5778065191352596E-2</v>
      </c>
      <c r="T48"/>
      <c r="U48" s="13">
        <f t="shared" si="2"/>
        <v>41214</v>
      </c>
      <c r="V48" s="14">
        <f t="shared" si="3"/>
        <v>2012</v>
      </c>
      <c r="W48" s="14">
        <f t="shared" si="4"/>
        <v>634944.30000000005</v>
      </c>
      <c r="X48" s="14">
        <f t="shared" si="5"/>
        <v>6722.4</v>
      </c>
      <c r="Y48" s="14">
        <f t="shared" si="6"/>
        <v>6727.4</v>
      </c>
      <c r="Z48" s="14">
        <f t="shared" si="7"/>
        <v>3019.5</v>
      </c>
      <c r="AA48" s="14">
        <f t="shared" si="8"/>
        <v>3019</v>
      </c>
      <c r="AB48" s="14">
        <f t="shared" si="9"/>
        <v>377.9</v>
      </c>
      <c r="AC48" s="14">
        <f t="shared" si="10"/>
        <v>373.6</v>
      </c>
    </row>
    <row r="49" spans="1:29" x14ac:dyDescent="0.2">
      <c r="A49" s="13">
        <v>41244</v>
      </c>
      <c r="B49" s="14">
        <f t="shared" si="1"/>
        <v>2012</v>
      </c>
      <c r="C49">
        <v>634944.30000000005</v>
      </c>
      <c r="D49" s="143">
        <v>6740.6</v>
      </c>
      <c r="E49" s="143">
        <v>6740.2</v>
      </c>
      <c r="F49" s="143">
        <v>3030.3</v>
      </c>
      <c r="G49" s="143">
        <v>3033.6</v>
      </c>
      <c r="H49" s="143">
        <v>378.6</v>
      </c>
      <c r="I49" s="143">
        <v>375.8</v>
      </c>
      <c r="Q49" t="s">
        <v>259</v>
      </c>
      <c r="T49"/>
      <c r="U49" s="13">
        <f t="shared" si="2"/>
        <v>41244</v>
      </c>
      <c r="V49" s="14">
        <f t="shared" si="3"/>
        <v>2012</v>
      </c>
      <c r="W49" s="14">
        <f t="shared" si="4"/>
        <v>634944.30000000005</v>
      </c>
      <c r="X49" s="14">
        <f t="shared" si="5"/>
        <v>6740.6</v>
      </c>
      <c r="Y49" s="14">
        <f t="shared" si="6"/>
        <v>6740.2</v>
      </c>
      <c r="Z49" s="14">
        <f t="shared" si="7"/>
        <v>3030.3</v>
      </c>
      <c r="AA49" s="14">
        <f t="shared" si="8"/>
        <v>3033.6</v>
      </c>
      <c r="AB49" s="14">
        <f t="shared" si="9"/>
        <v>378.6</v>
      </c>
      <c r="AC49" s="14">
        <f t="shared" si="10"/>
        <v>375.8</v>
      </c>
    </row>
    <row r="50" spans="1:29" x14ac:dyDescent="0.2">
      <c r="A50" s="13">
        <v>41275</v>
      </c>
      <c r="B50" s="14">
        <f t="shared" si="1"/>
        <v>2013</v>
      </c>
      <c r="C50">
        <v>643937</v>
      </c>
      <c r="D50" s="143">
        <v>6758.8</v>
      </c>
      <c r="E50" s="143">
        <v>6721.7</v>
      </c>
      <c r="F50" s="143">
        <v>3038</v>
      </c>
      <c r="G50" s="143">
        <v>3030.3</v>
      </c>
      <c r="H50" s="143">
        <v>380.4</v>
      </c>
      <c r="I50" s="143">
        <v>378.6</v>
      </c>
      <c r="T50"/>
      <c r="U50" s="13">
        <f t="shared" si="2"/>
        <v>41275</v>
      </c>
      <c r="V50" s="14">
        <f t="shared" si="3"/>
        <v>2013</v>
      </c>
      <c r="W50" s="14">
        <f t="shared" si="4"/>
        <v>643937</v>
      </c>
      <c r="X50" s="14">
        <f t="shared" si="5"/>
        <v>6758.8</v>
      </c>
      <c r="Y50" s="14">
        <f t="shared" si="6"/>
        <v>6721.7</v>
      </c>
      <c r="Z50" s="14">
        <f t="shared" si="7"/>
        <v>3038</v>
      </c>
      <c r="AA50" s="14">
        <f t="shared" si="8"/>
        <v>3030.3</v>
      </c>
      <c r="AB50" s="14">
        <f t="shared" si="9"/>
        <v>380.4</v>
      </c>
      <c r="AC50" s="14">
        <f t="shared" si="10"/>
        <v>378.6</v>
      </c>
    </row>
    <row r="51" spans="1:29" x14ac:dyDescent="0.2">
      <c r="A51" s="13">
        <v>41306</v>
      </c>
      <c r="B51" s="14">
        <f t="shared" si="1"/>
        <v>2013</v>
      </c>
      <c r="C51">
        <v>643937</v>
      </c>
      <c r="D51" s="143">
        <v>6775.5</v>
      </c>
      <c r="E51" s="143">
        <v>6702</v>
      </c>
      <c r="F51" s="143">
        <v>3041.7</v>
      </c>
      <c r="G51" s="143">
        <v>3018.2</v>
      </c>
      <c r="H51" s="143">
        <v>381.8</v>
      </c>
      <c r="I51" s="143">
        <v>382.7</v>
      </c>
      <c r="P51" s="187"/>
      <c r="T51"/>
      <c r="U51" s="13">
        <f t="shared" si="2"/>
        <v>41306</v>
      </c>
      <c r="V51" s="14">
        <f t="shared" si="3"/>
        <v>2013</v>
      </c>
      <c r="W51" s="14">
        <f t="shared" si="4"/>
        <v>643937</v>
      </c>
      <c r="X51" s="14">
        <f t="shared" si="5"/>
        <v>6775.5</v>
      </c>
      <c r="Y51" s="14">
        <f t="shared" si="6"/>
        <v>6702</v>
      </c>
      <c r="Z51" s="14">
        <f t="shared" si="7"/>
        <v>3041.7</v>
      </c>
      <c r="AA51" s="14">
        <f t="shared" si="8"/>
        <v>3018.2</v>
      </c>
      <c r="AB51" s="14">
        <f t="shared" si="9"/>
        <v>381.8</v>
      </c>
      <c r="AC51" s="14">
        <f t="shared" si="10"/>
        <v>382.7</v>
      </c>
    </row>
    <row r="52" spans="1:29" x14ac:dyDescent="0.2">
      <c r="A52" s="13">
        <v>41334</v>
      </c>
      <c r="B52" s="14">
        <f t="shared" si="1"/>
        <v>2013</v>
      </c>
      <c r="C52">
        <v>643937</v>
      </c>
      <c r="D52" s="143">
        <v>6781.1</v>
      </c>
      <c r="E52" s="143">
        <v>6675.8</v>
      </c>
      <c r="F52" s="143">
        <v>3045.3</v>
      </c>
      <c r="G52" s="143">
        <v>3007</v>
      </c>
      <c r="H52" s="143">
        <v>380.1</v>
      </c>
      <c r="I52" s="143">
        <v>379.3</v>
      </c>
      <c r="T52"/>
      <c r="U52" s="13">
        <f t="shared" si="2"/>
        <v>41334</v>
      </c>
      <c r="V52" s="14">
        <f t="shared" si="3"/>
        <v>2013</v>
      </c>
      <c r="W52" s="14">
        <f t="shared" si="4"/>
        <v>643937</v>
      </c>
      <c r="X52" s="14">
        <f t="shared" si="5"/>
        <v>6781.1</v>
      </c>
      <c r="Y52" s="14">
        <f t="shared" si="6"/>
        <v>6675.8</v>
      </c>
      <c r="Z52" s="14">
        <f t="shared" si="7"/>
        <v>3045.3</v>
      </c>
      <c r="AA52" s="14">
        <f t="shared" si="8"/>
        <v>3007</v>
      </c>
      <c r="AB52" s="14">
        <f t="shared" si="9"/>
        <v>380.1</v>
      </c>
      <c r="AC52" s="14">
        <f t="shared" si="10"/>
        <v>379.3</v>
      </c>
    </row>
    <row r="53" spans="1:29" x14ac:dyDescent="0.2">
      <c r="A53" s="13">
        <v>41365</v>
      </c>
      <c r="B53" s="14">
        <f t="shared" si="1"/>
        <v>2013</v>
      </c>
      <c r="C53">
        <v>643937</v>
      </c>
      <c r="D53" s="143">
        <v>6788.9</v>
      </c>
      <c r="E53" s="143">
        <v>6703.7</v>
      </c>
      <c r="F53" s="143">
        <v>3057</v>
      </c>
      <c r="G53" s="143">
        <v>3026.3</v>
      </c>
      <c r="H53" s="143">
        <v>377.1</v>
      </c>
      <c r="I53" s="143">
        <v>375.4</v>
      </c>
      <c r="P53" s="48"/>
      <c r="T53"/>
      <c r="U53" s="13">
        <f t="shared" si="2"/>
        <v>41365</v>
      </c>
      <c r="V53" s="14">
        <f t="shared" si="3"/>
        <v>2013</v>
      </c>
      <c r="W53" s="14">
        <f t="shared" si="4"/>
        <v>643937</v>
      </c>
      <c r="X53" s="14">
        <f t="shared" si="5"/>
        <v>6788.9</v>
      </c>
      <c r="Y53" s="14">
        <f t="shared" si="6"/>
        <v>6703.7</v>
      </c>
      <c r="Z53" s="14">
        <f t="shared" si="7"/>
        <v>3057</v>
      </c>
      <c r="AA53" s="14">
        <f t="shared" si="8"/>
        <v>3026.3</v>
      </c>
      <c r="AB53" s="14">
        <f t="shared" si="9"/>
        <v>377.1</v>
      </c>
      <c r="AC53" s="14">
        <f t="shared" si="10"/>
        <v>375.4</v>
      </c>
    </row>
    <row r="54" spans="1:29" x14ac:dyDescent="0.2">
      <c r="A54" s="13">
        <v>41395</v>
      </c>
      <c r="B54" s="14">
        <f t="shared" si="1"/>
        <v>2013</v>
      </c>
      <c r="C54">
        <v>643937</v>
      </c>
      <c r="D54" s="143">
        <v>6801.1</v>
      </c>
      <c r="E54" s="143">
        <v>6770.3</v>
      </c>
      <c r="F54" s="143">
        <v>3073.7</v>
      </c>
      <c r="G54" s="143">
        <v>3059.1</v>
      </c>
      <c r="H54" s="143">
        <v>378.2</v>
      </c>
      <c r="I54" s="143">
        <v>376.4</v>
      </c>
      <c r="P54" s="48"/>
      <c r="T54"/>
      <c r="U54" s="13">
        <f t="shared" si="2"/>
        <v>41395</v>
      </c>
      <c r="V54" s="14">
        <f t="shared" si="3"/>
        <v>2013</v>
      </c>
      <c r="W54" s="14">
        <f t="shared" si="4"/>
        <v>643937</v>
      </c>
      <c r="X54" s="14">
        <f t="shared" si="5"/>
        <v>6801.1</v>
      </c>
      <c r="Y54" s="14">
        <f t="shared" si="6"/>
        <v>6770.3</v>
      </c>
      <c r="Z54" s="14">
        <f t="shared" si="7"/>
        <v>3073.7</v>
      </c>
      <c r="AA54" s="14">
        <f t="shared" si="8"/>
        <v>3059.1</v>
      </c>
      <c r="AB54" s="14">
        <f t="shared" si="9"/>
        <v>378.2</v>
      </c>
      <c r="AC54" s="14">
        <f t="shared" si="10"/>
        <v>376.4</v>
      </c>
    </row>
    <row r="55" spans="1:29" x14ac:dyDescent="0.2">
      <c r="A55" s="13">
        <v>41426</v>
      </c>
      <c r="B55" s="14">
        <f t="shared" si="1"/>
        <v>2013</v>
      </c>
      <c r="C55">
        <v>643937</v>
      </c>
      <c r="D55" s="143">
        <v>6815.2</v>
      </c>
      <c r="E55" s="143">
        <v>6861.8</v>
      </c>
      <c r="F55" s="143">
        <v>3092.4</v>
      </c>
      <c r="G55" s="143">
        <v>3103.8</v>
      </c>
      <c r="H55" s="143">
        <v>376.8</v>
      </c>
      <c r="I55" s="143">
        <v>378.6</v>
      </c>
      <c r="P55" s="48"/>
      <c r="T55"/>
      <c r="U55" s="13">
        <f t="shared" si="2"/>
        <v>41426</v>
      </c>
      <c r="V55" s="14">
        <f t="shared" si="3"/>
        <v>2013</v>
      </c>
      <c r="W55" s="14">
        <f t="shared" si="4"/>
        <v>643937</v>
      </c>
      <c r="X55" s="14">
        <f t="shared" si="5"/>
        <v>6815.2</v>
      </c>
      <c r="Y55" s="14">
        <f t="shared" si="6"/>
        <v>6861.8</v>
      </c>
      <c r="Z55" s="14">
        <f t="shared" si="7"/>
        <v>3092.4</v>
      </c>
      <c r="AA55" s="14">
        <f t="shared" si="8"/>
        <v>3103.8</v>
      </c>
      <c r="AB55" s="14">
        <f t="shared" si="9"/>
        <v>376.8</v>
      </c>
      <c r="AC55" s="14">
        <f t="shared" si="10"/>
        <v>378.6</v>
      </c>
    </row>
    <row r="56" spans="1:29" x14ac:dyDescent="0.2">
      <c r="A56" s="13">
        <v>41456</v>
      </c>
      <c r="B56" s="14">
        <f t="shared" si="1"/>
        <v>2013</v>
      </c>
      <c r="C56">
        <v>643937</v>
      </c>
      <c r="D56" s="143">
        <v>6826.2</v>
      </c>
      <c r="E56" s="143">
        <v>6917.1</v>
      </c>
      <c r="F56" s="143">
        <v>3100</v>
      </c>
      <c r="G56" s="143">
        <v>3122.7</v>
      </c>
      <c r="H56" s="143">
        <v>375.3</v>
      </c>
      <c r="I56" s="143">
        <v>378.7</v>
      </c>
      <c r="P56" s="48"/>
      <c r="T56"/>
      <c r="U56" s="13">
        <f t="shared" si="2"/>
        <v>41456</v>
      </c>
      <c r="V56" s="14">
        <f t="shared" si="3"/>
        <v>2013</v>
      </c>
      <c r="W56" s="14">
        <f t="shared" si="4"/>
        <v>643937</v>
      </c>
      <c r="X56" s="14">
        <f t="shared" si="5"/>
        <v>6826.2</v>
      </c>
      <c r="Y56" s="14">
        <f t="shared" si="6"/>
        <v>6917.1</v>
      </c>
      <c r="Z56" s="14">
        <f t="shared" si="7"/>
        <v>3100</v>
      </c>
      <c r="AA56" s="14">
        <f t="shared" si="8"/>
        <v>3122.7</v>
      </c>
      <c r="AB56" s="14">
        <f t="shared" si="9"/>
        <v>375.3</v>
      </c>
      <c r="AC56" s="14">
        <f t="shared" si="10"/>
        <v>378.7</v>
      </c>
    </row>
    <row r="57" spans="1:29" x14ac:dyDescent="0.2">
      <c r="A57" s="13">
        <v>41487</v>
      </c>
      <c r="B57" s="14">
        <f t="shared" si="1"/>
        <v>2013</v>
      </c>
      <c r="C57">
        <v>643937</v>
      </c>
      <c r="D57" s="143">
        <v>6833.9</v>
      </c>
      <c r="E57" s="143">
        <v>6934.7</v>
      </c>
      <c r="F57" s="143">
        <v>3110.2</v>
      </c>
      <c r="G57" s="143">
        <v>3145.2</v>
      </c>
      <c r="H57" s="143">
        <v>364.2</v>
      </c>
      <c r="I57" s="143">
        <v>368.3</v>
      </c>
      <c r="T57"/>
      <c r="U57" s="13">
        <f t="shared" si="2"/>
        <v>41487</v>
      </c>
      <c r="V57" s="14">
        <f t="shared" si="3"/>
        <v>2013</v>
      </c>
      <c r="W57" s="14">
        <f t="shared" si="4"/>
        <v>643937</v>
      </c>
      <c r="X57" s="14">
        <f t="shared" si="5"/>
        <v>6833.9</v>
      </c>
      <c r="Y57" s="14">
        <f t="shared" si="6"/>
        <v>6934.7</v>
      </c>
      <c r="Z57" s="14">
        <f t="shared" si="7"/>
        <v>3110.2</v>
      </c>
      <c r="AA57" s="14">
        <f t="shared" si="8"/>
        <v>3145.2</v>
      </c>
      <c r="AB57" s="14">
        <f t="shared" si="9"/>
        <v>364.2</v>
      </c>
      <c r="AC57" s="14">
        <f t="shared" si="10"/>
        <v>368.3</v>
      </c>
    </row>
    <row r="58" spans="1:29" x14ac:dyDescent="0.2">
      <c r="A58" s="13">
        <v>41518</v>
      </c>
      <c r="B58" s="14">
        <f t="shared" si="1"/>
        <v>2013</v>
      </c>
      <c r="C58">
        <v>643937</v>
      </c>
      <c r="D58" s="143">
        <v>6843.3</v>
      </c>
      <c r="E58" s="143">
        <v>6906.9</v>
      </c>
      <c r="F58" s="143">
        <v>3116.8</v>
      </c>
      <c r="G58" s="143">
        <v>3143.4</v>
      </c>
      <c r="H58" s="143">
        <v>362.4</v>
      </c>
      <c r="I58" s="143">
        <v>364.6</v>
      </c>
      <c r="T58"/>
      <c r="U58" s="13">
        <f t="shared" si="2"/>
        <v>41518</v>
      </c>
      <c r="V58" s="14">
        <f t="shared" si="3"/>
        <v>2013</v>
      </c>
      <c r="W58" s="14">
        <f t="shared" si="4"/>
        <v>643937</v>
      </c>
      <c r="X58" s="14">
        <f t="shared" si="5"/>
        <v>6843.3</v>
      </c>
      <c r="Y58" s="14">
        <f t="shared" si="6"/>
        <v>6906.9</v>
      </c>
      <c r="Z58" s="14">
        <f t="shared" si="7"/>
        <v>3116.8</v>
      </c>
      <c r="AA58" s="14">
        <f t="shared" si="8"/>
        <v>3143.4</v>
      </c>
      <c r="AB58" s="14">
        <f t="shared" si="9"/>
        <v>362.4</v>
      </c>
      <c r="AC58" s="14">
        <f t="shared" si="10"/>
        <v>364.6</v>
      </c>
    </row>
    <row r="59" spans="1:29" x14ac:dyDescent="0.2">
      <c r="A59" s="13">
        <v>41548</v>
      </c>
      <c r="B59" s="14">
        <f t="shared" si="1"/>
        <v>2013</v>
      </c>
      <c r="C59">
        <v>643937</v>
      </c>
      <c r="D59" s="143">
        <v>6850.3</v>
      </c>
      <c r="E59" s="143">
        <v>6889</v>
      </c>
      <c r="F59" s="143">
        <v>3116</v>
      </c>
      <c r="G59" s="143">
        <v>3136</v>
      </c>
      <c r="H59" s="143">
        <v>363.6</v>
      </c>
      <c r="I59" s="143">
        <v>366.5</v>
      </c>
      <c r="T59"/>
      <c r="U59" s="13">
        <f t="shared" si="2"/>
        <v>41548</v>
      </c>
      <c r="V59" s="14">
        <f t="shared" si="3"/>
        <v>2013</v>
      </c>
      <c r="W59" s="14">
        <f t="shared" si="4"/>
        <v>643937</v>
      </c>
      <c r="X59" s="14">
        <f t="shared" si="5"/>
        <v>6850.3</v>
      </c>
      <c r="Y59" s="14">
        <f t="shared" si="6"/>
        <v>6889</v>
      </c>
      <c r="Z59" s="14">
        <f t="shared" si="7"/>
        <v>3116</v>
      </c>
      <c r="AA59" s="14">
        <f t="shared" si="8"/>
        <v>3136</v>
      </c>
      <c r="AB59" s="14">
        <f t="shared" si="9"/>
        <v>363.6</v>
      </c>
      <c r="AC59" s="14">
        <f t="shared" si="10"/>
        <v>366.5</v>
      </c>
    </row>
    <row r="60" spans="1:29" x14ac:dyDescent="0.2">
      <c r="A60" s="13">
        <v>41579</v>
      </c>
      <c r="B60" s="14">
        <f t="shared" si="1"/>
        <v>2013</v>
      </c>
      <c r="C60">
        <v>643937</v>
      </c>
      <c r="D60" s="143">
        <v>6854</v>
      </c>
      <c r="E60" s="143">
        <v>6863.8</v>
      </c>
      <c r="F60" s="143">
        <v>3113.4</v>
      </c>
      <c r="G60" s="143">
        <v>3119.8</v>
      </c>
      <c r="H60" s="143">
        <v>369.8</v>
      </c>
      <c r="I60" s="143">
        <v>371.8</v>
      </c>
      <c r="T60"/>
      <c r="U60" s="13">
        <f t="shared" si="2"/>
        <v>41579</v>
      </c>
      <c r="V60" s="14">
        <f t="shared" si="3"/>
        <v>2013</v>
      </c>
      <c r="W60" s="14">
        <f t="shared" si="4"/>
        <v>643937</v>
      </c>
      <c r="X60" s="14">
        <f t="shared" si="5"/>
        <v>6854</v>
      </c>
      <c r="Y60" s="14">
        <f t="shared" si="6"/>
        <v>6863.8</v>
      </c>
      <c r="Z60" s="14">
        <f t="shared" si="7"/>
        <v>3113.4</v>
      </c>
      <c r="AA60" s="14">
        <f t="shared" si="8"/>
        <v>3119.8</v>
      </c>
      <c r="AB60" s="14">
        <f t="shared" si="9"/>
        <v>369.8</v>
      </c>
      <c r="AC60" s="14">
        <f t="shared" si="10"/>
        <v>371.8</v>
      </c>
    </row>
    <row r="61" spans="1:29" x14ac:dyDescent="0.2">
      <c r="A61" s="13">
        <v>41609</v>
      </c>
      <c r="B61" s="14">
        <f t="shared" si="1"/>
        <v>2013</v>
      </c>
      <c r="C61">
        <v>643937</v>
      </c>
      <c r="D61" s="143">
        <v>6850.4</v>
      </c>
      <c r="E61" s="143">
        <v>6849.3</v>
      </c>
      <c r="F61" s="143">
        <v>3108.4</v>
      </c>
      <c r="G61" s="143">
        <v>3114.3</v>
      </c>
      <c r="H61" s="143">
        <v>373.6</v>
      </c>
      <c r="I61" s="143">
        <v>376.6</v>
      </c>
      <c r="T61"/>
      <c r="U61" s="13">
        <f t="shared" si="2"/>
        <v>41609</v>
      </c>
      <c r="V61" s="14">
        <f t="shared" si="3"/>
        <v>2013</v>
      </c>
      <c r="W61" s="14">
        <f t="shared" si="4"/>
        <v>643937</v>
      </c>
      <c r="X61" s="14">
        <f t="shared" si="5"/>
        <v>6850.4</v>
      </c>
      <c r="Y61" s="14">
        <f t="shared" si="6"/>
        <v>6849.3</v>
      </c>
      <c r="Z61" s="14">
        <f t="shared" si="7"/>
        <v>3108.4</v>
      </c>
      <c r="AA61" s="14">
        <f t="shared" si="8"/>
        <v>3114.3</v>
      </c>
      <c r="AB61" s="14">
        <f t="shared" si="9"/>
        <v>373.6</v>
      </c>
      <c r="AC61" s="14">
        <f t="shared" si="10"/>
        <v>376.6</v>
      </c>
    </row>
    <row r="62" spans="1:29" x14ac:dyDescent="0.2">
      <c r="A62" s="13">
        <v>41640</v>
      </c>
      <c r="B62" s="14">
        <f t="shared" si="1"/>
        <v>2014</v>
      </c>
      <c r="C62">
        <v>659861.19999999995</v>
      </c>
      <c r="D62" s="143">
        <v>6848.3</v>
      </c>
      <c r="E62" s="143">
        <v>6806.1</v>
      </c>
      <c r="F62" s="143">
        <v>3105.1</v>
      </c>
      <c r="G62" s="143">
        <v>3097</v>
      </c>
      <c r="H62" s="143">
        <v>375.1</v>
      </c>
      <c r="I62" s="143">
        <v>376.3</v>
      </c>
      <c r="T62"/>
      <c r="U62" s="13">
        <f t="shared" si="2"/>
        <v>41640</v>
      </c>
      <c r="V62" s="14">
        <f t="shared" si="3"/>
        <v>2014</v>
      </c>
      <c r="W62" s="14">
        <f t="shared" si="4"/>
        <v>659861.19999999995</v>
      </c>
      <c r="X62" s="14">
        <f t="shared" si="5"/>
        <v>6848.3</v>
      </c>
      <c r="Y62" s="14">
        <f t="shared" si="6"/>
        <v>6806.1</v>
      </c>
      <c r="Z62" s="14">
        <f t="shared" si="7"/>
        <v>3105.1</v>
      </c>
      <c r="AA62" s="14">
        <f t="shared" si="8"/>
        <v>3097</v>
      </c>
      <c r="AB62" s="14">
        <f t="shared" si="9"/>
        <v>375.1</v>
      </c>
      <c r="AC62" s="14">
        <f t="shared" si="10"/>
        <v>376.3</v>
      </c>
    </row>
    <row r="63" spans="1:29" x14ac:dyDescent="0.2">
      <c r="A63" s="13">
        <v>41671</v>
      </c>
      <c r="B63" s="14">
        <f t="shared" si="1"/>
        <v>2014</v>
      </c>
      <c r="C63">
        <v>659861.19999999995</v>
      </c>
      <c r="D63" s="143">
        <v>6850</v>
      </c>
      <c r="E63" s="143">
        <v>6772.3</v>
      </c>
      <c r="F63" s="143">
        <v>3109.9</v>
      </c>
      <c r="G63" s="143">
        <v>3085.6</v>
      </c>
      <c r="H63" s="143">
        <v>379.9</v>
      </c>
      <c r="I63" s="143">
        <v>382.3</v>
      </c>
      <c r="R63" s="174"/>
      <c r="T63"/>
      <c r="U63" s="13">
        <f t="shared" si="2"/>
        <v>41671</v>
      </c>
      <c r="V63" s="14">
        <f t="shared" si="3"/>
        <v>2014</v>
      </c>
      <c r="W63" s="14">
        <f t="shared" si="4"/>
        <v>659861.19999999995</v>
      </c>
      <c r="X63" s="14">
        <f t="shared" si="5"/>
        <v>6850</v>
      </c>
      <c r="Y63" s="14">
        <f t="shared" si="6"/>
        <v>6772.3</v>
      </c>
      <c r="Z63" s="14">
        <f t="shared" si="7"/>
        <v>3109.9</v>
      </c>
      <c r="AA63" s="14">
        <f t="shared" si="8"/>
        <v>3085.6</v>
      </c>
      <c r="AB63" s="14">
        <f t="shared" si="9"/>
        <v>379.9</v>
      </c>
      <c r="AC63" s="14">
        <f t="shared" si="10"/>
        <v>382.3</v>
      </c>
    </row>
    <row r="64" spans="1:29" x14ac:dyDescent="0.2">
      <c r="A64" s="13">
        <v>41699</v>
      </c>
      <c r="B64" s="14">
        <f t="shared" si="1"/>
        <v>2014</v>
      </c>
      <c r="C64">
        <v>659861.19999999995</v>
      </c>
      <c r="D64" s="143">
        <v>6856.4</v>
      </c>
      <c r="E64" s="143">
        <v>6751.3</v>
      </c>
      <c r="F64" s="143">
        <v>3115.2</v>
      </c>
      <c r="G64" s="143">
        <v>3073.7</v>
      </c>
      <c r="H64" s="143">
        <v>382.2</v>
      </c>
      <c r="I64" s="143">
        <v>382.2</v>
      </c>
      <c r="T64"/>
      <c r="U64" s="13">
        <f t="shared" si="2"/>
        <v>41699</v>
      </c>
      <c r="V64" s="14">
        <f t="shared" si="3"/>
        <v>2014</v>
      </c>
      <c r="W64" s="14">
        <f t="shared" si="4"/>
        <v>659861.19999999995</v>
      </c>
      <c r="X64" s="14">
        <f t="shared" si="5"/>
        <v>6856.4</v>
      </c>
      <c r="Y64" s="14">
        <f t="shared" si="6"/>
        <v>6751.3</v>
      </c>
      <c r="Z64" s="14">
        <f t="shared" si="7"/>
        <v>3115.2</v>
      </c>
      <c r="AA64" s="14">
        <f t="shared" si="8"/>
        <v>3073.7</v>
      </c>
      <c r="AB64" s="14">
        <f t="shared" si="9"/>
        <v>382.2</v>
      </c>
      <c r="AC64" s="14">
        <f t="shared" si="10"/>
        <v>382.2</v>
      </c>
    </row>
    <row r="65" spans="1:29" x14ac:dyDescent="0.2">
      <c r="A65" s="13">
        <v>41730</v>
      </c>
      <c r="B65" s="14">
        <f t="shared" si="1"/>
        <v>2014</v>
      </c>
      <c r="C65">
        <v>659861.19999999995</v>
      </c>
      <c r="D65" s="143">
        <v>6869.6</v>
      </c>
      <c r="E65" s="143">
        <v>6785</v>
      </c>
      <c r="F65" s="143">
        <v>3126.8</v>
      </c>
      <c r="G65" s="143">
        <v>3095.4</v>
      </c>
      <c r="H65" s="143">
        <v>383.2</v>
      </c>
      <c r="I65" s="143">
        <v>382.5</v>
      </c>
      <c r="T65"/>
      <c r="U65" s="13">
        <f t="shared" si="2"/>
        <v>41730</v>
      </c>
      <c r="V65" s="14">
        <f t="shared" si="3"/>
        <v>2014</v>
      </c>
      <c r="W65" s="14">
        <f t="shared" si="4"/>
        <v>659861.19999999995</v>
      </c>
      <c r="X65" s="14">
        <f t="shared" si="5"/>
        <v>6869.6</v>
      </c>
      <c r="Y65" s="14">
        <f t="shared" si="6"/>
        <v>6785</v>
      </c>
      <c r="Z65" s="14">
        <f t="shared" si="7"/>
        <v>3126.8</v>
      </c>
      <c r="AA65" s="14">
        <f t="shared" si="8"/>
        <v>3095.4</v>
      </c>
      <c r="AB65" s="14">
        <f t="shared" si="9"/>
        <v>383.2</v>
      </c>
      <c r="AC65" s="14">
        <f t="shared" si="10"/>
        <v>382.5</v>
      </c>
    </row>
    <row r="66" spans="1:29" x14ac:dyDescent="0.2">
      <c r="A66" s="13">
        <v>41760</v>
      </c>
      <c r="B66" s="14">
        <f t="shared" si="1"/>
        <v>2014</v>
      </c>
      <c r="C66">
        <v>659861.19999999995</v>
      </c>
      <c r="D66" s="143">
        <v>6870.6</v>
      </c>
      <c r="E66" s="143">
        <v>6842.6</v>
      </c>
      <c r="F66" s="143">
        <v>3114.3</v>
      </c>
      <c r="G66" s="143">
        <v>3103</v>
      </c>
      <c r="H66" s="143">
        <v>381.5</v>
      </c>
      <c r="I66" s="143">
        <v>379.7</v>
      </c>
      <c r="T66"/>
      <c r="U66" s="13">
        <f t="shared" si="2"/>
        <v>41760</v>
      </c>
      <c r="V66" s="14">
        <f t="shared" si="3"/>
        <v>2014</v>
      </c>
      <c r="W66" s="14">
        <f t="shared" si="4"/>
        <v>659861.19999999995</v>
      </c>
      <c r="X66" s="14">
        <f t="shared" si="5"/>
        <v>6870.6</v>
      </c>
      <c r="Y66" s="14">
        <f t="shared" si="6"/>
        <v>6842.6</v>
      </c>
      <c r="Z66" s="14">
        <f t="shared" si="7"/>
        <v>3114.3</v>
      </c>
      <c r="AA66" s="14">
        <f t="shared" si="8"/>
        <v>3103</v>
      </c>
      <c r="AB66" s="14">
        <f t="shared" si="9"/>
        <v>381.5</v>
      </c>
      <c r="AC66" s="14">
        <f t="shared" si="10"/>
        <v>379.7</v>
      </c>
    </row>
    <row r="67" spans="1:29" x14ac:dyDescent="0.2">
      <c r="A67" s="13">
        <v>41791</v>
      </c>
      <c r="B67" s="14">
        <f t="shared" ref="B67:B130" si="15">YEAR(A67)</f>
        <v>2014</v>
      </c>
      <c r="C67">
        <v>659861.19999999995</v>
      </c>
      <c r="D67" s="143">
        <v>6865.4</v>
      </c>
      <c r="E67" s="143">
        <v>6912.9</v>
      </c>
      <c r="F67" s="143">
        <v>3091.8</v>
      </c>
      <c r="G67" s="143">
        <v>3107.5</v>
      </c>
      <c r="H67" s="143">
        <v>382</v>
      </c>
      <c r="I67" s="143">
        <v>383.3</v>
      </c>
      <c r="T67"/>
      <c r="U67" s="13">
        <f t="shared" ref="U67:U130" si="16">A67</f>
        <v>41791</v>
      </c>
      <c r="V67" s="14">
        <f t="shared" ref="V67:V130" si="17">B67</f>
        <v>2014</v>
      </c>
      <c r="W67" s="14">
        <f t="shared" ref="W67:W130" si="18">C67</f>
        <v>659861.19999999995</v>
      </c>
      <c r="X67" s="14">
        <f t="shared" ref="X67:X130" si="19">D67</f>
        <v>6865.4</v>
      </c>
      <c r="Y67" s="14">
        <f t="shared" ref="Y67:Y130" si="20">E67</f>
        <v>6912.9</v>
      </c>
      <c r="Z67" s="14">
        <f t="shared" ref="Z67:Z130" si="21">F67</f>
        <v>3091.8</v>
      </c>
      <c r="AA67" s="14">
        <f t="shared" ref="AA67:AA130" si="22">G67</f>
        <v>3107.5</v>
      </c>
      <c r="AB67" s="14">
        <f t="shared" ref="AB67:AB130" si="23">H67</f>
        <v>382</v>
      </c>
      <c r="AC67" s="14">
        <f t="shared" ref="AC67:AC130" si="24">I67</f>
        <v>383.3</v>
      </c>
    </row>
    <row r="68" spans="1:29" x14ac:dyDescent="0.2">
      <c r="A68" s="13">
        <v>41821</v>
      </c>
      <c r="B68" s="14">
        <f t="shared" si="15"/>
        <v>2014</v>
      </c>
      <c r="C68">
        <v>659861.19999999995</v>
      </c>
      <c r="D68" s="143">
        <v>6864.4</v>
      </c>
      <c r="E68" s="143">
        <v>6957.8</v>
      </c>
      <c r="F68" s="143">
        <v>3067.1</v>
      </c>
      <c r="G68" s="143">
        <v>3095.5</v>
      </c>
      <c r="H68" s="143">
        <v>383.8</v>
      </c>
      <c r="I68" s="143">
        <v>386.4</v>
      </c>
      <c r="T68"/>
      <c r="U68" s="13">
        <f t="shared" si="16"/>
        <v>41821</v>
      </c>
      <c r="V68" s="14">
        <f t="shared" si="17"/>
        <v>2014</v>
      </c>
      <c r="W68" s="14">
        <f t="shared" si="18"/>
        <v>659861.19999999995</v>
      </c>
      <c r="X68" s="14">
        <f t="shared" si="19"/>
        <v>6864.4</v>
      </c>
      <c r="Y68" s="14">
        <f t="shared" si="20"/>
        <v>6957.8</v>
      </c>
      <c r="Z68" s="14">
        <f t="shared" si="21"/>
        <v>3067.1</v>
      </c>
      <c r="AA68" s="14">
        <f t="shared" si="22"/>
        <v>3095.5</v>
      </c>
      <c r="AB68" s="14">
        <f t="shared" si="23"/>
        <v>383.8</v>
      </c>
      <c r="AC68" s="14">
        <f t="shared" si="24"/>
        <v>386.4</v>
      </c>
    </row>
    <row r="69" spans="1:29" x14ac:dyDescent="0.2">
      <c r="A69" s="13">
        <v>41852</v>
      </c>
      <c r="B69" s="14">
        <f t="shared" si="15"/>
        <v>2014</v>
      </c>
      <c r="C69">
        <v>659861.19999999995</v>
      </c>
      <c r="D69" s="143">
        <v>6869.9</v>
      </c>
      <c r="E69" s="143">
        <v>6969.7</v>
      </c>
      <c r="F69" s="143">
        <v>3056.5</v>
      </c>
      <c r="G69" s="143">
        <v>3094.2</v>
      </c>
      <c r="H69" s="143">
        <v>385.2</v>
      </c>
      <c r="I69" s="143">
        <v>388.9</v>
      </c>
      <c r="T69"/>
      <c r="U69" s="13">
        <f t="shared" si="16"/>
        <v>41852</v>
      </c>
      <c r="V69" s="14">
        <f t="shared" si="17"/>
        <v>2014</v>
      </c>
      <c r="W69" s="14">
        <f t="shared" si="18"/>
        <v>659861.19999999995</v>
      </c>
      <c r="X69" s="14">
        <f t="shared" si="19"/>
        <v>6869.9</v>
      </c>
      <c r="Y69" s="14">
        <f t="shared" si="20"/>
        <v>6969.7</v>
      </c>
      <c r="Z69" s="14">
        <f t="shared" si="21"/>
        <v>3056.5</v>
      </c>
      <c r="AA69" s="14">
        <f t="shared" si="22"/>
        <v>3094.2</v>
      </c>
      <c r="AB69" s="14">
        <f t="shared" si="23"/>
        <v>385.2</v>
      </c>
      <c r="AC69" s="14">
        <f t="shared" si="24"/>
        <v>388.9</v>
      </c>
    </row>
    <row r="70" spans="1:29" x14ac:dyDescent="0.2">
      <c r="A70" s="13">
        <v>41883</v>
      </c>
      <c r="B70" s="14">
        <f t="shared" si="15"/>
        <v>2014</v>
      </c>
      <c r="C70">
        <v>659861.19999999995</v>
      </c>
      <c r="D70" s="143">
        <v>6884.5</v>
      </c>
      <c r="E70" s="143">
        <v>6944.1</v>
      </c>
      <c r="F70" s="143">
        <v>3058.5</v>
      </c>
      <c r="G70" s="143">
        <v>3085.3</v>
      </c>
      <c r="H70" s="143">
        <v>385.2</v>
      </c>
      <c r="I70" s="143">
        <v>386.9</v>
      </c>
      <c r="T70"/>
      <c r="U70" s="13">
        <f t="shared" si="16"/>
        <v>41883</v>
      </c>
      <c r="V70" s="14">
        <f t="shared" si="17"/>
        <v>2014</v>
      </c>
      <c r="W70" s="14">
        <f t="shared" si="18"/>
        <v>659861.19999999995</v>
      </c>
      <c r="X70" s="14">
        <f t="shared" si="19"/>
        <v>6884.5</v>
      </c>
      <c r="Y70" s="14">
        <f t="shared" si="20"/>
        <v>6944.1</v>
      </c>
      <c r="Z70" s="14">
        <f t="shared" si="21"/>
        <v>3058.5</v>
      </c>
      <c r="AA70" s="14">
        <f t="shared" si="22"/>
        <v>3085.3</v>
      </c>
      <c r="AB70" s="14">
        <f t="shared" si="23"/>
        <v>385.2</v>
      </c>
      <c r="AC70" s="14">
        <f t="shared" si="24"/>
        <v>386.9</v>
      </c>
    </row>
    <row r="71" spans="1:29" x14ac:dyDescent="0.2">
      <c r="A71" s="13">
        <v>41913</v>
      </c>
      <c r="B71" s="14">
        <f t="shared" si="15"/>
        <v>2014</v>
      </c>
      <c r="C71">
        <v>659861.19999999995</v>
      </c>
      <c r="D71" s="143">
        <v>6901.5</v>
      </c>
      <c r="E71" s="143">
        <v>6936.6</v>
      </c>
      <c r="F71" s="143">
        <v>3072.7</v>
      </c>
      <c r="G71" s="143">
        <v>3089.4</v>
      </c>
      <c r="H71" s="143">
        <v>385.1</v>
      </c>
      <c r="I71" s="143">
        <v>387.2</v>
      </c>
      <c r="T71"/>
      <c r="U71" s="13">
        <f t="shared" si="16"/>
        <v>41913</v>
      </c>
      <c r="V71" s="14">
        <f t="shared" si="17"/>
        <v>2014</v>
      </c>
      <c r="W71" s="14">
        <f t="shared" si="18"/>
        <v>659861.19999999995</v>
      </c>
      <c r="X71" s="14">
        <f t="shared" si="19"/>
        <v>6901.5</v>
      </c>
      <c r="Y71" s="14">
        <f t="shared" si="20"/>
        <v>6936.6</v>
      </c>
      <c r="Z71" s="14">
        <f t="shared" si="21"/>
        <v>3072.7</v>
      </c>
      <c r="AA71" s="14">
        <f t="shared" si="22"/>
        <v>3089.4</v>
      </c>
      <c r="AB71" s="14">
        <f t="shared" si="23"/>
        <v>385.1</v>
      </c>
      <c r="AC71" s="14">
        <f t="shared" si="24"/>
        <v>387.2</v>
      </c>
    </row>
    <row r="72" spans="1:29" x14ac:dyDescent="0.2">
      <c r="A72" s="13">
        <v>41944</v>
      </c>
      <c r="B72" s="14">
        <f t="shared" si="15"/>
        <v>2014</v>
      </c>
      <c r="C72">
        <v>659861.19999999995</v>
      </c>
      <c r="D72" s="143">
        <v>6907.5</v>
      </c>
      <c r="E72" s="143">
        <v>6914.3</v>
      </c>
      <c r="F72" s="143">
        <v>3082</v>
      </c>
      <c r="G72" s="143">
        <v>3084.8</v>
      </c>
      <c r="H72" s="143">
        <v>383</v>
      </c>
      <c r="I72" s="143">
        <v>384.2</v>
      </c>
      <c r="T72"/>
      <c r="U72" s="13">
        <f t="shared" si="16"/>
        <v>41944</v>
      </c>
      <c r="V72" s="14">
        <f t="shared" si="17"/>
        <v>2014</v>
      </c>
      <c r="W72" s="14">
        <f t="shared" si="18"/>
        <v>659861.19999999995</v>
      </c>
      <c r="X72" s="14">
        <f t="shared" si="19"/>
        <v>6907.5</v>
      </c>
      <c r="Y72" s="14">
        <f t="shared" si="20"/>
        <v>6914.3</v>
      </c>
      <c r="Z72" s="14">
        <f t="shared" si="21"/>
        <v>3082</v>
      </c>
      <c r="AA72" s="14">
        <f t="shared" si="22"/>
        <v>3084.8</v>
      </c>
      <c r="AB72" s="14">
        <f t="shared" si="23"/>
        <v>383</v>
      </c>
      <c r="AC72" s="14">
        <f t="shared" si="24"/>
        <v>384.2</v>
      </c>
    </row>
    <row r="73" spans="1:29" x14ac:dyDescent="0.2">
      <c r="A73" s="13">
        <v>41974</v>
      </c>
      <c r="B73" s="14">
        <f t="shared" si="15"/>
        <v>2014</v>
      </c>
      <c r="C73">
        <v>659861.19999999995</v>
      </c>
      <c r="D73" s="143">
        <v>6903.1</v>
      </c>
      <c r="E73" s="143">
        <v>6903.2</v>
      </c>
      <c r="F73" s="143">
        <v>3080.1</v>
      </c>
      <c r="G73" s="143">
        <v>3082.8</v>
      </c>
      <c r="H73" s="143">
        <v>380</v>
      </c>
      <c r="I73" s="143">
        <v>382.5</v>
      </c>
      <c r="T73"/>
      <c r="U73" s="13">
        <f t="shared" si="16"/>
        <v>41974</v>
      </c>
      <c r="V73" s="14">
        <f t="shared" si="17"/>
        <v>2014</v>
      </c>
      <c r="W73" s="14">
        <f t="shared" si="18"/>
        <v>659861.19999999995</v>
      </c>
      <c r="X73" s="14">
        <f t="shared" si="19"/>
        <v>6903.1</v>
      </c>
      <c r="Y73" s="14">
        <f t="shared" si="20"/>
        <v>6903.2</v>
      </c>
      <c r="Z73" s="14">
        <f t="shared" si="21"/>
        <v>3080.1</v>
      </c>
      <c r="AA73" s="14">
        <f t="shared" si="22"/>
        <v>3082.8</v>
      </c>
      <c r="AB73" s="14">
        <f t="shared" si="23"/>
        <v>380</v>
      </c>
      <c r="AC73" s="14">
        <f t="shared" si="24"/>
        <v>382.5</v>
      </c>
    </row>
    <row r="74" spans="1:29" x14ac:dyDescent="0.2">
      <c r="A74" s="13">
        <v>42005</v>
      </c>
      <c r="B74" s="14">
        <f t="shared" si="15"/>
        <v>2015</v>
      </c>
      <c r="C74">
        <v>677384</v>
      </c>
      <c r="D74" s="143">
        <v>6885.7</v>
      </c>
      <c r="E74" s="143">
        <v>6845.1</v>
      </c>
      <c r="F74" s="143">
        <v>3076.8</v>
      </c>
      <c r="G74" s="143">
        <v>3066.1</v>
      </c>
      <c r="H74" s="143">
        <v>379.5</v>
      </c>
      <c r="I74" s="143">
        <v>379.3</v>
      </c>
      <c r="T74"/>
      <c r="U74" s="13">
        <f t="shared" si="16"/>
        <v>42005</v>
      </c>
      <c r="V74" s="14">
        <f t="shared" si="17"/>
        <v>2015</v>
      </c>
      <c r="W74" s="14">
        <f t="shared" si="18"/>
        <v>677384</v>
      </c>
      <c r="X74" s="14">
        <f t="shared" si="19"/>
        <v>6885.7</v>
      </c>
      <c r="Y74" s="14">
        <f t="shared" si="20"/>
        <v>6845.1</v>
      </c>
      <c r="Z74" s="14">
        <f t="shared" si="21"/>
        <v>3076.8</v>
      </c>
      <c r="AA74" s="14">
        <f t="shared" si="22"/>
        <v>3066.1</v>
      </c>
      <c r="AB74" s="14">
        <f t="shared" si="23"/>
        <v>379.5</v>
      </c>
      <c r="AC74" s="14">
        <f t="shared" si="24"/>
        <v>379.3</v>
      </c>
    </row>
    <row r="75" spans="1:29" x14ac:dyDescent="0.2">
      <c r="A75" s="13">
        <v>42036</v>
      </c>
      <c r="B75" s="14">
        <f t="shared" si="15"/>
        <v>2015</v>
      </c>
      <c r="C75">
        <v>677384</v>
      </c>
      <c r="D75" s="143">
        <v>6885.3</v>
      </c>
      <c r="E75" s="143">
        <v>6810.3</v>
      </c>
      <c r="F75" s="143">
        <v>3085.5</v>
      </c>
      <c r="G75" s="143">
        <v>3057.4</v>
      </c>
      <c r="H75" s="143">
        <v>378.6</v>
      </c>
      <c r="I75" s="143">
        <v>376.2</v>
      </c>
      <c r="T75"/>
      <c r="U75" s="13">
        <f t="shared" si="16"/>
        <v>42036</v>
      </c>
      <c r="V75" s="14">
        <f t="shared" si="17"/>
        <v>2015</v>
      </c>
      <c r="W75" s="14">
        <f t="shared" si="18"/>
        <v>677384</v>
      </c>
      <c r="X75" s="14">
        <f t="shared" si="19"/>
        <v>6885.3</v>
      </c>
      <c r="Y75" s="14">
        <f t="shared" si="20"/>
        <v>6810.3</v>
      </c>
      <c r="Z75" s="14">
        <f t="shared" si="21"/>
        <v>3085.5</v>
      </c>
      <c r="AA75" s="14">
        <f t="shared" si="22"/>
        <v>3057.4</v>
      </c>
      <c r="AB75" s="14">
        <f t="shared" si="23"/>
        <v>378.6</v>
      </c>
      <c r="AC75" s="14">
        <f t="shared" si="24"/>
        <v>376.2</v>
      </c>
    </row>
    <row r="76" spans="1:29" x14ac:dyDescent="0.2">
      <c r="A76" s="13">
        <v>42064</v>
      </c>
      <c r="B76" s="14">
        <f t="shared" si="15"/>
        <v>2015</v>
      </c>
      <c r="C76">
        <v>677384</v>
      </c>
      <c r="D76" s="143">
        <v>6892.1</v>
      </c>
      <c r="E76" s="143">
        <v>6783.7</v>
      </c>
      <c r="F76" s="143">
        <v>3108.7</v>
      </c>
      <c r="G76" s="143">
        <v>3060.7</v>
      </c>
      <c r="H76" s="143">
        <v>379.4</v>
      </c>
      <c r="I76" s="143">
        <v>373.1</v>
      </c>
      <c r="T76"/>
      <c r="U76" s="13">
        <f t="shared" si="16"/>
        <v>42064</v>
      </c>
      <c r="V76" s="14">
        <f t="shared" si="17"/>
        <v>2015</v>
      </c>
      <c r="W76" s="14">
        <f t="shared" si="18"/>
        <v>677384</v>
      </c>
      <c r="X76" s="14">
        <f t="shared" si="19"/>
        <v>6892.1</v>
      </c>
      <c r="Y76" s="14">
        <f t="shared" si="20"/>
        <v>6783.7</v>
      </c>
      <c r="Z76" s="14">
        <f t="shared" si="21"/>
        <v>3108.7</v>
      </c>
      <c r="AA76" s="14">
        <f t="shared" si="22"/>
        <v>3060.7</v>
      </c>
      <c r="AB76" s="14">
        <f t="shared" si="23"/>
        <v>379.4</v>
      </c>
      <c r="AC76" s="14">
        <f t="shared" si="24"/>
        <v>373.1</v>
      </c>
    </row>
    <row r="77" spans="1:29" x14ac:dyDescent="0.2">
      <c r="A77" s="13">
        <v>42095</v>
      </c>
      <c r="B77" s="14">
        <f t="shared" si="15"/>
        <v>2015</v>
      </c>
      <c r="C77">
        <v>677384</v>
      </c>
      <c r="D77" s="143">
        <v>6897.3</v>
      </c>
      <c r="E77" s="143">
        <v>6805.6</v>
      </c>
      <c r="F77" s="143">
        <v>3122.7</v>
      </c>
      <c r="G77" s="143">
        <v>3086.6</v>
      </c>
      <c r="H77" s="143">
        <v>379.6</v>
      </c>
      <c r="I77" s="143">
        <v>374.7</v>
      </c>
      <c r="T77"/>
      <c r="U77" s="13">
        <f t="shared" si="16"/>
        <v>42095</v>
      </c>
      <c r="V77" s="14">
        <f t="shared" si="17"/>
        <v>2015</v>
      </c>
      <c r="W77" s="14">
        <f t="shared" si="18"/>
        <v>677384</v>
      </c>
      <c r="X77" s="14">
        <f t="shared" si="19"/>
        <v>6897.3</v>
      </c>
      <c r="Y77" s="14">
        <f t="shared" si="20"/>
        <v>6805.6</v>
      </c>
      <c r="Z77" s="14">
        <f t="shared" si="21"/>
        <v>3122.7</v>
      </c>
      <c r="AA77" s="14">
        <f t="shared" si="22"/>
        <v>3086.6</v>
      </c>
      <c r="AB77" s="14">
        <f t="shared" si="23"/>
        <v>379.6</v>
      </c>
      <c r="AC77" s="14">
        <f t="shared" si="24"/>
        <v>374.7</v>
      </c>
    </row>
    <row r="78" spans="1:29" x14ac:dyDescent="0.2">
      <c r="A78" s="13">
        <v>42125</v>
      </c>
      <c r="B78" s="14">
        <f t="shared" si="15"/>
        <v>2015</v>
      </c>
      <c r="C78">
        <v>677384</v>
      </c>
      <c r="D78" s="143">
        <v>6906.5</v>
      </c>
      <c r="E78" s="143">
        <v>6870.9</v>
      </c>
      <c r="F78" s="143">
        <v>3142.3</v>
      </c>
      <c r="G78" s="143">
        <v>3130.7</v>
      </c>
      <c r="H78" s="143">
        <v>385</v>
      </c>
      <c r="I78" s="143">
        <v>382.4</v>
      </c>
      <c r="T78"/>
      <c r="U78" s="13">
        <f t="shared" si="16"/>
        <v>42125</v>
      </c>
      <c r="V78" s="14">
        <f t="shared" si="17"/>
        <v>2015</v>
      </c>
      <c r="W78" s="14">
        <f t="shared" si="18"/>
        <v>677384</v>
      </c>
      <c r="X78" s="14">
        <f t="shared" si="19"/>
        <v>6906.5</v>
      </c>
      <c r="Y78" s="14">
        <f t="shared" si="20"/>
        <v>6870.9</v>
      </c>
      <c r="Z78" s="14">
        <f t="shared" si="21"/>
        <v>3142.3</v>
      </c>
      <c r="AA78" s="14">
        <f t="shared" si="22"/>
        <v>3130.7</v>
      </c>
      <c r="AB78" s="14">
        <f t="shared" si="23"/>
        <v>385</v>
      </c>
      <c r="AC78" s="14">
        <f t="shared" si="24"/>
        <v>382.4</v>
      </c>
    </row>
    <row r="79" spans="1:29" x14ac:dyDescent="0.2">
      <c r="A79" s="13">
        <v>42156</v>
      </c>
      <c r="B79" s="14">
        <f t="shared" si="15"/>
        <v>2015</v>
      </c>
      <c r="C79">
        <v>677384</v>
      </c>
      <c r="D79" s="143">
        <v>6921.3</v>
      </c>
      <c r="E79" s="143">
        <v>6965.8</v>
      </c>
      <c r="F79" s="143">
        <v>3163.2</v>
      </c>
      <c r="G79" s="143">
        <v>3182.8</v>
      </c>
      <c r="H79" s="143">
        <v>387.9</v>
      </c>
      <c r="I79" s="143">
        <v>389.3</v>
      </c>
      <c r="T79"/>
      <c r="U79" s="13">
        <f t="shared" si="16"/>
        <v>42156</v>
      </c>
      <c r="V79" s="14">
        <f t="shared" si="17"/>
        <v>2015</v>
      </c>
      <c r="W79" s="14">
        <f t="shared" si="18"/>
        <v>677384</v>
      </c>
      <c r="X79" s="14">
        <f t="shared" si="19"/>
        <v>6921.3</v>
      </c>
      <c r="Y79" s="14">
        <f t="shared" si="20"/>
        <v>6965.8</v>
      </c>
      <c r="Z79" s="14">
        <f t="shared" si="21"/>
        <v>3163.2</v>
      </c>
      <c r="AA79" s="14">
        <f t="shared" si="22"/>
        <v>3182.8</v>
      </c>
      <c r="AB79" s="14">
        <f t="shared" si="23"/>
        <v>387.9</v>
      </c>
      <c r="AC79" s="14">
        <f t="shared" si="24"/>
        <v>389.3</v>
      </c>
    </row>
    <row r="80" spans="1:29" x14ac:dyDescent="0.2">
      <c r="A80" s="13">
        <v>42186</v>
      </c>
      <c r="B80" s="14">
        <f t="shared" si="15"/>
        <v>2015</v>
      </c>
      <c r="C80">
        <v>677384</v>
      </c>
      <c r="D80" s="143">
        <v>6941.2</v>
      </c>
      <c r="E80" s="143">
        <v>7032.3</v>
      </c>
      <c r="F80" s="143">
        <v>3194.9</v>
      </c>
      <c r="G80" s="143">
        <v>3226.4</v>
      </c>
      <c r="H80" s="143">
        <v>392.4</v>
      </c>
      <c r="I80" s="143">
        <v>395.3</v>
      </c>
      <c r="T80"/>
      <c r="U80" s="13">
        <f t="shared" si="16"/>
        <v>42186</v>
      </c>
      <c r="V80" s="14">
        <f t="shared" si="17"/>
        <v>2015</v>
      </c>
      <c r="W80" s="14">
        <f t="shared" si="18"/>
        <v>677384</v>
      </c>
      <c r="X80" s="14">
        <f t="shared" si="19"/>
        <v>6941.2</v>
      </c>
      <c r="Y80" s="14">
        <f t="shared" si="20"/>
        <v>7032.3</v>
      </c>
      <c r="Z80" s="14">
        <f t="shared" si="21"/>
        <v>3194.9</v>
      </c>
      <c r="AA80" s="14">
        <f t="shared" si="22"/>
        <v>3226.4</v>
      </c>
      <c r="AB80" s="14">
        <f t="shared" si="23"/>
        <v>392.4</v>
      </c>
      <c r="AC80" s="14">
        <f t="shared" si="24"/>
        <v>395.3</v>
      </c>
    </row>
    <row r="81" spans="1:29" x14ac:dyDescent="0.2">
      <c r="A81" s="13">
        <v>42217</v>
      </c>
      <c r="B81" s="14">
        <f t="shared" si="15"/>
        <v>2015</v>
      </c>
      <c r="C81">
        <v>677384</v>
      </c>
      <c r="D81" s="143">
        <v>6949.2</v>
      </c>
      <c r="E81" s="143">
        <v>7045.7</v>
      </c>
      <c r="F81" s="143">
        <v>3214.6</v>
      </c>
      <c r="G81" s="143">
        <v>3251.2</v>
      </c>
      <c r="H81" s="143">
        <v>392.6</v>
      </c>
      <c r="I81" s="143">
        <v>397.2</v>
      </c>
      <c r="T81"/>
      <c r="U81" s="13">
        <f t="shared" si="16"/>
        <v>42217</v>
      </c>
      <c r="V81" s="14">
        <f t="shared" si="17"/>
        <v>2015</v>
      </c>
      <c r="W81" s="14">
        <f t="shared" si="18"/>
        <v>677384</v>
      </c>
      <c r="X81" s="14">
        <f t="shared" si="19"/>
        <v>6949.2</v>
      </c>
      <c r="Y81" s="14">
        <f t="shared" si="20"/>
        <v>7045.7</v>
      </c>
      <c r="Z81" s="14">
        <f t="shared" si="21"/>
        <v>3214.6</v>
      </c>
      <c r="AA81" s="14">
        <f t="shared" si="22"/>
        <v>3251.2</v>
      </c>
      <c r="AB81" s="14">
        <f t="shared" si="23"/>
        <v>392.6</v>
      </c>
      <c r="AC81" s="14">
        <f t="shared" si="24"/>
        <v>397.2</v>
      </c>
    </row>
    <row r="82" spans="1:29" x14ac:dyDescent="0.2">
      <c r="A82" s="13">
        <v>42248</v>
      </c>
      <c r="B82" s="14">
        <f t="shared" si="15"/>
        <v>2015</v>
      </c>
      <c r="C82">
        <v>677384</v>
      </c>
      <c r="D82" s="143">
        <v>6941.1</v>
      </c>
      <c r="E82" s="143">
        <v>6994.9</v>
      </c>
      <c r="F82" s="143">
        <v>3220.3</v>
      </c>
      <c r="G82" s="143">
        <v>3243.3</v>
      </c>
      <c r="H82" s="143">
        <v>390.5</v>
      </c>
      <c r="I82" s="143">
        <v>393.9</v>
      </c>
      <c r="T82"/>
      <c r="U82" s="13">
        <f t="shared" si="16"/>
        <v>42248</v>
      </c>
      <c r="V82" s="14">
        <f t="shared" si="17"/>
        <v>2015</v>
      </c>
      <c r="W82" s="14">
        <f t="shared" si="18"/>
        <v>677384</v>
      </c>
      <c r="X82" s="14">
        <f t="shared" si="19"/>
        <v>6941.1</v>
      </c>
      <c r="Y82" s="14">
        <f t="shared" si="20"/>
        <v>6994.9</v>
      </c>
      <c r="Z82" s="14">
        <f t="shared" si="21"/>
        <v>3220.3</v>
      </c>
      <c r="AA82" s="14">
        <f t="shared" si="22"/>
        <v>3243.3</v>
      </c>
      <c r="AB82" s="14">
        <f t="shared" si="23"/>
        <v>390.5</v>
      </c>
      <c r="AC82" s="14">
        <f t="shared" si="24"/>
        <v>393.9</v>
      </c>
    </row>
    <row r="83" spans="1:29" x14ac:dyDescent="0.2">
      <c r="A83" s="13">
        <v>42278</v>
      </c>
      <c r="B83" s="14">
        <f t="shared" si="15"/>
        <v>2015</v>
      </c>
      <c r="C83">
        <v>677384</v>
      </c>
      <c r="D83" s="143">
        <v>6934.8</v>
      </c>
      <c r="E83" s="143">
        <v>6969</v>
      </c>
      <c r="F83" s="143">
        <v>3216.5</v>
      </c>
      <c r="G83" s="143">
        <v>3229.5</v>
      </c>
      <c r="H83" s="143">
        <v>385.6</v>
      </c>
      <c r="I83" s="143">
        <v>388.2</v>
      </c>
      <c r="T83"/>
      <c r="U83" s="13">
        <f t="shared" si="16"/>
        <v>42278</v>
      </c>
      <c r="V83" s="14">
        <f t="shared" si="17"/>
        <v>2015</v>
      </c>
      <c r="W83" s="14">
        <f t="shared" si="18"/>
        <v>677384</v>
      </c>
      <c r="X83" s="14">
        <f t="shared" si="19"/>
        <v>6934.8</v>
      </c>
      <c r="Y83" s="14">
        <f t="shared" si="20"/>
        <v>6969</v>
      </c>
      <c r="Z83" s="14">
        <f t="shared" si="21"/>
        <v>3216.5</v>
      </c>
      <c r="AA83" s="14">
        <f t="shared" si="22"/>
        <v>3229.5</v>
      </c>
      <c r="AB83" s="14">
        <f t="shared" si="23"/>
        <v>385.6</v>
      </c>
      <c r="AC83" s="14">
        <f t="shared" si="24"/>
        <v>388.2</v>
      </c>
    </row>
    <row r="84" spans="1:29" x14ac:dyDescent="0.2">
      <c r="A84" s="13">
        <v>42309</v>
      </c>
      <c r="B84" s="14">
        <f t="shared" si="15"/>
        <v>2015</v>
      </c>
      <c r="C84">
        <v>677384</v>
      </c>
      <c r="D84" s="143">
        <v>6928.3</v>
      </c>
      <c r="E84" s="143">
        <v>6936.9</v>
      </c>
      <c r="F84" s="143">
        <v>3211.5</v>
      </c>
      <c r="G84" s="143">
        <v>3211.5</v>
      </c>
      <c r="H84" s="143">
        <v>384.5</v>
      </c>
      <c r="I84" s="143">
        <v>385.6</v>
      </c>
      <c r="T84"/>
      <c r="U84" s="13">
        <f t="shared" si="16"/>
        <v>42309</v>
      </c>
      <c r="V84" s="14">
        <f t="shared" si="17"/>
        <v>2015</v>
      </c>
      <c r="W84" s="14">
        <f t="shared" si="18"/>
        <v>677384</v>
      </c>
      <c r="X84" s="14">
        <f t="shared" si="19"/>
        <v>6928.3</v>
      </c>
      <c r="Y84" s="14">
        <f t="shared" si="20"/>
        <v>6936.9</v>
      </c>
      <c r="Z84" s="14">
        <f t="shared" si="21"/>
        <v>3211.5</v>
      </c>
      <c r="AA84" s="14">
        <f t="shared" si="22"/>
        <v>3211.5</v>
      </c>
      <c r="AB84" s="14">
        <f t="shared" si="23"/>
        <v>384.5</v>
      </c>
      <c r="AC84" s="14">
        <f t="shared" si="24"/>
        <v>385.6</v>
      </c>
    </row>
    <row r="85" spans="1:29" x14ac:dyDescent="0.2">
      <c r="A85" s="13">
        <v>42339</v>
      </c>
      <c r="B85" s="14">
        <f t="shared" si="15"/>
        <v>2015</v>
      </c>
      <c r="C85">
        <v>677384</v>
      </c>
      <c r="D85" s="143">
        <v>6942.8</v>
      </c>
      <c r="E85" s="143">
        <v>6948.2</v>
      </c>
      <c r="F85" s="143">
        <v>3220.1</v>
      </c>
      <c r="G85" s="143">
        <v>3220</v>
      </c>
      <c r="H85" s="143">
        <v>383.7</v>
      </c>
      <c r="I85" s="143">
        <v>385.4</v>
      </c>
      <c r="T85"/>
      <c r="U85" s="13">
        <f t="shared" si="16"/>
        <v>42339</v>
      </c>
      <c r="V85" s="14">
        <f t="shared" si="17"/>
        <v>2015</v>
      </c>
      <c r="W85" s="14">
        <f t="shared" si="18"/>
        <v>677384</v>
      </c>
      <c r="X85" s="14">
        <f t="shared" si="19"/>
        <v>6942.8</v>
      </c>
      <c r="Y85" s="14">
        <f t="shared" si="20"/>
        <v>6948.2</v>
      </c>
      <c r="Z85" s="14">
        <f t="shared" si="21"/>
        <v>3220.1</v>
      </c>
      <c r="AA85" s="14">
        <f t="shared" si="22"/>
        <v>3220</v>
      </c>
      <c r="AB85" s="14">
        <f t="shared" si="23"/>
        <v>383.7</v>
      </c>
      <c r="AC85" s="14">
        <f t="shared" si="24"/>
        <v>385.4</v>
      </c>
    </row>
    <row r="86" spans="1:29" x14ac:dyDescent="0.2">
      <c r="A86" s="13">
        <v>42370</v>
      </c>
      <c r="B86" s="14">
        <f t="shared" si="15"/>
        <v>2016</v>
      </c>
      <c r="C86">
        <v>692620.80000000005</v>
      </c>
      <c r="D86" s="143">
        <v>6957.7</v>
      </c>
      <c r="E86" s="143">
        <v>6919.2</v>
      </c>
      <c r="F86" s="143">
        <v>3227</v>
      </c>
      <c r="G86" s="143">
        <v>3213.9</v>
      </c>
      <c r="H86" s="143">
        <v>382.6</v>
      </c>
      <c r="I86" s="143">
        <v>381.7</v>
      </c>
      <c r="T86"/>
      <c r="U86" s="13">
        <f t="shared" si="16"/>
        <v>42370</v>
      </c>
      <c r="V86" s="14">
        <f t="shared" si="17"/>
        <v>2016</v>
      </c>
      <c r="W86" s="14">
        <f t="shared" si="18"/>
        <v>692620.80000000005</v>
      </c>
      <c r="X86" s="14">
        <f t="shared" si="19"/>
        <v>6957.7</v>
      </c>
      <c r="Y86" s="14">
        <f t="shared" si="20"/>
        <v>6919.2</v>
      </c>
      <c r="Z86" s="14">
        <f t="shared" si="21"/>
        <v>3227</v>
      </c>
      <c r="AA86" s="14">
        <f t="shared" si="22"/>
        <v>3213.9</v>
      </c>
      <c r="AB86" s="14">
        <f t="shared" si="23"/>
        <v>382.6</v>
      </c>
      <c r="AC86" s="14">
        <f t="shared" si="24"/>
        <v>381.7</v>
      </c>
    </row>
    <row r="87" spans="1:29" x14ac:dyDescent="0.2">
      <c r="A87" s="13">
        <v>42401</v>
      </c>
      <c r="B87" s="14">
        <f t="shared" si="15"/>
        <v>2016</v>
      </c>
      <c r="C87">
        <v>692620.80000000005</v>
      </c>
      <c r="D87" s="143">
        <v>6970.6</v>
      </c>
      <c r="E87" s="143">
        <v>6896.8</v>
      </c>
      <c r="F87" s="143">
        <v>3221.1</v>
      </c>
      <c r="G87" s="143">
        <v>3193.2</v>
      </c>
      <c r="H87" s="143">
        <v>384.2</v>
      </c>
      <c r="I87" s="143">
        <v>380.8</v>
      </c>
      <c r="T87"/>
      <c r="U87" s="13">
        <f t="shared" si="16"/>
        <v>42401</v>
      </c>
      <c r="V87" s="14">
        <f t="shared" si="17"/>
        <v>2016</v>
      </c>
      <c r="W87" s="14">
        <f t="shared" si="18"/>
        <v>692620.80000000005</v>
      </c>
      <c r="X87" s="14">
        <f t="shared" si="19"/>
        <v>6970.6</v>
      </c>
      <c r="Y87" s="14">
        <f t="shared" si="20"/>
        <v>6896.8</v>
      </c>
      <c r="Z87" s="14">
        <f t="shared" si="21"/>
        <v>3221.1</v>
      </c>
      <c r="AA87" s="14">
        <f t="shared" si="22"/>
        <v>3193.2</v>
      </c>
      <c r="AB87" s="14">
        <f t="shared" si="23"/>
        <v>384.2</v>
      </c>
      <c r="AC87" s="14">
        <f t="shared" si="24"/>
        <v>380.8</v>
      </c>
    </row>
    <row r="88" spans="1:29" x14ac:dyDescent="0.2">
      <c r="A88" s="13">
        <v>42430</v>
      </c>
      <c r="B88" s="14">
        <f t="shared" si="15"/>
        <v>2016</v>
      </c>
      <c r="C88">
        <v>692620.80000000005</v>
      </c>
      <c r="D88" s="143">
        <v>6978.1</v>
      </c>
      <c r="E88" s="143">
        <v>6872.4</v>
      </c>
      <c r="F88" s="143">
        <v>3210.6</v>
      </c>
      <c r="G88" s="143">
        <v>3165.9</v>
      </c>
      <c r="H88" s="143">
        <v>385.2</v>
      </c>
      <c r="I88" s="143">
        <v>378.9</v>
      </c>
      <c r="T88"/>
      <c r="U88" s="13">
        <f t="shared" si="16"/>
        <v>42430</v>
      </c>
      <c r="V88" s="14">
        <f t="shared" si="17"/>
        <v>2016</v>
      </c>
      <c r="W88" s="14">
        <f t="shared" si="18"/>
        <v>692620.80000000005</v>
      </c>
      <c r="X88" s="14">
        <f t="shared" si="19"/>
        <v>6978.1</v>
      </c>
      <c r="Y88" s="14">
        <f t="shared" si="20"/>
        <v>6872.4</v>
      </c>
      <c r="Z88" s="14">
        <f t="shared" si="21"/>
        <v>3210.6</v>
      </c>
      <c r="AA88" s="14">
        <f t="shared" si="22"/>
        <v>3165.9</v>
      </c>
      <c r="AB88" s="14">
        <f t="shared" si="23"/>
        <v>385.2</v>
      </c>
      <c r="AC88" s="14">
        <f t="shared" si="24"/>
        <v>378.9</v>
      </c>
    </row>
    <row r="89" spans="1:29" x14ac:dyDescent="0.2">
      <c r="A89" s="13">
        <v>42461</v>
      </c>
      <c r="B89" s="14">
        <f t="shared" si="15"/>
        <v>2016</v>
      </c>
      <c r="C89">
        <v>692620.80000000005</v>
      </c>
      <c r="D89" s="143">
        <v>6981.8</v>
      </c>
      <c r="E89" s="143">
        <v>6890.3</v>
      </c>
      <c r="F89" s="143">
        <v>3208.5</v>
      </c>
      <c r="G89" s="143">
        <v>3172.5</v>
      </c>
      <c r="H89" s="143">
        <v>387.9</v>
      </c>
      <c r="I89" s="143">
        <v>383.7</v>
      </c>
      <c r="T89"/>
      <c r="U89" s="13">
        <f t="shared" si="16"/>
        <v>42461</v>
      </c>
      <c r="V89" s="14">
        <f t="shared" si="17"/>
        <v>2016</v>
      </c>
      <c r="W89" s="14">
        <f t="shared" si="18"/>
        <v>692620.80000000005</v>
      </c>
      <c r="X89" s="14">
        <f t="shared" si="19"/>
        <v>6981.8</v>
      </c>
      <c r="Y89" s="14">
        <f t="shared" si="20"/>
        <v>6890.3</v>
      </c>
      <c r="Z89" s="14">
        <f t="shared" si="21"/>
        <v>3208.5</v>
      </c>
      <c r="AA89" s="14">
        <f t="shared" si="22"/>
        <v>3172.5</v>
      </c>
      <c r="AB89" s="14">
        <f t="shared" si="23"/>
        <v>387.9</v>
      </c>
      <c r="AC89" s="14">
        <f t="shared" si="24"/>
        <v>383.7</v>
      </c>
    </row>
    <row r="90" spans="1:29" x14ac:dyDescent="0.2">
      <c r="A90" s="13">
        <v>42491</v>
      </c>
      <c r="B90" s="14">
        <f t="shared" si="15"/>
        <v>2016</v>
      </c>
      <c r="C90">
        <v>692620.80000000005</v>
      </c>
      <c r="D90" s="143">
        <v>6994.4</v>
      </c>
      <c r="E90" s="143">
        <v>6962.5</v>
      </c>
      <c r="F90" s="143">
        <v>3217.7</v>
      </c>
      <c r="G90" s="143">
        <v>3207.8</v>
      </c>
      <c r="H90" s="143">
        <v>383.2</v>
      </c>
      <c r="I90" s="143">
        <v>382.3</v>
      </c>
      <c r="T90"/>
      <c r="U90" s="13">
        <f t="shared" si="16"/>
        <v>42491</v>
      </c>
      <c r="V90" s="14">
        <f t="shared" si="17"/>
        <v>2016</v>
      </c>
      <c r="W90" s="14">
        <f t="shared" si="18"/>
        <v>692620.80000000005</v>
      </c>
      <c r="X90" s="14">
        <f t="shared" si="19"/>
        <v>6994.4</v>
      </c>
      <c r="Y90" s="14">
        <f t="shared" si="20"/>
        <v>6962.5</v>
      </c>
      <c r="Z90" s="14">
        <f t="shared" si="21"/>
        <v>3217.7</v>
      </c>
      <c r="AA90" s="14">
        <f t="shared" si="22"/>
        <v>3207.8</v>
      </c>
      <c r="AB90" s="14">
        <f t="shared" si="23"/>
        <v>383.2</v>
      </c>
      <c r="AC90" s="14">
        <f t="shared" si="24"/>
        <v>382.3</v>
      </c>
    </row>
    <row r="91" spans="1:29" x14ac:dyDescent="0.2">
      <c r="A91" s="13">
        <v>42522</v>
      </c>
      <c r="B91" s="14">
        <f t="shared" si="15"/>
        <v>2016</v>
      </c>
      <c r="C91">
        <v>692620.80000000005</v>
      </c>
      <c r="D91" s="143">
        <v>7001.9</v>
      </c>
      <c r="E91" s="143">
        <v>7047.3</v>
      </c>
      <c r="F91" s="143">
        <v>3230.3</v>
      </c>
      <c r="G91" s="143">
        <v>3251.8</v>
      </c>
      <c r="H91" s="143">
        <v>382.1</v>
      </c>
      <c r="I91" s="143">
        <v>384.6</v>
      </c>
      <c r="T91"/>
      <c r="U91" s="13">
        <f t="shared" si="16"/>
        <v>42522</v>
      </c>
      <c r="V91" s="14">
        <f t="shared" si="17"/>
        <v>2016</v>
      </c>
      <c r="W91" s="14">
        <f t="shared" si="18"/>
        <v>692620.80000000005</v>
      </c>
      <c r="X91" s="14">
        <f t="shared" si="19"/>
        <v>7001.9</v>
      </c>
      <c r="Y91" s="14">
        <f t="shared" si="20"/>
        <v>7047.3</v>
      </c>
      <c r="Z91" s="14">
        <f t="shared" si="21"/>
        <v>3230.3</v>
      </c>
      <c r="AA91" s="14">
        <f t="shared" si="22"/>
        <v>3251.8</v>
      </c>
      <c r="AB91" s="14">
        <f t="shared" si="23"/>
        <v>382.1</v>
      </c>
      <c r="AC91" s="14">
        <f t="shared" si="24"/>
        <v>384.6</v>
      </c>
    </row>
    <row r="92" spans="1:29" x14ac:dyDescent="0.2">
      <c r="A92" s="13">
        <v>42552</v>
      </c>
      <c r="B92" s="14">
        <f t="shared" si="15"/>
        <v>2016</v>
      </c>
      <c r="C92">
        <v>692620.80000000005</v>
      </c>
      <c r="D92" s="143">
        <v>6995.7</v>
      </c>
      <c r="E92" s="143">
        <v>7090.8</v>
      </c>
      <c r="F92" s="143">
        <v>3229.4</v>
      </c>
      <c r="G92" s="143">
        <v>3265.5</v>
      </c>
      <c r="H92" s="143">
        <v>379.1</v>
      </c>
      <c r="I92" s="143">
        <v>382.2</v>
      </c>
      <c r="T92"/>
      <c r="U92" s="13">
        <f t="shared" si="16"/>
        <v>42552</v>
      </c>
      <c r="V92" s="14">
        <f t="shared" si="17"/>
        <v>2016</v>
      </c>
      <c r="W92" s="14">
        <f t="shared" si="18"/>
        <v>692620.80000000005</v>
      </c>
      <c r="X92" s="14">
        <f t="shared" si="19"/>
        <v>6995.7</v>
      </c>
      <c r="Y92" s="14">
        <f t="shared" si="20"/>
        <v>7090.8</v>
      </c>
      <c r="Z92" s="14">
        <f t="shared" si="21"/>
        <v>3229.4</v>
      </c>
      <c r="AA92" s="14">
        <f t="shared" si="22"/>
        <v>3265.5</v>
      </c>
      <c r="AB92" s="14">
        <f t="shared" si="23"/>
        <v>379.1</v>
      </c>
      <c r="AC92" s="14">
        <f t="shared" si="24"/>
        <v>382.2</v>
      </c>
    </row>
    <row r="93" spans="1:29" x14ac:dyDescent="0.2">
      <c r="A93" s="13">
        <v>42583</v>
      </c>
      <c r="B93" s="14">
        <f t="shared" si="15"/>
        <v>2016</v>
      </c>
      <c r="C93">
        <v>692620.80000000005</v>
      </c>
      <c r="D93" s="143">
        <v>6990.6</v>
      </c>
      <c r="E93" s="143">
        <v>7083.3</v>
      </c>
      <c r="F93" s="143">
        <v>3224.8</v>
      </c>
      <c r="G93" s="143">
        <v>3263</v>
      </c>
      <c r="H93" s="143">
        <v>379.5</v>
      </c>
      <c r="I93" s="143">
        <v>380.6</v>
      </c>
      <c r="T93"/>
      <c r="U93" s="13">
        <f t="shared" si="16"/>
        <v>42583</v>
      </c>
      <c r="V93" s="14">
        <f t="shared" si="17"/>
        <v>2016</v>
      </c>
      <c r="W93" s="14">
        <f t="shared" si="18"/>
        <v>692620.80000000005</v>
      </c>
      <c r="X93" s="14">
        <f t="shared" si="19"/>
        <v>6990.6</v>
      </c>
      <c r="Y93" s="14">
        <f t="shared" si="20"/>
        <v>7083.3</v>
      </c>
      <c r="Z93" s="14">
        <f t="shared" si="21"/>
        <v>3224.8</v>
      </c>
      <c r="AA93" s="14">
        <f t="shared" si="22"/>
        <v>3263</v>
      </c>
      <c r="AB93" s="14">
        <f t="shared" si="23"/>
        <v>379.5</v>
      </c>
      <c r="AC93" s="14">
        <f t="shared" si="24"/>
        <v>380.6</v>
      </c>
    </row>
    <row r="94" spans="1:29" x14ac:dyDescent="0.2">
      <c r="A94" s="13">
        <v>42614</v>
      </c>
      <c r="B94" s="14">
        <f t="shared" si="15"/>
        <v>2016</v>
      </c>
      <c r="C94">
        <v>692620.80000000005</v>
      </c>
      <c r="D94" s="143">
        <v>6988.9</v>
      </c>
      <c r="E94" s="143">
        <v>7037</v>
      </c>
      <c r="F94" s="143">
        <v>3216.9</v>
      </c>
      <c r="G94" s="143">
        <v>3236.1</v>
      </c>
      <c r="H94" s="143">
        <v>382.3</v>
      </c>
      <c r="I94" s="143">
        <v>381.7</v>
      </c>
      <c r="T94"/>
      <c r="U94" s="13">
        <f t="shared" si="16"/>
        <v>42614</v>
      </c>
      <c r="V94" s="14">
        <f t="shared" si="17"/>
        <v>2016</v>
      </c>
      <c r="W94" s="14">
        <f t="shared" si="18"/>
        <v>692620.80000000005</v>
      </c>
      <c r="X94" s="14">
        <f t="shared" si="19"/>
        <v>6988.9</v>
      </c>
      <c r="Y94" s="14">
        <f t="shared" si="20"/>
        <v>7037</v>
      </c>
      <c r="Z94" s="14">
        <f t="shared" si="21"/>
        <v>3216.9</v>
      </c>
      <c r="AA94" s="14">
        <f t="shared" si="22"/>
        <v>3236.1</v>
      </c>
      <c r="AB94" s="14">
        <f t="shared" si="23"/>
        <v>382.3</v>
      </c>
      <c r="AC94" s="14">
        <f t="shared" si="24"/>
        <v>381.7</v>
      </c>
    </row>
    <row r="95" spans="1:29" x14ac:dyDescent="0.2">
      <c r="A95" s="13">
        <v>42644</v>
      </c>
      <c r="B95" s="14">
        <f t="shared" si="15"/>
        <v>2016</v>
      </c>
      <c r="C95">
        <v>692620.80000000005</v>
      </c>
      <c r="D95" s="143">
        <v>7006.2</v>
      </c>
      <c r="E95" s="143">
        <v>7033.4</v>
      </c>
      <c r="F95" s="143">
        <v>3209.8</v>
      </c>
      <c r="G95" s="143">
        <v>3217.5</v>
      </c>
      <c r="H95" s="143">
        <v>386.2</v>
      </c>
      <c r="I95" s="143">
        <v>384.6</v>
      </c>
      <c r="T95"/>
      <c r="U95" s="13">
        <f t="shared" si="16"/>
        <v>42644</v>
      </c>
      <c r="V95" s="14">
        <f t="shared" si="17"/>
        <v>2016</v>
      </c>
      <c r="W95" s="14">
        <f t="shared" si="18"/>
        <v>692620.80000000005</v>
      </c>
      <c r="X95" s="14">
        <f t="shared" si="19"/>
        <v>7006.2</v>
      </c>
      <c r="Y95" s="14">
        <f t="shared" si="20"/>
        <v>7033.4</v>
      </c>
      <c r="Z95" s="14">
        <f t="shared" si="21"/>
        <v>3209.8</v>
      </c>
      <c r="AA95" s="14">
        <f t="shared" si="22"/>
        <v>3217.5</v>
      </c>
      <c r="AB95" s="14">
        <f t="shared" si="23"/>
        <v>386.2</v>
      </c>
      <c r="AC95" s="14">
        <f t="shared" si="24"/>
        <v>384.6</v>
      </c>
    </row>
    <row r="96" spans="1:29" x14ac:dyDescent="0.2">
      <c r="A96" s="13">
        <v>42675</v>
      </c>
      <c r="B96" s="14">
        <f t="shared" si="15"/>
        <v>2016</v>
      </c>
      <c r="C96">
        <v>692620.80000000005</v>
      </c>
      <c r="D96" s="143">
        <v>7018.5</v>
      </c>
      <c r="E96" s="143">
        <v>7026.9</v>
      </c>
      <c r="F96" s="143">
        <v>3207.3</v>
      </c>
      <c r="G96" s="143">
        <v>3203.3</v>
      </c>
      <c r="H96" s="143">
        <v>392.2</v>
      </c>
      <c r="I96" s="143">
        <v>391.8</v>
      </c>
      <c r="T96"/>
      <c r="U96" s="13">
        <f t="shared" si="16"/>
        <v>42675</v>
      </c>
      <c r="V96" s="14">
        <f t="shared" si="17"/>
        <v>2016</v>
      </c>
      <c r="W96" s="14">
        <f t="shared" si="18"/>
        <v>692620.80000000005</v>
      </c>
      <c r="X96" s="14">
        <f t="shared" si="19"/>
        <v>7018.5</v>
      </c>
      <c r="Y96" s="14">
        <f t="shared" si="20"/>
        <v>7026.9</v>
      </c>
      <c r="Z96" s="14">
        <f t="shared" si="21"/>
        <v>3207.3</v>
      </c>
      <c r="AA96" s="14">
        <f t="shared" si="22"/>
        <v>3203.3</v>
      </c>
      <c r="AB96" s="14">
        <f t="shared" si="23"/>
        <v>392.2</v>
      </c>
      <c r="AC96" s="14">
        <f t="shared" si="24"/>
        <v>391.8</v>
      </c>
    </row>
    <row r="97" spans="1:29" x14ac:dyDescent="0.2">
      <c r="A97" s="13">
        <v>42705</v>
      </c>
      <c r="B97" s="14">
        <f t="shared" si="15"/>
        <v>2016</v>
      </c>
      <c r="C97">
        <v>692620.80000000005</v>
      </c>
      <c r="D97" s="143">
        <v>7028.8</v>
      </c>
      <c r="E97" s="143">
        <v>7041.6</v>
      </c>
      <c r="F97" s="143">
        <v>3203.9</v>
      </c>
      <c r="G97" s="143">
        <v>3206.3</v>
      </c>
      <c r="H97" s="143">
        <v>397.1</v>
      </c>
      <c r="I97" s="143">
        <v>398</v>
      </c>
      <c r="T97"/>
      <c r="U97" s="13">
        <f t="shared" si="16"/>
        <v>42705</v>
      </c>
      <c r="V97" s="14">
        <f t="shared" si="17"/>
        <v>2016</v>
      </c>
      <c r="W97" s="14">
        <f t="shared" si="18"/>
        <v>692620.80000000005</v>
      </c>
      <c r="X97" s="14">
        <f t="shared" si="19"/>
        <v>7028.8</v>
      </c>
      <c r="Y97" s="14">
        <f t="shared" si="20"/>
        <v>7041.6</v>
      </c>
      <c r="Z97" s="14">
        <f t="shared" si="21"/>
        <v>3203.9</v>
      </c>
      <c r="AA97" s="14">
        <f t="shared" si="22"/>
        <v>3206.3</v>
      </c>
      <c r="AB97" s="14">
        <f t="shared" si="23"/>
        <v>397.1</v>
      </c>
      <c r="AC97" s="14">
        <f t="shared" si="24"/>
        <v>398</v>
      </c>
    </row>
    <row r="98" spans="1:29" x14ac:dyDescent="0.2">
      <c r="A98" s="13">
        <v>42736</v>
      </c>
      <c r="B98" s="14">
        <f t="shared" si="15"/>
        <v>2017</v>
      </c>
      <c r="C98">
        <v>713254.1</v>
      </c>
      <c r="D98" s="143">
        <v>7045.6</v>
      </c>
      <c r="E98" s="143">
        <v>7018.6</v>
      </c>
      <c r="F98" s="143">
        <v>3213.3</v>
      </c>
      <c r="G98" s="143">
        <v>3203.7</v>
      </c>
      <c r="H98" s="143">
        <v>398.1</v>
      </c>
      <c r="I98" s="143">
        <v>397.6</v>
      </c>
      <c r="T98"/>
      <c r="U98" s="13">
        <f t="shared" si="16"/>
        <v>42736</v>
      </c>
      <c r="V98" s="14">
        <f t="shared" si="17"/>
        <v>2017</v>
      </c>
      <c r="W98" s="14">
        <f t="shared" si="18"/>
        <v>713254.1</v>
      </c>
      <c r="X98" s="14">
        <f t="shared" si="19"/>
        <v>7045.6</v>
      </c>
      <c r="Y98" s="14">
        <f t="shared" si="20"/>
        <v>7018.6</v>
      </c>
      <c r="Z98" s="14">
        <f t="shared" si="21"/>
        <v>3213.3</v>
      </c>
      <c r="AA98" s="14">
        <f t="shared" si="22"/>
        <v>3203.7</v>
      </c>
      <c r="AB98" s="14">
        <f t="shared" si="23"/>
        <v>398.1</v>
      </c>
      <c r="AC98" s="14">
        <f t="shared" si="24"/>
        <v>397.6</v>
      </c>
    </row>
    <row r="99" spans="1:29" x14ac:dyDescent="0.2">
      <c r="A99" s="13">
        <v>42767</v>
      </c>
      <c r="B99" s="14">
        <f t="shared" si="15"/>
        <v>2017</v>
      </c>
      <c r="C99">
        <v>713254.1</v>
      </c>
      <c r="D99" s="143">
        <v>7060.7</v>
      </c>
      <c r="E99" s="143">
        <v>6996</v>
      </c>
      <c r="F99" s="143">
        <v>3230.3</v>
      </c>
      <c r="G99" s="143">
        <v>3206.5</v>
      </c>
      <c r="H99" s="143">
        <v>398.6</v>
      </c>
      <c r="I99" s="143">
        <v>396.1</v>
      </c>
      <c r="T99"/>
      <c r="U99" s="13">
        <f t="shared" si="16"/>
        <v>42767</v>
      </c>
      <c r="V99" s="14">
        <f t="shared" si="17"/>
        <v>2017</v>
      </c>
      <c r="W99" s="14">
        <f t="shared" si="18"/>
        <v>713254.1</v>
      </c>
      <c r="X99" s="14">
        <f t="shared" si="19"/>
        <v>7060.7</v>
      </c>
      <c r="Y99" s="14">
        <f t="shared" si="20"/>
        <v>6996</v>
      </c>
      <c r="Z99" s="14">
        <f t="shared" si="21"/>
        <v>3230.3</v>
      </c>
      <c r="AA99" s="14">
        <f t="shared" si="22"/>
        <v>3206.5</v>
      </c>
      <c r="AB99" s="14">
        <f t="shared" si="23"/>
        <v>398.6</v>
      </c>
      <c r="AC99" s="14">
        <f t="shared" si="24"/>
        <v>396.1</v>
      </c>
    </row>
    <row r="100" spans="1:29" x14ac:dyDescent="0.2">
      <c r="A100" s="13">
        <v>42795</v>
      </c>
      <c r="B100" s="14">
        <f t="shared" si="15"/>
        <v>2017</v>
      </c>
      <c r="C100">
        <v>713254.1</v>
      </c>
      <c r="D100" s="143">
        <v>7074.2</v>
      </c>
      <c r="E100" s="143">
        <v>6972</v>
      </c>
      <c r="F100" s="143">
        <v>3247.6</v>
      </c>
      <c r="G100" s="143">
        <v>3204.7</v>
      </c>
      <c r="H100" s="143">
        <v>402</v>
      </c>
      <c r="I100" s="143">
        <v>396.5</v>
      </c>
      <c r="T100"/>
      <c r="U100" s="13">
        <f t="shared" si="16"/>
        <v>42795</v>
      </c>
      <c r="V100" s="14">
        <f t="shared" si="17"/>
        <v>2017</v>
      </c>
      <c r="W100" s="14">
        <f t="shared" si="18"/>
        <v>713254.1</v>
      </c>
      <c r="X100" s="14">
        <f t="shared" si="19"/>
        <v>7074.2</v>
      </c>
      <c r="Y100" s="14">
        <f t="shared" si="20"/>
        <v>6972</v>
      </c>
      <c r="Z100" s="14">
        <f t="shared" si="21"/>
        <v>3247.6</v>
      </c>
      <c r="AA100" s="14">
        <f t="shared" si="22"/>
        <v>3204.7</v>
      </c>
      <c r="AB100" s="14">
        <f t="shared" si="23"/>
        <v>402</v>
      </c>
      <c r="AC100" s="14">
        <f t="shared" si="24"/>
        <v>396.5</v>
      </c>
    </row>
    <row r="101" spans="1:29" x14ac:dyDescent="0.2">
      <c r="A101" s="13">
        <v>42826</v>
      </c>
      <c r="B101" s="14">
        <f t="shared" si="15"/>
        <v>2017</v>
      </c>
      <c r="C101">
        <v>713254.1</v>
      </c>
      <c r="D101" s="143">
        <v>7074.8</v>
      </c>
      <c r="E101" s="143">
        <v>6982.8</v>
      </c>
      <c r="F101" s="143">
        <v>3257.7</v>
      </c>
      <c r="G101" s="143">
        <v>3222.4</v>
      </c>
      <c r="H101" s="143">
        <v>411</v>
      </c>
      <c r="I101" s="143">
        <v>406.8</v>
      </c>
      <c r="T101"/>
      <c r="U101" s="13">
        <f t="shared" si="16"/>
        <v>42826</v>
      </c>
      <c r="V101" s="14">
        <f t="shared" si="17"/>
        <v>2017</v>
      </c>
      <c r="W101" s="14">
        <f t="shared" si="18"/>
        <v>713254.1</v>
      </c>
      <c r="X101" s="14">
        <f t="shared" si="19"/>
        <v>7074.8</v>
      </c>
      <c r="Y101" s="14">
        <f t="shared" si="20"/>
        <v>6982.8</v>
      </c>
      <c r="Z101" s="14">
        <f t="shared" si="21"/>
        <v>3257.7</v>
      </c>
      <c r="AA101" s="14">
        <f t="shared" si="22"/>
        <v>3222.4</v>
      </c>
      <c r="AB101" s="14">
        <f t="shared" si="23"/>
        <v>411</v>
      </c>
      <c r="AC101" s="14">
        <f t="shared" si="24"/>
        <v>406.8</v>
      </c>
    </row>
    <row r="102" spans="1:29" x14ac:dyDescent="0.2">
      <c r="A102" s="13">
        <v>42856</v>
      </c>
      <c r="B102" s="14">
        <f t="shared" si="15"/>
        <v>2017</v>
      </c>
      <c r="C102">
        <v>713254.1</v>
      </c>
      <c r="D102" s="143">
        <v>7080.7</v>
      </c>
      <c r="E102" s="143">
        <v>7047.4</v>
      </c>
      <c r="F102" s="143">
        <v>3266.8</v>
      </c>
      <c r="G102" s="143">
        <v>3255.9</v>
      </c>
      <c r="H102" s="143">
        <v>416.7</v>
      </c>
      <c r="I102" s="143">
        <v>414.8</v>
      </c>
      <c r="T102"/>
      <c r="U102" s="13">
        <f t="shared" si="16"/>
        <v>42856</v>
      </c>
      <c r="V102" s="14">
        <f t="shared" si="17"/>
        <v>2017</v>
      </c>
      <c r="W102" s="14">
        <f t="shared" si="18"/>
        <v>713254.1</v>
      </c>
      <c r="X102" s="14">
        <f t="shared" si="19"/>
        <v>7080.7</v>
      </c>
      <c r="Y102" s="14">
        <f t="shared" si="20"/>
        <v>7047.4</v>
      </c>
      <c r="Z102" s="14">
        <f t="shared" si="21"/>
        <v>3266.8</v>
      </c>
      <c r="AA102" s="14">
        <f t="shared" si="22"/>
        <v>3255.9</v>
      </c>
      <c r="AB102" s="14">
        <f t="shared" si="23"/>
        <v>416.7</v>
      </c>
      <c r="AC102" s="14">
        <f t="shared" si="24"/>
        <v>414.8</v>
      </c>
    </row>
    <row r="103" spans="1:29" x14ac:dyDescent="0.2">
      <c r="A103" s="13">
        <v>42887</v>
      </c>
      <c r="B103" s="14">
        <f t="shared" si="15"/>
        <v>2017</v>
      </c>
      <c r="C103">
        <v>713254.1</v>
      </c>
      <c r="D103" s="143">
        <v>7085.4</v>
      </c>
      <c r="E103" s="143">
        <v>7129.6</v>
      </c>
      <c r="F103" s="143">
        <v>3268.7</v>
      </c>
      <c r="G103" s="143">
        <v>3289.1</v>
      </c>
      <c r="H103" s="143">
        <v>417.8</v>
      </c>
      <c r="I103" s="143">
        <v>419.3</v>
      </c>
      <c r="T103"/>
      <c r="U103" s="13">
        <f t="shared" si="16"/>
        <v>42887</v>
      </c>
      <c r="V103" s="14">
        <f t="shared" si="17"/>
        <v>2017</v>
      </c>
      <c r="W103" s="14">
        <f t="shared" si="18"/>
        <v>713254.1</v>
      </c>
      <c r="X103" s="14">
        <f t="shared" si="19"/>
        <v>7085.4</v>
      </c>
      <c r="Y103" s="14">
        <f t="shared" si="20"/>
        <v>7129.6</v>
      </c>
      <c r="Z103" s="14">
        <f t="shared" si="21"/>
        <v>3268.7</v>
      </c>
      <c r="AA103" s="14">
        <f t="shared" si="22"/>
        <v>3289.1</v>
      </c>
      <c r="AB103" s="14">
        <f t="shared" si="23"/>
        <v>417.8</v>
      </c>
      <c r="AC103" s="14">
        <f t="shared" si="24"/>
        <v>419.3</v>
      </c>
    </row>
    <row r="104" spans="1:29" x14ac:dyDescent="0.2">
      <c r="A104" s="13">
        <v>42917</v>
      </c>
      <c r="B104" s="14">
        <f t="shared" si="15"/>
        <v>2017</v>
      </c>
      <c r="C104">
        <v>713254.1</v>
      </c>
      <c r="D104" s="143">
        <v>7099.9</v>
      </c>
      <c r="E104" s="143">
        <v>7195</v>
      </c>
      <c r="F104" s="143">
        <v>3270</v>
      </c>
      <c r="G104" s="143">
        <v>3308.7</v>
      </c>
      <c r="H104" s="143">
        <v>421.3</v>
      </c>
      <c r="I104" s="143">
        <v>422.9</v>
      </c>
      <c r="T104"/>
      <c r="U104" s="13">
        <f t="shared" si="16"/>
        <v>42917</v>
      </c>
      <c r="V104" s="14">
        <f t="shared" si="17"/>
        <v>2017</v>
      </c>
      <c r="W104" s="14">
        <f t="shared" si="18"/>
        <v>713254.1</v>
      </c>
      <c r="X104" s="14">
        <f t="shared" si="19"/>
        <v>7099.9</v>
      </c>
      <c r="Y104" s="14">
        <f t="shared" si="20"/>
        <v>7195</v>
      </c>
      <c r="Z104" s="14">
        <f t="shared" si="21"/>
        <v>3270</v>
      </c>
      <c r="AA104" s="14">
        <f t="shared" si="22"/>
        <v>3308.7</v>
      </c>
      <c r="AB104" s="14">
        <f t="shared" si="23"/>
        <v>421.3</v>
      </c>
      <c r="AC104" s="14">
        <f t="shared" si="24"/>
        <v>422.9</v>
      </c>
    </row>
    <row r="105" spans="1:29" x14ac:dyDescent="0.2">
      <c r="A105" s="13">
        <v>42948</v>
      </c>
      <c r="B105" s="14">
        <f t="shared" si="15"/>
        <v>2017</v>
      </c>
      <c r="C105">
        <v>713254.1</v>
      </c>
      <c r="D105" s="143">
        <v>7121.3</v>
      </c>
      <c r="E105" s="143">
        <v>7213.7</v>
      </c>
      <c r="F105" s="143">
        <v>3278.6</v>
      </c>
      <c r="G105" s="143">
        <v>3315.2</v>
      </c>
      <c r="H105" s="143">
        <v>427.8</v>
      </c>
      <c r="I105" s="143">
        <v>429.1</v>
      </c>
      <c r="T105"/>
      <c r="U105" s="13">
        <f t="shared" si="16"/>
        <v>42948</v>
      </c>
      <c r="V105" s="14">
        <f t="shared" si="17"/>
        <v>2017</v>
      </c>
      <c r="W105" s="14">
        <f t="shared" si="18"/>
        <v>713254.1</v>
      </c>
      <c r="X105" s="14">
        <f t="shared" si="19"/>
        <v>7121.3</v>
      </c>
      <c r="Y105" s="14">
        <f t="shared" si="20"/>
        <v>7213.7</v>
      </c>
      <c r="Z105" s="14">
        <f t="shared" si="21"/>
        <v>3278.6</v>
      </c>
      <c r="AA105" s="14">
        <f t="shared" si="22"/>
        <v>3315.2</v>
      </c>
      <c r="AB105" s="14">
        <f t="shared" si="23"/>
        <v>427.8</v>
      </c>
      <c r="AC105" s="14">
        <f t="shared" si="24"/>
        <v>429.1</v>
      </c>
    </row>
    <row r="106" spans="1:29" x14ac:dyDescent="0.2">
      <c r="A106" s="13">
        <v>42979</v>
      </c>
      <c r="B106" s="14">
        <f t="shared" si="15"/>
        <v>2017</v>
      </c>
      <c r="C106">
        <v>713254.1</v>
      </c>
      <c r="D106" s="143">
        <v>7150.1</v>
      </c>
      <c r="E106" s="143">
        <v>7197</v>
      </c>
      <c r="F106" s="143">
        <v>3297.7</v>
      </c>
      <c r="G106" s="143">
        <v>3313.7</v>
      </c>
      <c r="H106" s="143">
        <v>432.9</v>
      </c>
      <c r="I106" s="143">
        <v>432.4</v>
      </c>
      <c r="T106"/>
      <c r="U106" s="13">
        <f t="shared" si="16"/>
        <v>42979</v>
      </c>
      <c r="V106" s="14">
        <f t="shared" si="17"/>
        <v>2017</v>
      </c>
      <c r="W106" s="14">
        <f t="shared" si="18"/>
        <v>713254.1</v>
      </c>
      <c r="X106" s="14">
        <f t="shared" si="19"/>
        <v>7150.1</v>
      </c>
      <c r="Y106" s="14">
        <f t="shared" si="20"/>
        <v>7197</v>
      </c>
      <c r="Z106" s="14">
        <f t="shared" si="21"/>
        <v>3297.7</v>
      </c>
      <c r="AA106" s="14">
        <f t="shared" si="22"/>
        <v>3313.7</v>
      </c>
      <c r="AB106" s="14">
        <f t="shared" si="23"/>
        <v>432.9</v>
      </c>
      <c r="AC106" s="14">
        <f t="shared" si="24"/>
        <v>432.4</v>
      </c>
    </row>
    <row r="107" spans="1:29" x14ac:dyDescent="0.2">
      <c r="A107" s="13">
        <v>43009</v>
      </c>
      <c r="B107" s="14">
        <f t="shared" si="15"/>
        <v>2017</v>
      </c>
      <c r="C107">
        <v>713254.1</v>
      </c>
      <c r="D107" s="143">
        <v>7170.5</v>
      </c>
      <c r="E107" s="143">
        <v>7193.7</v>
      </c>
      <c r="F107" s="143">
        <v>3320.8</v>
      </c>
      <c r="G107" s="143">
        <v>3320.5</v>
      </c>
      <c r="H107" s="143">
        <v>430.7</v>
      </c>
      <c r="I107" s="143">
        <v>430.3</v>
      </c>
      <c r="T107"/>
      <c r="U107" s="13">
        <f t="shared" si="16"/>
        <v>43009</v>
      </c>
      <c r="V107" s="14">
        <f t="shared" si="17"/>
        <v>2017</v>
      </c>
      <c r="W107" s="14">
        <f t="shared" si="18"/>
        <v>713254.1</v>
      </c>
      <c r="X107" s="14">
        <f t="shared" si="19"/>
        <v>7170.5</v>
      </c>
      <c r="Y107" s="14">
        <f t="shared" si="20"/>
        <v>7193.7</v>
      </c>
      <c r="Z107" s="14">
        <f t="shared" si="21"/>
        <v>3320.8</v>
      </c>
      <c r="AA107" s="14">
        <f t="shared" si="22"/>
        <v>3320.5</v>
      </c>
      <c r="AB107" s="14">
        <f t="shared" si="23"/>
        <v>430.7</v>
      </c>
      <c r="AC107" s="14">
        <f t="shared" si="24"/>
        <v>430.3</v>
      </c>
    </row>
    <row r="108" spans="1:29" x14ac:dyDescent="0.2">
      <c r="A108" s="13">
        <v>43040</v>
      </c>
      <c r="B108" s="14">
        <f t="shared" si="15"/>
        <v>2017</v>
      </c>
      <c r="C108">
        <v>713254.1</v>
      </c>
      <c r="D108" s="143">
        <v>7189.6</v>
      </c>
      <c r="E108" s="143">
        <v>7194.2</v>
      </c>
      <c r="F108" s="143">
        <v>3335.4</v>
      </c>
      <c r="G108" s="143">
        <v>3326.2</v>
      </c>
      <c r="H108" s="143">
        <v>426.2</v>
      </c>
      <c r="I108" s="143">
        <v>426.2</v>
      </c>
      <c r="T108"/>
      <c r="U108" s="13">
        <f t="shared" si="16"/>
        <v>43040</v>
      </c>
      <c r="V108" s="14">
        <f t="shared" si="17"/>
        <v>2017</v>
      </c>
      <c r="W108" s="14">
        <f t="shared" si="18"/>
        <v>713254.1</v>
      </c>
      <c r="X108" s="14">
        <f t="shared" si="19"/>
        <v>7189.6</v>
      </c>
      <c r="Y108" s="14">
        <f t="shared" si="20"/>
        <v>7194.2</v>
      </c>
      <c r="Z108" s="14">
        <f t="shared" si="21"/>
        <v>3335.4</v>
      </c>
      <c r="AA108" s="14">
        <f t="shared" si="22"/>
        <v>3326.2</v>
      </c>
      <c r="AB108" s="14">
        <f t="shared" si="23"/>
        <v>426.2</v>
      </c>
      <c r="AC108" s="14">
        <f t="shared" si="24"/>
        <v>426.2</v>
      </c>
    </row>
    <row r="109" spans="1:29" x14ac:dyDescent="0.2">
      <c r="A109" s="13">
        <v>43070</v>
      </c>
      <c r="B109" s="14">
        <f t="shared" si="15"/>
        <v>2017</v>
      </c>
      <c r="C109">
        <v>713254.1</v>
      </c>
      <c r="D109" s="143">
        <v>7203.1</v>
      </c>
      <c r="E109" s="143">
        <v>7213.4</v>
      </c>
      <c r="F109" s="143">
        <v>3352.3</v>
      </c>
      <c r="G109" s="143">
        <v>3351</v>
      </c>
      <c r="H109" s="143">
        <v>421.4</v>
      </c>
      <c r="I109" s="143">
        <v>423.3</v>
      </c>
      <c r="T109"/>
      <c r="U109" s="13">
        <f t="shared" si="16"/>
        <v>43070</v>
      </c>
      <c r="V109" s="14">
        <f t="shared" si="17"/>
        <v>2017</v>
      </c>
      <c r="W109" s="14">
        <f t="shared" si="18"/>
        <v>713254.1</v>
      </c>
      <c r="X109" s="14">
        <f t="shared" si="19"/>
        <v>7203.1</v>
      </c>
      <c r="Y109" s="14">
        <f t="shared" si="20"/>
        <v>7213.4</v>
      </c>
      <c r="Z109" s="14">
        <f t="shared" si="21"/>
        <v>3352.3</v>
      </c>
      <c r="AA109" s="14">
        <f t="shared" si="22"/>
        <v>3351</v>
      </c>
      <c r="AB109" s="14">
        <f t="shared" si="23"/>
        <v>421.4</v>
      </c>
      <c r="AC109" s="14">
        <f t="shared" si="24"/>
        <v>423.3</v>
      </c>
    </row>
    <row r="110" spans="1:29" x14ac:dyDescent="0.2">
      <c r="A110" s="13">
        <v>43101</v>
      </c>
      <c r="B110" s="14">
        <f t="shared" si="15"/>
        <v>2018</v>
      </c>
      <c r="C110">
        <v>730276.2</v>
      </c>
      <c r="D110" s="143">
        <v>7199.8</v>
      </c>
      <c r="E110" s="143">
        <v>7172.6</v>
      </c>
      <c r="F110" s="143">
        <v>3357.1</v>
      </c>
      <c r="G110" s="143">
        <v>3347.1</v>
      </c>
      <c r="H110" s="143">
        <v>420.4</v>
      </c>
      <c r="I110" s="143">
        <v>420.7</v>
      </c>
      <c r="T110"/>
      <c r="U110" s="13">
        <f t="shared" si="16"/>
        <v>43101</v>
      </c>
      <c r="V110" s="14">
        <f t="shared" si="17"/>
        <v>2018</v>
      </c>
      <c r="W110" s="14">
        <f t="shared" si="18"/>
        <v>730276.2</v>
      </c>
      <c r="X110" s="14">
        <f t="shared" si="19"/>
        <v>7199.8</v>
      </c>
      <c r="Y110" s="14">
        <f t="shared" si="20"/>
        <v>7172.6</v>
      </c>
      <c r="Z110" s="14">
        <f t="shared" si="21"/>
        <v>3357.1</v>
      </c>
      <c r="AA110" s="14">
        <f t="shared" si="22"/>
        <v>3347.1</v>
      </c>
      <c r="AB110" s="14">
        <f t="shared" si="23"/>
        <v>420.4</v>
      </c>
      <c r="AC110" s="14">
        <f t="shared" si="24"/>
        <v>420.7</v>
      </c>
    </row>
    <row r="111" spans="1:29" x14ac:dyDescent="0.2">
      <c r="A111" s="13">
        <v>43132</v>
      </c>
      <c r="B111" s="14">
        <f t="shared" si="15"/>
        <v>2018</v>
      </c>
      <c r="C111">
        <v>730276.2</v>
      </c>
      <c r="D111" s="143">
        <v>7189.2</v>
      </c>
      <c r="E111" s="143">
        <v>7125.8</v>
      </c>
      <c r="F111" s="143">
        <v>3356.1</v>
      </c>
      <c r="G111" s="143">
        <v>3334.6</v>
      </c>
      <c r="H111" s="143">
        <v>415.9</v>
      </c>
      <c r="I111" s="143">
        <v>413.8</v>
      </c>
      <c r="T111"/>
      <c r="U111" s="13">
        <f t="shared" si="16"/>
        <v>43132</v>
      </c>
      <c r="V111" s="14">
        <f t="shared" si="17"/>
        <v>2018</v>
      </c>
      <c r="W111" s="14">
        <f t="shared" si="18"/>
        <v>730276.2</v>
      </c>
      <c r="X111" s="14">
        <f t="shared" si="19"/>
        <v>7189.2</v>
      </c>
      <c r="Y111" s="14">
        <f t="shared" si="20"/>
        <v>7125.8</v>
      </c>
      <c r="Z111" s="14">
        <f t="shared" si="21"/>
        <v>3356.1</v>
      </c>
      <c r="AA111" s="14">
        <f t="shared" si="22"/>
        <v>3334.6</v>
      </c>
      <c r="AB111" s="14">
        <f t="shared" si="23"/>
        <v>415.9</v>
      </c>
      <c r="AC111" s="14">
        <f t="shared" si="24"/>
        <v>413.8</v>
      </c>
    </row>
    <row r="112" spans="1:29" x14ac:dyDescent="0.2">
      <c r="A112" s="13">
        <v>43160</v>
      </c>
      <c r="B112" s="14">
        <f t="shared" si="15"/>
        <v>2018</v>
      </c>
      <c r="C112">
        <v>730276.2</v>
      </c>
      <c r="D112" s="143">
        <v>7185</v>
      </c>
      <c r="E112" s="143">
        <v>7082.3</v>
      </c>
      <c r="F112" s="143">
        <v>3345.3</v>
      </c>
      <c r="G112" s="143">
        <v>3305.7</v>
      </c>
      <c r="H112" s="143">
        <v>413.4</v>
      </c>
      <c r="I112" s="143">
        <v>407.7</v>
      </c>
      <c r="T112"/>
      <c r="U112" s="13">
        <f t="shared" si="16"/>
        <v>43160</v>
      </c>
      <c r="V112" s="14">
        <f t="shared" si="17"/>
        <v>2018</v>
      </c>
      <c r="W112" s="14">
        <f t="shared" si="18"/>
        <v>730276.2</v>
      </c>
      <c r="X112" s="14">
        <f t="shared" si="19"/>
        <v>7185</v>
      </c>
      <c r="Y112" s="14">
        <f t="shared" si="20"/>
        <v>7082.3</v>
      </c>
      <c r="Z112" s="14">
        <f t="shared" si="21"/>
        <v>3345.3</v>
      </c>
      <c r="AA112" s="14">
        <f t="shared" si="22"/>
        <v>3305.7</v>
      </c>
      <c r="AB112" s="14">
        <f t="shared" si="23"/>
        <v>413.4</v>
      </c>
      <c r="AC112" s="14">
        <f t="shared" si="24"/>
        <v>407.7</v>
      </c>
    </row>
    <row r="113" spans="1:29" x14ac:dyDescent="0.2">
      <c r="A113" s="13">
        <v>43191</v>
      </c>
      <c r="B113" s="14">
        <f t="shared" si="15"/>
        <v>2018</v>
      </c>
      <c r="C113">
        <v>730276.2</v>
      </c>
      <c r="D113" s="143">
        <v>7198.2</v>
      </c>
      <c r="E113" s="143">
        <v>7108.4</v>
      </c>
      <c r="F113" s="143">
        <v>3338.5</v>
      </c>
      <c r="G113" s="143">
        <v>3307.1</v>
      </c>
      <c r="H113" s="143">
        <v>410</v>
      </c>
      <c r="I113" s="143">
        <v>403.8</v>
      </c>
      <c r="T113"/>
      <c r="U113" s="13">
        <f t="shared" si="16"/>
        <v>43191</v>
      </c>
      <c r="V113" s="14">
        <f t="shared" si="17"/>
        <v>2018</v>
      </c>
      <c r="W113" s="14">
        <f t="shared" si="18"/>
        <v>730276.2</v>
      </c>
      <c r="X113" s="14">
        <f t="shared" si="19"/>
        <v>7198.2</v>
      </c>
      <c r="Y113" s="14">
        <f t="shared" si="20"/>
        <v>7108.4</v>
      </c>
      <c r="Z113" s="14">
        <f t="shared" si="21"/>
        <v>3338.5</v>
      </c>
      <c r="AA113" s="14">
        <f t="shared" si="22"/>
        <v>3307.1</v>
      </c>
      <c r="AB113" s="14">
        <f t="shared" si="23"/>
        <v>410</v>
      </c>
      <c r="AC113" s="14">
        <f t="shared" si="24"/>
        <v>403.8</v>
      </c>
    </row>
    <row r="114" spans="1:29" x14ac:dyDescent="0.2">
      <c r="A114" s="13">
        <v>43221</v>
      </c>
      <c r="B114" s="14">
        <f t="shared" si="15"/>
        <v>2018</v>
      </c>
      <c r="C114">
        <v>730276.2</v>
      </c>
      <c r="D114" s="143">
        <v>7208.1</v>
      </c>
      <c r="E114" s="143">
        <v>7174.7</v>
      </c>
      <c r="F114" s="143">
        <v>3335</v>
      </c>
      <c r="G114" s="143">
        <v>3326.5</v>
      </c>
      <c r="H114" s="143">
        <v>412.2</v>
      </c>
      <c r="I114" s="143">
        <v>408.1</v>
      </c>
      <c r="T114"/>
      <c r="U114" s="13">
        <f t="shared" si="16"/>
        <v>43221</v>
      </c>
      <c r="V114" s="14">
        <f t="shared" si="17"/>
        <v>2018</v>
      </c>
      <c r="W114" s="14">
        <f t="shared" si="18"/>
        <v>730276.2</v>
      </c>
      <c r="X114" s="14">
        <f t="shared" si="19"/>
        <v>7208.1</v>
      </c>
      <c r="Y114" s="14">
        <f t="shared" si="20"/>
        <v>7174.7</v>
      </c>
      <c r="Z114" s="14">
        <f t="shared" si="21"/>
        <v>3335</v>
      </c>
      <c r="AA114" s="14">
        <f t="shared" si="22"/>
        <v>3326.5</v>
      </c>
      <c r="AB114" s="14">
        <f t="shared" si="23"/>
        <v>412.2</v>
      </c>
      <c r="AC114" s="14">
        <f t="shared" si="24"/>
        <v>408.1</v>
      </c>
    </row>
    <row r="115" spans="1:29" x14ac:dyDescent="0.2">
      <c r="A115" s="13">
        <v>43252</v>
      </c>
      <c r="B115" s="14">
        <f t="shared" si="15"/>
        <v>2018</v>
      </c>
      <c r="C115">
        <v>730276.2</v>
      </c>
      <c r="D115" s="143">
        <v>7224.1</v>
      </c>
      <c r="E115" s="143">
        <v>7269.2</v>
      </c>
      <c r="F115" s="143">
        <v>3341.9</v>
      </c>
      <c r="G115" s="143">
        <v>3363.4</v>
      </c>
      <c r="H115" s="143">
        <v>414.9</v>
      </c>
      <c r="I115" s="143">
        <v>414.3</v>
      </c>
      <c r="T115"/>
      <c r="U115" s="13">
        <f t="shared" si="16"/>
        <v>43252</v>
      </c>
      <c r="V115" s="14">
        <f t="shared" si="17"/>
        <v>2018</v>
      </c>
      <c r="W115" s="14">
        <f t="shared" si="18"/>
        <v>730276.2</v>
      </c>
      <c r="X115" s="14">
        <f t="shared" si="19"/>
        <v>7224.1</v>
      </c>
      <c r="Y115" s="14">
        <f t="shared" si="20"/>
        <v>7269.2</v>
      </c>
      <c r="Z115" s="14">
        <f t="shared" si="21"/>
        <v>3341.9</v>
      </c>
      <c r="AA115" s="14">
        <f t="shared" si="22"/>
        <v>3363.4</v>
      </c>
      <c r="AB115" s="14">
        <f t="shared" si="23"/>
        <v>414.9</v>
      </c>
      <c r="AC115" s="14">
        <f t="shared" si="24"/>
        <v>414.3</v>
      </c>
    </row>
    <row r="116" spans="1:29" x14ac:dyDescent="0.2">
      <c r="A116" s="13">
        <v>43282</v>
      </c>
      <c r="B116" s="14">
        <f t="shared" si="15"/>
        <v>2018</v>
      </c>
      <c r="C116">
        <v>730276.2</v>
      </c>
      <c r="D116" s="143">
        <v>7258.6</v>
      </c>
      <c r="E116" s="143">
        <v>7352.5</v>
      </c>
      <c r="F116" s="143">
        <v>3357.7</v>
      </c>
      <c r="G116" s="143">
        <v>3397.6</v>
      </c>
      <c r="H116" s="143">
        <v>416.4</v>
      </c>
      <c r="I116" s="143">
        <v>418.9</v>
      </c>
      <c r="T116"/>
      <c r="U116" s="13">
        <f t="shared" si="16"/>
        <v>43282</v>
      </c>
      <c r="V116" s="14">
        <f t="shared" si="17"/>
        <v>2018</v>
      </c>
      <c r="W116" s="14">
        <f t="shared" si="18"/>
        <v>730276.2</v>
      </c>
      <c r="X116" s="14">
        <f t="shared" si="19"/>
        <v>7258.6</v>
      </c>
      <c r="Y116" s="14">
        <f t="shared" si="20"/>
        <v>7352.5</v>
      </c>
      <c r="Z116" s="14">
        <f t="shared" si="21"/>
        <v>3357.7</v>
      </c>
      <c r="AA116" s="14">
        <f t="shared" si="22"/>
        <v>3397.6</v>
      </c>
      <c r="AB116" s="14">
        <f t="shared" si="23"/>
        <v>416.4</v>
      </c>
      <c r="AC116" s="14">
        <f t="shared" si="24"/>
        <v>418.9</v>
      </c>
    </row>
    <row r="117" spans="1:29" x14ac:dyDescent="0.2">
      <c r="A117" s="13">
        <v>43313</v>
      </c>
      <c r="B117" s="14">
        <f t="shared" si="15"/>
        <v>2018</v>
      </c>
      <c r="C117">
        <v>730276.2</v>
      </c>
      <c r="D117" s="143">
        <v>7264.8</v>
      </c>
      <c r="E117" s="143">
        <v>7356</v>
      </c>
      <c r="F117" s="143">
        <v>3354.6</v>
      </c>
      <c r="G117" s="143">
        <v>3390.3</v>
      </c>
      <c r="H117" s="143">
        <v>413.1</v>
      </c>
      <c r="I117" s="143">
        <v>416.3</v>
      </c>
      <c r="T117"/>
      <c r="U117" s="13">
        <f t="shared" si="16"/>
        <v>43313</v>
      </c>
      <c r="V117" s="14">
        <f t="shared" si="17"/>
        <v>2018</v>
      </c>
      <c r="W117" s="14">
        <f t="shared" si="18"/>
        <v>730276.2</v>
      </c>
      <c r="X117" s="14">
        <f t="shared" si="19"/>
        <v>7264.8</v>
      </c>
      <c r="Y117" s="14">
        <f t="shared" si="20"/>
        <v>7356</v>
      </c>
      <c r="Z117" s="14">
        <f t="shared" si="21"/>
        <v>3354.6</v>
      </c>
      <c r="AA117" s="14">
        <f t="shared" si="22"/>
        <v>3390.3</v>
      </c>
      <c r="AB117" s="14">
        <f t="shared" si="23"/>
        <v>413.1</v>
      </c>
      <c r="AC117" s="14">
        <f t="shared" si="24"/>
        <v>416.3</v>
      </c>
    </row>
    <row r="118" spans="1:29" x14ac:dyDescent="0.2">
      <c r="A118" s="13">
        <v>43344</v>
      </c>
      <c r="B118" s="14">
        <f t="shared" si="15"/>
        <v>2018</v>
      </c>
      <c r="C118">
        <v>730276.2</v>
      </c>
      <c r="D118" s="143">
        <v>7268.1</v>
      </c>
      <c r="E118" s="143">
        <v>7315.2</v>
      </c>
      <c r="F118" s="143">
        <v>3347.2</v>
      </c>
      <c r="G118" s="143">
        <v>3361.9</v>
      </c>
      <c r="H118" s="143">
        <v>411.2</v>
      </c>
      <c r="I118" s="143">
        <v>412.4</v>
      </c>
      <c r="T118"/>
      <c r="U118" s="13">
        <f t="shared" si="16"/>
        <v>43344</v>
      </c>
      <c r="V118" s="14">
        <f t="shared" si="17"/>
        <v>2018</v>
      </c>
      <c r="W118" s="14">
        <f t="shared" si="18"/>
        <v>730276.2</v>
      </c>
      <c r="X118" s="14">
        <f t="shared" si="19"/>
        <v>7268.1</v>
      </c>
      <c r="Y118" s="14">
        <f t="shared" si="20"/>
        <v>7315.2</v>
      </c>
      <c r="Z118" s="14">
        <f t="shared" si="21"/>
        <v>3347.2</v>
      </c>
      <c r="AA118" s="14">
        <f t="shared" si="22"/>
        <v>3361.9</v>
      </c>
      <c r="AB118" s="14">
        <f t="shared" si="23"/>
        <v>411.2</v>
      </c>
      <c r="AC118" s="14">
        <f t="shared" si="24"/>
        <v>412.4</v>
      </c>
    </row>
    <row r="119" spans="1:29" x14ac:dyDescent="0.2">
      <c r="A119" s="13">
        <v>43374</v>
      </c>
      <c r="B119" s="14">
        <f t="shared" si="15"/>
        <v>2018</v>
      </c>
      <c r="C119">
        <v>730276.2</v>
      </c>
      <c r="D119" s="143">
        <v>7253</v>
      </c>
      <c r="E119" s="143">
        <v>7274.4</v>
      </c>
      <c r="F119" s="143">
        <v>3346.6</v>
      </c>
      <c r="G119" s="143">
        <v>3341.9</v>
      </c>
      <c r="H119" s="143">
        <v>411.9</v>
      </c>
      <c r="I119" s="143">
        <v>412.1</v>
      </c>
      <c r="T119"/>
      <c r="U119" s="13">
        <f t="shared" si="16"/>
        <v>43374</v>
      </c>
      <c r="V119" s="14">
        <f t="shared" si="17"/>
        <v>2018</v>
      </c>
      <c r="W119" s="14">
        <f t="shared" si="18"/>
        <v>730276.2</v>
      </c>
      <c r="X119" s="14">
        <f t="shared" si="19"/>
        <v>7253</v>
      </c>
      <c r="Y119" s="14">
        <f t="shared" si="20"/>
        <v>7274.4</v>
      </c>
      <c r="Z119" s="14">
        <f t="shared" si="21"/>
        <v>3346.6</v>
      </c>
      <c r="AA119" s="14">
        <f t="shared" si="22"/>
        <v>3341.9</v>
      </c>
      <c r="AB119" s="14">
        <f t="shared" si="23"/>
        <v>411.9</v>
      </c>
      <c r="AC119" s="14">
        <f t="shared" si="24"/>
        <v>412.1</v>
      </c>
    </row>
    <row r="120" spans="1:29" x14ac:dyDescent="0.2">
      <c r="A120" s="13">
        <v>43405</v>
      </c>
      <c r="B120" s="14">
        <f t="shared" si="15"/>
        <v>2018</v>
      </c>
      <c r="C120">
        <v>730276.2</v>
      </c>
      <c r="D120" s="143">
        <v>7273.5</v>
      </c>
      <c r="E120" s="143">
        <v>7279</v>
      </c>
      <c r="F120" s="143">
        <v>3365.9</v>
      </c>
      <c r="G120" s="143">
        <v>3354.2</v>
      </c>
      <c r="H120" s="143">
        <v>416</v>
      </c>
      <c r="I120" s="143">
        <v>415.5</v>
      </c>
      <c r="T120"/>
      <c r="U120" s="13">
        <f t="shared" si="16"/>
        <v>43405</v>
      </c>
      <c r="V120" s="14">
        <f t="shared" si="17"/>
        <v>2018</v>
      </c>
      <c r="W120" s="14">
        <f t="shared" si="18"/>
        <v>730276.2</v>
      </c>
      <c r="X120" s="14">
        <f t="shared" si="19"/>
        <v>7273.5</v>
      </c>
      <c r="Y120" s="14">
        <f t="shared" si="20"/>
        <v>7279</v>
      </c>
      <c r="Z120" s="14">
        <f t="shared" si="21"/>
        <v>3365.9</v>
      </c>
      <c r="AA120" s="14">
        <f t="shared" si="22"/>
        <v>3354.2</v>
      </c>
      <c r="AB120" s="14">
        <f t="shared" si="23"/>
        <v>416</v>
      </c>
      <c r="AC120" s="14">
        <f t="shared" si="24"/>
        <v>415.5</v>
      </c>
    </row>
    <row r="121" spans="1:29" x14ac:dyDescent="0.2">
      <c r="A121" s="13">
        <v>43435</v>
      </c>
      <c r="B121" s="14">
        <f t="shared" si="15"/>
        <v>2018</v>
      </c>
      <c r="C121">
        <v>730276.2</v>
      </c>
      <c r="D121" s="143">
        <v>7289.2</v>
      </c>
      <c r="E121" s="143">
        <v>7302.7</v>
      </c>
      <c r="F121" s="143">
        <v>3382.8</v>
      </c>
      <c r="G121" s="143">
        <v>3380.9</v>
      </c>
      <c r="H121" s="143">
        <v>419.2</v>
      </c>
      <c r="I121" s="143">
        <v>420.7</v>
      </c>
      <c r="T121"/>
      <c r="U121" s="13">
        <f t="shared" si="16"/>
        <v>43435</v>
      </c>
      <c r="V121" s="14">
        <f t="shared" si="17"/>
        <v>2018</v>
      </c>
      <c r="W121" s="14">
        <f t="shared" si="18"/>
        <v>730276.2</v>
      </c>
      <c r="X121" s="14">
        <f t="shared" si="19"/>
        <v>7289.2</v>
      </c>
      <c r="Y121" s="14">
        <f t="shared" si="20"/>
        <v>7302.7</v>
      </c>
      <c r="Z121" s="14">
        <f t="shared" si="21"/>
        <v>3382.8</v>
      </c>
      <c r="AA121" s="14">
        <f t="shared" si="22"/>
        <v>3380.9</v>
      </c>
      <c r="AB121" s="14">
        <f t="shared" si="23"/>
        <v>419.2</v>
      </c>
      <c r="AC121" s="14">
        <f t="shared" si="24"/>
        <v>420.7</v>
      </c>
    </row>
    <row r="122" spans="1:29" x14ac:dyDescent="0.2">
      <c r="A122" s="22">
        <v>43466</v>
      </c>
      <c r="B122" s="23">
        <f t="shared" si="15"/>
        <v>2019</v>
      </c>
      <c r="C122" s="201">
        <v>744439.6</v>
      </c>
      <c r="D122" s="143">
        <v>7315.7</v>
      </c>
      <c r="E122" s="143">
        <v>7293.3</v>
      </c>
      <c r="F122" s="143">
        <v>3394.9</v>
      </c>
      <c r="G122" s="143">
        <v>3386.2</v>
      </c>
      <c r="H122" s="143">
        <v>420.6</v>
      </c>
      <c r="I122" s="143">
        <v>420.6</v>
      </c>
      <c r="T122"/>
      <c r="U122" s="13">
        <f t="shared" si="16"/>
        <v>43466</v>
      </c>
      <c r="V122" s="14">
        <f t="shared" si="17"/>
        <v>2019</v>
      </c>
      <c r="W122" s="14">
        <f t="shared" si="18"/>
        <v>744439.6</v>
      </c>
      <c r="X122" s="14">
        <f t="shared" si="19"/>
        <v>7315.7</v>
      </c>
      <c r="Y122" s="14">
        <f t="shared" si="20"/>
        <v>7293.3</v>
      </c>
      <c r="Z122" s="14">
        <f t="shared" si="21"/>
        <v>3394.9</v>
      </c>
      <c r="AA122" s="14">
        <f t="shared" si="22"/>
        <v>3386.2</v>
      </c>
      <c r="AB122" s="14">
        <f t="shared" si="23"/>
        <v>420.6</v>
      </c>
      <c r="AC122" s="14">
        <f t="shared" si="24"/>
        <v>420.6</v>
      </c>
    </row>
    <row r="123" spans="1:29" x14ac:dyDescent="0.2">
      <c r="A123" s="22">
        <v>43497</v>
      </c>
      <c r="B123" s="23">
        <f t="shared" si="15"/>
        <v>2019</v>
      </c>
      <c r="C123" s="201">
        <v>744439.6</v>
      </c>
      <c r="D123" s="143">
        <v>7346.7</v>
      </c>
      <c r="E123" s="143">
        <v>7286.5</v>
      </c>
      <c r="F123" s="143">
        <v>3412.3</v>
      </c>
      <c r="G123" s="143">
        <v>3393.3</v>
      </c>
      <c r="H123" s="143">
        <v>421.7</v>
      </c>
      <c r="I123" s="143">
        <v>419.8</v>
      </c>
      <c r="T123"/>
      <c r="U123" s="13">
        <f t="shared" si="16"/>
        <v>43497</v>
      </c>
      <c r="V123" s="14">
        <f t="shared" si="17"/>
        <v>2019</v>
      </c>
      <c r="W123" s="14">
        <f t="shared" si="18"/>
        <v>744439.6</v>
      </c>
      <c r="X123" s="14">
        <f t="shared" si="19"/>
        <v>7346.7</v>
      </c>
      <c r="Y123" s="14">
        <f t="shared" si="20"/>
        <v>7286.5</v>
      </c>
      <c r="Z123" s="14">
        <f t="shared" si="21"/>
        <v>3412.3</v>
      </c>
      <c r="AA123" s="14">
        <f t="shared" si="22"/>
        <v>3393.3</v>
      </c>
      <c r="AB123" s="14">
        <f t="shared" si="23"/>
        <v>421.7</v>
      </c>
      <c r="AC123" s="14">
        <f t="shared" si="24"/>
        <v>419.8</v>
      </c>
    </row>
    <row r="124" spans="1:29" x14ac:dyDescent="0.2">
      <c r="A124" s="22">
        <v>43525</v>
      </c>
      <c r="B124" s="23">
        <f t="shared" si="15"/>
        <v>2019</v>
      </c>
      <c r="C124" s="201">
        <v>744439.6</v>
      </c>
      <c r="D124" s="143">
        <v>7371</v>
      </c>
      <c r="E124" s="143">
        <v>7268.2</v>
      </c>
      <c r="F124" s="143">
        <v>3430.6</v>
      </c>
      <c r="G124" s="143">
        <v>3393.6</v>
      </c>
      <c r="H124" s="143">
        <v>420.5</v>
      </c>
      <c r="I124" s="143">
        <v>415.1</v>
      </c>
      <c r="T124"/>
      <c r="U124" s="13">
        <f t="shared" si="16"/>
        <v>43525</v>
      </c>
      <c r="V124" s="14">
        <f t="shared" si="17"/>
        <v>2019</v>
      </c>
      <c r="W124" s="14">
        <f t="shared" si="18"/>
        <v>744439.6</v>
      </c>
      <c r="X124" s="14">
        <f t="shared" si="19"/>
        <v>7371</v>
      </c>
      <c r="Y124" s="14">
        <f t="shared" si="20"/>
        <v>7268.2</v>
      </c>
      <c r="Z124" s="14">
        <f t="shared" si="21"/>
        <v>3430.6</v>
      </c>
      <c r="AA124" s="14">
        <f t="shared" si="22"/>
        <v>3393.6</v>
      </c>
      <c r="AB124" s="14">
        <f t="shared" si="23"/>
        <v>420.5</v>
      </c>
      <c r="AC124" s="14">
        <f t="shared" si="24"/>
        <v>415.1</v>
      </c>
    </row>
    <row r="125" spans="1:29" x14ac:dyDescent="0.2">
      <c r="A125" s="22">
        <v>43556</v>
      </c>
      <c r="B125" s="23">
        <f t="shared" si="15"/>
        <v>2019</v>
      </c>
      <c r="C125" s="201">
        <v>744439.6</v>
      </c>
      <c r="D125" s="143">
        <v>7395.4</v>
      </c>
      <c r="E125" s="143">
        <v>7304.3</v>
      </c>
      <c r="F125" s="143">
        <v>3447.9</v>
      </c>
      <c r="G125" s="143">
        <v>3418.2</v>
      </c>
      <c r="H125" s="143">
        <v>417.5</v>
      </c>
      <c r="I125" s="143">
        <v>411.2</v>
      </c>
      <c r="L125" s="222"/>
      <c r="T125"/>
      <c r="U125" s="13">
        <f t="shared" si="16"/>
        <v>43556</v>
      </c>
      <c r="V125" s="14">
        <f t="shared" si="17"/>
        <v>2019</v>
      </c>
      <c r="W125" s="14">
        <f t="shared" si="18"/>
        <v>744439.6</v>
      </c>
      <c r="X125" s="14">
        <f t="shared" si="19"/>
        <v>7395.4</v>
      </c>
      <c r="Y125" s="14">
        <f t="shared" si="20"/>
        <v>7304.3</v>
      </c>
      <c r="Z125" s="14">
        <f t="shared" si="21"/>
        <v>3447.9</v>
      </c>
      <c r="AA125" s="14">
        <f t="shared" si="22"/>
        <v>3418.2</v>
      </c>
      <c r="AB125" s="14">
        <f t="shared" si="23"/>
        <v>417.5</v>
      </c>
      <c r="AC125" s="14">
        <f t="shared" si="24"/>
        <v>411.2</v>
      </c>
    </row>
    <row r="126" spans="1:29" x14ac:dyDescent="0.2">
      <c r="A126" s="22">
        <v>43586</v>
      </c>
      <c r="B126" s="23">
        <f t="shared" si="15"/>
        <v>2019</v>
      </c>
      <c r="C126" s="201">
        <v>744439.6</v>
      </c>
      <c r="D126" s="143">
        <v>7412.6</v>
      </c>
      <c r="E126" s="143">
        <v>7376.9</v>
      </c>
      <c r="F126" s="143">
        <v>3461.7</v>
      </c>
      <c r="G126" s="143">
        <v>3452.9</v>
      </c>
      <c r="H126" s="143">
        <v>415.7</v>
      </c>
      <c r="I126" s="143">
        <v>411.2</v>
      </c>
      <c r="L126" s="222"/>
      <c r="T126"/>
      <c r="U126" s="13">
        <f t="shared" si="16"/>
        <v>43586</v>
      </c>
      <c r="V126" s="14">
        <f t="shared" si="17"/>
        <v>2019</v>
      </c>
      <c r="W126" s="14">
        <f t="shared" si="18"/>
        <v>744439.6</v>
      </c>
      <c r="X126" s="14">
        <f t="shared" si="19"/>
        <v>7412.6</v>
      </c>
      <c r="Y126" s="14">
        <f t="shared" si="20"/>
        <v>7376.9</v>
      </c>
      <c r="Z126" s="14">
        <f t="shared" si="21"/>
        <v>3461.7</v>
      </c>
      <c r="AA126" s="14">
        <f t="shared" si="22"/>
        <v>3452.9</v>
      </c>
      <c r="AB126" s="14">
        <f t="shared" si="23"/>
        <v>415.7</v>
      </c>
      <c r="AC126" s="14">
        <f t="shared" si="24"/>
        <v>411.2</v>
      </c>
    </row>
    <row r="127" spans="1:29" x14ac:dyDescent="0.2">
      <c r="A127" s="22">
        <v>43617</v>
      </c>
      <c r="B127" s="23">
        <f t="shared" si="15"/>
        <v>2019</v>
      </c>
      <c r="C127" s="201">
        <v>744439.6</v>
      </c>
      <c r="D127" s="143">
        <v>7430.3</v>
      </c>
      <c r="E127" s="143">
        <v>7472.1</v>
      </c>
      <c r="F127" s="143">
        <v>3472.4</v>
      </c>
      <c r="G127" s="143">
        <v>3492.2</v>
      </c>
      <c r="H127" s="143">
        <v>416.3</v>
      </c>
      <c r="I127" s="143">
        <v>415.4</v>
      </c>
      <c r="L127" s="222"/>
      <c r="T127"/>
      <c r="U127" s="13">
        <f t="shared" si="16"/>
        <v>43617</v>
      </c>
      <c r="V127" s="14">
        <f t="shared" si="17"/>
        <v>2019</v>
      </c>
      <c r="W127" s="14">
        <f t="shared" si="18"/>
        <v>744439.6</v>
      </c>
      <c r="X127" s="14">
        <f t="shared" si="19"/>
        <v>7430.3</v>
      </c>
      <c r="Y127" s="14">
        <f t="shared" si="20"/>
        <v>7472.1</v>
      </c>
      <c r="Z127" s="14">
        <f t="shared" si="21"/>
        <v>3472.4</v>
      </c>
      <c r="AA127" s="14">
        <f t="shared" si="22"/>
        <v>3492.2</v>
      </c>
      <c r="AB127" s="14">
        <f t="shared" si="23"/>
        <v>416.3</v>
      </c>
      <c r="AC127" s="14">
        <f t="shared" si="24"/>
        <v>415.4</v>
      </c>
    </row>
    <row r="128" spans="1:29" x14ac:dyDescent="0.2">
      <c r="A128" s="22">
        <v>43647</v>
      </c>
      <c r="B128" s="23">
        <f t="shared" si="15"/>
        <v>2019</v>
      </c>
      <c r="C128" s="201">
        <v>744439.6</v>
      </c>
      <c r="D128" s="143">
        <v>7432.9</v>
      </c>
      <c r="E128" s="143">
        <v>7524.4</v>
      </c>
      <c r="F128" s="143">
        <v>3487.5</v>
      </c>
      <c r="G128" s="143">
        <v>3526.4</v>
      </c>
      <c r="H128" s="143">
        <v>415.9</v>
      </c>
      <c r="I128" s="143">
        <v>417.8</v>
      </c>
      <c r="T128"/>
      <c r="U128" s="13">
        <f t="shared" si="16"/>
        <v>43647</v>
      </c>
      <c r="V128" s="14">
        <f t="shared" si="17"/>
        <v>2019</v>
      </c>
      <c r="W128" s="14">
        <f t="shared" si="18"/>
        <v>744439.6</v>
      </c>
      <c r="X128" s="14">
        <f t="shared" si="19"/>
        <v>7432.9</v>
      </c>
      <c r="Y128" s="14">
        <f t="shared" si="20"/>
        <v>7524.4</v>
      </c>
      <c r="Z128" s="14">
        <f t="shared" si="21"/>
        <v>3487.5</v>
      </c>
      <c r="AA128" s="14">
        <f t="shared" si="22"/>
        <v>3526.4</v>
      </c>
      <c r="AB128" s="14">
        <f t="shared" si="23"/>
        <v>415.9</v>
      </c>
      <c r="AC128" s="14">
        <f t="shared" si="24"/>
        <v>417.8</v>
      </c>
    </row>
    <row r="129" spans="1:29" x14ac:dyDescent="0.2">
      <c r="A129" s="22">
        <v>43678</v>
      </c>
      <c r="B129" s="23">
        <f t="shared" si="15"/>
        <v>2019</v>
      </c>
      <c r="C129" s="201">
        <v>744439.6</v>
      </c>
      <c r="D129" s="143">
        <v>7449.6</v>
      </c>
      <c r="E129" s="143">
        <v>7540.9</v>
      </c>
      <c r="F129" s="143">
        <v>3500.1</v>
      </c>
      <c r="G129" s="143">
        <v>3533.8</v>
      </c>
      <c r="H129" s="143">
        <v>418.8</v>
      </c>
      <c r="I129" s="143">
        <v>422.3</v>
      </c>
      <c r="T129"/>
      <c r="U129" s="13">
        <f t="shared" si="16"/>
        <v>43678</v>
      </c>
      <c r="V129" s="14">
        <f t="shared" si="17"/>
        <v>2019</v>
      </c>
      <c r="W129" s="14">
        <f t="shared" si="18"/>
        <v>744439.6</v>
      </c>
      <c r="X129" s="14">
        <f t="shared" si="19"/>
        <v>7449.6</v>
      </c>
      <c r="Y129" s="14">
        <f t="shared" si="20"/>
        <v>7540.9</v>
      </c>
      <c r="Z129" s="14">
        <f t="shared" si="21"/>
        <v>3500.1</v>
      </c>
      <c r="AA129" s="14">
        <f t="shared" si="22"/>
        <v>3533.8</v>
      </c>
      <c r="AB129" s="14">
        <f t="shared" si="23"/>
        <v>418.8</v>
      </c>
      <c r="AC129" s="14">
        <f t="shared" si="24"/>
        <v>422.3</v>
      </c>
    </row>
    <row r="130" spans="1:29" x14ac:dyDescent="0.2">
      <c r="A130" s="22">
        <v>43709</v>
      </c>
      <c r="B130" s="23">
        <f t="shared" si="15"/>
        <v>2019</v>
      </c>
      <c r="C130" s="201">
        <v>744439.6</v>
      </c>
      <c r="D130" s="143">
        <v>7478.3</v>
      </c>
      <c r="E130" s="143">
        <v>7535</v>
      </c>
      <c r="F130" s="143">
        <v>3522.9</v>
      </c>
      <c r="G130" s="143">
        <v>3545.3</v>
      </c>
      <c r="H130" s="143">
        <v>419.9</v>
      </c>
      <c r="I130" s="143">
        <v>423.1</v>
      </c>
      <c r="T130"/>
      <c r="U130" s="13">
        <f t="shared" si="16"/>
        <v>43709</v>
      </c>
      <c r="V130" s="14">
        <f t="shared" si="17"/>
        <v>2019</v>
      </c>
      <c r="W130" s="14">
        <f t="shared" si="18"/>
        <v>744439.6</v>
      </c>
      <c r="X130" s="14">
        <f t="shared" si="19"/>
        <v>7478.3</v>
      </c>
      <c r="Y130" s="14">
        <f t="shared" si="20"/>
        <v>7535</v>
      </c>
      <c r="Z130" s="14">
        <f t="shared" si="21"/>
        <v>3522.9</v>
      </c>
      <c r="AA130" s="14">
        <f t="shared" si="22"/>
        <v>3545.3</v>
      </c>
      <c r="AB130" s="14">
        <f t="shared" si="23"/>
        <v>419.9</v>
      </c>
      <c r="AC130" s="14">
        <f t="shared" si="24"/>
        <v>423.1</v>
      </c>
    </row>
    <row r="131" spans="1:29" x14ac:dyDescent="0.2">
      <c r="A131" s="22">
        <v>43739</v>
      </c>
      <c r="B131" s="23">
        <f t="shared" ref="B131:B145" si="25">YEAR(A131)</f>
        <v>2019</v>
      </c>
      <c r="C131" s="201">
        <v>744439.6</v>
      </c>
      <c r="D131" s="143">
        <v>7504</v>
      </c>
      <c r="E131" s="143">
        <v>7538.5</v>
      </c>
      <c r="F131" s="143">
        <v>3525.5</v>
      </c>
      <c r="G131" s="143">
        <v>3530.2</v>
      </c>
      <c r="H131" s="143">
        <v>427.3</v>
      </c>
      <c r="I131" s="143">
        <v>433.4</v>
      </c>
      <c r="O131" t="s">
        <v>251</v>
      </c>
      <c r="T131"/>
      <c r="U131" s="13">
        <f t="shared" ref="U131:U133" si="26">A131</f>
        <v>43739</v>
      </c>
      <c r="V131" s="14">
        <f t="shared" ref="V131:V157" si="27">B131</f>
        <v>2019</v>
      </c>
      <c r="W131" s="14">
        <f t="shared" ref="W131:W133" si="28">C131</f>
        <v>744439.6</v>
      </c>
      <c r="X131" s="14">
        <f t="shared" ref="X131:X133" si="29">D131</f>
        <v>7504</v>
      </c>
      <c r="Y131" s="14">
        <f t="shared" ref="Y131:Y133" si="30">E131</f>
        <v>7538.5</v>
      </c>
      <c r="Z131" s="14">
        <f t="shared" ref="Z131:Z133" si="31">F131</f>
        <v>3525.5</v>
      </c>
      <c r="AA131" s="14">
        <f t="shared" ref="AA131:AA133" si="32">G131</f>
        <v>3530.2</v>
      </c>
      <c r="AB131" s="14">
        <f t="shared" ref="AB131:AB133" si="33">H131</f>
        <v>427.3</v>
      </c>
      <c r="AC131" s="14">
        <f t="shared" ref="AC131:AC133" si="34">I131</f>
        <v>433.4</v>
      </c>
    </row>
    <row r="132" spans="1:29" x14ac:dyDescent="0.2">
      <c r="A132" s="22">
        <v>43770</v>
      </c>
      <c r="B132" s="23">
        <f t="shared" si="25"/>
        <v>2019</v>
      </c>
      <c r="C132" s="201">
        <v>744439.6</v>
      </c>
      <c r="D132" s="143">
        <v>7517.3</v>
      </c>
      <c r="E132" s="143">
        <v>7530.1</v>
      </c>
      <c r="F132" s="143">
        <v>3531.7</v>
      </c>
      <c r="G132" s="143">
        <v>3530.8</v>
      </c>
      <c r="H132" s="143">
        <v>427.5</v>
      </c>
      <c r="I132" s="143">
        <v>434.3</v>
      </c>
      <c r="T132"/>
      <c r="U132" s="13">
        <f t="shared" si="26"/>
        <v>43770</v>
      </c>
      <c r="V132" s="14">
        <f t="shared" si="27"/>
        <v>2019</v>
      </c>
      <c r="W132" s="14">
        <f t="shared" si="28"/>
        <v>744439.6</v>
      </c>
      <c r="X132" s="14">
        <f t="shared" si="29"/>
        <v>7517.3</v>
      </c>
      <c r="Y132" s="14">
        <f t="shared" si="30"/>
        <v>7530.1</v>
      </c>
      <c r="Z132" s="14">
        <f t="shared" si="31"/>
        <v>3531.7</v>
      </c>
      <c r="AA132" s="14">
        <f t="shared" si="32"/>
        <v>3530.8</v>
      </c>
      <c r="AB132" s="14">
        <f t="shared" si="33"/>
        <v>427.5</v>
      </c>
      <c r="AC132" s="14">
        <f t="shared" si="34"/>
        <v>434.3</v>
      </c>
    </row>
    <row r="133" spans="1:29" x14ac:dyDescent="0.2">
      <c r="A133" s="22">
        <v>43800</v>
      </c>
      <c r="B133" s="23">
        <f t="shared" si="25"/>
        <v>2019</v>
      </c>
      <c r="C133" s="201">
        <v>744439.6</v>
      </c>
      <c r="D133" s="143">
        <v>7525</v>
      </c>
      <c r="E133" s="143">
        <v>7535.2</v>
      </c>
      <c r="F133" s="143">
        <v>3532</v>
      </c>
      <c r="G133" s="143">
        <v>3534.9</v>
      </c>
      <c r="H133" s="143">
        <v>429.5</v>
      </c>
      <c r="I133" s="143">
        <v>437.6</v>
      </c>
      <c r="K133" s="174" t="s">
        <v>17</v>
      </c>
      <c r="L133" s="174" t="s">
        <v>18</v>
      </c>
      <c r="M133" s="174" t="s">
        <v>21</v>
      </c>
      <c r="N133" s="174" t="s">
        <v>19</v>
      </c>
      <c r="O133" s="174" t="s">
        <v>22</v>
      </c>
      <c r="P133" s="174" t="s">
        <v>20</v>
      </c>
      <c r="Q133" s="201" t="s">
        <v>23</v>
      </c>
      <c r="R133" s="201" t="s">
        <v>238</v>
      </c>
      <c r="T133"/>
      <c r="U133" s="13">
        <f t="shared" si="26"/>
        <v>43800</v>
      </c>
      <c r="V133" s="14">
        <f t="shared" si="27"/>
        <v>2019</v>
      </c>
      <c r="W133" s="14">
        <f t="shared" si="28"/>
        <v>744439.6</v>
      </c>
      <c r="X133" s="14">
        <f t="shared" si="29"/>
        <v>7525</v>
      </c>
      <c r="Y133" s="14">
        <f t="shared" si="30"/>
        <v>7535.2</v>
      </c>
      <c r="Z133" s="14">
        <f t="shared" si="31"/>
        <v>3532</v>
      </c>
      <c r="AA133" s="14">
        <f t="shared" si="32"/>
        <v>3534.9</v>
      </c>
      <c r="AB133" s="14">
        <f t="shared" si="33"/>
        <v>429.5</v>
      </c>
      <c r="AC133" s="14">
        <f t="shared" si="34"/>
        <v>437.6</v>
      </c>
    </row>
    <row r="134" spans="1:29" x14ac:dyDescent="0.2">
      <c r="A134" s="22">
        <v>43831</v>
      </c>
      <c r="B134" s="23">
        <f t="shared" si="25"/>
        <v>2020</v>
      </c>
      <c r="C134" s="24">
        <f>C122*(1+$Q$13)</f>
        <v>699028.7844</v>
      </c>
      <c r="D134" s="143">
        <v>7542</v>
      </c>
      <c r="E134" s="143">
        <v>7512.5</v>
      </c>
      <c r="F134" s="143">
        <v>3555.9</v>
      </c>
      <c r="G134" s="143">
        <v>3552.2</v>
      </c>
      <c r="H134" s="143">
        <v>426.7</v>
      </c>
      <c r="I134" s="143">
        <v>430.1</v>
      </c>
      <c r="K134" s="188">
        <f>C122</f>
        <v>744439.6</v>
      </c>
      <c r="L134" s="26">
        <f>D134</f>
        <v>7542</v>
      </c>
      <c r="M134" s="26">
        <f t="shared" ref="M134:P134" si="35">E134</f>
        <v>7512.5</v>
      </c>
      <c r="N134" s="26">
        <f>F134</f>
        <v>3555.9</v>
      </c>
      <c r="O134" s="26">
        <f t="shared" si="35"/>
        <v>3552.2</v>
      </c>
      <c r="P134" s="26">
        <f t="shared" si="35"/>
        <v>426.7</v>
      </c>
      <c r="Q134" s="26">
        <f>I134</f>
        <v>430.1</v>
      </c>
      <c r="R134" s="42">
        <f>F122*(1+$S$39)</f>
        <v>3193.7204154939591</v>
      </c>
      <c r="T134"/>
      <c r="U134" s="13">
        <f>A134</f>
        <v>43831</v>
      </c>
      <c r="V134" s="14">
        <f t="shared" si="27"/>
        <v>2020</v>
      </c>
      <c r="W134" s="25">
        <f>W122*(1+$R$31)</f>
        <v>757839.51280000003</v>
      </c>
      <c r="X134" s="25">
        <f>X122*(1+$Q$31)</f>
        <v>7454.6982999999991</v>
      </c>
      <c r="Y134" s="25">
        <f t="shared" ref="Y134:AC134" si="36">Y122*(1+$Q$31)</f>
        <v>7431.8726999999999</v>
      </c>
      <c r="Z134" s="25">
        <f t="shared" si="36"/>
        <v>3459.4031</v>
      </c>
      <c r="AA134" s="25">
        <f t="shared" si="36"/>
        <v>3450.5377999999996</v>
      </c>
      <c r="AB134" s="25">
        <f t="shared" si="36"/>
        <v>428.59139999999996</v>
      </c>
      <c r="AC134" s="25">
        <f t="shared" si="36"/>
        <v>428.59139999999996</v>
      </c>
    </row>
    <row r="135" spans="1:29" x14ac:dyDescent="0.2">
      <c r="A135" s="22">
        <v>43862</v>
      </c>
      <c r="B135" s="23">
        <f t="shared" si="25"/>
        <v>2020</v>
      </c>
      <c r="C135" s="24">
        <f>C123*(1+$Q$13)</f>
        <v>699028.7844</v>
      </c>
      <c r="D135" s="143">
        <v>7551.9</v>
      </c>
      <c r="E135" s="143">
        <v>7488.9</v>
      </c>
      <c r="F135" s="143">
        <v>3562.1</v>
      </c>
      <c r="G135" s="143">
        <v>3548.8</v>
      </c>
      <c r="H135" s="143">
        <v>427.9</v>
      </c>
      <c r="I135" s="143">
        <v>427.9</v>
      </c>
      <c r="K135" s="188">
        <f>C123</f>
        <v>744439.6</v>
      </c>
      <c r="L135" s="26">
        <f t="shared" ref="L135:L140" si="37">D135</f>
        <v>7551.9</v>
      </c>
      <c r="M135" s="26">
        <f t="shared" ref="M135:M140" si="38">E135</f>
        <v>7488.9</v>
      </c>
      <c r="N135" s="26">
        <f t="shared" ref="N135:N140" si="39">F135</f>
        <v>3562.1</v>
      </c>
      <c r="O135" s="26">
        <f t="shared" ref="O135:O140" si="40">G135</f>
        <v>3548.8</v>
      </c>
      <c r="P135" s="26">
        <f t="shared" ref="P135:Q140" si="41">H135</f>
        <v>427.9</v>
      </c>
      <c r="Q135" s="26">
        <f t="shared" si="41"/>
        <v>427.9</v>
      </c>
      <c r="R135" s="42">
        <f t="shared" ref="R135:R136" si="42">F123*(1+$S$39)</f>
        <v>3210.0893027158495</v>
      </c>
      <c r="T135"/>
      <c r="U135" s="13">
        <f t="shared" ref="U135:U157" si="43">A135</f>
        <v>43862</v>
      </c>
      <c r="V135" s="14">
        <f t="shared" si="27"/>
        <v>2020</v>
      </c>
      <c r="W135" s="25">
        <f t="shared" ref="W135:W145" si="44">W123*(1+$R$31)</f>
        <v>757839.51280000003</v>
      </c>
      <c r="X135" s="25">
        <f t="shared" ref="X135:AC145" si="45">X123*(1+$Q$31)</f>
        <v>7486.287299999999</v>
      </c>
      <c r="Y135" s="25">
        <f t="shared" si="45"/>
        <v>7424.9434999999994</v>
      </c>
      <c r="Z135" s="25">
        <f t="shared" si="45"/>
        <v>3477.1336999999999</v>
      </c>
      <c r="AA135" s="25">
        <f t="shared" si="45"/>
        <v>3457.7727</v>
      </c>
      <c r="AB135" s="25">
        <f t="shared" si="45"/>
        <v>429.71229999999997</v>
      </c>
      <c r="AC135" s="25">
        <f t="shared" si="45"/>
        <v>427.77619999999996</v>
      </c>
    </row>
    <row r="136" spans="1:29" x14ac:dyDescent="0.2">
      <c r="A136" s="22">
        <v>43891</v>
      </c>
      <c r="B136" s="23">
        <f t="shared" si="25"/>
        <v>2020</v>
      </c>
      <c r="C136" s="24">
        <f t="shared" ref="C136:C145" si="46">C124*(1+$Q$13)</f>
        <v>699028.7844</v>
      </c>
      <c r="D136" s="143">
        <v>7421.9</v>
      </c>
      <c r="E136" s="143">
        <v>7317</v>
      </c>
      <c r="F136" s="143">
        <v>3489.5</v>
      </c>
      <c r="G136" s="143">
        <v>3454.3</v>
      </c>
      <c r="H136" s="143">
        <v>424</v>
      </c>
      <c r="I136" s="143">
        <v>417</v>
      </c>
      <c r="K136" s="188">
        <f>C124*(1+$R$39)</f>
        <v>678238.01268124976</v>
      </c>
      <c r="L136" s="26">
        <f t="shared" si="37"/>
        <v>7421.9</v>
      </c>
      <c r="M136" s="26">
        <f t="shared" si="38"/>
        <v>7317</v>
      </c>
      <c r="N136" s="26">
        <f t="shared" si="39"/>
        <v>3489.5</v>
      </c>
      <c r="O136" s="26">
        <f t="shared" si="40"/>
        <v>3454.3</v>
      </c>
      <c r="P136" s="26">
        <f t="shared" si="41"/>
        <v>424</v>
      </c>
      <c r="Q136" s="26">
        <f t="shared" si="41"/>
        <v>417</v>
      </c>
      <c r="R136" s="42">
        <f t="shared" si="42"/>
        <v>3227.3048565181816</v>
      </c>
      <c r="T136"/>
      <c r="U136" s="13">
        <f t="shared" si="43"/>
        <v>43891</v>
      </c>
      <c r="V136" s="14">
        <f t="shared" si="27"/>
        <v>2020</v>
      </c>
      <c r="W136" s="25">
        <f t="shared" si="44"/>
        <v>757839.51280000003</v>
      </c>
      <c r="X136" s="25">
        <f t="shared" si="45"/>
        <v>7511.0489999999991</v>
      </c>
      <c r="Y136" s="25">
        <f t="shared" si="45"/>
        <v>7406.295799999999</v>
      </c>
      <c r="Z136" s="25">
        <f t="shared" si="45"/>
        <v>3495.7813999999994</v>
      </c>
      <c r="AA136" s="25">
        <f t="shared" si="45"/>
        <v>3458.0783999999994</v>
      </c>
      <c r="AB136" s="25">
        <f t="shared" si="45"/>
        <v>428.48949999999996</v>
      </c>
      <c r="AC136" s="25">
        <f t="shared" si="45"/>
        <v>422.98689999999999</v>
      </c>
    </row>
    <row r="137" spans="1:29" x14ac:dyDescent="0.2">
      <c r="A137" s="22">
        <v>43922</v>
      </c>
      <c r="B137" s="23">
        <f t="shared" si="25"/>
        <v>2020</v>
      </c>
      <c r="C137" s="24">
        <f t="shared" si="46"/>
        <v>699028.7844</v>
      </c>
      <c r="D137" s="143">
        <v>7056.8</v>
      </c>
      <c r="E137" s="143">
        <v>6968.7</v>
      </c>
      <c r="F137" s="143">
        <v>3298.9</v>
      </c>
      <c r="G137" s="143">
        <v>3268.1</v>
      </c>
      <c r="H137" s="143">
        <v>407.4</v>
      </c>
      <c r="I137" s="143">
        <v>399</v>
      </c>
      <c r="K137" s="188">
        <f>K134*(1+$R$40)</f>
        <v>599261.12867187464</v>
      </c>
      <c r="L137" s="26">
        <f t="shared" si="37"/>
        <v>7056.8</v>
      </c>
      <c r="M137" s="26">
        <f t="shared" si="38"/>
        <v>6968.7</v>
      </c>
      <c r="N137" s="26">
        <f t="shared" si="39"/>
        <v>3298.9</v>
      </c>
      <c r="O137" s="26">
        <f t="shared" si="40"/>
        <v>3268.1</v>
      </c>
      <c r="P137" s="26">
        <f t="shared" si="41"/>
        <v>407.4</v>
      </c>
      <c r="Q137" s="26">
        <f t="shared" si="41"/>
        <v>399</v>
      </c>
      <c r="R137" s="42">
        <f>R134*(1+$S$40)</f>
        <v>2450.8246431490684</v>
      </c>
      <c r="T137"/>
      <c r="U137" s="13">
        <f t="shared" si="43"/>
        <v>43922</v>
      </c>
      <c r="V137" s="14">
        <f t="shared" si="27"/>
        <v>2020</v>
      </c>
      <c r="W137" s="25">
        <f>W125*(1+$R$31)</f>
        <v>757839.51280000003</v>
      </c>
      <c r="X137" s="25">
        <f t="shared" si="45"/>
        <v>7535.9125999999987</v>
      </c>
      <c r="Y137" s="25">
        <f t="shared" si="45"/>
        <v>7443.0816999999997</v>
      </c>
      <c r="Z137" s="25">
        <f t="shared" si="45"/>
        <v>3513.4100999999996</v>
      </c>
      <c r="AA137" s="25">
        <f t="shared" si="45"/>
        <v>3483.1457999999993</v>
      </c>
      <c r="AB137" s="25">
        <f t="shared" si="45"/>
        <v>425.43249999999995</v>
      </c>
      <c r="AC137" s="25">
        <f t="shared" si="45"/>
        <v>419.01279999999997</v>
      </c>
    </row>
    <row r="138" spans="1:29" x14ac:dyDescent="0.2">
      <c r="A138" s="22">
        <v>43952</v>
      </c>
      <c r="B138" s="23">
        <f t="shared" si="25"/>
        <v>2020</v>
      </c>
      <c r="C138" s="24">
        <f t="shared" si="46"/>
        <v>699028.7844</v>
      </c>
      <c r="D138" s="143">
        <v>6671.4</v>
      </c>
      <c r="E138" s="143">
        <v>6632</v>
      </c>
      <c r="F138" s="143">
        <v>3089.7</v>
      </c>
      <c r="G138" s="143">
        <v>3077.6</v>
      </c>
      <c r="H138" s="143">
        <v>382</v>
      </c>
      <c r="I138" s="143">
        <v>374</v>
      </c>
      <c r="K138" s="188">
        <f t="shared" ref="K138" si="47">K135*(1+$R$40)</f>
        <v>599261.12867187464</v>
      </c>
      <c r="L138" s="26">
        <f t="shared" si="37"/>
        <v>6671.4</v>
      </c>
      <c r="M138" s="26">
        <f t="shared" si="38"/>
        <v>6632</v>
      </c>
      <c r="N138" s="26">
        <f t="shared" si="39"/>
        <v>3089.7</v>
      </c>
      <c r="O138" s="26">
        <f t="shared" si="40"/>
        <v>3077.6</v>
      </c>
      <c r="P138" s="26">
        <f t="shared" si="41"/>
        <v>382</v>
      </c>
      <c r="Q138" s="26">
        <f t="shared" si="41"/>
        <v>374</v>
      </c>
      <c r="R138" s="42">
        <f t="shared" ref="R138:R139" si="48">R135*(1+$S$40)</f>
        <v>2463.3859406219817</v>
      </c>
      <c r="T138"/>
      <c r="U138" s="13">
        <f t="shared" si="43"/>
        <v>43952</v>
      </c>
      <c r="V138" s="14">
        <f t="shared" si="27"/>
        <v>2020</v>
      </c>
      <c r="W138" s="25">
        <f t="shared" si="44"/>
        <v>757839.51280000003</v>
      </c>
      <c r="X138" s="25">
        <f t="shared" si="45"/>
        <v>7553.4393999999993</v>
      </c>
      <c r="Y138" s="25">
        <f t="shared" si="45"/>
        <v>7517.061099999999</v>
      </c>
      <c r="Z138" s="25">
        <f t="shared" si="45"/>
        <v>3527.4722999999994</v>
      </c>
      <c r="AA138" s="25">
        <f t="shared" si="45"/>
        <v>3518.5050999999999</v>
      </c>
      <c r="AB138" s="25">
        <f t="shared" si="45"/>
        <v>423.59829999999994</v>
      </c>
      <c r="AC138" s="25">
        <f t="shared" si="45"/>
        <v>419.01279999999997</v>
      </c>
    </row>
    <row r="139" spans="1:29" x14ac:dyDescent="0.2">
      <c r="A139" s="22">
        <v>43983</v>
      </c>
      <c r="B139" s="23">
        <f t="shared" si="25"/>
        <v>2020</v>
      </c>
      <c r="C139" s="24">
        <f t="shared" si="46"/>
        <v>699028.7844</v>
      </c>
      <c r="D139" s="143">
        <v>6546.1</v>
      </c>
      <c r="E139" s="143">
        <v>6583</v>
      </c>
      <c r="F139" s="143">
        <v>3022.6</v>
      </c>
      <c r="G139" s="143">
        <v>3040</v>
      </c>
      <c r="H139" s="143">
        <v>371</v>
      </c>
      <c r="I139" s="143">
        <v>368.4</v>
      </c>
      <c r="K139" s="188">
        <f>K135*(1+$R$40)</f>
        <v>599261.12867187464</v>
      </c>
      <c r="L139" s="26">
        <f t="shared" si="37"/>
        <v>6546.1</v>
      </c>
      <c r="M139" s="26">
        <f t="shared" si="38"/>
        <v>6583</v>
      </c>
      <c r="N139" s="26">
        <f t="shared" si="39"/>
        <v>3022.6</v>
      </c>
      <c r="O139" s="26">
        <f t="shared" si="40"/>
        <v>3040</v>
      </c>
      <c r="P139" s="26">
        <f t="shared" si="41"/>
        <v>371</v>
      </c>
      <c r="Q139" s="26">
        <f t="shared" si="41"/>
        <v>368.4</v>
      </c>
      <c r="R139" s="42">
        <f t="shared" si="48"/>
        <v>2476.5969603779768</v>
      </c>
      <c r="T139"/>
      <c r="U139" s="13">
        <f t="shared" si="43"/>
        <v>43983</v>
      </c>
      <c r="V139" s="14">
        <f t="shared" si="27"/>
        <v>2020</v>
      </c>
      <c r="W139" s="25">
        <f t="shared" si="44"/>
        <v>757839.51280000003</v>
      </c>
      <c r="X139" s="25">
        <f t="shared" si="45"/>
        <v>7571.4756999999991</v>
      </c>
      <c r="Y139" s="25">
        <f t="shared" si="45"/>
        <v>7614.0698999999995</v>
      </c>
      <c r="Z139" s="25">
        <f t="shared" si="45"/>
        <v>3538.3755999999998</v>
      </c>
      <c r="AA139" s="25">
        <f t="shared" si="45"/>
        <v>3558.5517999999993</v>
      </c>
      <c r="AB139" s="25">
        <f t="shared" si="45"/>
        <v>424.2097</v>
      </c>
      <c r="AC139" s="25">
        <f t="shared" si="45"/>
        <v>423.29259999999994</v>
      </c>
    </row>
    <row r="140" spans="1:29" x14ac:dyDescent="0.2">
      <c r="A140" s="22">
        <v>44013</v>
      </c>
      <c r="B140" s="23">
        <f t="shared" si="25"/>
        <v>2020</v>
      </c>
      <c r="C140" s="24">
        <f t="shared" si="46"/>
        <v>699028.7844</v>
      </c>
      <c r="D140" s="143">
        <v>6700.8</v>
      </c>
      <c r="E140" s="143">
        <v>6777</v>
      </c>
      <c r="F140" s="143">
        <v>3082.3</v>
      </c>
      <c r="G140" s="143">
        <v>3119.9</v>
      </c>
      <c r="H140" s="143">
        <v>380.3</v>
      </c>
      <c r="I140" s="143">
        <v>379.6</v>
      </c>
      <c r="K140" s="188">
        <f>K137*(1+$R$41)</f>
        <v>615006.43952241109</v>
      </c>
      <c r="L140" s="26">
        <f t="shared" si="37"/>
        <v>6700.8</v>
      </c>
      <c r="M140" s="26">
        <f t="shared" si="38"/>
        <v>6777</v>
      </c>
      <c r="N140" s="26">
        <f t="shared" si="39"/>
        <v>3082.3</v>
      </c>
      <c r="O140" s="26">
        <f t="shared" si="40"/>
        <v>3119.9</v>
      </c>
      <c r="P140" s="26">
        <f t="shared" si="41"/>
        <v>380.3</v>
      </c>
      <c r="Q140" s="26">
        <f t="shared" si="41"/>
        <v>379.6</v>
      </c>
      <c r="R140" s="42">
        <f>R137*(1+$S$41)</f>
        <v>2624.2882129140389</v>
      </c>
      <c r="T140"/>
      <c r="U140" s="13">
        <f t="shared" si="43"/>
        <v>44013</v>
      </c>
      <c r="V140" s="14">
        <f t="shared" si="27"/>
        <v>2020</v>
      </c>
      <c r="W140" s="25">
        <f t="shared" si="44"/>
        <v>757839.51280000003</v>
      </c>
      <c r="X140" s="25">
        <f t="shared" si="45"/>
        <v>7574.1250999999993</v>
      </c>
      <c r="Y140" s="25">
        <f t="shared" si="45"/>
        <v>7667.3635999999988</v>
      </c>
      <c r="Z140" s="25">
        <f t="shared" si="45"/>
        <v>3553.7624999999998</v>
      </c>
      <c r="AA140" s="25">
        <f t="shared" si="45"/>
        <v>3593.4015999999997</v>
      </c>
      <c r="AB140" s="25">
        <f t="shared" si="45"/>
        <v>423.80209999999994</v>
      </c>
      <c r="AC140" s="25">
        <f t="shared" si="45"/>
        <v>425.73819999999995</v>
      </c>
    </row>
    <row r="141" spans="1:29" x14ac:dyDescent="0.2">
      <c r="A141" s="22">
        <v>44044</v>
      </c>
      <c r="B141" s="23">
        <f t="shared" si="25"/>
        <v>2020</v>
      </c>
      <c r="C141" s="24">
        <f>C129*(1+$Q$13)</f>
        <v>699028.7844</v>
      </c>
      <c r="D141" s="25">
        <f t="shared" ref="D141:I145" si="49">D129*(1+$Q$8)</f>
        <v>7069.6704</v>
      </c>
      <c r="E141" s="25">
        <f t="shared" si="49"/>
        <v>7156.3140999999996</v>
      </c>
      <c r="F141" s="25">
        <f>F129*(1+$Q$8)</f>
        <v>3321.5948999999996</v>
      </c>
      <c r="G141" s="25">
        <f t="shared" si="49"/>
        <v>3353.5762</v>
      </c>
      <c r="H141" s="25">
        <f t="shared" si="49"/>
        <v>397.44119999999998</v>
      </c>
      <c r="I141" s="25">
        <f t="shared" si="49"/>
        <v>400.7627</v>
      </c>
      <c r="K141" s="188">
        <f t="shared" ref="K141:K142" si="50">K138*(1+$R$41)</f>
        <v>615006.43952241109</v>
      </c>
      <c r="L141" s="188">
        <f>L138*(1+$S$41)</f>
        <v>7143.5859079412057</v>
      </c>
      <c r="M141" s="188">
        <f t="shared" ref="M141:R142" si="51">M138*(1+$S$41)</f>
        <v>7101.3972691588087</v>
      </c>
      <c r="N141" s="188">
        <f t="shared" si="51"/>
        <v>3308.3816559891388</v>
      </c>
      <c r="O141" s="188">
        <f t="shared" si="51"/>
        <v>3295.42524661688</v>
      </c>
      <c r="P141" s="188">
        <f t="shared" si="51"/>
        <v>409.03705621511835</v>
      </c>
      <c r="Q141" s="188">
        <f t="shared" si="51"/>
        <v>400.47083514255041</v>
      </c>
      <c r="R141" s="42">
        <f t="shared" si="51"/>
        <v>2637.7385693029469</v>
      </c>
      <c r="T141"/>
      <c r="U141" s="13">
        <f t="shared" si="43"/>
        <v>44044</v>
      </c>
      <c r="V141" s="14">
        <f t="shared" si="27"/>
        <v>2020</v>
      </c>
      <c r="W141" s="25">
        <f t="shared" si="44"/>
        <v>757839.51280000003</v>
      </c>
      <c r="X141" s="25">
        <f t="shared" si="45"/>
        <v>7591.1423999999997</v>
      </c>
      <c r="Y141" s="25">
        <f t="shared" si="45"/>
        <v>7684.177099999999</v>
      </c>
      <c r="Z141" s="25">
        <f t="shared" si="45"/>
        <v>3566.6018999999997</v>
      </c>
      <c r="AA141" s="25">
        <f t="shared" si="45"/>
        <v>3600.9422</v>
      </c>
      <c r="AB141" s="25">
        <f t="shared" si="45"/>
        <v>426.75719999999995</v>
      </c>
      <c r="AC141" s="25">
        <f t="shared" si="45"/>
        <v>430.32369999999997</v>
      </c>
    </row>
    <row r="142" spans="1:29" x14ac:dyDescent="0.2">
      <c r="A142" s="22">
        <v>44075</v>
      </c>
      <c r="B142" s="23">
        <f t="shared" si="25"/>
        <v>2020</v>
      </c>
      <c r="C142" s="24">
        <f t="shared" si="46"/>
        <v>699028.7844</v>
      </c>
      <c r="D142" s="25">
        <f t="shared" si="49"/>
        <v>7096.9066999999995</v>
      </c>
      <c r="E142" s="25">
        <f t="shared" si="49"/>
        <v>7150.7149999999992</v>
      </c>
      <c r="F142" s="25">
        <f t="shared" si="49"/>
        <v>3343.2320999999997</v>
      </c>
      <c r="G142" s="25">
        <f t="shared" si="49"/>
        <v>3364.4897000000001</v>
      </c>
      <c r="H142" s="25">
        <f t="shared" si="49"/>
        <v>398.48509999999993</v>
      </c>
      <c r="I142" s="25">
        <f t="shared" si="49"/>
        <v>401.52190000000002</v>
      </c>
      <c r="K142" s="188">
        <f t="shared" si="50"/>
        <v>615006.43952241109</v>
      </c>
      <c r="L142" s="188">
        <f>L139*(1+$S$41)</f>
        <v>7009.4174703921108</v>
      </c>
      <c r="M142" s="188">
        <f t="shared" ref="M142:Q143" si="52">M139*(1+$S$41)</f>
        <v>7048.9291650893301</v>
      </c>
      <c r="N142" s="188">
        <f t="shared" si="52"/>
        <v>3236.5324767429756</v>
      </c>
      <c r="O142" s="188">
        <f t="shared" si="52"/>
        <v>3255.164007575811</v>
      </c>
      <c r="P142" s="188">
        <f t="shared" si="52"/>
        <v>397.25850224033746</v>
      </c>
      <c r="Q142" s="188">
        <f t="shared" si="52"/>
        <v>394.47448039175288</v>
      </c>
      <c r="R142" s="42">
        <f t="shared" si="51"/>
        <v>2651.8846337809364</v>
      </c>
      <c r="T142"/>
      <c r="U142" s="13">
        <f t="shared" si="43"/>
        <v>44075</v>
      </c>
      <c r="V142" s="14">
        <f t="shared" si="27"/>
        <v>2020</v>
      </c>
      <c r="W142" s="25">
        <f t="shared" si="44"/>
        <v>757839.51280000003</v>
      </c>
      <c r="X142" s="25">
        <f t="shared" si="45"/>
        <v>7620.3876999999993</v>
      </c>
      <c r="Y142" s="25">
        <f t="shared" si="45"/>
        <v>7678.1649999999991</v>
      </c>
      <c r="Z142" s="25">
        <f t="shared" si="45"/>
        <v>3589.8350999999998</v>
      </c>
      <c r="AA142" s="25">
        <f t="shared" si="45"/>
        <v>3612.6606999999999</v>
      </c>
      <c r="AB142" s="25">
        <f t="shared" si="45"/>
        <v>427.87809999999996</v>
      </c>
      <c r="AC142" s="25">
        <f t="shared" si="45"/>
        <v>431.13889999999998</v>
      </c>
    </row>
    <row r="143" spans="1:29" x14ac:dyDescent="0.2">
      <c r="A143" s="22">
        <v>44105</v>
      </c>
      <c r="B143" s="23">
        <f t="shared" si="25"/>
        <v>2020</v>
      </c>
      <c r="C143" s="24">
        <f t="shared" si="46"/>
        <v>699028.7844</v>
      </c>
      <c r="D143" s="25">
        <f t="shared" si="49"/>
        <v>7121.2959999999994</v>
      </c>
      <c r="E143" s="25">
        <f t="shared" si="49"/>
        <v>7154.0364999999993</v>
      </c>
      <c r="F143" s="25">
        <f t="shared" si="49"/>
        <v>3345.6994999999997</v>
      </c>
      <c r="G143" s="25">
        <f t="shared" si="49"/>
        <v>3350.1597999999994</v>
      </c>
      <c r="H143" s="25">
        <f t="shared" si="49"/>
        <v>405.5077</v>
      </c>
      <c r="I143" s="25">
        <f t="shared" si="49"/>
        <v>411.29659999999996</v>
      </c>
      <c r="K143" s="188">
        <f>K140*(1+$R$42)</f>
        <v>635199.15095339692</v>
      </c>
      <c r="L143" s="188">
        <f>L140*(1+$S$41)</f>
        <v>7175.0667703828931</v>
      </c>
      <c r="M143" s="188">
        <f t="shared" si="52"/>
        <v>7256.6600260991027</v>
      </c>
      <c r="N143" s="188">
        <f t="shared" si="52"/>
        <v>3300.4579014970141</v>
      </c>
      <c r="O143" s="188">
        <f t="shared" si="52"/>
        <v>3340.7191405380831</v>
      </c>
      <c r="P143" s="188">
        <f t="shared" si="52"/>
        <v>407.21673423719767</v>
      </c>
      <c r="Q143" s="188">
        <f t="shared" si="52"/>
        <v>406.46718989334801</v>
      </c>
      <c r="R143" s="42">
        <f>R140*(1+$S$42)</f>
        <v>2753.5344074000554</v>
      </c>
      <c r="T143"/>
      <c r="U143" s="13">
        <f t="shared" si="43"/>
        <v>44105</v>
      </c>
      <c r="V143" s="14">
        <f t="shared" si="27"/>
        <v>2020</v>
      </c>
      <c r="W143" s="25">
        <f t="shared" si="44"/>
        <v>757839.51280000003</v>
      </c>
      <c r="X143" s="25">
        <f t="shared" si="45"/>
        <v>7646.5759999999991</v>
      </c>
      <c r="Y143" s="25">
        <f t="shared" si="45"/>
        <v>7681.731499999999</v>
      </c>
      <c r="Z143" s="25">
        <f t="shared" si="45"/>
        <v>3592.4844999999996</v>
      </c>
      <c r="AA143" s="25">
        <f t="shared" si="45"/>
        <v>3597.2737999999995</v>
      </c>
      <c r="AB143" s="25">
        <f t="shared" si="45"/>
        <v>435.41869999999994</v>
      </c>
      <c r="AC143" s="25">
        <f t="shared" si="45"/>
        <v>441.63459999999992</v>
      </c>
    </row>
    <row r="144" spans="1:29" x14ac:dyDescent="0.2">
      <c r="A144" s="22">
        <v>44136</v>
      </c>
      <c r="B144" s="23">
        <f t="shared" si="25"/>
        <v>2020</v>
      </c>
      <c r="C144" s="24">
        <f t="shared" si="46"/>
        <v>699028.7844</v>
      </c>
      <c r="D144" s="25">
        <f t="shared" si="49"/>
        <v>7133.9177</v>
      </c>
      <c r="E144" s="25">
        <f t="shared" si="49"/>
        <v>7146.0649000000003</v>
      </c>
      <c r="F144" s="25">
        <f t="shared" si="49"/>
        <v>3351.5832999999998</v>
      </c>
      <c r="G144" s="25">
        <f t="shared" si="49"/>
        <v>3350.7292000000002</v>
      </c>
      <c r="H144" s="25">
        <f t="shared" si="49"/>
        <v>405.69749999999999</v>
      </c>
      <c r="I144" s="25">
        <f t="shared" si="49"/>
        <v>412.15069999999997</v>
      </c>
      <c r="K144" s="188">
        <f t="shared" ref="K144:K145" si="53">K141*(1+$R$42)</f>
        <v>635199.15095339692</v>
      </c>
      <c r="L144" s="188">
        <f>L141*(1+$S$42)</f>
        <v>7495.4075139073102</v>
      </c>
      <c r="M144" s="188">
        <f t="shared" ref="M144:R145" si="54">M141*(1+$S$42)</f>
        <v>7451.1410846648805</v>
      </c>
      <c r="N144" s="188">
        <f t="shared" si="54"/>
        <v>3471.3194525466038</v>
      </c>
      <c r="O144" s="188">
        <f t="shared" si="54"/>
        <v>3457.7249400127616</v>
      </c>
      <c r="P144" s="188">
        <f t="shared" si="54"/>
        <v>429.18213123371294</v>
      </c>
      <c r="Q144" s="188">
        <f t="shared" si="54"/>
        <v>420.19402377332102</v>
      </c>
      <c r="R144" s="42">
        <f t="shared" si="54"/>
        <v>2767.6471938411169</v>
      </c>
      <c r="T144"/>
      <c r="U144" s="13">
        <f t="shared" si="43"/>
        <v>44136</v>
      </c>
      <c r="V144" s="14">
        <f t="shared" si="27"/>
        <v>2020</v>
      </c>
      <c r="W144" s="25">
        <f t="shared" si="44"/>
        <v>757839.51280000003</v>
      </c>
      <c r="X144" s="25">
        <f t="shared" si="45"/>
        <v>7660.1286999999993</v>
      </c>
      <c r="Y144" s="25">
        <f t="shared" si="45"/>
        <v>7673.1718999999994</v>
      </c>
      <c r="Z144" s="25">
        <f t="shared" si="45"/>
        <v>3598.8022999999994</v>
      </c>
      <c r="AA144" s="25">
        <f t="shared" si="45"/>
        <v>3597.8851999999997</v>
      </c>
      <c r="AB144" s="25">
        <f t="shared" si="45"/>
        <v>435.62249999999995</v>
      </c>
      <c r="AC144" s="25">
        <f t="shared" si="45"/>
        <v>442.55169999999998</v>
      </c>
    </row>
    <row r="145" spans="1:29" x14ac:dyDescent="0.2">
      <c r="A145" s="22">
        <v>44166</v>
      </c>
      <c r="B145" s="23">
        <f t="shared" si="25"/>
        <v>2020</v>
      </c>
      <c r="C145" s="24">
        <f t="shared" si="46"/>
        <v>699028.7844</v>
      </c>
      <c r="D145" s="25">
        <f t="shared" si="49"/>
        <v>7141.2249999999995</v>
      </c>
      <c r="E145" s="25">
        <f t="shared" si="49"/>
        <v>7150.9047999999993</v>
      </c>
      <c r="F145" s="25">
        <f t="shared" si="49"/>
        <v>3351.8679999999999</v>
      </c>
      <c r="G145" s="25">
        <f t="shared" si="49"/>
        <v>3354.6201000000001</v>
      </c>
      <c r="H145" s="25">
        <f t="shared" si="49"/>
        <v>407.59549999999996</v>
      </c>
      <c r="I145" s="25">
        <f t="shared" si="49"/>
        <v>415.2824</v>
      </c>
      <c r="K145" s="188">
        <f t="shared" si="53"/>
        <v>635199.15095339692</v>
      </c>
      <c r="L145" s="188">
        <f t="shared" ref="L145:Q145" si="55">L142*(1+$S$42)</f>
        <v>7354.6312808089224</v>
      </c>
      <c r="M145" s="188">
        <f t="shared" si="55"/>
        <v>7396.0889264699799</v>
      </c>
      <c r="N145" s="188">
        <f t="shared" si="55"/>
        <v>3395.9317012225674</v>
      </c>
      <c r="O145" s="188">
        <f t="shared" si="55"/>
        <v>3415.4808349489199</v>
      </c>
      <c r="P145" s="188">
        <f t="shared" si="55"/>
        <v>416.8234834756741</v>
      </c>
      <c r="Q145" s="188">
        <f t="shared" si="55"/>
        <v>413.90234855104671</v>
      </c>
      <c r="R145" s="42">
        <f t="shared" si="54"/>
        <v>2782.4899519946475</v>
      </c>
      <c r="T145"/>
      <c r="U145" s="13">
        <f t="shared" si="43"/>
        <v>44166</v>
      </c>
      <c r="V145" s="14">
        <f t="shared" si="27"/>
        <v>2020</v>
      </c>
      <c r="W145" s="25">
        <f t="shared" si="44"/>
        <v>757839.51280000003</v>
      </c>
      <c r="X145" s="25">
        <f t="shared" si="45"/>
        <v>7667.9749999999995</v>
      </c>
      <c r="Y145" s="25">
        <f t="shared" si="45"/>
        <v>7678.3687999999993</v>
      </c>
      <c r="Z145" s="25">
        <f t="shared" si="45"/>
        <v>3599.1079999999997</v>
      </c>
      <c r="AA145" s="25">
        <f t="shared" si="45"/>
        <v>3602.0630999999998</v>
      </c>
      <c r="AB145" s="25">
        <f t="shared" si="45"/>
        <v>437.66049999999996</v>
      </c>
      <c r="AC145" s="25">
        <f t="shared" si="45"/>
        <v>445.9144</v>
      </c>
    </row>
    <row r="146" spans="1:29" x14ac:dyDescent="0.2">
      <c r="A146" s="22">
        <v>44197</v>
      </c>
      <c r="B146" s="23">
        <f t="shared" ref="B146:B157" si="56">YEAR(A146)</f>
        <v>2021</v>
      </c>
      <c r="C146" s="24">
        <f>C134*(1+$Q$14)</f>
        <v>735028.76679660007</v>
      </c>
      <c r="D146" s="25">
        <f t="shared" ref="D146:E146" si="57">D122*(1+$R$8)*(1+$R$9)</f>
        <v>7340.0631099250004</v>
      </c>
      <c r="E146" s="25">
        <f t="shared" si="57"/>
        <v>7317.588512325</v>
      </c>
      <c r="F146" s="25">
        <f>F122*(1+$R$8)*(1+$R$9)</f>
        <v>3406.205865725</v>
      </c>
      <c r="G146" s="25">
        <f t="shared" ref="G146:I146" si="58">G122*(1+$R$8)*(1+$R$9)</f>
        <v>3397.4768925499993</v>
      </c>
      <c r="H146" s="25">
        <f t="shared" si="58"/>
        <v>422.00070315000005</v>
      </c>
      <c r="I146" s="25">
        <f t="shared" si="58"/>
        <v>422.00070315000005</v>
      </c>
      <c r="K146" s="188">
        <f>C146</f>
        <v>735028.76679660007</v>
      </c>
      <c r="L146" s="188">
        <f>D146</f>
        <v>7340.0631099250004</v>
      </c>
      <c r="M146" s="188">
        <f t="shared" ref="L146:Q157" si="59">E146</f>
        <v>7317.588512325</v>
      </c>
      <c r="N146" s="188">
        <f t="shared" si="59"/>
        <v>3406.205865725</v>
      </c>
      <c r="O146" s="188">
        <f t="shared" si="59"/>
        <v>3397.4768925499993</v>
      </c>
      <c r="P146" s="188">
        <f t="shared" si="59"/>
        <v>422.00070315000005</v>
      </c>
      <c r="Q146" s="188">
        <f t="shared" si="59"/>
        <v>422.00070315000005</v>
      </c>
      <c r="R146" s="42">
        <f t="shared" ref="R146:R157" si="60">F146</f>
        <v>3406.205865725</v>
      </c>
      <c r="T146"/>
      <c r="U146" s="13">
        <f t="shared" si="43"/>
        <v>44197</v>
      </c>
      <c r="V146" s="14">
        <f t="shared" si="27"/>
        <v>2021</v>
      </c>
      <c r="W146" s="25">
        <f>W134*(1+$R$32)</f>
        <v>771480.62403040007</v>
      </c>
      <c r="X146" s="25">
        <f>X134*(1+$Q$32)</f>
        <v>7544.1546795999993</v>
      </c>
      <c r="Y146" s="25">
        <f t="shared" ref="Y146:AC146" si="61">Y134*(1+$Q$32)</f>
        <v>7521.0551723999997</v>
      </c>
      <c r="Z146" s="25">
        <f t="shared" si="61"/>
        <v>3500.9159371999999</v>
      </c>
      <c r="AA146" s="25">
        <f t="shared" si="61"/>
        <v>3491.9442535999997</v>
      </c>
      <c r="AB146" s="25">
        <f t="shared" si="61"/>
        <v>433.73449679999999</v>
      </c>
      <c r="AC146" s="25">
        <f t="shared" si="61"/>
        <v>433.73449679999999</v>
      </c>
    </row>
    <row r="147" spans="1:29" x14ac:dyDescent="0.2">
      <c r="A147" s="22">
        <v>44228</v>
      </c>
      <c r="B147" s="23">
        <f t="shared" si="56"/>
        <v>2021</v>
      </c>
      <c r="C147" s="24">
        <f t="shared" ref="C147:C157" si="62">C135*(1+$Q$14)</f>
        <v>735028.76679660007</v>
      </c>
      <c r="D147" s="25">
        <f t="shared" ref="D147:I147" si="63">D123*(1+$R$8)*(1+$R$9)</f>
        <v>7371.166347675</v>
      </c>
      <c r="E147" s="25">
        <f t="shared" si="63"/>
        <v>7310.7658666249999</v>
      </c>
      <c r="F147" s="25">
        <f t="shared" si="63"/>
        <v>3423.6638120749999</v>
      </c>
      <c r="G147" s="25">
        <f t="shared" si="63"/>
        <v>3404.600537325</v>
      </c>
      <c r="H147" s="25">
        <f t="shared" si="63"/>
        <v>423.10436642499997</v>
      </c>
      <c r="I147" s="25">
        <f t="shared" si="63"/>
        <v>421.19803895000001</v>
      </c>
      <c r="K147" s="188">
        <f t="shared" ref="K147:K157" si="64">C147</f>
        <v>735028.76679660007</v>
      </c>
      <c r="L147" s="188">
        <f>D147</f>
        <v>7371.166347675</v>
      </c>
      <c r="M147" s="188">
        <f t="shared" si="59"/>
        <v>7310.7658666249999</v>
      </c>
      <c r="N147" s="188">
        <f t="shared" si="59"/>
        <v>3423.6638120749999</v>
      </c>
      <c r="O147" s="188">
        <f t="shared" si="59"/>
        <v>3404.600537325</v>
      </c>
      <c r="P147" s="188">
        <f t="shared" si="59"/>
        <v>423.10436642499997</v>
      </c>
      <c r="Q147" s="188">
        <f t="shared" si="59"/>
        <v>421.19803895000001</v>
      </c>
      <c r="R147" s="42">
        <f t="shared" si="60"/>
        <v>3423.6638120749999</v>
      </c>
      <c r="T147"/>
      <c r="U147" s="13">
        <f t="shared" si="43"/>
        <v>44228</v>
      </c>
      <c r="V147" s="14">
        <f t="shared" si="27"/>
        <v>2021</v>
      </c>
      <c r="W147" s="25">
        <f t="shared" ref="W147:W157" si="65">W135*(1+$R$32)</f>
        <v>771480.62403040007</v>
      </c>
      <c r="X147" s="25">
        <f t="shared" ref="X147:AC147" si="66">X135*(1+$Q$32)</f>
        <v>7576.1227475999995</v>
      </c>
      <c r="Y147" s="25">
        <f t="shared" si="66"/>
        <v>7514.0428219999994</v>
      </c>
      <c r="Z147" s="25">
        <f t="shared" si="66"/>
        <v>3518.8593043999999</v>
      </c>
      <c r="AA147" s="25">
        <f t="shared" si="66"/>
        <v>3499.2659724</v>
      </c>
      <c r="AB147" s="25">
        <f t="shared" si="66"/>
        <v>434.86884759999998</v>
      </c>
      <c r="AC147" s="25">
        <f t="shared" si="66"/>
        <v>432.90951439999998</v>
      </c>
    </row>
    <row r="148" spans="1:29" x14ac:dyDescent="0.2">
      <c r="A148" s="22">
        <v>44256</v>
      </c>
      <c r="B148" s="23">
        <f t="shared" si="56"/>
        <v>2021</v>
      </c>
      <c r="C148" s="24">
        <f t="shared" si="62"/>
        <v>735028.76679660007</v>
      </c>
      <c r="D148" s="25">
        <f t="shared" ref="D148:I148" si="67">D124*(1+$R$8)*(1+$R$9)</f>
        <v>7395.54727275</v>
      </c>
      <c r="E148" s="25">
        <f t="shared" si="67"/>
        <v>7292.4049230499995</v>
      </c>
      <c r="F148" s="25">
        <f t="shared" si="67"/>
        <v>3442.0247556499994</v>
      </c>
      <c r="G148" s="25">
        <f t="shared" si="67"/>
        <v>3404.9015363999997</v>
      </c>
      <c r="H148" s="25">
        <f t="shared" si="67"/>
        <v>421.90037012499999</v>
      </c>
      <c r="I148" s="25">
        <f t="shared" si="67"/>
        <v>416.48238677500001</v>
      </c>
      <c r="K148" s="188">
        <f t="shared" si="64"/>
        <v>735028.76679660007</v>
      </c>
      <c r="L148" s="188">
        <f t="shared" si="59"/>
        <v>7395.54727275</v>
      </c>
      <c r="M148" s="188">
        <f t="shared" si="59"/>
        <v>7292.4049230499995</v>
      </c>
      <c r="N148" s="188">
        <f t="shared" si="59"/>
        <v>3442.0247556499994</v>
      </c>
      <c r="O148" s="188">
        <f t="shared" si="59"/>
        <v>3404.9015363999997</v>
      </c>
      <c r="P148" s="188">
        <f t="shared" si="59"/>
        <v>421.90037012499999</v>
      </c>
      <c r="Q148" s="188">
        <f t="shared" si="59"/>
        <v>416.48238677500001</v>
      </c>
      <c r="R148" s="42">
        <f t="shared" si="60"/>
        <v>3442.0247556499994</v>
      </c>
      <c r="T148"/>
      <c r="U148" s="13">
        <f t="shared" si="43"/>
        <v>44256</v>
      </c>
      <c r="V148" s="14">
        <f t="shared" si="27"/>
        <v>2021</v>
      </c>
      <c r="W148" s="25">
        <f t="shared" si="65"/>
        <v>771480.62403040007</v>
      </c>
      <c r="X148" s="25">
        <f t="shared" ref="X148:AC148" si="68">X136*(1+$Q$32)</f>
        <v>7601.1815879999995</v>
      </c>
      <c r="Y148" s="25">
        <f t="shared" si="68"/>
        <v>7495.1713495999993</v>
      </c>
      <c r="Z148" s="25">
        <f t="shared" si="68"/>
        <v>3537.7307767999996</v>
      </c>
      <c r="AA148" s="25">
        <f t="shared" si="68"/>
        <v>3499.5753407999996</v>
      </c>
      <c r="AB148" s="25">
        <f t="shared" si="68"/>
        <v>433.63137399999999</v>
      </c>
      <c r="AC148" s="25">
        <f t="shared" si="68"/>
        <v>428.06274280000002</v>
      </c>
    </row>
    <row r="149" spans="1:29" x14ac:dyDescent="0.2">
      <c r="A149" s="22">
        <v>44287</v>
      </c>
      <c r="B149" s="23">
        <f t="shared" si="56"/>
        <v>2021</v>
      </c>
      <c r="C149" s="24">
        <f t="shared" si="62"/>
        <v>735028.76679660007</v>
      </c>
      <c r="D149" s="25">
        <f t="shared" ref="D149:I149" si="69">D125*(1+$R$8)*(1+$R$9)</f>
        <v>7420.0285308499997</v>
      </c>
      <c r="E149" s="25">
        <f t="shared" si="69"/>
        <v>7328.6251450750005</v>
      </c>
      <c r="F149" s="25">
        <f t="shared" si="69"/>
        <v>3459.3823689750002</v>
      </c>
      <c r="G149" s="25">
        <f t="shared" si="69"/>
        <v>3429.5834605499999</v>
      </c>
      <c r="H149" s="25">
        <f t="shared" si="69"/>
        <v>418.89037937500001</v>
      </c>
      <c r="I149" s="25">
        <f t="shared" si="69"/>
        <v>412.56939879999999</v>
      </c>
      <c r="K149" s="188">
        <f t="shared" si="64"/>
        <v>735028.76679660007</v>
      </c>
      <c r="L149" s="188">
        <f t="shared" si="59"/>
        <v>7420.0285308499997</v>
      </c>
      <c r="M149" s="188">
        <f t="shared" si="59"/>
        <v>7328.6251450750005</v>
      </c>
      <c r="N149" s="188">
        <f t="shared" si="59"/>
        <v>3459.3823689750002</v>
      </c>
      <c r="O149" s="188">
        <f t="shared" si="59"/>
        <v>3429.5834605499999</v>
      </c>
      <c r="P149" s="188">
        <f t="shared" si="59"/>
        <v>418.89037937500001</v>
      </c>
      <c r="Q149" s="188">
        <f t="shared" si="59"/>
        <v>412.56939879999999</v>
      </c>
      <c r="R149" s="42">
        <f t="shared" si="60"/>
        <v>3459.3823689750002</v>
      </c>
      <c r="T149"/>
      <c r="U149" s="13">
        <f t="shared" si="43"/>
        <v>44287</v>
      </c>
      <c r="V149" s="14">
        <f t="shared" si="27"/>
        <v>2021</v>
      </c>
      <c r="W149" s="25">
        <f t="shared" si="65"/>
        <v>771480.62403040007</v>
      </c>
      <c r="X149" s="25">
        <f t="shared" ref="X149:AC149" si="70">X137*(1+$Q$32)</f>
        <v>7626.3435511999987</v>
      </c>
      <c r="Y149" s="25">
        <f t="shared" si="70"/>
        <v>7532.3986803999996</v>
      </c>
      <c r="Z149" s="25">
        <f t="shared" si="70"/>
        <v>3555.5710211999994</v>
      </c>
      <c r="AA149" s="25">
        <f t="shared" si="70"/>
        <v>3524.9435495999992</v>
      </c>
      <c r="AB149" s="25">
        <f t="shared" si="70"/>
        <v>430.53768999999994</v>
      </c>
      <c r="AC149" s="25">
        <f t="shared" si="70"/>
        <v>424.04095359999997</v>
      </c>
    </row>
    <row r="150" spans="1:29" x14ac:dyDescent="0.2">
      <c r="A150" s="22">
        <v>44317</v>
      </c>
      <c r="B150" s="23">
        <f t="shared" si="56"/>
        <v>2021</v>
      </c>
      <c r="C150" s="24">
        <f t="shared" si="62"/>
        <v>735028.76679660007</v>
      </c>
      <c r="D150" s="25">
        <f t="shared" ref="D150:I150" si="71">D126*(1+$R$8)*(1+$R$9)</f>
        <v>7437.28581115</v>
      </c>
      <c r="E150" s="25">
        <f t="shared" si="71"/>
        <v>7401.4669212249992</v>
      </c>
      <c r="F150" s="25">
        <f t="shared" si="71"/>
        <v>3473.2283264249995</v>
      </c>
      <c r="G150" s="25">
        <f t="shared" si="71"/>
        <v>3464.3990202249997</v>
      </c>
      <c r="H150" s="25">
        <f t="shared" si="71"/>
        <v>417.08438492499994</v>
      </c>
      <c r="I150" s="25">
        <f t="shared" si="71"/>
        <v>412.56939879999999</v>
      </c>
      <c r="K150" s="188">
        <f t="shared" si="64"/>
        <v>735028.76679660007</v>
      </c>
      <c r="L150" s="188">
        <f t="shared" si="59"/>
        <v>7437.28581115</v>
      </c>
      <c r="M150" s="188">
        <f t="shared" si="59"/>
        <v>7401.4669212249992</v>
      </c>
      <c r="N150" s="188">
        <f t="shared" si="59"/>
        <v>3473.2283264249995</v>
      </c>
      <c r="O150" s="188">
        <f t="shared" si="59"/>
        <v>3464.3990202249997</v>
      </c>
      <c r="P150" s="188">
        <f t="shared" si="59"/>
        <v>417.08438492499994</v>
      </c>
      <c r="Q150" s="188">
        <f t="shared" si="59"/>
        <v>412.56939879999999</v>
      </c>
      <c r="R150" s="42">
        <f t="shared" si="60"/>
        <v>3473.2283264249995</v>
      </c>
      <c r="T150"/>
      <c r="U150" s="13">
        <f t="shared" si="43"/>
        <v>44317</v>
      </c>
      <c r="V150" s="14">
        <f t="shared" si="27"/>
        <v>2021</v>
      </c>
      <c r="W150" s="25">
        <f t="shared" si="65"/>
        <v>771480.62403040007</v>
      </c>
      <c r="X150" s="25">
        <f t="shared" ref="X150:AC150" si="72">X138*(1+$Q$32)</f>
        <v>7644.0806727999998</v>
      </c>
      <c r="Y150" s="25">
        <f t="shared" si="72"/>
        <v>7607.2658331999992</v>
      </c>
      <c r="Z150" s="25">
        <f t="shared" si="72"/>
        <v>3569.8019675999994</v>
      </c>
      <c r="AA150" s="25">
        <f t="shared" si="72"/>
        <v>3560.7271612</v>
      </c>
      <c r="AB150" s="25">
        <f t="shared" si="72"/>
        <v>428.68147959999993</v>
      </c>
      <c r="AC150" s="25">
        <f t="shared" si="72"/>
        <v>424.04095359999997</v>
      </c>
    </row>
    <row r="151" spans="1:29" x14ac:dyDescent="0.2">
      <c r="A151" s="22">
        <v>44348</v>
      </c>
      <c r="B151" s="23">
        <f t="shared" si="56"/>
        <v>2021</v>
      </c>
      <c r="C151" s="24">
        <f t="shared" si="62"/>
        <v>735028.76679660007</v>
      </c>
      <c r="D151" s="25">
        <f t="shared" ref="D151:I151" si="73">D127*(1+$R$8)*(1+$R$9)</f>
        <v>7455.0447565750001</v>
      </c>
      <c r="E151" s="25">
        <f t="shared" si="73"/>
        <v>7496.9839610250001</v>
      </c>
      <c r="F151" s="25">
        <f t="shared" si="73"/>
        <v>3483.9639601000003</v>
      </c>
      <c r="G151" s="25">
        <f t="shared" si="73"/>
        <v>3503.8298990499998</v>
      </c>
      <c r="H151" s="25">
        <f t="shared" si="73"/>
        <v>417.68638307499998</v>
      </c>
      <c r="I151" s="25">
        <f t="shared" si="73"/>
        <v>416.78338584999995</v>
      </c>
      <c r="K151" s="188">
        <f t="shared" si="64"/>
        <v>735028.76679660007</v>
      </c>
      <c r="L151" s="188">
        <f t="shared" si="59"/>
        <v>7455.0447565750001</v>
      </c>
      <c r="M151" s="188">
        <f t="shared" si="59"/>
        <v>7496.9839610250001</v>
      </c>
      <c r="N151" s="188">
        <f t="shared" si="59"/>
        <v>3483.9639601000003</v>
      </c>
      <c r="O151" s="188">
        <f t="shared" si="59"/>
        <v>3503.8298990499998</v>
      </c>
      <c r="P151" s="188">
        <f t="shared" si="59"/>
        <v>417.68638307499998</v>
      </c>
      <c r="Q151" s="188">
        <f t="shared" si="59"/>
        <v>416.78338584999995</v>
      </c>
      <c r="R151" s="42">
        <f t="shared" si="60"/>
        <v>3483.9639601000003</v>
      </c>
      <c r="T151"/>
      <c r="U151" s="13">
        <f t="shared" si="43"/>
        <v>44348</v>
      </c>
      <c r="V151" s="14">
        <f t="shared" si="27"/>
        <v>2021</v>
      </c>
      <c r="W151" s="25">
        <f t="shared" si="65"/>
        <v>771480.62403040007</v>
      </c>
      <c r="X151" s="25">
        <f t="shared" ref="X151:AC151" si="74">X139*(1+$Q$32)</f>
        <v>7662.3334083999989</v>
      </c>
      <c r="Y151" s="25">
        <f t="shared" si="74"/>
        <v>7705.4387387999996</v>
      </c>
      <c r="Z151" s="25">
        <f t="shared" si="74"/>
        <v>3580.8361071999998</v>
      </c>
      <c r="AA151" s="25">
        <f t="shared" si="74"/>
        <v>3601.2544215999992</v>
      </c>
      <c r="AB151" s="25">
        <f t="shared" si="74"/>
        <v>429.30021640000001</v>
      </c>
      <c r="AC151" s="25">
        <f t="shared" si="74"/>
        <v>428.37211119999995</v>
      </c>
    </row>
    <row r="152" spans="1:29" x14ac:dyDescent="0.2">
      <c r="A152" s="22">
        <v>44378</v>
      </c>
      <c r="B152" s="23">
        <f t="shared" si="56"/>
        <v>2021</v>
      </c>
      <c r="C152" s="24">
        <f t="shared" si="62"/>
        <v>735028.76679660007</v>
      </c>
      <c r="D152" s="25">
        <f t="shared" ref="D152:I152" si="75">D128*(1+$R$8)*(1+$R$9)</f>
        <v>7457.6534152249997</v>
      </c>
      <c r="E152" s="25">
        <f t="shared" si="75"/>
        <v>7549.458133099999</v>
      </c>
      <c r="F152" s="25">
        <f t="shared" si="75"/>
        <v>3499.1142468749999</v>
      </c>
      <c r="G152" s="25">
        <f t="shared" si="75"/>
        <v>3538.1437935999998</v>
      </c>
      <c r="H152" s="25">
        <f t="shared" si="75"/>
        <v>417.28505097499993</v>
      </c>
      <c r="I152" s="25">
        <f t="shared" si="75"/>
        <v>419.19137845</v>
      </c>
      <c r="K152" s="188">
        <f t="shared" si="64"/>
        <v>735028.76679660007</v>
      </c>
      <c r="L152" s="188">
        <f t="shared" si="59"/>
        <v>7457.6534152249997</v>
      </c>
      <c r="M152" s="188">
        <f t="shared" si="59"/>
        <v>7549.458133099999</v>
      </c>
      <c r="N152" s="188">
        <f t="shared" si="59"/>
        <v>3499.1142468749999</v>
      </c>
      <c r="O152" s="188">
        <f t="shared" si="59"/>
        <v>3538.1437935999998</v>
      </c>
      <c r="P152" s="188">
        <f t="shared" si="59"/>
        <v>417.28505097499993</v>
      </c>
      <c r="Q152" s="188">
        <f t="shared" si="59"/>
        <v>419.19137845</v>
      </c>
      <c r="R152" s="42">
        <f t="shared" si="60"/>
        <v>3499.1142468749999</v>
      </c>
      <c r="T152"/>
      <c r="U152" s="13">
        <f t="shared" si="43"/>
        <v>44378</v>
      </c>
      <c r="V152" s="14">
        <f t="shared" si="27"/>
        <v>2021</v>
      </c>
      <c r="W152" s="25">
        <f t="shared" si="65"/>
        <v>771480.62403040007</v>
      </c>
      <c r="X152" s="25">
        <f t="shared" ref="X152:AC152" si="76">X140*(1+$Q$32)</f>
        <v>7665.0146011999996</v>
      </c>
      <c r="Y152" s="25">
        <f t="shared" si="76"/>
        <v>7759.3719631999984</v>
      </c>
      <c r="Z152" s="25">
        <f t="shared" si="76"/>
        <v>3596.4076499999996</v>
      </c>
      <c r="AA152" s="25">
        <f t="shared" si="76"/>
        <v>3636.5224191999996</v>
      </c>
      <c r="AB152" s="25">
        <f t="shared" si="76"/>
        <v>428.88772519999992</v>
      </c>
      <c r="AC152" s="25">
        <f t="shared" si="76"/>
        <v>430.84705839999998</v>
      </c>
    </row>
    <row r="153" spans="1:29" x14ac:dyDescent="0.2">
      <c r="A153" s="22">
        <v>44409</v>
      </c>
      <c r="B153" s="23">
        <f t="shared" si="56"/>
        <v>2021</v>
      </c>
      <c r="C153" s="24">
        <f t="shared" si="62"/>
        <v>735028.76679660007</v>
      </c>
      <c r="D153" s="25">
        <f t="shared" ref="D153:I153" si="77">D129*(1+$R$8)*(1+$R$9)</f>
        <v>7474.4090304000001</v>
      </c>
      <c r="E153" s="25">
        <f t="shared" si="77"/>
        <v>7566.0130822249994</v>
      </c>
      <c r="F153" s="25">
        <f t="shared" si="77"/>
        <v>3511.7562080249995</v>
      </c>
      <c r="G153" s="25">
        <f t="shared" si="77"/>
        <v>3545.5684374500001</v>
      </c>
      <c r="H153" s="25">
        <f t="shared" si="77"/>
        <v>420.19470869999998</v>
      </c>
      <c r="I153" s="25">
        <f t="shared" si="77"/>
        <v>423.70636457500001</v>
      </c>
      <c r="K153" s="188">
        <f t="shared" si="64"/>
        <v>735028.76679660007</v>
      </c>
      <c r="L153" s="188">
        <f t="shared" si="59"/>
        <v>7474.4090304000001</v>
      </c>
      <c r="M153" s="188">
        <f t="shared" si="59"/>
        <v>7566.0130822249994</v>
      </c>
      <c r="N153" s="188">
        <f t="shared" si="59"/>
        <v>3511.7562080249995</v>
      </c>
      <c r="O153" s="188">
        <f t="shared" si="59"/>
        <v>3545.5684374500001</v>
      </c>
      <c r="P153" s="188">
        <f t="shared" si="59"/>
        <v>420.19470869999998</v>
      </c>
      <c r="Q153" s="188">
        <f t="shared" si="59"/>
        <v>423.70636457500001</v>
      </c>
      <c r="R153" s="42">
        <f t="shared" si="60"/>
        <v>3511.7562080249995</v>
      </c>
      <c r="T153"/>
      <c r="U153" s="13">
        <f t="shared" si="43"/>
        <v>44409</v>
      </c>
      <c r="V153" s="14">
        <f t="shared" si="27"/>
        <v>2021</v>
      </c>
      <c r="W153" s="25">
        <f t="shared" si="65"/>
        <v>771480.62403040007</v>
      </c>
      <c r="X153" s="25">
        <f t="shared" ref="X153:AC153" si="78">X141*(1+$Q$32)</f>
        <v>7682.2361087999998</v>
      </c>
      <c r="Y153" s="25">
        <f t="shared" si="78"/>
        <v>7776.3872251999992</v>
      </c>
      <c r="Z153" s="25">
        <f t="shared" si="78"/>
        <v>3609.4011227999995</v>
      </c>
      <c r="AA153" s="25">
        <f t="shared" si="78"/>
        <v>3644.1535064</v>
      </c>
      <c r="AB153" s="25">
        <f t="shared" si="78"/>
        <v>431.87828639999998</v>
      </c>
      <c r="AC153" s="25">
        <f t="shared" si="78"/>
        <v>435.4875844</v>
      </c>
    </row>
    <row r="154" spans="1:29" x14ac:dyDescent="0.2">
      <c r="A154" s="22">
        <v>44440</v>
      </c>
      <c r="B154" s="23">
        <f t="shared" si="56"/>
        <v>2021</v>
      </c>
      <c r="C154" s="24">
        <f t="shared" si="62"/>
        <v>735028.76679660007</v>
      </c>
      <c r="D154" s="25">
        <f t="shared" ref="D154:I154" si="79">D130*(1+$R$8)*(1+$R$9)</f>
        <v>7503.2046085749998</v>
      </c>
      <c r="E154" s="25">
        <f t="shared" si="79"/>
        <v>7560.0934337499993</v>
      </c>
      <c r="F154" s="25">
        <f t="shared" si="79"/>
        <v>3534.6321377249997</v>
      </c>
      <c r="G154" s="25">
        <f t="shared" si="79"/>
        <v>3557.106735325</v>
      </c>
      <c r="H154" s="25">
        <f t="shared" si="79"/>
        <v>421.29837197499995</v>
      </c>
      <c r="I154" s="25">
        <f t="shared" si="79"/>
        <v>424.50902877500005</v>
      </c>
      <c r="K154" s="188">
        <f t="shared" si="64"/>
        <v>735028.76679660007</v>
      </c>
      <c r="L154" s="188">
        <f t="shared" si="59"/>
        <v>7503.2046085749998</v>
      </c>
      <c r="M154" s="188">
        <f t="shared" si="59"/>
        <v>7560.0934337499993</v>
      </c>
      <c r="N154" s="188">
        <f t="shared" si="59"/>
        <v>3534.6321377249997</v>
      </c>
      <c r="O154" s="188">
        <f t="shared" si="59"/>
        <v>3557.106735325</v>
      </c>
      <c r="P154" s="188">
        <f t="shared" si="59"/>
        <v>421.29837197499995</v>
      </c>
      <c r="Q154" s="188">
        <f t="shared" si="59"/>
        <v>424.50902877500005</v>
      </c>
      <c r="R154" s="42">
        <f t="shared" si="60"/>
        <v>3534.6321377249997</v>
      </c>
      <c r="T154"/>
      <c r="U154" s="13">
        <f t="shared" si="43"/>
        <v>44440</v>
      </c>
      <c r="V154" s="14">
        <f t="shared" si="27"/>
        <v>2021</v>
      </c>
      <c r="W154" s="25">
        <f t="shared" si="65"/>
        <v>771480.62403040007</v>
      </c>
      <c r="X154" s="25">
        <f t="shared" ref="X154:AC154" si="80">X142*(1+$Q$32)</f>
        <v>7711.8323523999998</v>
      </c>
      <c r="Y154" s="25">
        <f t="shared" si="80"/>
        <v>7770.3029799999995</v>
      </c>
      <c r="Z154" s="25">
        <f t="shared" si="80"/>
        <v>3632.9131211999998</v>
      </c>
      <c r="AA154" s="25">
        <f t="shared" si="80"/>
        <v>3656.0126283999998</v>
      </c>
      <c r="AB154" s="25">
        <f t="shared" si="80"/>
        <v>433.01263719999997</v>
      </c>
      <c r="AC154" s="25">
        <f t="shared" si="80"/>
        <v>436.31256679999996</v>
      </c>
    </row>
    <row r="155" spans="1:29" x14ac:dyDescent="0.2">
      <c r="A155" s="22">
        <v>44470</v>
      </c>
      <c r="B155" s="23">
        <f t="shared" si="56"/>
        <v>2021</v>
      </c>
      <c r="C155" s="24">
        <f t="shared" si="62"/>
        <v>735028.76679660007</v>
      </c>
      <c r="D155" s="25">
        <f t="shared" ref="D155:I155" si="81">D131*(1+$R$8)*(1+$R$9)</f>
        <v>7528.9901959999997</v>
      </c>
      <c r="E155" s="25">
        <f t="shared" si="81"/>
        <v>7563.605089624999</v>
      </c>
      <c r="F155" s="25">
        <f t="shared" si="81"/>
        <v>3537.2407963749997</v>
      </c>
      <c r="G155" s="25">
        <f t="shared" si="81"/>
        <v>3541.9564485499995</v>
      </c>
      <c r="H155" s="25">
        <f t="shared" si="81"/>
        <v>428.723015825</v>
      </c>
      <c r="I155" s="25">
        <f t="shared" si="81"/>
        <v>434.84333034999997</v>
      </c>
      <c r="K155" s="188">
        <f t="shared" si="64"/>
        <v>735028.76679660007</v>
      </c>
      <c r="L155" s="188">
        <f t="shared" si="59"/>
        <v>7528.9901959999997</v>
      </c>
      <c r="M155" s="188">
        <f t="shared" si="59"/>
        <v>7563.605089624999</v>
      </c>
      <c r="N155" s="188">
        <f t="shared" si="59"/>
        <v>3537.2407963749997</v>
      </c>
      <c r="O155" s="188">
        <f t="shared" si="59"/>
        <v>3541.9564485499995</v>
      </c>
      <c r="P155" s="188">
        <f t="shared" si="59"/>
        <v>428.723015825</v>
      </c>
      <c r="Q155" s="188">
        <f t="shared" si="59"/>
        <v>434.84333034999997</v>
      </c>
      <c r="R155" s="42">
        <f t="shared" si="60"/>
        <v>3537.2407963749997</v>
      </c>
      <c r="T155"/>
      <c r="U155" s="13">
        <f t="shared" si="43"/>
        <v>44470</v>
      </c>
      <c r="V155" s="14">
        <f t="shared" si="27"/>
        <v>2021</v>
      </c>
      <c r="W155" s="25">
        <f t="shared" si="65"/>
        <v>771480.62403040007</v>
      </c>
      <c r="X155" s="25">
        <f t="shared" ref="X155:AC155" si="82">X143*(1+$Q$32)</f>
        <v>7738.3349119999993</v>
      </c>
      <c r="Y155" s="25">
        <f t="shared" si="82"/>
        <v>7773.9122779999989</v>
      </c>
      <c r="Z155" s="25">
        <f t="shared" si="82"/>
        <v>3635.5943139999995</v>
      </c>
      <c r="AA155" s="25">
        <f t="shared" si="82"/>
        <v>3640.4410855999995</v>
      </c>
      <c r="AB155" s="25">
        <f t="shared" si="82"/>
        <v>440.64372439999994</v>
      </c>
      <c r="AC155" s="25">
        <f t="shared" si="82"/>
        <v>446.93421519999993</v>
      </c>
    </row>
    <row r="156" spans="1:29" x14ac:dyDescent="0.2">
      <c r="A156" s="22">
        <v>44501</v>
      </c>
      <c r="B156" s="23">
        <f t="shared" si="56"/>
        <v>2021</v>
      </c>
      <c r="C156" s="24">
        <f t="shared" si="62"/>
        <v>735028.76679660007</v>
      </c>
      <c r="D156" s="25">
        <f t="shared" ref="D156:I156" si="83">D132*(1+$R$8)*(1+$R$9)</f>
        <v>7542.3344883250002</v>
      </c>
      <c r="E156" s="25">
        <f t="shared" si="83"/>
        <v>7555.1771155250008</v>
      </c>
      <c r="F156" s="25">
        <f t="shared" si="83"/>
        <v>3543.4614439249999</v>
      </c>
      <c r="G156" s="25">
        <f t="shared" si="83"/>
        <v>3542.5584467000003</v>
      </c>
      <c r="H156" s="25">
        <f t="shared" si="83"/>
        <v>428.923681875</v>
      </c>
      <c r="I156" s="25">
        <f t="shared" si="83"/>
        <v>435.74632757499995</v>
      </c>
      <c r="K156" s="188">
        <f t="shared" si="64"/>
        <v>735028.76679660007</v>
      </c>
      <c r="L156" s="188">
        <f t="shared" si="59"/>
        <v>7542.3344883250002</v>
      </c>
      <c r="M156" s="188">
        <f t="shared" si="59"/>
        <v>7555.1771155250008</v>
      </c>
      <c r="N156" s="188">
        <f t="shared" si="59"/>
        <v>3543.4614439249999</v>
      </c>
      <c r="O156" s="188">
        <f t="shared" si="59"/>
        <v>3542.5584467000003</v>
      </c>
      <c r="P156" s="188">
        <f t="shared" si="59"/>
        <v>428.923681875</v>
      </c>
      <c r="Q156" s="188">
        <f t="shared" si="59"/>
        <v>435.74632757499995</v>
      </c>
      <c r="R156" s="42">
        <f t="shared" si="60"/>
        <v>3543.4614439249999</v>
      </c>
      <c r="T156"/>
      <c r="U156" s="13">
        <f t="shared" si="43"/>
        <v>44501</v>
      </c>
      <c r="V156" s="14">
        <f t="shared" si="27"/>
        <v>2021</v>
      </c>
      <c r="W156" s="25">
        <f t="shared" si="65"/>
        <v>771480.62403040007</v>
      </c>
      <c r="X156" s="25">
        <f t="shared" ref="X156:AC156" si="84">X144*(1+$Q$32)</f>
        <v>7752.0502443999994</v>
      </c>
      <c r="Y156" s="25">
        <f t="shared" si="84"/>
        <v>7765.2499627999996</v>
      </c>
      <c r="Z156" s="25">
        <f t="shared" si="84"/>
        <v>3641.9879275999992</v>
      </c>
      <c r="AA156" s="25">
        <f t="shared" si="84"/>
        <v>3641.0598223999996</v>
      </c>
      <c r="AB156" s="25">
        <f t="shared" si="84"/>
        <v>440.84996999999993</v>
      </c>
      <c r="AC156" s="25">
        <f t="shared" si="84"/>
        <v>447.86232039999999</v>
      </c>
    </row>
    <row r="157" spans="1:29" x14ac:dyDescent="0.2">
      <c r="A157" s="22">
        <v>44531</v>
      </c>
      <c r="B157" s="23">
        <f t="shared" si="56"/>
        <v>2021</v>
      </c>
      <c r="C157" s="24">
        <f t="shared" si="62"/>
        <v>735028.76679660007</v>
      </c>
      <c r="D157" s="25">
        <f t="shared" ref="D157:I157" si="85">D133*(1+$R$8)*(1+$R$9)</f>
        <v>7550.0601312499994</v>
      </c>
      <c r="E157" s="25">
        <f t="shared" si="85"/>
        <v>7560.2940997999995</v>
      </c>
      <c r="F157" s="25">
        <f t="shared" si="85"/>
        <v>3543.7624430000001</v>
      </c>
      <c r="G157" s="25">
        <f t="shared" si="85"/>
        <v>3546.6721007250003</v>
      </c>
      <c r="H157" s="25">
        <f t="shared" si="85"/>
        <v>430.93034237499995</v>
      </c>
      <c r="I157" s="25">
        <f t="shared" si="85"/>
        <v>439.05731739999999</v>
      </c>
      <c r="K157" s="188">
        <f t="shared" si="64"/>
        <v>735028.76679660007</v>
      </c>
      <c r="L157" s="188">
        <f t="shared" si="59"/>
        <v>7550.0601312499994</v>
      </c>
      <c r="M157" s="188">
        <f t="shared" si="59"/>
        <v>7560.2940997999995</v>
      </c>
      <c r="N157" s="188">
        <f t="shared" si="59"/>
        <v>3543.7624430000001</v>
      </c>
      <c r="O157" s="188">
        <f t="shared" si="59"/>
        <v>3546.6721007250003</v>
      </c>
      <c r="P157" s="188">
        <f t="shared" si="59"/>
        <v>430.93034237499995</v>
      </c>
      <c r="Q157" s="188">
        <f t="shared" si="59"/>
        <v>439.05731739999999</v>
      </c>
      <c r="R157" s="42">
        <f t="shared" si="60"/>
        <v>3543.7624430000001</v>
      </c>
      <c r="T157"/>
      <c r="U157" s="13">
        <f t="shared" si="43"/>
        <v>44531</v>
      </c>
      <c r="V157" s="14">
        <f t="shared" si="27"/>
        <v>2021</v>
      </c>
      <c r="W157" s="25">
        <f t="shared" si="65"/>
        <v>771480.62403040007</v>
      </c>
      <c r="X157" s="25">
        <f t="shared" ref="X157:AC157" si="86">X145*(1+$Q$32)</f>
        <v>7759.9906999999994</v>
      </c>
      <c r="Y157" s="25">
        <f t="shared" si="86"/>
        <v>7770.5092255999998</v>
      </c>
      <c r="Z157" s="25">
        <f t="shared" si="86"/>
        <v>3642.2972959999997</v>
      </c>
      <c r="AA157" s="25">
        <f t="shared" si="86"/>
        <v>3645.2878572</v>
      </c>
      <c r="AB157" s="25">
        <f t="shared" si="86"/>
        <v>442.91242599999998</v>
      </c>
      <c r="AC157" s="25">
        <f t="shared" si="86"/>
        <v>451.26537280000002</v>
      </c>
    </row>
    <row r="158" spans="1:29" x14ac:dyDescent="0.2">
      <c r="Q158" s="174"/>
      <c r="T158"/>
      <c r="U158"/>
      <c r="V158"/>
      <c r="W158"/>
      <c r="X158"/>
      <c r="Y158"/>
      <c r="Z158"/>
      <c r="AA158"/>
      <c r="AB158"/>
    </row>
    <row r="159" spans="1:29" x14ac:dyDescent="0.2">
      <c r="K159" s="26"/>
      <c r="L159" s="26"/>
      <c r="M159" s="26"/>
      <c r="N159" s="26"/>
      <c r="O159" s="26"/>
      <c r="P159" s="26"/>
      <c r="Q159" s="26"/>
      <c r="T159"/>
      <c r="U159"/>
      <c r="V159"/>
      <c r="W159"/>
      <c r="X159"/>
      <c r="Y159"/>
      <c r="Z159"/>
      <c r="AA159"/>
      <c r="AB159"/>
    </row>
    <row r="160" spans="1:29" x14ac:dyDescent="0.2">
      <c r="D160" s="216"/>
      <c r="K160" s="26"/>
      <c r="L160" s="26"/>
      <c r="M160" s="26"/>
      <c r="N160" s="26"/>
      <c r="O160" s="26"/>
      <c r="P160" s="26"/>
      <c r="Q160" s="26"/>
      <c r="T160"/>
      <c r="U160"/>
      <c r="V160"/>
      <c r="W160"/>
      <c r="X160"/>
      <c r="Y160"/>
      <c r="Z160"/>
      <c r="AA160"/>
      <c r="AB160"/>
    </row>
    <row r="161" spans="4:28" x14ac:dyDescent="0.2">
      <c r="D161" s="20"/>
      <c r="E161" s="201"/>
      <c r="F161" s="201"/>
      <c r="G161" s="201"/>
      <c r="H161" s="201"/>
      <c r="I161" s="201"/>
      <c r="Q161" s="174"/>
      <c r="T161"/>
      <c r="U161"/>
      <c r="V161"/>
      <c r="W161"/>
      <c r="X161"/>
      <c r="Y161"/>
      <c r="Z161"/>
      <c r="AA161"/>
      <c r="AB161"/>
    </row>
    <row r="162" spans="4:28" x14ac:dyDescent="0.2">
      <c r="L162" s="174"/>
      <c r="M162" s="174"/>
      <c r="N162" s="174"/>
      <c r="O162" s="174"/>
      <c r="P162" s="174"/>
      <c r="Q162" s="174"/>
      <c r="T162"/>
      <c r="U162"/>
      <c r="V162"/>
      <c r="W162"/>
      <c r="X162"/>
      <c r="Y162"/>
      <c r="Z162"/>
      <c r="AA162"/>
      <c r="AB162"/>
    </row>
    <row r="163" spans="4:28" x14ac:dyDescent="0.2">
      <c r="T163"/>
      <c r="U163"/>
      <c r="V163"/>
      <c r="W163"/>
      <c r="X163"/>
      <c r="Y163"/>
      <c r="Z163"/>
      <c r="AA163"/>
      <c r="AB163"/>
    </row>
    <row r="164" spans="4:28" x14ac:dyDescent="0.2">
      <c r="T164"/>
      <c r="U164"/>
      <c r="V164"/>
      <c r="W164"/>
      <c r="X164"/>
      <c r="Y164"/>
      <c r="Z164"/>
      <c r="AA164"/>
      <c r="AB164"/>
    </row>
    <row r="167" spans="4:28" ht="18.75" x14ac:dyDescent="0.2">
      <c r="U167" s="218"/>
      <c r="V167" s="219"/>
      <c r="W167" s="219"/>
      <c r="X167" s="219"/>
      <c r="Y167" s="219"/>
      <c r="Z167" s="220"/>
      <c r="AA167" s="220"/>
    </row>
    <row r="168" spans="4:28" ht="18.75" x14ac:dyDescent="0.2">
      <c r="U168" s="218"/>
      <c r="V168" s="219"/>
      <c r="W168" s="219"/>
      <c r="X168" s="219"/>
      <c r="Y168" s="219"/>
      <c r="Z168" s="220"/>
      <c r="AA168" s="220"/>
    </row>
    <row r="169" spans="4:28" ht="18.75" x14ac:dyDescent="0.2">
      <c r="U169" s="218"/>
      <c r="V169" s="219"/>
      <c r="W169" s="219"/>
      <c r="X169" s="219"/>
      <c r="Y169" s="219"/>
      <c r="Z169" s="220"/>
      <c r="AA169" s="220"/>
    </row>
    <row r="170" spans="4:28" ht="18.75" x14ac:dyDescent="0.2">
      <c r="U170" s="218"/>
      <c r="V170" s="219"/>
      <c r="W170" s="219"/>
      <c r="X170" s="219"/>
      <c r="Y170" s="219"/>
      <c r="Z170" s="220"/>
      <c r="AA170" s="220"/>
    </row>
    <row r="171" spans="4:28" ht="18.75" x14ac:dyDescent="0.2">
      <c r="U171" s="218"/>
      <c r="V171" s="219"/>
      <c r="W171" s="219"/>
      <c r="X171" s="219"/>
      <c r="Y171" s="219"/>
      <c r="Z171" s="220"/>
      <c r="AA171" s="220"/>
    </row>
    <row r="172" spans="4:28" ht="18.75" x14ac:dyDescent="0.2">
      <c r="U172" s="218"/>
      <c r="V172" s="219"/>
      <c r="W172" s="219"/>
      <c r="X172" s="219"/>
      <c r="Y172" s="219"/>
      <c r="Z172" s="220"/>
      <c r="AA172" s="220"/>
    </row>
    <row r="173" spans="4:28" ht="18.75" x14ac:dyDescent="0.2">
      <c r="U173" s="218"/>
      <c r="V173" s="219"/>
      <c r="W173" s="219"/>
      <c r="X173" s="219"/>
      <c r="Y173" s="219"/>
      <c r="Z173" s="220"/>
      <c r="AA173" s="220"/>
    </row>
    <row r="174" spans="4:28" ht="18.75" x14ac:dyDescent="0.2">
      <c r="U174" s="218"/>
      <c r="V174" s="219"/>
      <c r="W174" s="219"/>
      <c r="X174" s="219"/>
      <c r="Y174" s="219"/>
      <c r="Z174" s="220"/>
      <c r="AA174" s="220"/>
    </row>
    <row r="175" spans="4:28" ht="18.75" x14ac:dyDescent="0.2">
      <c r="U175" s="218"/>
      <c r="V175" s="219"/>
      <c r="W175" s="219"/>
      <c r="X175" s="219"/>
      <c r="Y175" s="219"/>
      <c r="Z175" s="220"/>
      <c r="AA175" s="220"/>
    </row>
    <row r="176" spans="4:28" ht="18.75" x14ac:dyDescent="0.2">
      <c r="U176" s="218"/>
      <c r="V176" s="219"/>
      <c r="W176" s="219"/>
      <c r="X176" s="219"/>
      <c r="Y176" s="219"/>
      <c r="Z176" s="220"/>
      <c r="AA176" s="220"/>
    </row>
    <row r="177" spans="21:27" ht="18.75" x14ac:dyDescent="0.2">
      <c r="U177" s="218"/>
      <c r="V177" s="219"/>
      <c r="W177" s="219"/>
      <c r="X177" s="219"/>
      <c r="Y177" s="219"/>
      <c r="Z177" s="220"/>
      <c r="AA177" s="220"/>
    </row>
    <row r="178" spans="21:27" ht="18.75" x14ac:dyDescent="0.2">
      <c r="U178" s="218"/>
      <c r="V178" s="219"/>
      <c r="W178" s="219"/>
      <c r="X178" s="219"/>
      <c r="Y178" s="219"/>
      <c r="Z178" s="220"/>
      <c r="AA178" s="220"/>
    </row>
    <row r="179" spans="21:27" ht="18.75" x14ac:dyDescent="0.2">
      <c r="U179" s="218"/>
      <c r="V179" s="219"/>
      <c r="W179" s="219"/>
      <c r="X179" s="219"/>
      <c r="Y179" s="219"/>
      <c r="Z179" s="220"/>
      <c r="AA179" s="220"/>
    </row>
    <row r="180" spans="21:27" ht="18.75" x14ac:dyDescent="0.2">
      <c r="U180" s="218"/>
      <c r="V180" s="219"/>
      <c r="W180" s="219"/>
      <c r="X180" s="219"/>
      <c r="Y180" s="219"/>
      <c r="Z180" s="220"/>
      <c r="AA180" s="220"/>
    </row>
    <row r="181" spans="21:27" ht="18.75" x14ac:dyDescent="0.2">
      <c r="U181" s="218"/>
      <c r="V181" s="219"/>
      <c r="W181" s="219"/>
      <c r="X181" s="219"/>
      <c r="Y181" s="219"/>
      <c r="Z181" s="220"/>
      <c r="AA181" s="220"/>
    </row>
    <row r="182" spans="21:27" ht="18.75" x14ac:dyDescent="0.2">
      <c r="U182" s="218"/>
      <c r="V182" s="219"/>
      <c r="W182" s="219"/>
      <c r="X182" s="219"/>
      <c r="Y182" s="219"/>
      <c r="Z182" s="220"/>
      <c r="AA182" s="220"/>
    </row>
    <row r="183" spans="21:27" ht="18.75" x14ac:dyDescent="0.2">
      <c r="U183" s="218"/>
      <c r="V183" s="219"/>
      <c r="W183" s="219"/>
      <c r="X183" s="219"/>
      <c r="Y183" s="219"/>
      <c r="Z183" s="220"/>
      <c r="AA183" s="220"/>
    </row>
    <row r="184" spans="21:27" ht="18.75" x14ac:dyDescent="0.2">
      <c r="U184" s="218"/>
      <c r="V184" s="219"/>
      <c r="W184" s="219"/>
      <c r="X184" s="219"/>
      <c r="Y184" s="219"/>
      <c r="Z184" s="220"/>
      <c r="AA184" s="220"/>
    </row>
    <row r="185" spans="21:27" ht="18.75" x14ac:dyDescent="0.2">
      <c r="U185" s="218"/>
      <c r="V185" s="219"/>
      <c r="W185" s="219"/>
      <c r="X185" s="219"/>
      <c r="Y185" s="219"/>
      <c r="Z185" s="220"/>
      <c r="AA185" s="220"/>
    </row>
    <row r="186" spans="21:27" ht="18.75" x14ac:dyDescent="0.2">
      <c r="U186" s="218"/>
      <c r="V186" s="219"/>
      <c r="W186" s="219"/>
      <c r="X186" s="219"/>
      <c r="Y186" s="219"/>
      <c r="Z186" s="220"/>
      <c r="AA186" s="220"/>
    </row>
    <row r="187" spans="21:27" ht="18.75" x14ac:dyDescent="0.2">
      <c r="U187" s="218"/>
      <c r="V187" s="219"/>
      <c r="W187" s="219"/>
      <c r="X187" s="219"/>
      <c r="Y187" s="219"/>
      <c r="Z187" s="220"/>
      <c r="AA187" s="220"/>
    </row>
    <row r="188" spans="21:27" ht="18.75" x14ac:dyDescent="0.2">
      <c r="U188" s="218"/>
      <c r="V188" s="219"/>
      <c r="W188" s="219"/>
      <c r="X188" s="219"/>
      <c r="Y188" s="219"/>
      <c r="Z188" s="220"/>
      <c r="AA188" s="220"/>
    </row>
    <row r="189" spans="21:27" ht="18.75" x14ac:dyDescent="0.2">
      <c r="U189" s="218"/>
      <c r="V189" s="219"/>
      <c r="W189" s="219"/>
      <c r="X189" s="219"/>
      <c r="Y189" s="219"/>
      <c r="Z189" s="220"/>
      <c r="AA189" s="220"/>
    </row>
    <row r="190" spans="21:27" ht="18.75" x14ac:dyDescent="0.2">
      <c r="U190" s="218"/>
      <c r="V190" s="219"/>
      <c r="W190" s="219"/>
      <c r="X190" s="219"/>
      <c r="Y190" s="219"/>
      <c r="Z190" s="220"/>
      <c r="AA190" s="220"/>
    </row>
    <row r="191" spans="21:27" ht="18.75" x14ac:dyDescent="0.2">
      <c r="U191" s="218"/>
      <c r="V191" s="219"/>
      <c r="W191" s="219"/>
      <c r="X191" s="219"/>
      <c r="Y191" s="219"/>
      <c r="Z191" s="220"/>
      <c r="AA191" s="220"/>
    </row>
    <row r="192" spans="21:27" ht="18.75" x14ac:dyDescent="0.2">
      <c r="U192" s="218"/>
      <c r="V192" s="219"/>
      <c r="W192" s="219"/>
      <c r="X192" s="219"/>
      <c r="Y192" s="219"/>
      <c r="Z192" s="220"/>
      <c r="AA192" s="220"/>
    </row>
    <row r="193" spans="21:27" ht="18.75" x14ac:dyDescent="0.2">
      <c r="U193" s="218"/>
      <c r="V193" s="219"/>
      <c r="W193" s="219"/>
      <c r="X193" s="219"/>
      <c r="Y193" s="219"/>
      <c r="Z193" s="220"/>
      <c r="AA193" s="220"/>
    </row>
    <row r="194" spans="21:27" ht="18.75" x14ac:dyDescent="0.2">
      <c r="U194" s="218"/>
      <c r="V194" s="219"/>
      <c r="W194" s="219"/>
      <c r="X194" s="219"/>
      <c r="Y194" s="219"/>
      <c r="Z194" s="220"/>
      <c r="AA194" s="220"/>
    </row>
    <row r="195" spans="21:27" ht="18.75" x14ac:dyDescent="0.2">
      <c r="U195" s="218"/>
      <c r="V195" s="219"/>
      <c r="W195" s="219"/>
      <c r="X195" s="219"/>
      <c r="Y195" s="219"/>
      <c r="Z195" s="220"/>
      <c r="AA195" s="220"/>
    </row>
    <row r="196" spans="21:27" ht="18.75" x14ac:dyDescent="0.2">
      <c r="U196" s="218"/>
      <c r="V196" s="219"/>
      <c r="W196" s="219"/>
      <c r="X196" s="219"/>
      <c r="Y196" s="219"/>
      <c r="Z196" s="220"/>
      <c r="AA196" s="220"/>
    </row>
    <row r="197" spans="21:27" ht="18.75" x14ac:dyDescent="0.2">
      <c r="U197" s="218"/>
      <c r="V197" s="219"/>
      <c r="W197" s="219"/>
      <c r="X197" s="219"/>
      <c r="Y197" s="219"/>
      <c r="Z197" s="220"/>
      <c r="AA197" s="220"/>
    </row>
    <row r="198" spans="21:27" ht="18.75" x14ac:dyDescent="0.2">
      <c r="U198" s="218"/>
      <c r="V198" s="219"/>
      <c r="W198" s="219"/>
      <c r="X198" s="219"/>
      <c r="Y198" s="219"/>
      <c r="Z198" s="220"/>
      <c r="AA198" s="220"/>
    </row>
    <row r="199" spans="21:27" ht="18.75" x14ac:dyDescent="0.2">
      <c r="U199" s="218"/>
      <c r="V199" s="219"/>
      <c r="W199" s="219"/>
      <c r="X199" s="219"/>
      <c r="Y199" s="219"/>
      <c r="Z199" s="220"/>
      <c r="AA199" s="220"/>
    </row>
    <row r="200" spans="21:27" ht="18.75" x14ac:dyDescent="0.2">
      <c r="U200" s="218"/>
      <c r="V200" s="219"/>
      <c r="W200" s="219"/>
      <c r="X200" s="219"/>
      <c r="Y200" s="219"/>
      <c r="Z200" s="220"/>
      <c r="AA200" s="220"/>
    </row>
    <row r="201" spans="21:27" ht="18.75" x14ac:dyDescent="0.2">
      <c r="U201" s="218"/>
      <c r="V201" s="219"/>
      <c r="W201" s="219"/>
      <c r="X201" s="219"/>
      <c r="Y201" s="219"/>
      <c r="Z201" s="220"/>
      <c r="AA201" s="220"/>
    </row>
    <row r="202" spans="21:27" ht="18.75" x14ac:dyDescent="0.2">
      <c r="U202" s="218"/>
      <c r="V202" s="219"/>
      <c r="W202" s="219"/>
      <c r="X202" s="219"/>
      <c r="Y202" s="219"/>
      <c r="Z202" s="220"/>
      <c r="AA202" s="220"/>
    </row>
    <row r="203" spans="21:27" ht="18.75" x14ac:dyDescent="0.2">
      <c r="U203" s="218"/>
      <c r="V203" s="219"/>
      <c r="W203" s="219"/>
      <c r="X203" s="219"/>
      <c r="Y203" s="219"/>
      <c r="Z203" s="220"/>
      <c r="AA203" s="220"/>
    </row>
    <row r="204" spans="21:27" ht="18.75" x14ac:dyDescent="0.2">
      <c r="U204" s="218"/>
      <c r="V204" s="219"/>
      <c r="W204" s="219"/>
      <c r="X204" s="219"/>
      <c r="Y204" s="219"/>
      <c r="Z204" s="220"/>
      <c r="AA204" s="220"/>
    </row>
    <row r="205" spans="21:27" ht="18.75" x14ac:dyDescent="0.2">
      <c r="U205" s="218"/>
      <c r="V205" s="219"/>
      <c r="W205" s="219"/>
      <c r="X205" s="219"/>
      <c r="Y205" s="219"/>
      <c r="Z205" s="220"/>
      <c r="AA205" s="220"/>
    </row>
    <row r="206" spans="21:27" ht="18.75" x14ac:dyDescent="0.2">
      <c r="U206" s="218"/>
      <c r="V206" s="219"/>
      <c r="W206" s="219"/>
      <c r="X206" s="219"/>
      <c r="Y206" s="219"/>
      <c r="Z206" s="220"/>
      <c r="AA206" s="220"/>
    </row>
    <row r="207" spans="21:27" ht="18.75" x14ac:dyDescent="0.2">
      <c r="U207" s="218"/>
      <c r="V207" s="219"/>
      <c r="W207" s="219"/>
      <c r="X207" s="219"/>
      <c r="Y207" s="219"/>
      <c r="Z207" s="220"/>
      <c r="AA207" s="220"/>
    </row>
    <row r="208" spans="21:27" ht="18.75" x14ac:dyDescent="0.2">
      <c r="U208" s="218"/>
      <c r="V208" s="219"/>
      <c r="W208" s="219"/>
      <c r="X208" s="219"/>
      <c r="Y208" s="219"/>
      <c r="Z208" s="220"/>
      <c r="AA208" s="220"/>
    </row>
    <row r="209" spans="21:27" ht="18.75" x14ac:dyDescent="0.2">
      <c r="U209" s="218"/>
      <c r="V209" s="219"/>
      <c r="W209" s="219"/>
      <c r="X209" s="219"/>
      <c r="Y209" s="219"/>
      <c r="Z209" s="220"/>
      <c r="AA209" s="220"/>
    </row>
    <row r="210" spans="21:27" ht="18.75" x14ac:dyDescent="0.2">
      <c r="U210" s="218"/>
      <c r="V210" s="219"/>
      <c r="W210" s="219"/>
      <c r="X210" s="219"/>
      <c r="Y210" s="219"/>
      <c r="Z210" s="220"/>
      <c r="AA210" s="220"/>
    </row>
    <row r="211" spans="21:27" ht="18.75" x14ac:dyDescent="0.2">
      <c r="U211" s="218"/>
      <c r="V211" s="219"/>
      <c r="W211" s="219"/>
      <c r="X211" s="219"/>
      <c r="Y211" s="219"/>
      <c r="Z211" s="220"/>
      <c r="AA211" s="220"/>
    </row>
    <row r="212" spans="21:27" ht="18.75" x14ac:dyDescent="0.2">
      <c r="U212" s="218"/>
      <c r="V212" s="219"/>
      <c r="W212" s="219"/>
      <c r="X212" s="219"/>
      <c r="Y212" s="219"/>
      <c r="Z212" s="220"/>
      <c r="AA212" s="220"/>
    </row>
    <row r="213" spans="21:27" ht="18.75" x14ac:dyDescent="0.2">
      <c r="U213" s="218"/>
      <c r="V213" s="219"/>
      <c r="W213" s="219"/>
      <c r="X213" s="219"/>
      <c r="Y213" s="219"/>
      <c r="Z213" s="220"/>
      <c r="AA213" s="220"/>
    </row>
    <row r="214" spans="21:27" ht="18.75" x14ac:dyDescent="0.2">
      <c r="U214" s="218"/>
      <c r="V214" s="219"/>
      <c r="W214" s="219"/>
      <c r="X214" s="219"/>
      <c r="Y214" s="219"/>
      <c r="Z214" s="220"/>
      <c r="AA214" s="220"/>
    </row>
    <row r="215" spans="21:27" ht="18.75" x14ac:dyDescent="0.2">
      <c r="U215" s="218"/>
      <c r="V215" s="219"/>
      <c r="W215" s="219"/>
      <c r="X215" s="219"/>
      <c r="Y215" s="219"/>
      <c r="Z215" s="220"/>
      <c r="AA215" s="220"/>
    </row>
    <row r="216" spans="21:27" ht="18.75" x14ac:dyDescent="0.2">
      <c r="U216" s="218"/>
      <c r="V216" s="219"/>
      <c r="W216" s="219"/>
      <c r="X216" s="219"/>
      <c r="Y216" s="219"/>
      <c r="Z216" s="220"/>
      <c r="AA216" s="220"/>
    </row>
    <row r="217" spans="21:27" ht="18.75" x14ac:dyDescent="0.2">
      <c r="U217" s="218"/>
      <c r="V217" s="219"/>
      <c r="W217" s="219"/>
      <c r="X217" s="219"/>
      <c r="Y217" s="219"/>
      <c r="Z217" s="220"/>
      <c r="AA217" s="220"/>
    </row>
    <row r="218" spans="21:27" ht="18.75" x14ac:dyDescent="0.2">
      <c r="U218" s="218"/>
      <c r="V218" s="219"/>
      <c r="W218" s="219"/>
      <c r="X218" s="219"/>
      <c r="Y218" s="219"/>
      <c r="Z218" s="220"/>
      <c r="AA218" s="220"/>
    </row>
    <row r="219" spans="21:27" ht="18.75" x14ac:dyDescent="0.2">
      <c r="U219" s="218"/>
      <c r="V219" s="219"/>
      <c r="W219" s="219"/>
      <c r="X219" s="219"/>
      <c r="Y219" s="219"/>
      <c r="Z219" s="220"/>
      <c r="AA219" s="220"/>
    </row>
    <row r="220" spans="21:27" ht="18.75" x14ac:dyDescent="0.2">
      <c r="U220" s="218"/>
      <c r="V220" s="219"/>
      <c r="W220" s="219"/>
      <c r="X220" s="219"/>
      <c r="Y220" s="219"/>
      <c r="Z220" s="220"/>
      <c r="AA220" s="220"/>
    </row>
    <row r="221" spans="21:27" ht="18.75" x14ac:dyDescent="0.2">
      <c r="U221" s="218"/>
      <c r="V221" s="219"/>
      <c r="W221" s="219"/>
      <c r="X221" s="219"/>
      <c r="Y221" s="219"/>
      <c r="Z221" s="220"/>
      <c r="AA221" s="220"/>
    </row>
    <row r="222" spans="21:27" ht="18.75" x14ac:dyDescent="0.2">
      <c r="U222" s="218"/>
      <c r="V222" s="219"/>
      <c r="W222" s="219"/>
      <c r="X222" s="219"/>
      <c r="Y222" s="219"/>
      <c r="Z222" s="220"/>
      <c r="AA222" s="220"/>
    </row>
    <row r="223" spans="21:27" ht="18.75" x14ac:dyDescent="0.2">
      <c r="U223" s="218"/>
      <c r="V223" s="219"/>
      <c r="W223" s="219"/>
      <c r="X223" s="219"/>
      <c r="Y223" s="219"/>
      <c r="Z223" s="220"/>
      <c r="AA223" s="220"/>
    </row>
    <row r="224" spans="21:27" ht="18.75" x14ac:dyDescent="0.2">
      <c r="U224" s="218"/>
      <c r="V224" s="219"/>
      <c r="W224" s="219"/>
      <c r="X224" s="219"/>
      <c r="Y224" s="219"/>
      <c r="Z224" s="220"/>
      <c r="AA224" s="220"/>
    </row>
    <row r="225" spans="21:27" ht="18.75" x14ac:dyDescent="0.2">
      <c r="U225" s="218"/>
      <c r="V225" s="219"/>
      <c r="W225" s="219"/>
      <c r="X225" s="219"/>
      <c r="Y225" s="219"/>
      <c r="Z225" s="220"/>
      <c r="AA225" s="220"/>
    </row>
    <row r="226" spans="21:27" ht="18.75" x14ac:dyDescent="0.2">
      <c r="U226" s="218"/>
      <c r="V226" s="219"/>
      <c r="W226" s="219"/>
      <c r="X226" s="219"/>
      <c r="Y226" s="219"/>
      <c r="Z226" s="220"/>
      <c r="AA226" s="220"/>
    </row>
    <row r="227" spans="21:27" ht="18.75" x14ac:dyDescent="0.2">
      <c r="U227" s="218"/>
      <c r="V227" s="219"/>
      <c r="W227" s="219"/>
      <c r="X227" s="219"/>
      <c r="Y227" s="219"/>
      <c r="Z227" s="220"/>
      <c r="AA227" s="220"/>
    </row>
    <row r="228" spans="21:27" ht="18.75" x14ac:dyDescent="0.2">
      <c r="U228" s="218"/>
      <c r="V228" s="219"/>
      <c r="W228" s="219"/>
      <c r="X228" s="219"/>
      <c r="Y228" s="219"/>
      <c r="Z228" s="220"/>
      <c r="AA228" s="220"/>
    </row>
    <row r="229" spans="21:27" ht="18.75" x14ac:dyDescent="0.2">
      <c r="U229" s="218"/>
      <c r="V229" s="219"/>
      <c r="W229" s="219"/>
      <c r="X229" s="219"/>
      <c r="Y229" s="219"/>
      <c r="Z229" s="220"/>
      <c r="AA229" s="220"/>
    </row>
    <row r="230" spans="21:27" ht="18.75" x14ac:dyDescent="0.2">
      <c r="U230" s="218"/>
      <c r="V230" s="219"/>
      <c r="W230" s="219"/>
      <c r="X230" s="219"/>
      <c r="Y230" s="219"/>
      <c r="Z230" s="220"/>
      <c r="AA230" s="220"/>
    </row>
    <row r="231" spans="21:27" ht="18.75" x14ac:dyDescent="0.2">
      <c r="U231" s="218"/>
      <c r="V231" s="219"/>
      <c r="W231" s="219"/>
      <c r="X231" s="219"/>
      <c r="Y231" s="219"/>
      <c r="Z231" s="220"/>
      <c r="AA231" s="220"/>
    </row>
    <row r="232" spans="21:27" ht="18.75" x14ac:dyDescent="0.2">
      <c r="U232" s="218"/>
      <c r="V232" s="219"/>
      <c r="W232" s="219"/>
      <c r="X232" s="219"/>
      <c r="Y232" s="219"/>
      <c r="Z232" s="220"/>
      <c r="AA232" s="220"/>
    </row>
    <row r="233" spans="21:27" ht="18.75" x14ac:dyDescent="0.2">
      <c r="U233" s="218"/>
      <c r="V233" s="219"/>
      <c r="W233" s="219"/>
      <c r="X233" s="219"/>
      <c r="Y233" s="219"/>
      <c r="Z233" s="220"/>
      <c r="AA233" s="220"/>
    </row>
    <row r="234" spans="21:27" ht="18.75" x14ac:dyDescent="0.2">
      <c r="U234" s="218"/>
      <c r="V234" s="219"/>
      <c r="W234" s="219"/>
      <c r="X234" s="219"/>
      <c r="Y234" s="219"/>
      <c r="Z234" s="220"/>
      <c r="AA234" s="220"/>
    </row>
    <row r="235" spans="21:27" ht="18.75" x14ac:dyDescent="0.2">
      <c r="U235" s="218"/>
      <c r="V235" s="219"/>
      <c r="W235" s="219"/>
      <c r="X235" s="219"/>
      <c r="Y235" s="219"/>
      <c r="Z235" s="220"/>
      <c r="AA235" s="220"/>
    </row>
    <row r="236" spans="21:27" ht="18.75" x14ac:dyDescent="0.2">
      <c r="U236" s="218"/>
      <c r="V236" s="219"/>
      <c r="W236" s="219"/>
      <c r="X236" s="219"/>
      <c r="Y236" s="219"/>
      <c r="Z236" s="220"/>
      <c r="AA236" s="220"/>
    </row>
    <row r="237" spans="21:27" ht="18.75" x14ac:dyDescent="0.2">
      <c r="U237" s="218"/>
      <c r="V237" s="219"/>
      <c r="W237" s="219"/>
      <c r="X237" s="219"/>
      <c r="Y237" s="219"/>
      <c r="Z237" s="220"/>
      <c r="AA237" s="220"/>
    </row>
    <row r="238" spans="21:27" ht="18.75" x14ac:dyDescent="0.2">
      <c r="U238" s="218"/>
      <c r="V238" s="219"/>
      <c r="W238" s="219"/>
      <c r="X238" s="219"/>
      <c r="Y238" s="219"/>
      <c r="Z238" s="220"/>
      <c r="AA238" s="220"/>
    </row>
    <row r="239" spans="21:27" ht="18.75" x14ac:dyDescent="0.2">
      <c r="U239" s="218"/>
      <c r="V239" s="219"/>
      <c r="W239" s="219"/>
      <c r="X239" s="219"/>
      <c r="Y239" s="219"/>
      <c r="Z239" s="220"/>
      <c r="AA239" s="220"/>
    </row>
    <row r="240" spans="21:27" ht="18.75" x14ac:dyDescent="0.2">
      <c r="U240" s="218"/>
      <c r="V240" s="219"/>
      <c r="W240" s="219"/>
      <c r="X240" s="219"/>
      <c r="Y240" s="219"/>
      <c r="Z240" s="220"/>
      <c r="AA240" s="220"/>
    </row>
    <row r="241" spans="21:27" ht="18.75" x14ac:dyDescent="0.2">
      <c r="U241" s="218"/>
      <c r="V241" s="219"/>
      <c r="W241" s="219"/>
      <c r="X241" s="219"/>
      <c r="Y241" s="219"/>
      <c r="Z241" s="220"/>
      <c r="AA241" s="220"/>
    </row>
    <row r="242" spans="21:27" ht="18.75" x14ac:dyDescent="0.2">
      <c r="U242" s="218"/>
      <c r="V242" s="219"/>
      <c r="W242" s="219"/>
      <c r="X242" s="219"/>
      <c r="Y242" s="219"/>
      <c r="Z242" s="220"/>
      <c r="AA242" s="220"/>
    </row>
    <row r="243" spans="21:27" ht="18.75" x14ac:dyDescent="0.2">
      <c r="U243" s="218"/>
      <c r="V243" s="219"/>
      <c r="W243" s="219"/>
      <c r="X243" s="219"/>
      <c r="Y243" s="219"/>
      <c r="Z243" s="220"/>
      <c r="AA243" s="220"/>
    </row>
    <row r="244" spans="21:27" ht="18.75" x14ac:dyDescent="0.2">
      <c r="U244" s="218"/>
      <c r="V244" s="219"/>
      <c r="W244" s="219"/>
      <c r="X244" s="219"/>
      <c r="Y244" s="219"/>
      <c r="Z244" s="220"/>
      <c r="AA244" s="220"/>
    </row>
    <row r="245" spans="21:27" ht="18.75" x14ac:dyDescent="0.2">
      <c r="U245" s="218"/>
      <c r="V245" s="219"/>
      <c r="W245" s="219"/>
      <c r="X245" s="219"/>
      <c r="Y245" s="219"/>
      <c r="Z245" s="220"/>
      <c r="AA245" s="220"/>
    </row>
    <row r="246" spans="21:27" ht="18.75" x14ac:dyDescent="0.2">
      <c r="U246" s="218"/>
      <c r="V246" s="219"/>
      <c r="W246" s="219"/>
      <c r="X246" s="219"/>
      <c r="Y246" s="219"/>
      <c r="Z246" s="220"/>
      <c r="AA246" s="220"/>
    </row>
    <row r="247" spans="21:27" ht="18.75" x14ac:dyDescent="0.2">
      <c r="U247" s="218"/>
      <c r="V247" s="219"/>
      <c r="W247" s="219"/>
      <c r="X247" s="219"/>
      <c r="Y247" s="219"/>
      <c r="Z247" s="220"/>
      <c r="AA247" s="220"/>
    </row>
    <row r="248" spans="21:27" ht="18.75" x14ac:dyDescent="0.2">
      <c r="U248" s="218"/>
      <c r="V248" s="219"/>
      <c r="W248" s="219"/>
      <c r="X248" s="219"/>
      <c r="Y248" s="219"/>
      <c r="Z248" s="220"/>
      <c r="AA248" s="220"/>
    </row>
    <row r="249" spans="21:27" ht="18.75" x14ac:dyDescent="0.2">
      <c r="U249" s="218"/>
      <c r="V249" s="219"/>
      <c r="W249" s="219"/>
      <c r="X249" s="219"/>
      <c r="Y249" s="219"/>
      <c r="Z249" s="220"/>
      <c r="AA249" s="220"/>
    </row>
    <row r="250" spans="21:27" ht="18.75" x14ac:dyDescent="0.2">
      <c r="U250" s="218"/>
      <c r="V250" s="219"/>
      <c r="W250" s="219"/>
      <c r="X250" s="219"/>
      <c r="Y250" s="219"/>
      <c r="Z250" s="220"/>
      <c r="AA250" s="220"/>
    </row>
    <row r="251" spans="21:27" ht="18.75" x14ac:dyDescent="0.2">
      <c r="U251" s="218"/>
      <c r="V251" s="219"/>
      <c r="W251" s="219"/>
      <c r="X251" s="219"/>
      <c r="Y251" s="219"/>
      <c r="Z251" s="220"/>
      <c r="AA251" s="220"/>
    </row>
    <row r="252" spans="21:27" ht="18.75" x14ac:dyDescent="0.2">
      <c r="U252" s="218"/>
      <c r="V252" s="219"/>
      <c r="W252" s="219"/>
      <c r="X252" s="219"/>
      <c r="Y252" s="219"/>
      <c r="Z252" s="220"/>
      <c r="AA252" s="220"/>
    </row>
    <row r="253" spans="21:27" ht="18.75" x14ac:dyDescent="0.2">
      <c r="U253" s="218"/>
      <c r="V253" s="219"/>
      <c r="W253" s="219"/>
      <c r="X253" s="219"/>
      <c r="Y253" s="219"/>
      <c r="Z253" s="220"/>
      <c r="AA253" s="220"/>
    </row>
    <row r="254" spans="21:27" ht="18.75" x14ac:dyDescent="0.2">
      <c r="U254" s="218"/>
      <c r="V254" s="219"/>
      <c r="W254" s="219"/>
      <c r="X254" s="219"/>
      <c r="Y254" s="219"/>
      <c r="Z254" s="220"/>
      <c r="AA254" s="220"/>
    </row>
    <row r="255" spans="21:27" ht="18.75" x14ac:dyDescent="0.2">
      <c r="U255" s="218"/>
      <c r="V255" s="219"/>
      <c r="W255" s="219"/>
      <c r="X255" s="219"/>
      <c r="Y255" s="219"/>
      <c r="Z255" s="220"/>
      <c r="AA255" s="220"/>
    </row>
    <row r="256" spans="21:27" ht="18.75" x14ac:dyDescent="0.2">
      <c r="U256" s="218"/>
      <c r="V256" s="219"/>
      <c r="W256" s="219"/>
      <c r="X256" s="219"/>
      <c r="Y256" s="219"/>
      <c r="Z256" s="220"/>
      <c r="AA256" s="220"/>
    </row>
    <row r="257" spans="21:27" ht="18.75" x14ac:dyDescent="0.2">
      <c r="U257" s="218"/>
      <c r="V257" s="219"/>
      <c r="W257" s="219"/>
      <c r="X257" s="219"/>
      <c r="Y257" s="219"/>
      <c r="Z257" s="220"/>
      <c r="AA257" s="220"/>
    </row>
    <row r="258" spans="21:27" ht="18.75" x14ac:dyDescent="0.2">
      <c r="U258" s="218"/>
      <c r="V258" s="219"/>
      <c r="W258" s="219"/>
      <c r="X258" s="219"/>
      <c r="Y258" s="219"/>
      <c r="Z258" s="220"/>
      <c r="AA258" s="220"/>
    </row>
    <row r="259" spans="21:27" ht="18.75" x14ac:dyDescent="0.2">
      <c r="U259" s="218"/>
      <c r="V259" s="219"/>
      <c r="W259" s="219"/>
      <c r="X259" s="219"/>
      <c r="Y259" s="219"/>
      <c r="Z259" s="220"/>
      <c r="AA259" s="220"/>
    </row>
    <row r="260" spans="21:27" ht="18.75" x14ac:dyDescent="0.2">
      <c r="U260" s="218"/>
      <c r="V260" s="219"/>
      <c r="W260" s="219"/>
      <c r="X260" s="219"/>
      <c r="Y260" s="219"/>
      <c r="Z260" s="220"/>
      <c r="AA260" s="220"/>
    </row>
    <row r="261" spans="21:27" ht="18.75" x14ac:dyDescent="0.2">
      <c r="U261" s="218"/>
      <c r="V261" s="219"/>
      <c r="W261" s="219"/>
      <c r="X261" s="219"/>
      <c r="Y261" s="219"/>
      <c r="Z261" s="220"/>
      <c r="AA261" s="220"/>
    </row>
    <row r="262" spans="21:27" ht="18.75" x14ac:dyDescent="0.2">
      <c r="U262" s="218"/>
      <c r="V262" s="219"/>
      <c r="W262" s="219"/>
      <c r="X262" s="219"/>
      <c r="Y262" s="219"/>
      <c r="Z262" s="220"/>
      <c r="AA262" s="220"/>
    </row>
    <row r="263" spans="21:27" ht="18.75" x14ac:dyDescent="0.2">
      <c r="U263" s="218"/>
      <c r="V263" s="219"/>
      <c r="W263" s="219"/>
      <c r="X263" s="219"/>
      <c r="Y263" s="219"/>
      <c r="Z263" s="220"/>
      <c r="AA263" s="220"/>
    </row>
    <row r="264" spans="21:27" ht="18.75" x14ac:dyDescent="0.2">
      <c r="U264" s="218"/>
      <c r="V264" s="219"/>
      <c r="W264" s="219"/>
      <c r="X264" s="219"/>
      <c r="Y264" s="219"/>
      <c r="Z264" s="220"/>
      <c r="AA264" s="220"/>
    </row>
    <row r="265" spans="21:27" ht="18.75" x14ac:dyDescent="0.2">
      <c r="U265" s="218"/>
      <c r="V265" s="219"/>
      <c r="W265" s="219"/>
      <c r="X265" s="219"/>
      <c r="Y265" s="219"/>
      <c r="Z265" s="220"/>
      <c r="AA265" s="220"/>
    </row>
    <row r="266" spans="21:27" ht="18.75" x14ac:dyDescent="0.2">
      <c r="U266" s="218"/>
      <c r="V266" s="219"/>
      <c r="W266" s="219"/>
      <c r="X266" s="219"/>
      <c r="Y266" s="219"/>
      <c r="Z266" s="220"/>
      <c r="AA266" s="220"/>
    </row>
    <row r="267" spans="21:27" ht="18.75" x14ac:dyDescent="0.2">
      <c r="U267" s="218"/>
      <c r="V267" s="219"/>
      <c r="W267" s="219"/>
      <c r="X267" s="219"/>
      <c r="Y267" s="219"/>
      <c r="Z267" s="220"/>
      <c r="AA267" s="220"/>
    </row>
    <row r="268" spans="21:27" ht="18.75" x14ac:dyDescent="0.2">
      <c r="U268" s="218"/>
      <c r="V268" s="219"/>
      <c r="W268" s="219"/>
      <c r="X268" s="219"/>
      <c r="Y268" s="219"/>
      <c r="Z268" s="220"/>
      <c r="AA268" s="220"/>
    </row>
    <row r="269" spans="21:27" ht="18.75" x14ac:dyDescent="0.2">
      <c r="U269" s="218"/>
      <c r="V269" s="219"/>
      <c r="W269" s="219"/>
      <c r="X269" s="219"/>
      <c r="Y269" s="219"/>
      <c r="Z269" s="220"/>
      <c r="AA269" s="220"/>
    </row>
    <row r="270" spans="21:27" ht="18.75" x14ac:dyDescent="0.2">
      <c r="U270" s="218"/>
      <c r="V270" s="219"/>
      <c r="W270" s="219"/>
      <c r="X270" s="219"/>
      <c r="Y270" s="219"/>
      <c r="Z270" s="220"/>
      <c r="AA270" s="220"/>
    </row>
    <row r="271" spans="21:27" ht="18.75" x14ac:dyDescent="0.2">
      <c r="U271" s="218"/>
      <c r="V271" s="219"/>
      <c r="W271" s="219"/>
      <c r="X271" s="219"/>
      <c r="Y271" s="219"/>
      <c r="Z271" s="220"/>
      <c r="AA271" s="220"/>
    </row>
    <row r="272" spans="21:27" ht="18.75" x14ac:dyDescent="0.2">
      <c r="U272" s="218"/>
      <c r="V272" s="219"/>
      <c r="W272" s="219"/>
      <c r="X272" s="219"/>
      <c r="Y272" s="219"/>
      <c r="Z272" s="220"/>
      <c r="AA272" s="220"/>
    </row>
    <row r="273" spans="21:27" ht="18.75" x14ac:dyDescent="0.2">
      <c r="U273" s="218"/>
      <c r="V273" s="219"/>
      <c r="W273" s="219"/>
      <c r="X273" s="219"/>
      <c r="Y273" s="219"/>
      <c r="Z273" s="220"/>
      <c r="AA273" s="220"/>
    </row>
    <row r="274" spans="21:27" ht="18.75" x14ac:dyDescent="0.2">
      <c r="U274" s="218"/>
      <c r="V274" s="219"/>
      <c r="W274" s="219"/>
      <c r="X274" s="219"/>
      <c r="Y274" s="219"/>
      <c r="Z274" s="220"/>
      <c r="AA274" s="220"/>
    </row>
    <row r="275" spans="21:27" ht="18.75" x14ac:dyDescent="0.2">
      <c r="U275" s="218"/>
      <c r="V275" s="219"/>
      <c r="W275" s="219"/>
      <c r="X275" s="219"/>
      <c r="Y275" s="219"/>
      <c r="Z275" s="220"/>
      <c r="AA275" s="220"/>
    </row>
    <row r="276" spans="21:27" ht="18.75" x14ac:dyDescent="0.2">
      <c r="U276" s="218"/>
      <c r="V276" s="219"/>
      <c r="W276" s="219"/>
      <c r="X276" s="219"/>
      <c r="Y276" s="219"/>
      <c r="Z276" s="220"/>
      <c r="AA276" s="220"/>
    </row>
    <row r="277" spans="21:27" ht="18.75" x14ac:dyDescent="0.2">
      <c r="U277" s="218"/>
      <c r="V277" s="219"/>
      <c r="W277" s="219"/>
      <c r="X277" s="219"/>
      <c r="Y277" s="219"/>
      <c r="Z277" s="220"/>
      <c r="AA277" s="220"/>
    </row>
    <row r="278" spans="21:27" ht="18.75" x14ac:dyDescent="0.2">
      <c r="U278" s="218"/>
      <c r="V278" s="219"/>
      <c r="W278" s="219"/>
      <c r="X278" s="219"/>
      <c r="Y278" s="219"/>
      <c r="Z278" s="220"/>
      <c r="AA278" s="220"/>
    </row>
    <row r="279" spans="21:27" ht="18.75" x14ac:dyDescent="0.2">
      <c r="U279" s="218"/>
      <c r="V279" s="219"/>
      <c r="W279" s="219"/>
      <c r="X279" s="219"/>
      <c r="Y279" s="219"/>
      <c r="Z279" s="220"/>
      <c r="AA279" s="220"/>
    </row>
    <row r="280" spans="21:27" ht="18.75" x14ac:dyDescent="0.2">
      <c r="U280" s="218"/>
      <c r="V280" s="219"/>
      <c r="W280" s="219"/>
      <c r="X280" s="219"/>
      <c r="Y280" s="219"/>
      <c r="Z280" s="220"/>
      <c r="AA280" s="220"/>
    </row>
    <row r="281" spans="21:27" ht="18.75" x14ac:dyDescent="0.2">
      <c r="U281" s="218"/>
      <c r="V281" s="219"/>
      <c r="W281" s="219"/>
      <c r="X281" s="219"/>
      <c r="Y281" s="219"/>
      <c r="Z281" s="220"/>
      <c r="AA281" s="220"/>
    </row>
    <row r="282" spans="21:27" ht="18.75" x14ac:dyDescent="0.2">
      <c r="U282" s="218"/>
      <c r="V282" s="219"/>
      <c r="W282" s="219"/>
      <c r="X282" s="219"/>
      <c r="Y282" s="219"/>
      <c r="Z282" s="220"/>
      <c r="AA282" s="220"/>
    </row>
    <row r="283" spans="21:27" ht="18.75" x14ac:dyDescent="0.2">
      <c r="U283" s="218"/>
      <c r="V283" s="219"/>
      <c r="W283" s="219"/>
      <c r="X283" s="219"/>
      <c r="Y283" s="219"/>
      <c r="Z283" s="220"/>
      <c r="AA283" s="220"/>
    </row>
    <row r="284" spans="21:27" ht="18.75" x14ac:dyDescent="0.2">
      <c r="U284" s="218"/>
      <c r="V284" s="219"/>
      <c r="W284" s="219"/>
      <c r="X284" s="219"/>
      <c r="Y284" s="219"/>
      <c r="Z284" s="220"/>
      <c r="AA284" s="220"/>
    </row>
    <row r="285" spans="21:27" ht="18.75" x14ac:dyDescent="0.2">
      <c r="U285" s="218"/>
      <c r="V285" s="219"/>
      <c r="W285" s="219"/>
      <c r="X285" s="219"/>
      <c r="Y285" s="219"/>
      <c r="Z285" s="220"/>
      <c r="AA285" s="220"/>
    </row>
    <row r="286" spans="21:27" ht="18.75" x14ac:dyDescent="0.2">
      <c r="U286" s="218"/>
      <c r="V286" s="219"/>
      <c r="W286" s="219"/>
      <c r="X286" s="219"/>
      <c r="Y286" s="219"/>
      <c r="Z286" s="220"/>
      <c r="AA286" s="220"/>
    </row>
    <row r="287" spans="21:27" ht="18.75" x14ac:dyDescent="0.2">
      <c r="U287" s="218"/>
      <c r="V287" s="219"/>
      <c r="W287" s="219"/>
      <c r="X287" s="219"/>
      <c r="Y287" s="219"/>
      <c r="Z287" s="220"/>
      <c r="AA287" s="220"/>
    </row>
    <row r="288" spans="21:27" ht="18.75" x14ac:dyDescent="0.2">
      <c r="U288" s="218"/>
      <c r="V288" s="219"/>
      <c r="W288" s="219"/>
      <c r="X288" s="219"/>
      <c r="Y288" s="219"/>
      <c r="Z288" s="220"/>
      <c r="AA288" s="220"/>
    </row>
    <row r="289" spans="21:27" ht="18.75" x14ac:dyDescent="0.2">
      <c r="U289" s="218"/>
      <c r="V289" s="219"/>
      <c r="W289" s="219"/>
      <c r="X289" s="219"/>
      <c r="Y289" s="219"/>
      <c r="Z289" s="220"/>
      <c r="AA289" s="220"/>
    </row>
    <row r="290" spans="21:27" ht="18.75" x14ac:dyDescent="0.2">
      <c r="U290" s="218"/>
      <c r="V290" s="219"/>
      <c r="W290" s="219"/>
      <c r="X290" s="219"/>
      <c r="Y290" s="219"/>
      <c r="Z290" s="220"/>
      <c r="AA290" s="220"/>
    </row>
    <row r="291" spans="21:27" ht="18.75" x14ac:dyDescent="0.2">
      <c r="U291" s="218"/>
      <c r="V291" s="219"/>
      <c r="W291" s="219"/>
      <c r="X291" s="219"/>
      <c r="Y291" s="219"/>
      <c r="Z291" s="220"/>
      <c r="AA291" s="220"/>
    </row>
    <row r="292" spans="21:27" ht="18.75" x14ac:dyDescent="0.2">
      <c r="U292" s="218"/>
      <c r="V292" s="219"/>
      <c r="W292" s="219"/>
      <c r="X292" s="219"/>
      <c r="Y292" s="219"/>
      <c r="Z292" s="220"/>
      <c r="AA292" s="220"/>
    </row>
    <row r="293" spans="21:27" ht="18.75" x14ac:dyDescent="0.2">
      <c r="U293" s="218"/>
      <c r="V293" s="219"/>
      <c r="W293" s="219"/>
      <c r="X293" s="219"/>
      <c r="Y293" s="219"/>
      <c r="Z293" s="220"/>
      <c r="AA293" s="220"/>
    </row>
    <row r="294" spans="21:27" ht="18.75" x14ac:dyDescent="0.2">
      <c r="U294" s="218"/>
      <c r="V294" s="219"/>
      <c r="W294" s="219"/>
      <c r="X294" s="219"/>
      <c r="Y294" s="219"/>
      <c r="Z294" s="220"/>
      <c r="AA294" s="220"/>
    </row>
    <row r="295" spans="21:27" ht="18.75" x14ac:dyDescent="0.2">
      <c r="U295" s="218"/>
      <c r="V295" s="219"/>
      <c r="W295" s="219"/>
      <c r="X295" s="219"/>
      <c r="Y295" s="219"/>
      <c r="Z295" s="220"/>
      <c r="AA295" s="220"/>
    </row>
    <row r="296" spans="21:27" ht="18.75" x14ac:dyDescent="0.2">
      <c r="U296" s="218"/>
      <c r="V296" s="219"/>
      <c r="W296" s="219"/>
      <c r="X296" s="219"/>
      <c r="Y296" s="219"/>
      <c r="Z296" s="220"/>
      <c r="AA296" s="220"/>
    </row>
    <row r="297" spans="21:27" ht="18.75" x14ac:dyDescent="0.2">
      <c r="U297" s="218"/>
      <c r="V297" s="219"/>
      <c r="W297" s="219"/>
      <c r="X297" s="219"/>
      <c r="Y297" s="219"/>
      <c r="Z297" s="220"/>
      <c r="AA297" s="220"/>
    </row>
    <row r="298" spans="21:27" ht="18.75" x14ac:dyDescent="0.2">
      <c r="U298" s="218"/>
      <c r="V298" s="219"/>
      <c r="W298" s="219"/>
      <c r="X298" s="219"/>
      <c r="Y298" s="219"/>
      <c r="Z298" s="220"/>
      <c r="AA298" s="220"/>
    </row>
    <row r="299" spans="21:27" ht="18.75" x14ac:dyDescent="0.2">
      <c r="U299" s="218"/>
      <c r="V299" s="219"/>
      <c r="W299" s="219"/>
      <c r="X299" s="219"/>
      <c r="Y299" s="219"/>
      <c r="Z299" s="220"/>
      <c r="AA299" s="220"/>
    </row>
    <row r="300" spans="21:27" ht="18.75" x14ac:dyDescent="0.2">
      <c r="U300" s="218"/>
      <c r="V300" s="219"/>
      <c r="W300" s="219"/>
      <c r="X300" s="219"/>
      <c r="Y300" s="219"/>
      <c r="Z300" s="220"/>
      <c r="AA300" s="220"/>
    </row>
    <row r="301" spans="21:27" ht="18.75" x14ac:dyDescent="0.2">
      <c r="U301" s="218"/>
      <c r="V301" s="219"/>
      <c r="W301" s="219"/>
      <c r="X301" s="219"/>
      <c r="Y301" s="219"/>
      <c r="Z301" s="220"/>
      <c r="AA301" s="220"/>
    </row>
    <row r="302" spans="21:27" ht="18.75" x14ac:dyDescent="0.2">
      <c r="U302" s="218"/>
      <c r="V302" s="219"/>
      <c r="W302" s="219"/>
      <c r="X302" s="219"/>
      <c r="Y302" s="219"/>
      <c r="Z302" s="220"/>
      <c r="AA302" s="220"/>
    </row>
    <row r="303" spans="21:27" ht="18.75" x14ac:dyDescent="0.2">
      <c r="U303" s="218"/>
      <c r="V303" s="219"/>
      <c r="W303" s="219"/>
      <c r="X303" s="219"/>
      <c r="Y303" s="219"/>
      <c r="Z303" s="220"/>
      <c r="AA303" s="220"/>
    </row>
    <row r="304" spans="21:27" ht="18.75" x14ac:dyDescent="0.2">
      <c r="U304" s="218"/>
      <c r="V304" s="219"/>
      <c r="W304" s="219"/>
      <c r="X304" s="219"/>
      <c r="Y304" s="219"/>
      <c r="Z304" s="220"/>
      <c r="AA304" s="220"/>
    </row>
    <row r="305" spans="21:27" ht="18.75" x14ac:dyDescent="0.2">
      <c r="U305" s="218"/>
      <c r="V305" s="219"/>
      <c r="W305" s="219"/>
      <c r="X305" s="219"/>
      <c r="Y305" s="219"/>
      <c r="Z305" s="220"/>
      <c r="AA305" s="220"/>
    </row>
  </sheetData>
  <mergeCells count="4">
    <mergeCell ref="K3:R3"/>
    <mergeCell ref="K17:R17"/>
    <mergeCell ref="Q29:R29"/>
    <mergeCell ref="K28:M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7" tint="0.79998168889431442"/>
  </sheetPr>
  <dimension ref="A1:DL3286"/>
  <sheetViews>
    <sheetView workbookViewId="0">
      <pane xSplit="3" ySplit="1" topLeftCell="M26" activePane="bottomRight" state="frozen"/>
      <selection pane="topRight"/>
      <selection pane="bottomLeft"/>
      <selection pane="bottomRight" activeCell="AA43" sqref="AA43"/>
    </sheetView>
  </sheetViews>
  <sheetFormatPr defaultRowHeight="12.75" x14ac:dyDescent="0.2"/>
  <cols>
    <col min="4" max="4" width="11.6640625" bestFit="1" customWidth="1"/>
    <col min="5" max="6" width="11.33203125" customWidth="1"/>
    <col min="19" max="19" width="14.6640625" style="42" bestFit="1" customWidth="1"/>
    <col min="20" max="20" width="16" style="42" customWidth="1"/>
    <col min="21" max="21" width="8.6640625" style="42" customWidth="1"/>
    <col min="22" max="32" width="8.6640625" customWidth="1"/>
    <col min="33" max="33" width="8.83203125" customWidth="1"/>
  </cols>
  <sheetData>
    <row r="1" spans="1:116" x14ac:dyDescent="0.2">
      <c r="A1" s="13"/>
      <c r="D1" t="s">
        <v>34</v>
      </c>
      <c r="E1" t="s">
        <v>176</v>
      </c>
      <c r="F1" t="s">
        <v>177</v>
      </c>
      <c r="G1" t="s">
        <v>35</v>
      </c>
      <c r="H1" t="s">
        <v>36</v>
      </c>
      <c r="I1" t="s">
        <v>37</v>
      </c>
      <c r="J1" t="s">
        <v>38</v>
      </c>
      <c r="K1" t="s">
        <v>39</v>
      </c>
      <c r="L1" t="s">
        <v>40</v>
      </c>
      <c r="M1" t="s">
        <v>41</v>
      </c>
      <c r="N1" t="s">
        <v>42</v>
      </c>
      <c r="O1" t="s">
        <v>178</v>
      </c>
      <c r="P1" t="s">
        <v>179</v>
      </c>
      <c r="Q1" t="s">
        <v>180</v>
      </c>
      <c r="R1" t="s">
        <v>181</v>
      </c>
    </row>
    <row r="2" spans="1:116" x14ac:dyDescent="0.2">
      <c r="A2" s="13">
        <v>36161</v>
      </c>
      <c r="B2">
        <v>1999</v>
      </c>
      <c r="C2">
        <v>1</v>
      </c>
      <c r="D2" s="21">
        <v>-4.6483870967741945</v>
      </c>
      <c r="E2" s="21">
        <v>764.1</v>
      </c>
      <c r="F2" s="21">
        <v>0</v>
      </c>
      <c r="G2" s="21">
        <v>702.10000000000014</v>
      </c>
      <c r="H2" s="21">
        <v>0</v>
      </c>
      <c r="I2" s="21">
        <v>640.10000000000014</v>
      </c>
      <c r="J2" s="21">
        <v>0</v>
      </c>
      <c r="K2" s="21">
        <v>578.10000000000014</v>
      </c>
      <c r="L2" s="21">
        <v>0</v>
      </c>
      <c r="M2" s="21">
        <v>516.1</v>
      </c>
      <c r="N2" s="21">
        <v>0</v>
      </c>
      <c r="O2" s="21">
        <v>454.1</v>
      </c>
      <c r="P2" s="21">
        <v>0</v>
      </c>
      <c r="Q2" s="21">
        <v>392.1</v>
      </c>
      <c r="R2" s="21">
        <v>0</v>
      </c>
    </row>
    <row r="3" spans="1:116" x14ac:dyDescent="0.2">
      <c r="A3" s="13">
        <v>36192</v>
      </c>
      <c r="B3">
        <v>1999</v>
      </c>
      <c r="C3">
        <v>2</v>
      </c>
      <c r="D3" s="21">
        <v>-0.3392857142857143</v>
      </c>
      <c r="E3" s="21">
        <v>569.49999999999989</v>
      </c>
      <c r="F3" s="21">
        <v>0</v>
      </c>
      <c r="G3" s="21">
        <v>513.5</v>
      </c>
      <c r="H3" s="21">
        <v>0</v>
      </c>
      <c r="I3" s="21">
        <v>457.49999999999994</v>
      </c>
      <c r="J3" s="21">
        <v>0</v>
      </c>
      <c r="K3" s="21">
        <v>401.49999999999994</v>
      </c>
      <c r="L3" s="21">
        <v>0</v>
      </c>
      <c r="M3" s="21">
        <v>345.49999999999994</v>
      </c>
      <c r="N3" s="21">
        <v>0</v>
      </c>
      <c r="O3" s="21">
        <v>289.49999999999994</v>
      </c>
      <c r="P3" s="21">
        <v>0</v>
      </c>
      <c r="Q3" s="21">
        <v>233.5</v>
      </c>
      <c r="R3" s="21">
        <v>0</v>
      </c>
    </row>
    <row r="4" spans="1:116" x14ac:dyDescent="0.2">
      <c r="A4" s="13">
        <v>36220</v>
      </c>
      <c r="B4">
        <v>1999</v>
      </c>
      <c r="C4">
        <v>3</v>
      </c>
      <c r="D4" s="21">
        <v>1.2161290322580647</v>
      </c>
      <c r="E4" s="21">
        <v>582.30000000000018</v>
      </c>
      <c r="F4" s="21">
        <v>0</v>
      </c>
      <c r="G4" s="21">
        <v>520.30000000000018</v>
      </c>
      <c r="H4" s="21">
        <v>0</v>
      </c>
      <c r="I4" s="21">
        <v>458.30000000000007</v>
      </c>
      <c r="J4" s="21">
        <v>0</v>
      </c>
      <c r="K4" s="21">
        <v>396.60000000000008</v>
      </c>
      <c r="L4" s="21">
        <v>0.30000000000000071</v>
      </c>
      <c r="M4" s="21">
        <v>336.6</v>
      </c>
      <c r="N4" s="21">
        <v>2.3000000000000007</v>
      </c>
      <c r="O4" s="21">
        <v>276.59999999999997</v>
      </c>
      <c r="P4" s="21">
        <v>4.3000000000000007</v>
      </c>
      <c r="Q4" s="21">
        <v>218.29999999999995</v>
      </c>
      <c r="R4" s="21">
        <v>8.0000000000000018</v>
      </c>
      <c r="T4" s="56" t="s">
        <v>35</v>
      </c>
      <c r="U4" s="57" t="s">
        <v>54</v>
      </c>
      <c r="V4" s="57" t="s">
        <v>55</v>
      </c>
      <c r="W4" s="57" t="s">
        <v>56</v>
      </c>
      <c r="X4" s="57" t="s">
        <v>57</v>
      </c>
      <c r="Y4" s="57" t="s">
        <v>58</v>
      </c>
      <c r="Z4" s="57" t="s">
        <v>97</v>
      </c>
      <c r="AA4" s="57" t="s">
        <v>98</v>
      </c>
      <c r="AB4" s="58" t="s">
        <v>99</v>
      </c>
      <c r="AC4" s="58" t="s">
        <v>62</v>
      </c>
      <c r="AD4" s="58" t="s">
        <v>63</v>
      </c>
      <c r="AE4" s="58" t="s">
        <v>64</v>
      </c>
      <c r="AF4" s="58" t="s">
        <v>65</v>
      </c>
      <c r="AH4" s="56" t="s">
        <v>37</v>
      </c>
      <c r="AI4" s="57" t="s">
        <v>54</v>
      </c>
      <c r="AJ4" s="57" t="s">
        <v>55</v>
      </c>
      <c r="AK4" s="57" t="s">
        <v>56</v>
      </c>
      <c r="AL4" s="57" t="s">
        <v>57</v>
      </c>
      <c r="AM4" s="57" t="s">
        <v>58</v>
      </c>
      <c r="AN4" s="57" t="s">
        <v>97</v>
      </c>
      <c r="AO4" s="57" t="s">
        <v>98</v>
      </c>
      <c r="AP4" s="58" t="s">
        <v>99</v>
      </c>
      <c r="AQ4" s="58" t="s">
        <v>62</v>
      </c>
      <c r="AR4" s="58" t="s">
        <v>63</v>
      </c>
      <c r="AS4" s="58" t="s">
        <v>64</v>
      </c>
      <c r="AT4" s="58" t="s">
        <v>65</v>
      </c>
      <c r="AV4" s="56" t="s">
        <v>39</v>
      </c>
      <c r="AW4" s="57" t="s">
        <v>54</v>
      </c>
      <c r="AX4" s="57" t="s">
        <v>55</v>
      </c>
      <c r="AY4" s="57" t="s">
        <v>56</v>
      </c>
      <c r="AZ4" s="57" t="s">
        <v>57</v>
      </c>
      <c r="BA4" s="57" t="s">
        <v>58</v>
      </c>
      <c r="BB4" s="57" t="s">
        <v>97</v>
      </c>
      <c r="BC4" s="57" t="s">
        <v>98</v>
      </c>
      <c r="BD4" s="58" t="s">
        <v>99</v>
      </c>
      <c r="BE4" s="58" t="s">
        <v>62</v>
      </c>
      <c r="BF4" s="58" t="s">
        <v>63</v>
      </c>
      <c r="BG4" s="58" t="s">
        <v>64</v>
      </c>
      <c r="BH4" s="58" t="s">
        <v>65</v>
      </c>
      <c r="BJ4" s="56" t="s">
        <v>41</v>
      </c>
      <c r="BK4" s="57" t="s">
        <v>54</v>
      </c>
      <c r="BL4" s="57" t="s">
        <v>55</v>
      </c>
      <c r="BM4" s="57" t="s">
        <v>56</v>
      </c>
      <c r="BN4" s="57" t="s">
        <v>57</v>
      </c>
      <c r="BO4" s="57" t="s">
        <v>58</v>
      </c>
      <c r="BP4" s="57" t="s">
        <v>97</v>
      </c>
      <c r="BQ4" s="57" t="s">
        <v>98</v>
      </c>
      <c r="BR4" s="58" t="s">
        <v>99</v>
      </c>
      <c r="BS4" s="58" t="s">
        <v>62</v>
      </c>
      <c r="BT4" s="58" t="s">
        <v>63</v>
      </c>
      <c r="BU4" s="58" t="s">
        <v>64</v>
      </c>
      <c r="BV4" s="58" t="s">
        <v>65</v>
      </c>
      <c r="BX4" s="56" t="s">
        <v>178</v>
      </c>
      <c r="BY4" s="57" t="s">
        <v>54</v>
      </c>
      <c r="BZ4" s="57" t="s">
        <v>55</v>
      </c>
      <c r="CA4" s="57" t="s">
        <v>56</v>
      </c>
      <c r="CB4" s="57" t="s">
        <v>57</v>
      </c>
      <c r="CC4" s="57" t="s">
        <v>58</v>
      </c>
      <c r="CD4" s="57" t="s">
        <v>97</v>
      </c>
      <c r="CE4" s="57" t="s">
        <v>98</v>
      </c>
      <c r="CF4" s="58" t="s">
        <v>99</v>
      </c>
      <c r="CG4" s="58" t="s">
        <v>62</v>
      </c>
      <c r="CH4" s="58" t="s">
        <v>63</v>
      </c>
      <c r="CI4" s="58" t="s">
        <v>64</v>
      </c>
      <c r="CJ4" s="58" t="s">
        <v>65</v>
      </c>
      <c r="CL4" s="56" t="s">
        <v>180</v>
      </c>
      <c r="CM4" s="57" t="s">
        <v>54</v>
      </c>
      <c r="CN4" s="57" t="s">
        <v>55</v>
      </c>
      <c r="CO4" s="57" t="s">
        <v>56</v>
      </c>
      <c r="CP4" s="57" t="s">
        <v>57</v>
      </c>
      <c r="CQ4" s="57" t="s">
        <v>58</v>
      </c>
      <c r="CR4" s="57" t="s">
        <v>97</v>
      </c>
      <c r="CS4" s="57" t="s">
        <v>98</v>
      </c>
      <c r="CT4" s="58" t="s">
        <v>99</v>
      </c>
      <c r="CU4" s="58" t="s">
        <v>62</v>
      </c>
      <c r="CV4" s="58" t="s">
        <v>63</v>
      </c>
      <c r="CW4" s="58" t="s">
        <v>64</v>
      </c>
      <c r="CX4" s="58" t="s">
        <v>65</v>
      </c>
      <c r="CZ4" s="56" t="s">
        <v>176</v>
      </c>
      <c r="DA4" s="57" t="s">
        <v>54</v>
      </c>
      <c r="DB4" s="57" t="s">
        <v>55</v>
      </c>
      <c r="DC4" s="57" t="s">
        <v>56</v>
      </c>
      <c r="DD4" s="57" t="s">
        <v>57</v>
      </c>
      <c r="DE4" s="57" t="s">
        <v>58</v>
      </c>
      <c r="DF4" s="57" t="s">
        <v>97</v>
      </c>
      <c r="DG4" s="57" t="s">
        <v>98</v>
      </c>
      <c r="DH4" s="58" t="s">
        <v>99</v>
      </c>
      <c r="DI4" s="58" t="s">
        <v>62</v>
      </c>
      <c r="DJ4" s="58" t="s">
        <v>63</v>
      </c>
      <c r="DK4" s="58" t="s">
        <v>64</v>
      </c>
      <c r="DL4" s="58" t="s">
        <v>65</v>
      </c>
    </row>
    <row r="5" spans="1:116" x14ac:dyDescent="0.2">
      <c r="A5" s="13">
        <v>36251</v>
      </c>
      <c r="B5">
        <v>1999</v>
      </c>
      <c r="C5">
        <v>4</v>
      </c>
      <c r="D5" s="21">
        <v>7.7266666666666657</v>
      </c>
      <c r="E5" s="21">
        <v>368.20000000000005</v>
      </c>
      <c r="F5" s="21">
        <v>0</v>
      </c>
      <c r="G5" s="21">
        <v>308.2</v>
      </c>
      <c r="H5" s="21">
        <v>0</v>
      </c>
      <c r="I5" s="21">
        <v>248.2</v>
      </c>
      <c r="J5" s="21">
        <v>0</v>
      </c>
      <c r="K5" s="21">
        <v>188.20000000000002</v>
      </c>
      <c r="L5" s="21">
        <v>0</v>
      </c>
      <c r="M5" s="21">
        <v>128.9</v>
      </c>
      <c r="N5" s="21">
        <v>0.69999999999999929</v>
      </c>
      <c r="O5" s="21">
        <v>76.8</v>
      </c>
      <c r="P5" s="21">
        <v>8.6</v>
      </c>
      <c r="Q5" s="21">
        <v>35.300000000000004</v>
      </c>
      <c r="R5" s="21">
        <v>27.099999999999994</v>
      </c>
      <c r="T5">
        <v>1999</v>
      </c>
      <c r="U5">
        <f ca="1">OFFSET($G$2,(ROW()-5)*12+COLUMN()-21,0)</f>
        <v>702.10000000000014</v>
      </c>
      <c r="V5">
        <f t="shared" ref="V5:AF20" ca="1" si="0">OFFSET($G$2,(ROW()-5)*12+COLUMN()-21,0)</f>
        <v>513.5</v>
      </c>
      <c r="W5">
        <f t="shared" ca="1" si="0"/>
        <v>520.30000000000018</v>
      </c>
      <c r="X5">
        <f t="shared" ca="1" si="0"/>
        <v>308.2</v>
      </c>
      <c r="Y5">
        <f t="shared" ca="1" si="0"/>
        <v>129.4</v>
      </c>
      <c r="Z5">
        <f t="shared" ca="1" si="0"/>
        <v>27.899999999999995</v>
      </c>
      <c r="AA5">
        <f t="shared" ca="1" si="0"/>
        <v>0.10000000000000142</v>
      </c>
      <c r="AB5">
        <f t="shared" ca="1" si="0"/>
        <v>6.1</v>
      </c>
      <c r="AC5">
        <f t="shared" ca="1" si="0"/>
        <v>34.4</v>
      </c>
      <c r="AD5">
        <f t="shared" ca="1" si="0"/>
        <v>229</v>
      </c>
      <c r="AE5">
        <f t="shared" ca="1" si="0"/>
        <v>336.05</v>
      </c>
      <c r="AF5">
        <f t="shared" ca="1" si="0"/>
        <v>525.6</v>
      </c>
      <c r="AH5">
        <v>1999</v>
      </c>
      <c r="AI5">
        <f ca="1">OFFSET($I$2,(ROW()-5)*12+COLUMN()-35,0)</f>
        <v>640.10000000000014</v>
      </c>
      <c r="AJ5">
        <f t="shared" ref="AJ5:AT20" ca="1" si="1">OFFSET($I$2,(ROW()-5)*12+COLUMN()-35,0)</f>
        <v>457.49999999999994</v>
      </c>
      <c r="AK5">
        <f t="shared" ca="1" si="1"/>
        <v>458.30000000000007</v>
      </c>
      <c r="AL5">
        <f t="shared" ca="1" si="1"/>
        <v>248.2</v>
      </c>
      <c r="AM5">
        <f t="shared" ca="1" si="1"/>
        <v>78.3</v>
      </c>
      <c r="AN5">
        <f t="shared" ca="1" si="1"/>
        <v>9.6999999999999993</v>
      </c>
      <c r="AO5">
        <f t="shared" ca="1" si="1"/>
        <v>0</v>
      </c>
      <c r="AP5">
        <f t="shared" ca="1" si="1"/>
        <v>0.59999999999999964</v>
      </c>
      <c r="AQ5">
        <f t="shared" ca="1" si="1"/>
        <v>15</v>
      </c>
      <c r="AR5">
        <f t="shared" ca="1" si="1"/>
        <v>170.59999999999997</v>
      </c>
      <c r="AS5">
        <f t="shared" ca="1" si="1"/>
        <v>276.05</v>
      </c>
      <c r="AT5">
        <f t="shared" ca="1" si="1"/>
        <v>463.6</v>
      </c>
      <c r="AV5">
        <v>1999</v>
      </c>
      <c r="AW5">
        <f ca="1">OFFSET($K$2,(ROW()-5)*12+COLUMN()-49,0)</f>
        <v>578.10000000000014</v>
      </c>
      <c r="AX5">
        <f t="shared" ref="AX5:BH20" ca="1" si="2">OFFSET($K$2,(ROW()-5)*12+COLUMN()-49,0)</f>
        <v>401.49999999999994</v>
      </c>
      <c r="AY5">
        <f t="shared" ca="1" si="2"/>
        <v>396.60000000000008</v>
      </c>
      <c r="AZ5">
        <f t="shared" ca="1" si="2"/>
        <v>188.20000000000002</v>
      </c>
      <c r="BA5">
        <f t="shared" ca="1" si="2"/>
        <v>36.800000000000004</v>
      </c>
      <c r="BB5">
        <f t="shared" ca="1" si="2"/>
        <v>1.5</v>
      </c>
      <c r="BC5">
        <f t="shared" ca="1" si="2"/>
        <v>0</v>
      </c>
      <c r="BD5">
        <f t="shared" ca="1" si="2"/>
        <v>0</v>
      </c>
      <c r="BE5">
        <f t="shared" ca="1" si="2"/>
        <v>5.0999999999999996</v>
      </c>
      <c r="BF5">
        <f t="shared" ca="1" si="2"/>
        <v>115.3</v>
      </c>
      <c r="BG5">
        <f t="shared" ca="1" si="2"/>
        <v>217.95000000000002</v>
      </c>
      <c r="BH5">
        <f t="shared" ca="1" si="2"/>
        <v>401.6</v>
      </c>
      <c r="BJ5">
        <v>1999</v>
      </c>
      <c r="BK5">
        <f ca="1">OFFSET($M$2,(ROW()-5)*12+COLUMN()-63,0)</f>
        <v>516.1</v>
      </c>
      <c r="BL5">
        <f t="shared" ref="BL5:BV20" ca="1" si="3">OFFSET($M$2,(ROW()-5)*12+COLUMN()-63,0)</f>
        <v>345.49999999999994</v>
      </c>
      <c r="BM5">
        <f t="shared" ca="1" si="3"/>
        <v>336.6</v>
      </c>
      <c r="BN5">
        <f t="shared" ca="1" si="3"/>
        <v>128.9</v>
      </c>
      <c r="BO5">
        <f t="shared" ca="1" si="3"/>
        <v>11.299999999999999</v>
      </c>
      <c r="BP5">
        <f t="shared" ca="1" si="3"/>
        <v>0</v>
      </c>
      <c r="BQ5">
        <f t="shared" ca="1" si="3"/>
        <v>0</v>
      </c>
      <c r="BR5">
        <f t="shared" ca="1" si="3"/>
        <v>0</v>
      </c>
      <c r="BS5">
        <f t="shared" ca="1" si="3"/>
        <v>1</v>
      </c>
      <c r="BT5">
        <f t="shared" ca="1" si="3"/>
        <v>67.5</v>
      </c>
      <c r="BU5">
        <f t="shared" ca="1" si="3"/>
        <v>160.44999999999999</v>
      </c>
      <c r="BV5">
        <f t="shared" ca="1" si="3"/>
        <v>339.6</v>
      </c>
      <c r="BX5">
        <v>1999</v>
      </c>
      <c r="BY5">
        <f ca="1">OFFSET($O$2,(ROW()-5)*12+COLUMN()-77,0)</f>
        <v>454.1</v>
      </c>
      <c r="BZ5">
        <f t="shared" ref="BZ5:CJ5" ca="1" si="4">OFFSET($O$2,(ROW()-5)*12+COLUMN()-77,0)</f>
        <v>289.49999999999994</v>
      </c>
      <c r="CA5">
        <f t="shared" ca="1" si="4"/>
        <v>276.59999999999997</v>
      </c>
      <c r="CB5">
        <f t="shared" ca="1" si="4"/>
        <v>76.8</v>
      </c>
      <c r="CC5">
        <f t="shared" ca="1" si="4"/>
        <v>0.19999999999999929</v>
      </c>
      <c r="CD5">
        <f t="shared" ca="1" si="4"/>
        <v>0</v>
      </c>
      <c r="CE5">
        <f t="shared" ca="1" si="4"/>
        <v>0</v>
      </c>
      <c r="CF5">
        <f t="shared" ca="1" si="4"/>
        <v>0</v>
      </c>
      <c r="CG5">
        <f t="shared" ca="1" si="4"/>
        <v>0</v>
      </c>
      <c r="CH5">
        <f t="shared" ca="1" si="4"/>
        <v>32.200000000000003</v>
      </c>
      <c r="CI5">
        <f t="shared" ca="1" si="4"/>
        <v>110.54999999999998</v>
      </c>
      <c r="CJ5">
        <f t="shared" ca="1" si="4"/>
        <v>280.70000000000005</v>
      </c>
      <c r="CL5">
        <v>1999</v>
      </c>
      <c r="CM5">
        <f ca="1">OFFSET($Q$2,(ROW()-5)*12+COLUMN()-91,0)</f>
        <v>392.1</v>
      </c>
      <c r="CN5">
        <f t="shared" ref="CN5:CX20" ca="1" si="5">OFFSET($Q$2,(ROW()-5)*12+COLUMN()-91,0)</f>
        <v>233.5</v>
      </c>
      <c r="CO5">
        <f t="shared" ca="1" si="5"/>
        <v>218.29999999999995</v>
      </c>
      <c r="CP5">
        <f t="shared" ca="1" si="5"/>
        <v>35.300000000000004</v>
      </c>
      <c r="CQ5">
        <f t="shared" ca="1" si="5"/>
        <v>0</v>
      </c>
      <c r="CR5">
        <f t="shared" ca="1" si="5"/>
        <v>0</v>
      </c>
      <c r="CS5">
        <f t="shared" ca="1" si="5"/>
        <v>0</v>
      </c>
      <c r="CT5">
        <f t="shared" ca="1" si="5"/>
        <v>0</v>
      </c>
      <c r="CU5">
        <f t="shared" ca="1" si="5"/>
        <v>0</v>
      </c>
      <c r="CV5">
        <f t="shared" ca="1" si="5"/>
        <v>10.399999999999999</v>
      </c>
      <c r="CW5">
        <f t="shared" ca="1" si="5"/>
        <v>73.45</v>
      </c>
      <c r="CX5">
        <f t="shared" ca="1" si="5"/>
        <v>224.7</v>
      </c>
      <c r="CZ5">
        <v>1999</v>
      </c>
      <c r="DA5">
        <f ca="1">OFFSET($E$2,(ROW()-5)*12+COLUMN()-105,0)</f>
        <v>764.1</v>
      </c>
      <c r="DB5">
        <f t="shared" ref="DB5:DL20" ca="1" si="6">OFFSET($E$2,(ROW()-5)*12+COLUMN()-105,0)</f>
        <v>569.49999999999989</v>
      </c>
      <c r="DC5">
        <f t="shared" ca="1" si="6"/>
        <v>582.30000000000018</v>
      </c>
      <c r="DD5">
        <f t="shared" ca="1" si="6"/>
        <v>368.20000000000005</v>
      </c>
      <c r="DE5">
        <f t="shared" ca="1" si="6"/>
        <v>182.60000000000002</v>
      </c>
      <c r="DF5">
        <f t="shared" ca="1" si="6"/>
        <v>57.399999999999984</v>
      </c>
      <c r="DG5">
        <f t="shared" ca="1" si="6"/>
        <v>4.6000000000000014</v>
      </c>
      <c r="DH5">
        <f t="shared" ca="1" si="6"/>
        <v>26</v>
      </c>
      <c r="DI5">
        <f t="shared" ca="1" si="6"/>
        <v>68.800000000000011</v>
      </c>
      <c r="DJ5">
        <f t="shared" ca="1" si="6"/>
        <v>290.79999999999995</v>
      </c>
      <c r="DK5">
        <f t="shared" ca="1" si="6"/>
        <v>396.04999999999995</v>
      </c>
      <c r="DL5">
        <f t="shared" ca="1" si="6"/>
        <v>587.6</v>
      </c>
    </row>
    <row r="6" spans="1:116" x14ac:dyDescent="0.2">
      <c r="A6" s="13">
        <v>36281</v>
      </c>
      <c r="B6">
        <v>1999</v>
      </c>
      <c r="C6">
        <v>5</v>
      </c>
      <c r="D6" s="21">
        <v>14.306451612903224</v>
      </c>
      <c r="E6" s="21">
        <v>182.60000000000002</v>
      </c>
      <c r="F6" s="21">
        <v>6.0999999999999979</v>
      </c>
      <c r="G6" s="21">
        <v>129.4</v>
      </c>
      <c r="H6" s="21">
        <v>14.899999999999999</v>
      </c>
      <c r="I6" s="21">
        <v>78.3</v>
      </c>
      <c r="J6" s="21">
        <v>25.799999999999997</v>
      </c>
      <c r="K6" s="21">
        <v>36.800000000000004</v>
      </c>
      <c r="L6" s="21">
        <v>46.29999999999999</v>
      </c>
      <c r="M6" s="21">
        <v>11.299999999999999</v>
      </c>
      <c r="N6" s="21">
        <v>82.800000000000011</v>
      </c>
      <c r="O6" s="21">
        <v>0.19999999999999929</v>
      </c>
      <c r="P6" s="21">
        <v>133.70000000000002</v>
      </c>
      <c r="Q6" s="21">
        <v>0</v>
      </c>
      <c r="R6" s="21">
        <v>195.49999999999997</v>
      </c>
      <c r="T6">
        <v>2000</v>
      </c>
      <c r="U6">
        <f t="shared" ref="U6:AF25" ca="1" si="7">OFFSET($G$2,(ROW()-5)*12+COLUMN()-21,0)</f>
        <v>676.49999999999989</v>
      </c>
      <c r="V6">
        <f t="shared" ca="1" si="0"/>
        <v>565.00000000000011</v>
      </c>
      <c r="W6">
        <f t="shared" ca="1" si="0"/>
        <v>410.10000000000014</v>
      </c>
      <c r="X6">
        <f t="shared" ca="1" si="0"/>
        <v>346.19999999999993</v>
      </c>
      <c r="Y6">
        <f t="shared" ca="1" si="0"/>
        <v>154.5</v>
      </c>
      <c r="Z6">
        <f t="shared" ca="1" si="0"/>
        <v>45.800000000000004</v>
      </c>
      <c r="AA6">
        <f t="shared" ca="1" si="0"/>
        <v>3.3000000000000007</v>
      </c>
      <c r="AB6">
        <f t="shared" ca="1" si="0"/>
        <v>6</v>
      </c>
      <c r="AC6">
        <f t="shared" ca="1" si="0"/>
        <v>83.1</v>
      </c>
      <c r="AD6">
        <f t="shared" ca="1" si="0"/>
        <v>191.8</v>
      </c>
      <c r="AE6">
        <f t="shared" ca="1" si="0"/>
        <v>390.89999999999986</v>
      </c>
      <c r="AF6">
        <f t="shared" ca="1" si="0"/>
        <v>721.59999999999991</v>
      </c>
      <c r="AH6">
        <v>2000</v>
      </c>
      <c r="AI6">
        <f t="shared" ref="AI6:AT25" ca="1" si="8">OFFSET($I$2,(ROW()-5)*12+COLUMN()-35,0)</f>
        <v>614.49999999999989</v>
      </c>
      <c r="AJ6">
        <f t="shared" ca="1" si="1"/>
        <v>507.00000000000006</v>
      </c>
      <c r="AK6">
        <f t="shared" ca="1" si="1"/>
        <v>348.10000000000014</v>
      </c>
      <c r="AL6">
        <f t="shared" ca="1" si="1"/>
        <v>286.79999999999995</v>
      </c>
      <c r="AM6">
        <f t="shared" ca="1" si="1"/>
        <v>106.6</v>
      </c>
      <c r="AN6">
        <f t="shared" ca="1" si="1"/>
        <v>24.8</v>
      </c>
      <c r="AO6">
        <f t="shared" ca="1" si="1"/>
        <v>0</v>
      </c>
      <c r="AP6">
        <f t="shared" ca="1" si="1"/>
        <v>0.69999999999999929</v>
      </c>
      <c r="AQ6">
        <f t="shared" ca="1" si="1"/>
        <v>49.8</v>
      </c>
      <c r="AR6">
        <f t="shared" ca="1" si="1"/>
        <v>136.5</v>
      </c>
      <c r="AS6">
        <f t="shared" ca="1" si="1"/>
        <v>330.89999999999986</v>
      </c>
      <c r="AT6">
        <f t="shared" ca="1" si="1"/>
        <v>659.59999999999991</v>
      </c>
      <c r="AV6">
        <v>2000</v>
      </c>
      <c r="AW6">
        <f t="shared" ref="AW6:BH25" ca="1" si="9">OFFSET($K$2,(ROW()-5)*12+COLUMN()-49,0)</f>
        <v>552.5</v>
      </c>
      <c r="AX6">
        <f t="shared" ca="1" si="2"/>
        <v>449.00000000000006</v>
      </c>
      <c r="AY6">
        <f t="shared" ca="1" si="2"/>
        <v>286.10000000000008</v>
      </c>
      <c r="AZ6">
        <f t="shared" ca="1" si="2"/>
        <v>228.79999999999995</v>
      </c>
      <c r="BA6">
        <f t="shared" ca="1" si="2"/>
        <v>63.899999999999991</v>
      </c>
      <c r="BB6">
        <f t="shared" ca="1" si="2"/>
        <v>11.1</v>
      </c>
      <c r="BC6">
        <f t="shared" ca="1" si="2"/>
        <v>0</v>
      </c>
      <c r="BD6">
        <f t="shared" ca="1" si="2"/>
        <v>0</v>
      </c>
      <c r="BE6">
        <f t="shared" ca="1" si="2"/>
        <v>27.000000000000004</v>
      </c>
      <c r="BF6">
        <f t="shared" ca="1" si="2"/>
        <v>87.100000000000009</v>
      </c>
      <c r="BG6">
        <f t="shared" ca="1" si="2"/>
        <v>271.20000000000005</v>
      </c>
      <c r="BH6">
        <f t="shared" ca="1" si="2"/>
        <v>597.59999999999991</v>
      </c>
      <c r="BJ6">
        <v>2000</v>
      </c>
      <c r="BK6">
        <f t="shared" ref="BK6:BV25" ca="1" si="10">OFFSET($M$2,(ROW()-5)*12+COLUMN()-63,0)</f>
        <v>490.5</v>
      </c>
      <c r="BL6">
        <f t="shared" ca="1" si="3"/>
        <v>391</v>
      </c>
      <c r="BM6">
        <f t="shared" ca="1" si="3"/>
        <v>224.40000000000003</v>
      </c>
      <c r="BN6">
        <f t="shared" ca="1" si="3"/>
        <v>170.79999999999995</v>
      </c>
      <c r="BO6">
        <f t="shared" ca="1" si="3"/>
        <v>28.399999999999995</v>
      </c>
      <c r="BP6">
        <f t="shared" ca="1" si="3"/>
        <v>1.5</v>
      </c>
      <c r="BQ6">
        <f t="shared" ca="1" si="3"/>
        <v>0</v>
      </c>
      <c r="BR6">
        <f t="shared" ca="1" si="3"/>
        <v>0</v>
      </c>
      <c r="BS6">
        <f t="shared" ca="1" si="3"/>
        <v>13.100000000000001</v>
      </c>
      <c r="BT6">
        <f t="shared" ca="1" si="3"/>
        <v>52.29999999999999</v>
      </c>
      <c r="BU6">
        <f t="shared" ca="1" si="3"/>
        <v>213.3</v>
      </c>
      <c r="BV6">
        <f t="shared" ca="1" si="3"/>
        <v>535.59999999999991</v>
      </c>
      <c r="BX6">
        <v>2000</v>
      </c>
      <c r="BY6">
        <f t="shared" ref="BY6:CJ25" ca="1" si="11">OFFSET($O$2,(ROW()-5)*12+COLUMN()-77,0)</f>
        <v>428.50000000000006</v>
      </c>
      <c r="BZ6">
        <f t="shared" ca="1" si="11"/>
        <v>333</v>
      </c>
      <c r="CA6">
        <f t="shared" ca="1" si="11"/>
        <v>166.10000000000002</v>
      </c>
      <c r="CB6">
        <f t="shared" ca="1" si="11"/>
        <v>117.60000000000002</v>
      </c>
      <c r="CC6">
        <f t="shared" ca="1" si="11"/>
        <v>9.7999999999999989</v>
      </c>
      <c r="CD6">
        <f t="shared" ca="1" si="11"/>
        <v>0</v>
      </c>
      <c r="CE6">
        <f t="shared" ca="1" si="11"/>
        <v>0</v>
      </c>
      <c r="CF6">
        <f t="shared" ca="1" si="11"/>
        <v>0</v>
      </c>
      <c r="CG6">
        <f t="shared" ca="1" si="11"/>
        <v>5.3</v>
      </c>
      <c r="CH6">
        <f t="shared" ca="1" si="11"/>
        <v>27</v>
      </c>
      <c r="CI6">
        <f t="shared" ca="1" si="11"/>
        <v>159</v>
      </c>
      <c r="CJ6">
        <f t="shared" ca="1" si="11"/>
        <v>473.59999999999997</v>
      </c>
      <c r="CL6">
        <v>2000</v>
      </c>
      <c r="CM6">
        <f t="shared" ref="CM6:CX25" ca="1" si="12">OFFSET($Q$2,(ROW()-5)*12+COLUMN()-91,0)</f>
        <v>366.50000000000006</v>
      </c>
      <c r="CN6">
        <f t="shared" ca="1" si="5"/>
        <v>277.10000000000002</v>
      </c>
      <c r="CO6">
        <f t="shared" ca="1" si="5"/>
        <v>111.39999999999996</v>
      </c>
      <c r="CP6">
        <f t="shared" ca="1" si="5"/>
        <v>73.900000000000006</v>
      </c>
      <c r="CQ6">
        <f t="shared" ca="1" si="5"/>
        <v>2.4000000000000004</v>
      </c>
      <c r="CR6">
        <f t="shared" ca="1" si="5"/>
        <v>0</v>
      </c>
      <c r="CS6">
        <f t="shared" ca="1" si="5"/>
        <v>0</v>
      </c>
      <c r="CT6">
        <f t="shared" ca="1" si="5"/>
        <v>0</v>
      </c>
      <c r="CU6">
        <f t="shared" ca="1" si="5"/>
        <v>1.7999999999999998</v>
      </c>
      <c r="CV6">
        <f t="shared" ca="1" si="5"/>
        <v>9.6</v>
      </c>
      <c r="CW6">
        <f t="shared" ca="1" si="5"/>
        <v>109.80000000000003</v>
      </c>
      <c r="CX6">
        <f t="shared" ca="1" si="5"/>
        <v>411.60000000000008</v>
      </c>
      <c r="CZ6">
        <v>2000</v>
      </c>
      <c r="DA6">
        <f t="shared" ref="DA6:DL25" ca="1" si="13">OFFSET($E$2,(ROW()-5)*12+COLUMN()-105,0)</f>
        <v>738.49999999999989</v>
      </c>
      <c r="DB6">
        <f t="shared" ca="1" si="6"/>
        <v>623.00000000000011</v>
      </c>
      <c r="DC6">
        <f t="shared" ca="1" si="6"/>
        <v>472.10000000000019</v>
      </c>
      <c r="DD6">
        <f t="shared" ca="1" si="6"/>
        <v>406.19999999999987</v>
      </c>
      <c r="DE6">
        <f t="shared" ca="1" si="6"/>
        <v>206.49999999999994</v>
      </c>
      <c r="DF6">
        <f t="shared" ca="1" si="6"/>
        <v>82.5</v>
      </c>
      <c r="DG6">
        <f t="shared" ca="1" si="6"/>
        <v>21.8</v>
      </c>
      <c r="DH6">
        <f t="shared" ca="1" si="6"/>
        <v>19.900000000000002</v>
      </c>
      <c r="DI6">
        <f t="shared" ca="1" si="6"/>
        <v>123.89999999999999</v>
      </c>
      <c r="DJ6">
        <f t="shared" ca="1" si="6"/>
        <v>250.70000000000002</v>
      </c>
      <c r="DK6">
        <f t="shared" ca="1" si="6"/>
        <v>450.89999999999992</v>
      </c>
      <c r="DL6">
        <f t="shared" ca="1" si="6"/>
        <v>783.6</v>
      </c>
    </row>
    <row r="7" spans="1:116" x14ac:dyDescent="0.2">
      <c r="A7" s="13">
        <v>36312</v>
      </c>
      <c r="B7">
        <v>1999</v>
      </c>
      <c r="C7">
        <v>6</v>
      </c>
      <c r="D7" s="21">
        <v>19.388333333333335</v>
      </c>
      <c r="E7" s="21">
        <v>57.399999999999984</v>
      </c>
      <c r="F7" s="21">
        <v>39.050000000000004</v>
      </c>
      <c r="G7" s="21">
        <v>27.899999999999995</v>
      </c>
      <c r="H7" s="21">
        <v>69.55</v>
      </c>
      <c r="I7" s="21">
        <v>9.6999999999999993</v>
      </c>
      <c r="J7" s="21">
        <v>111.35</v>
      </c>
      <c r="K7" s="21">
        <v>1.5</v>
      </c>
      <c r="L7" s="21">
        <v>163.15</v>
      </c>
      <c r="M7" s="21">
        <v>0</v>
      </c>
      <c r="N7" s="21">
        <v>221.65000000000003</v>
      </c>
      <c r="O7" s="21">
        <v>0</v>
      </c>
      <c r="P7" s="21">
        <v>281.64999999999998</v>
      </c>
      <c r="Q7" s="21">
        <v>0</v>
      </c>
      <c r="R7" s="21">
        <v>341.65</v>
      </c>
      <c r="T7">
        <v>2001</v>
      </c>
      <c r="U7">
        <f t="shared" ca="1" si="7"/>
        <v>641.30000000000007</v>
      </c>
      <c r="V7">
        <f t="shared" ca="1" si="0"/>
        <v>547.9</v>
      </c>
      <c r="W7">
        <f t="shared" ca="1" si="0"/>
        <v>544.79999999999984</v>
      </c>
      <c r="X7">
        <f t="shared" ca="1" si="0"/>
        <v>318.8</v>
      </c>
      <c r="Y7">
        <f t="shared" ca="1" si="0"/>
        <v>149.69999999999999</v>
      </c>
      <c r="Z7">
        <f t="shared" ca="1" si="0"/>
        <v>35.4</v>
      </c>
      <c r="AA7">
        <f t="shared" ca="1" si="0"/>
        <v>6.4999999999999982</v>
      </c>
      <c r="AB7">
        <f t="shared" ca="1" si="0"/>
        <v>0</v>
      </c>
      <c r="AC7">
        <f t="shared" ca="1" si="0"/>
        <v>56.9</v>
      </c>
      <c r="AD7">
        <f t="shared" ca="1" si="0"/>
        <v>202.4</v>
      </c>
      <c r="AE7">
        <f t="shared" ca="1" si="0"/>
        <v>289.10000000000002</v>
      </c>
      <c r="AF7">
        <f t="shared" ca="1" si="0"/>
        <v>463.99999999999989</v>
      </c>
      <c r="AH7">
        <v>2001</v>
      </c>
      <c r="AI7">
        <f t="shared" ca="1" si="8"/>
        <v>579.30000000000007</v>
      </c>
      <c r="AJ7">
        <f t="shared" ca="1" si="1"/>
        <v>491.9</v>
      </c>
      <c r="AK7">
        <f t="shared" ca="1" si="1"/>
        <v>482.79999999999984</v>
      </c>
      <c r="AL7">
        <f t="shared" ca="1" si="1"/>
        <v>258.8</v>
      </c>
      <c r="AM7">
        <f t="shared" ca="1" si="1"/>
        <v>100.6</v>
      </c>
      <c r="AN7">
        <f t="shared" ca="1" si="1"/>
        <v>16.7</v>
      </c>
      <c r="AO7">
        <f t="shared" ca="1" si="1"/>
        <v>0.90000000000000036</v>
      </c>
      <c r="AP7">
        <f t="shared" ca="1" si="1"/>
        <v>0</v>
      </c>
      <c r="AQ7">
        <f t="shared" ca="1" si="1"/>
        <v>30.4</v>
      </c>
      <c r="AR7">
        <f t="shared" ca="1" si="1"/>
        <v>148.10000000000002</v>
      </c>
      <c r="AS7">
        <f t="shared" ca="1" si="1"/>
        <v>229.1</v>
      </c>
      <c r="AT7">
        <f t="shared" ca="1" si="1"/>
        <v>402</v>
      </c>
      <c r="AV7">
        <v>2001</v>
      </c>
      <c r="AW7">
        <f t="shared" ca="1" si="9"/>
        <v>517.29999999999995</v>
      </c>
      <c r="AX7">
        <f t="shared" ca="1" si="2"/>
        <v>435.9</v>
      </c>
      <c r="AY7">
        <f t="shared" ca="1" si="2"/>
        <v>420.7999999999999</v>
      </c>
      <c r="AZ7">
        <f t="shared" ca="1" si="2"/>
        <v>201.60000000000002</v>
      </c>
      <c r="BA7">
        <f t="shared" ca="1" si="2"/>
        <v>55</v>
      </c>
      <c r="BB7">
        <f t="shared" ca="1" si="2"/>
        <v>5.6999999999999993</v>
      </c>
      <c r="BC7">
        <f t="shared" ca="1" si="2"/>
        <v>0</v>
      </c>
      <c r="BD7">
        <f t="shared" ca="1" si="2"/>
        <v>0</v>
      </c>
      <c r="BE7">
        <f t="shared" ca="1" si="2"/>
        <v>13.4</v>
      </c>
      <c r="BF7">
        <f t="shared" ca="1" si="2"/>
        <v>102.9</v>
      </c>
      <c r="BG7">
        <f t="shared" ca="1" si="2"/>
        <v>170.4</v>
      </c>
      <c r="BH7">
        <f t="shared" ca="1" si="2"/>
        <v>341.00000000000006</v>
      </c>
      <c r="BJ7">
        <v>2001</v>
      </c>
      <c r="BK7">
        <f t="shared" ca="1" si="10"/>
        <v>455.3</v>
      </c>
      <c r="BL7">
        <f t="shared" ca="1" si="3"/>
        <v>379.9</v>
      </c>
      <c r="BM7">
        <f t="shared" ca="1" si="3"/>
        <v>358.79999999999995</v>
      </c>
      <c r="BN7">
        <f t="shared" ca="1" si="3"/>
        <v>149.5</v>
      </c>
      <c r="BO7">
        <f t="shared" ca="1" si="3"/>
        <v>17.200000000000003</v>
      </c>
      <c r="BP7">
        <f t="shared" ca="1" si="3"/>
        <v>0.69999999999999929</v>
      </c>
      <c r="BQ7">
        <f t="shared" ca="1" si="3"/>
        <v>0</v>
      </c>
      <c r="BR7">
        <f t="shared" ca="1" si="3"/>
        <v>0</v>
      </c>
      <c r="BS7">
        <f t="shared" ca="1" si="3"/>
        <v>5.4</v>
      </c>
      <c r="BT7">
        <f t="shared" ca="1" si="3"/>
        <v>65.800000000000011</v>
      </c>
      <c r="BU7">
        <f t="shared" ca="1" si="3"/>
        <v>116.79999999999998</v>
      </c>
      <c r="BV7">
        <f t="shared" ca="1" si="3"/>
        <v>281.00000000000006</v>
      </c>
      <c r="BX7">
        <v>2001</v>
      </c>
      <c r="BY7">
        <f t="shared" ca="1" si="11"/>
        <v>393.30000000000007</v>
      </c>
      <c r="BZ7">
        <f t="shared" ca="1" si="11"/>
        <v>323.89999999999998</v>
      </c>
      <c r="CA7">
        <f t="shared" ca="1" si="11"/>
        <v>296.7999999999999</v>
      </c>
      <c r="CB7">
        <f t="shared" ca="1" si="11"/>
        <v>103</v>
      </c>
      <c r="CC7">
        <f t="shared" ca="1" si="11"/>
        <v>2.6000000000000014</v>
      </c>
      <c r="CD7">
        <f t="shared" ca="1" si="11"/>
        <v>0</v>
      </c>
      <c r="CE7">
        <f t="shared" ca="1" si="11"/>
        <v>0</v>
      </c>
      <c r="CF7">
        <f t="shared" ca="1" si="11"/>
        <v>0</v>
      </c>
      <c r="CG7">
        <f t="shared" ca="1" si="11"/>
        <v>1.1999999999999993</v>
      </c>
      <c r="CH7">
        <f t="shared" ca="1" si="11"/>
        <v>37.299999999999997</v>
      </c>
      <c r="CI7">
        <f t="shared" ca="1" si="11"/>
        <v>69.100000000000009</v>
      </c>
      <c r="CJ7">
        <f t="shared" ca="1" si="11"/>
        <v>222.30000000000004</v>
      </c>
      <c r="CL7">
        <v>2001</v>
      </c>
      <c r="CM7">
        <f t="shared" ca="1" si="12"/>
        <v>331.30000000000007</v>
      </c>
      <c r="CN7">
        <f t="shared" ca="1" si="5"/>
        <v>267.89999999999998</v>
      </c>
      <c r="CO7">
        <f t="shared" ca="1" si="5"/>
        <v>234.79999999999995</v>
      </c>
      <c r="CP7">
        <f t="shared" ca="1" si="5"/>
        <v>59.999999999999993</v>
      </c>
      <c r="CQ7">
        <f t="shared" ca="1" si="5"/>
        <v>0</v>
      </c>
      <c r="CR7">
        <f t="shared" ca="1" si="5"/>
        <v>0</v>
      </c>
      <c r="CS7">
        <f t="shared" ca="1" si="5"/>
        <v>0</v>
      </c>
      <c r="CT7">
        <f t="shared" ca="1" si="5"/>
        <v>0</v>
      </c>
      <c r="CU7">
        <f t="shared" ca="1" si="5"/>
        <v>0</v>
      </c>
      <c r="CV7">
        <f t="shared" ca="1" si="5"/>
        <v>15.3</v>
      </c>
      <c r="CW7">
        <f t="shared" ca="1" si="5"/>
        <v>34</v>
      </c>
      <c r="CX7">
        <f t="shared" ca="1" si="5"/>
        <v>167.4</v>
      </c>
      <c r="CZ7">
        <v>2001</v>
      </c>
      <c r="DA7">
        <f t="shared" ca="1" si="13"/>
        <v>703.30000000000018</v>
      </c>
      <c r="DB7">
        <f t="shared" ca="1" si="6"/>
        <v>603.9</v>
      </c>
      <c r="DC7">
        <f t="shared" ca="1" si="6"/>
        <v>606.79999999999995</v>
      </c>
      <c r="DD7">
        <f t="shared" ca="1" si="6"/>
        <v>378.8</v>
      </c>
      <c r="DE7">
        <f t="shared" ca="1" si="6"/>
        <v>206.50000000000003</v>
      </c>
      <c r="DF7">
        <f t="shared" ca="1" si="6"/>
        <v>64.700000000000017</v>
      </c>
      <c r="DG7">
        <f t="shared" ca="1" si="6"/>
        <v>31.500000000000004</v>
      </c>
      <c r="DH7">
        <f t="shared" ca="1" si="6"/>
        <v>3.6000000000000014</v>
      </c>
      <c r="DI7">
        <f t="shared" ca="1" si="6"/>
        <v>100.80000000000001</v>
      </c>
      <c r="DJ7">
        <f t="shared" ca="1" si="6"/>
        <v>261.90000000000003</v>
      </c>
      <c r="DK7">
        <f t="shared" ca="1" si="6"/>
        <v>349.1</v>
      </c>
      <c r="DL7">
        <f t="shared" ca="1" si="6"/>
        <v>525.99999999999989</v>
      </c>
    </row>
    <row r="8" spans="1:116" x14ac:dyDescent="0.2">
      <c r="A8" s="13">
        <v>36342</v>
      </c>
      <c r="B8">
        <v>1999</v>
      </c>
      <c r="C8">
        <v>7</v>
      </c>
      <c r="D8" s="21">
        <v>23.906451612903226</v>
      </c>
      <c r="E8" s="21">
        <v>4.6000000000000014</v>
      </c>
      <c r="F8" s="21">
        <v>125.7</v>
      </c>
      <c r="G8" s="21">
        <v>0.10000000000000142</v>
      </c>
      <c r="H8" s="21">
        <v>183.2</v>
      </c>
      <c r="I8" s="21">
        <v>0</v>
      </c>
      <c r="J8" s="21">
        <v>245.10000000000002</v>
      </c>
      <c r="K8" s="21">
        <v>0</v>
      </c>
      <c r="L8" s="21">
        <v>307.10000000000002</v>
      </c>
      <c r="M8" s="21">
        <v>0</v>
      </c>
      <c r="N8" s="21">
        <v>369.10000000000014</v>
      </c>
      <c r="O8" s="21">
        <v>0</v>
      </c>
      <c r="P8" s="21">
        <v>431.10000000000008</v>
      </c>
      <c r="Q8" s="21">
        <v>0</v>
      </c>
      <c r="R8" s="21">
        <v>493.10000000000008</v>
      </c>
      <c r="T8">
        <v>2002</v>
      </c>
      <c r="U8">
        <f t="shared" ca="1" si="7"/>
        <v>526.59999999999991</v>
      </c>
      <c r="V8">
        <f t="shared" ca="1" si="0"/>
        <v>504.5</v>
      </c>
      <c r="W8">
        <f t="shared" ca="1" si="0"/>
        <v>511.2</v>
      </c>
      <c r="X8">
        <f t="shared" ca="1" si="0"/>
        <v>325.8</v>
      </c>
      <c r="Y8">
        <f t="shared" ca="1" si="0"/>
        <v>227.70000000000005</v>
      </c>
      <c r="Z8">
        <f t="shared" ca="1" si="0"/>
        <v>47.499999999999993</v>
      </c>
      <c r="AA8">
        <f t="shared" ca="1" si="0"/>
        <v>1</v>
      </c>
      <c r="AB8">
        <f t="shared" ca="1" si="0"/>
        <v>0</v>
      </c>
      <c r="AC8">
        <f t="shared" ca="1" si="0"/>
        <v>13.799999999999999</v>
      </c>
      <c r="AD8">
        <f t="shared" ca="1" si="0"/>
        <v>246.29999999999998</v>
      </c>
      <c r="AE8">
        <f t="shared" ca="1" si="0"/>
        <v>399.6</v>
      </c>
      <c r="AF8">
        <f t="shared" ca="1" si="0"/>
        <v>569.39999999999986</v>
      </c>
      <c r="AH8">
        <v>2002</v>
      </c>
      <c r="AI8">
        <f t="shared" ca="1" si="8"/>
        <v>464.59999999999997</v>
      </c>
      <c r="AJ8">
        <f t="shared" ca="1" si="1"/>
        <v>448.5</v>
      </c>
      <c r="AK8">
        <f t="shared" ca="1" si="1"/>
        <v>449.2</v>
      </c>
      <c r="AL8">
        <f t="shared" ca="1" si="1"/>
        <v>268.39999999999998</v>
      </c>
      <c r="AM8">
        <f t="shared" ca="1" si="1"/>
        <v>171.70000000000007</v>
      </c>
      <c r="AN8">
        <f t="shared" ca="1" si="1"/>
        <v>22.1</v>
      </c>
      <c r="AO8">
        <f t="shared" ca="1" si="1"/>
        <v>0</v>
      </c>
      <c r="AP8">
        <f t="shared" ca="1" si="1"/>
        <v>0</v>
      </c>
      <c r="AQ8">
        <f t="shared" ca="1" si="1"/>
        <v>2.4000000000000004</v>
      </c>
      <c r="AR8">
        <f t="shared" ca="1" si="1"/>
        <v>190.3</v>
      </c>
      <c r="AS8">
        <f t="shared" ca="1" si="1"/>
        <v>339.60000000000008</v>
      </c>
      <c r="AT8">
        <f t="shared" ca="1" si="1"/>
        <v>507.39999999999992</v>
      </c>
      <c r="AV8">
        <v>2002</v>
      </c>
      <c r="AW8">
        <f t="shared" ca="1" si="9"/>
        <v>402.59999999999997</v>
      </c>
      <c r="AX8">
        <f t="shared" ca="1" si="2"/>
        <v>392.5</v>
      </c>
      <c r="AY8">
        <f t="shared" ca="1" si="2"/>
        <v>387.20000000000005</v>
      </c>
      <c r="AZ8">
        <f t="shared" ca="1" si="2"/>
        <v>216</v>
      </c>
      <c r="BA8">
        <f t="shared" ca="1" si="2"/>
        <v>117.00000000000001</v>
      </c>
      <c r="BB8">
        <f t="shared" ca="1" si="2"/>
        <v>9.8999999999999986</v>
      </c>
      <c r="BC8">
        <f t="shared" ca="1" si="2"/>
        <v>0</v>
      </c>
      <c r="BD8">
        <f t="shared" ca="1" si="2"/>
        <v>0</v>
      </c>
      <c r="BE8">
        <f t="shared" ca="1" si="2"/>
        <v>0</v>
      </c>
      <c r="BF8">
        <f t="shared" ca="1" si="2"/>
        <v>140.5</v>
      </c>
      <c r="BG8">
        <f t="shared" ca="1" si="2"/>
        <v>280.70000000000005</v>
      </c>
      <c r="BH8">
        <f t="shared" ca="1" si="2"/>
        <v>445.4</v>
      </c>
      <c r="BJ8">
        <v>2002</v>
      </c>
      <c r="BK8">
        <f t="shared" ca="1" si="10"/>
        <v>340.59999999999997</v>
      </c>
      <c r="BL8">
        <f t="shared" ca="1" si="3"/>
        <v>336.49999999999994</v>
      </c>
      <c r="BM8">
        <f t="shared" ca="1" si="3"/>
        <v>325.20000000000005</v>
      </c>
      <c r="BN8">
        <f t="shared" ca="1" si="3"/>
        <v>168.00000000000003</v>
      </c>
      <c r="BO8">
        <f t="shared" ca="1" si="3"/>
        <v>74.200000000000017</v>
      </c>
      <c r="BP8">
        <f t="shared" ca="1" si="3"/>
        <v>3.6999999999999993</v>
      </c>
      <c r="BQ8">
        <f t="shared" ca="1" si="3"/>
        <v>0</v>
      </c>
      <c r="BR8">
        <f t="shared" ca="1" si="3"/>
        <v>0</v>
      </c>
      <c r="BS8">
        <f t="shared" ca="1" si="3"/>
        <v>0</v>
      </c>
      <c r="BT8">
        <f t="shared" ca="1" si="3"/>
        <v>98.100000000000009</v>
      </c>
      <c r="BU8">
        <f t="shared" ca="1" si="3"/>
        <v>225.1</v>
      </c>
      <c r="BV8">
        <f t="shared" ca="1" si="3"/>
        <v>383.39999999999992</v>
      </c>
      <c r="BX8">
        <v>2002</v>
      </c>
      <c r="BY8">
        <f t="shared" ca="1" si="11"/>
        <v>278.60000000000008</v>
      </c>
      <c r="BZ8">
        <f t="shared" ca="1" si="11"/>
        <v>280.49999999999994</v>
      </c>
      <c r="CA8">
        <f t="shared" ca="1" si="11"/>
        <v>263.2</v>
      </c>
      <c r="CB8">
        <f t="shared" ca="1" si="11"/>
        <v>120.10000000000001</v>
      </c>
      <c r="CC8">
        <f t="shared" ca="1" si="11"/>
        <v>40.599999999999994</v>
      </c>
      <c r="CD8">
        <f t="shared" ca="1" si="11"/>
        <v>0.19999999999999929</v>
      </c>
      <c r="CE8">
        <f t="shared" ca="1" si="11"/>
        <v>0</v>
      </c>
      <c r="CF8">
        <f t="shared" ca="1" si="11"/>
        <v>0</v>
      </c>
      <c r="CG8">
        <f t="shared" ca="1" si="11"/>
        <v>0</v>
      </c>
      <c r="CH8">
        <f t="shared" ca="1" si="11"/>
        <v>62</v>
      </c>
      <c r="CI8">
        <f t="shared" ca="1" si="11"/>
        <v>172.39999999999998</v>
      </c>
      <c r="CJ8">
        <f t="shared" ca="1" si="11"/>
        <v>321.39999999999998</v>
      </c>
      <c r="CL8">
        <v>2002</v>
      </c>
      <c r="CM8">
        <f t="shared" ca="1" si="12"/>
        <v>216.60000000000005</v>
      </c>
      <c r="CN8">
        <f t="shared" ca="1" si="5"/>
        <v>226.1</v>
      </c>
      <c r="CO8">
        <f t="shared" ca="1" si="5"/>
        <v>201.19999999999996</v>
      </c>
      <c r="CP8">
        <f t="shared" ca="1" si="5"/>
        <v>77.800000000000011</v>
      </c>
      <c r="CQ8">
        <f t="shared" ca="1" si="5"/>
        <v>13.5</v>
      </c>
      <c r="CR8">
        <f t="shared" ca="1" si="5"/>
        <v>0</v>
      </c>
      <c r="CS8">
        <f t="shared" ca="1" si="5"/>
        <v>0</v>
      </c>
      <c r="CT8">
        <f t="shared" ca="1" si="5"/>
        <v>0</v>
      </c>
      <c r="CU8">
        <f t="shared" ca="1" si="5"/>
        <v>0</v>
      </c>
      <c r="CV8">
        <f t="shared" ca="1" si="5"/>
        <v>31.999999999999996</v>
      </c>
      <c r="CW8">
        <f t="shared" ca="1" si="5"/>
        <v>122</v>
      </c>
      <c r="CX8">
        <f t="shared" ca="1" si="5"/>
        <v>259.39999999999998</v>
      </c>
      <c r="CZ8">
        <v>2002</v>
      </c>
      <c r="DA8">
        <f t="shared" ca="1" si="13"/>
        <v>588.6</v>
      </c>
      <c r="DB8">
        <f t="shared" ca="1" si="6"/>
        <v>560.49999999999989</v>
      </c>
      <c r="DC8">
        <f t="shared" ca="1" si="6"/>
        <v>573.20000000000005</v>
      </c>
      <c r="DD8">
        <f t="shared" ca="1" si="6"/>
        <v>383.8</v>
      </c>
      <c r="DE8">
        <f t="shared" ca="1" si="6"/>
        <v>285.59999999999997</v>
      </c>
      <c r="DF8">
        <f t="shared" ca="1" si="6"/>
        <v>81.000000000000014</v>
      </c>
      <c r="DG8">
        <f t="shared" ca="1" si="6"/>
        <v>6.1000000000000014</v>
      </c>
      <c r="DH8">
        <f t="shared" ca="1" si="6"/>
        <v>10.199999999999999</v>
      </c>
      <c r="DI8">
        <f t="shared" ca="1" si="6"/>
        <v>34.300000000000004</v>
      </c>
      <c r="DJ8">
        <f t="shared" ca="1" si="6"/>
        <v>302.3</v>
      </c>
      <c r="DK8">
        <f t="shared" ca="1" si="6"/>
        <v>459.6</v>
      </c>
      <c r="DL8">
        <f t="shared" ca="1" si="6"/>
        <v>631.4</v>
      </c>
    </row>
    <row r="9" spans="1:116" x14ac:dyDescent="0.2">
      <c r="A9" s="13">
        <v>36373</v>
      </c>
      <c r="B9">
        <v>1999</v>
      </c>
      <c r="C9">
        <v>8</v>
      </c>
      <c r="D9" s="21">
        <v>20.170967741935481</v>
      </c>
      <c r="E9" s="21">
        <v>26</v>
      </c>
      <c r="F9" s="21">
        <v>31.3</v>
      </c>
      <c r="G9" s="21">
        <v>6.1</v>
      </c>
      <c r="H9" s="21">
        <v>73.400000000000006</v>
      </c>
      <c r="I9" s="21">
        <v>0.59999999999999964</v>
      </c>
      <c r="J9" s="21">
        <v>129.89999999999995</v>
      </c>
      <c r="K9" s="21">
        <v>0</v>
      </c>
      <c r="L9" s="21">
        <v>191.29999999999995</v>
      </c>
      <c r="M9" s="21">
        <v>0</v>
      </c>
      <c r="N9" s="21">
        <v>253.29999999999998</v>
      </c>
      <c r="O9" s="21">
        <v>0</v>
      </c>
      <c r="P9" s="21">
        <v>315.3</v>
      </c>
      <c r="Q9" s="21">
        <v>0</v>
      </c>
      <c r="R9" s="21">
        <v>377.3</v>
      </c>
      <c r="T9">
        <v>2003</v>
      </c>
      <c r="U9">
        <f t="shared" ca="1" si="7"/>
        <v>761</v>
      </c>
      <c r="V9">
        <f t="shared" ca="1" si="0"/>
        <v>649.99999999999989</v>
      </c>
      <c r="W9">
        <f t="shared" ca="1" si="0"/>
        <v>564.29999999999995</v>
      </c>
      <c r="X9">
        <f t="shared" ca="1" si="0"/>
        <v>382.8</v>
      </c>
      <c r="Y9">
        <f t="shared" ca="1" si="0"/>
        <v>230.39999999999998</v>
      </c>
      <c r="Z9">
        <f t="shared" ca="1" si="0"/>
        <v>68.099999999999994</v>
      </c>
      <c r="AA9">
        <f t="shared" ca="1" si="0"/>
        <v>3.4000000000000021</v>
      </c>
      <c r="AB9">
        <f t="shared" ca="1" si="0"/>
        <v>1.4000000000000021</v>
      </c>
      <c r="AC9">
        <f t="shared" ca="1" si="0"/>
        <v>36.300000000000011</v>
      </c>
      <c r="AD9">
        <f t="shared" ca="1" si="0"/>
        <v>275.8</v>
      </c>
      <c r="AE9">
        <f t="shared" ca="1" si="0"/>
        <v>357.00000000000006</v>
      </c>
      <c r="AF9">
        <f t="shared" ca="1" si="0"/>
        <v>515.79999999999995</v>
      </c>
      <c r="AH9">
        <v>2003</v>
      </c>
      <c r="AI9">
        <f t="shared" ca="1" si="8"/>
        <v>699.00000000000011</v>
      </c>
      <c r="AJ9">
        <f t="shared" ca="1" si="1"/>
        <v>594</v>
      </c>
      <c r="AK9">
        <f t="shared" ca="1" si="1"/>
        <v>502.29999999999984</v>
      </c>
      <c r="AL9">
        <f t="shared" ca="1" si="1"/>
        <v>326.2</v>
      </c>
      <c r="AM9">
        <f t="shared" ca="1" si="1"/>
        <v>169.39999999999995</v>
      </c>
      <c r="AN9">
        <f t="shared" ca="1" si="1"/>
        <v>37.799999999999997</v>
      </c>
      <c r="AO9">
        <f t="shared" ca="1" si="1"/>
        <v>0</v>
      </c>
      <c r="AP9">
        <f t="shared" ca="1" si="1"/>
        <v>0</v>
      </c>
      <c r="AQ9">
        <f t="shared" ca="1" si="1"/>
        <v>15.099999999999998</v>
      </c>
      <c r="AR9">
        <f t="shared" ca="1" si="1"/>
        <v>213.8</v>
      </c>
      <c r="AS9">
        <f t="shared" ca="1" si="1"/>
        <v>297</v>
      </c>
      <c r="AT9">
        <f t="shared" ca="1" si="1"/>
        <v>453.8</v>
      </c>
      <c r="AV9">
        <v>2003</v>
      </c>
      <c r="AW9">
        <f t="shared" ca="1" si="9"/>
        <v>637</v>
      </c>
      <c r="AX9">
        <f t="shared" ca="1" si="2"/>
        <v>538</v>
      </c>
      <c r="AY9">
        <f t="shared" ca="1" si="2"/>
        <v>440.29999999999984</v>
      </c>
      <c r="AZ9">
        <f t="shared" ca="1" si="2"/>
        <v>270.70000000000005</v>
      </c>
      <c r="BA9">
        <f t="shared" ca="1" si="2"/>
        <v>110.4</v>
      </c>
      <c r="BB9">
        <f t="shared" ca="1" si="2"/>
        <v>18.799999999999997</v>
      </c>
      <c r="BC9">
        <f t="shared" ca="1" si="2"/>
        <v>0</v>
      </c>
      <c r="BD9">
        <f t="shared" ca="1" si="2"/>
        <v>0</v>
      </c>
      <c r="BE9">
        <f t="shared" ca="1" si="2"/>
        <v>6.3999999999999986</v>
      </c>
      <c r="BF9">
        <f t="shared" ca="1" si="2"/>
        <v>152.99999999999997</v>
      </c>
      <c r="BG9">
        <f t="shared" ca="1" si="2"/>
        <v>237</v>
      </c>
      <c r="BH9">
        <f t="shared" ca="1" si="2"/>
        <v>391.8</v>
      </c>
      <c r="BJ9">
        <v>2003</v>
      </c>
      <c r="BK9">
        <f t="shared" ca="1" si="10"/>
        <v>575</v>
      </c>
      <c r="BL9">
        <f t="shared" ca="1" si="3"/>
        <v>482</v>
      </c>
      <c r="BM9">
        <f t="shared" ca="1" si="3"/>
        <v>378.29999999999984</v>
      </c>
      <c r="BN9">
        <f t="shared" ca="1" si="3"/>
        <v>216.7</v>
      </c>
      <c r="BO9">
        <f t="shared" ca="1" si="3"/>
        <v>61.2</v>
      </c>
      <c r="BP9">
        <f t="shared" ca="1" si="3"/>
        <v>4.9000000000000004</v>
      </c>
      <c r="BQ9">
        <f t="shared" ca="1" si="3"/>
        <v>0</v>
      </c>
      <c r="BR9">
        <f t="shared" ca="1" si="3"/>
        <v>0</v>
      </c>
      <c r="BS9">
        <f t="shared" ca="1" si="3"/>
        <v>1.7999999999999989</v>
      </c>
      <c r="BT9">
        <f t="shared" ca="1" si="3"/>
        <v>99.199999999999989</v>
      </c>
      <c r="BU9">
        <f t="shared" ca="1" si="3"/>
        <v>178.20000000000002</v>
      </c>
      <c r="BV9">
        <f t="shared" ca="1" si="3"/>
        <v>329.8</v>
      </c>
      <c r="BX9">
        <v>2003</v>
      </c>
      <c r="BY9">
        <f t="shared" ca="1" si="11"/>
        <v>513</v>
      </c>
      <c r="BZ9">
        <f t="shared" ca="1" si="11"/>
        <v>426</v>
      </c>
      <c r="CA9">
        <f t="shared" ca="1" si="11"/>
        <v>316.29999999999984</v>
      </c>
      <c r="CB9">
        <f t="shared" ca="1" si="11"/>
        <v>163.89999999999998</v>
      </c>
      <c r="CC9">
        <f t="shared" ca="1" si="11"/>
        <v>24.099999999999994</v>
      </c>
      <c r="CD9">
        <f t="shared" ca="1" si="11"/>
        <v>0.80000000000000071</v>
      </c>
      <c r="CE9">
        <f t="shared" ca="1" si="11"/>
        <v>0</v>
      </c>
      <c r="CF9">
        <f t="shared" ca="1" si="11"/>
        <v>0</v>
      </c>
      <c r="CG9">
        <f t="shared" ca="1" si="11"/>
        <v>0</v>
      </c>
      <c r="CH9">
        <f t="shared" ca="1" si="11"/>
        <v>54</v>
      </c>
      <c r="CI9">
        <f t="shared" ca="1" si="11"/>
        <v>121.49999999999999</v>
      </c>
      <c r="CJ9">
        <f t="shared" ca="1" si="11"/>
        <v>267.8</v>
      </c>
      <c r="CL9">
        <v>2003</v>
      </c>
      <c r="CM9">
        <f t="shared" ca="1" si="12"/>
        <v>451</v>
      </c>
      <c r="CN9">
        <f t="shared" ca="1" si="5"/>
        <v>370</v>
      </c>
      <c r="CO9">
        <f t="shared" ca="1" si="5"/>
        <v>258.09999999999991</v>
      </c>
      <c r="CP9">
        <f t="shared" ca="1" si="5"/>
        <v>118.2</v>
      </c>
      <c r="CQ9">
        <f t="shared" ca="1" si="5"/>
        <v>6.2999999999999989</v>
      </c>
      <c r="CR9">
        <f t="shared" ca="1" si="5"/>
        <v>0</v>
      </c>
      <c r="CS9">
        <f t="shared" ca="1" si="5"/>
        <v>0</v>
      </c>
      <c r="CT9">
        <f t="shared" ca="1" si="5"/>
        <v>0</v>
      </c>
      <c r="CU9">
        <f t="shared" ca="1" si="5"/>
        <v>0</v>
      </c>
      <c r="CV9">
        <f t="shared" ca="1" si="5"/>
        <v>20.6</v>
      </c>
      <c r="CW9">
        <f t="shared" ca="1" si="5"/>
        <v>72.7</v>
      </c>
      <c r="CX9">
        <f t="shared" ca="1" si="5"/>
        <v>206.00000000000006</v>
      </c>
      <c r="CZ9">
        <v>2003</v>
      </c>
      <c r="DA9">
        <f t="shared" ca="1" si="13"/>
        <v>823</v>
      </c>
      <c r="DB9">
        <f t="shared" ca="1" si="6"/>
        <v>705.99999999999989</v>
      </c>
      <c r="DC9">
        <f t="shared" ca="1" si="6"/>
        <v>626.29999999999973</v>
      </c>
      <c r="DD9">
        <f t="shared" ca="1" si="6"/>
        <v>441.29999999999995</v>
      </c>
      <c r="DE9">
        <f t="shared" ca="1" si="6"/>
        <v>292.39999999999992</v>
      </c>
      <c r="DF9">
        <f t="shared" ca="1" si="6"/>
        <v>106.30000000000001</v>
      </c>
      <c r="DG9">
        <f t="shared" ca="1" si="6"/>
        <v>20.6</v>
      </c>
      <c r="DH9">
        <f t="shared" ca="1" si="6"/>
        <v>13.200000000000003</v>
      </c>
      <c r="DI9">
        <f t="shared" ca="1" si="6"/>
        <v>84.9</v>
      </c>
      <c r="DJ9">
        <f t="shared" ca="1" si="6"/>
        <v>337.80000000000007</v>
      </c>
      <c r="DK9">
        <f t="shared" ca="1" si="6"/>
        <v>417</v>
      </c>
      <c r="DL9">
        <f t="shared" ca="1" si="6"/>
        <v>577.79999999999995</v>
      </c>
    </row>
    <row r="10" spans="1:116" x14ac:dyDescent="0.2">
      <c r="A10" s="13">
        <v>36404</v>
      </c>
      <c r="B10">
        <v>1999</v>
      </c>
      <c r="C10">
        <v>9</v>
      </c>
      <c r="D10" s="21">
        <v>18.509999999999998</v>
      </c>
      <c r="E10" s="21">
        <v>68.800000000000011</v>
      </c>
      <c r="F10" s="21">
        <v>24.099999999999998</v>
      </c>
      <c r="G10" s="21">
        <v>34.4</v>
      </c>
      <c r="H10" s="21">
        <v>49.699999999999989</v>
      </c>
      <c r="I10" s="21">
        <v>15</v>
      </c>
      <c r="J10" s="21">
        <v>90.299999999999969</v>
      </c>
      <c r="K10" s="21">
        <v>5.0999999999999996</v>
      </c>
      <c r="L10" s="21">
        <v>140.39999999999998</v>
      </c>
      <c r="M10" s="21">
        <v>1</v>
      </c>
      <c r="N10" s="21">
        <v>196.30000000000004</v>
      </c>
      <c r="O10" s="21">
        <v>0</v>
      </c>
      <c r="P10" s="21">
        <v>255.30000000000004</v>
      </c>
      <c r="Q10" s="21">
        <v>0</v>
      </c>
      <c r="R10" s="21">
        <v>315.3</v>
      </c>
      <c r="T10">
        <v>2004</v>
      </c>
      <c r="U10">
        <f t="shared" ca="1" si="7"/>
        <v>784.09999999999991</v>
      </c>
      <c r="V10">
        <f t="shared" ca="1" si="0"/>
        <v>574.9</v>
      </c>
      <c r="W10">
        <f t="shared" ca="1" si="0"/>
        <v>476.09999999999997</v>
      </c>
      <c r="X10">
        <f t="shared" ca="1" si="0"/>
        <v>332.60000000000008</v>
      </c>
      <c r="Y10">
        <f t="shared" ca="1" si="0"/>
        <v>173.50000000000003</v>
      </c>
      <c r="Z10">
        <f t="shared" ca="1" si="0"/>
        <v>47.599999999999994</v>
      </c>
      <c r="AA10">
        <f t="shared" ca="1" si="0"/>
        <v>4</v>
      </c>
      <c r="AB10">
        <f t="shared" ca="1" si="0"/>
        <v>6.1999999999999957</v>
      </c>
      <c r="AC10">
        <f t="shared" ca="1" si="0"/>
        <v>22.799999999999997</v>
      </c>
      <c r="AD10">
        <f t="shared" ca="1" si="0"/>
        <v>218.40000000000003</v>
      </c>
      <c r="AE10">
        <f t="shared" ca="1" si="0"/>
        <v>343</v>
      </c>
      <c r="AF10">
        <f t="shared" ca="1" si="0"/>
        <v>580.30000000000007</v>
      </c>
      <c r="AH10">
        <v>2004</v>
      </c>
      <c r="AI10">
        <f t="shared" ca="1" si="8"/>
        <v>722.09999999999991</v>
      </c>
      <c r="AJ10">
        <f t="shared" ca="1" si="1"/>
        <v>516.90000000000009</v>
      </c>
      <c r="AK10">
        <f t="shared" ca="1" si="1"/>
        <v>414.09999999999997</v>
      </c>
      <c r="AL10">
        <f t="shared" ca="1" si="1"/>
        <v>275.00000000000006</v>
      </c>
      <c r="AM10">
        <f t="shared" ca="1" si="1"/>
        <v>115.69999999999999</v>
      </c>
      <c r="AN10">
        <f t="shared" ca="1" si="1"/>
        <v>20</v>
      </c>
      <c r="AO10">
        <f t="shared" ca="1" si="1"/>
        <v>0</v>
      </c>
      <c r="AP10">
        <f t="shared" ca="1" si="1"/>
        <v>1.1999999999999993</v>
      </c>
      <c r="AQ10">
        <f t="shared" ca="1" si="1"/>
        <v>9</v>
      </c>
      <c r="AR10">
        <f t="shared" ca="1" si="1"/>
        <v>161.10000000000002</v>
      </c>
      <c r="AS10">
        <f t="shared" ca="1" si="1"/>
        <v>283.00000000000006</v>
      </c>
      <c r="AT10">
        <f t="shared" ca="1" si="1"/>
        <v>518.30000000000007</v>
      </c>
      <c r="AV10">
        <v>2004</v>
      </c>
      <c r="AW10">
        <f t="shared" ca="1" si="9"/>
        <v>660.09999999999991</v>
      </c>
      <c r="AX10">
        <f t="shared" ca="1" si="2"/>
        <v>458.90000000000003</v>
      </c>
      <c r="AY10">
        <f t="shared" ca="1" si="2"/>
        <v>352.09999999999991</v>
      </c>
      <c r="AZ10">
        <f t="shared" ca="1" si="2"/>
        <v>219.20000000000005</v>
      </c>
      <c r="BA10">
        <f t="shared" ca="1" si="2"/>
        <v>68.999999999999986</v>
      </c>
      <c r="BB10">
        <f t="shared" ca="1" si="2"/>
        <v>5.4</v>
      </c>
      <c r="BC10">
        <f t="shared" ca="1" si="2"/>
        <v>0</v>
      </c>
      <c r="BD10">
        <f t="shared" ca="1" si="2"/>
        <v>0</v>
      </c>
      <c r="BE10">
        <f t="shared" ca="1" si="2"/>
        <v>1.4000000000000004</v>
      </c>
      <c r="BF10">
        <f t="shared" ca="1" si="2"/>
        <v>111.3</v>
      </c>
      <c r="BG10">
        <f t="shared" ca="1" si="2"/>
        <v>223</v>
      </c>
      <c r="BH10">
        <f t="shared" ca="1" si="2"/>
        <v>456.3</v>
      </c>
      <c r="BJ10">
        <v>2004</v>
      </c>
      <c r="BK10">
        <f t="shared" ca="1" si="10"/>
        <v>598.09999999999991</v>
      </c>
      <c r="BL10">
        <f t="shared" ca="1" si="3"/>
        <v>400.90000000000003</v>
      </c>
      <c r="BM10">
        <f t="shared" ca="1" si="3"/>
        <v>292.09999999999991</v>
      </c>
      <c r="BN10">
        <f t="shared" ca="1" si="3"/>
        <v>166.10000000000002</v>
      </c>
      <c r="BO10">
        <f t="shared" ca="1" si="3"/>
        <v>34.800000000000004</v>
      </c>
      <c r="BP10">
        <f t="shared" ca="1" si="3"/>
        <v>0.80000000000000071</v>
      </c>
      <c r="BQ10">
        <f t="shared" ca="1" si="3"/>
        <v>0</v>
      </c>
      <c r="BR10">
        <f t="shared" ca="1" si="3"/>
        <v>0</v>
      </c>
      <c r="BS10">
        <f t="shared" ca="1" si="3"/>
        <v>0</v>
      </c>
      <c r="BT10">
        <f t="shared" ca="1" si="3"/>
        <v>66.399999999999991</v>
      </c>
      <c r="BU10">
        <f t="shared" ca="1" si="3"/>
        <v>163.00000000000003</v>
      </c>
      <c r="BV10">
        <f t="shared" ca="1" si="3"/>
        <v>394.3</v>
      </c>
      <c r="BX10">
        <v>2004</v>
      </c>
      <c r="BY10">
        <f t="shared" ca="1" si="11"/>
        <v>536.1</v>
      </c>
      <c r="BZ10">
        <f t="shared" ca="1" si="11"/>
        <v>342.90000000000003</v>
      </c>
      <c r="CA10">
        <f t="shared" ca="1" si="11"/>
        <v>233.7</v>
      </c>
      <c r="CB10">
        <f t="shared" ca="1" si="11"/>
        <v>119.79999999999998</v>
      </c>
      <c r="CC10">
        <f t="shared" ca="1" si="11"/>
        <v>16</v>
      </c>
      <c r="CD10">
        <f t="shared" ca="1" si="11"/>
        <v>0</v>
      </c>
      <c r="CE10">
        <f t="shared" ca="1" si="11"/>
        <v>0</v>
      </c>
      <c r="CF10">
        <f t="shared" ca="1" si="11"/>
        <v>0</v>
      </c>
      <c r="CG10">
        <f t="shared" ca="1" si="11"/>
        <v>0</v>
      </c>
      <c r="CH10">
        <f t="shared" ca="1" si="11"/>
        <v>29.6</v>
      </c>
      <c r="CI10">
        <f t="shared" ca="1" si="11"/>
        <v>106.10000000000001</v>
      </c>
      <c r="CJ10">
        <f t="shared" ca="1" si="11"/>
        <v>332.3</v>
      </c>
      <c r="CL10">
        <v>2004</v>
      </c>
      <c r="CM10">
        <f t="shared" ca="1" si="12"/>
        <v>475.5</v>
      </c>
      <c r="CN10">
        <f t="shared" ca="1" si="5"/>
        <v>284.89999999999998</v>
      </c>
      <c r="CO10">
        <f t="shared" ca="1" si="5"/>
        <v>177.8</v>
      </c>
      <c r="CP10">
        <f t="shared" ca="1" si="5"/>
        <v>75.999999999999986</v>
      </c>
      <c r="CQ10">
        <f t="shared" ca="1" si="5"/>
        <v>5.6</v>
      </c>
      <c r="CR10">
        <f t="shared" ca="1" si="5"/>
        <v>0</v>
      </c>
      <c r="CS10">
        <f t="shared" ca="1" si="5"/>
        <v>0</v>
      </c>
      <c r="CT10">
        <f t="shared" ca="1" si="5"/>
        <v>0</v>
      </c>
      <c r="CU10">
        <f t="shared" ca="1" si="5"/>
        <v>0</v>
      </c>
      <c r="CV10">
        <f t="shared" ca="1" si="5"/>
        <v>7.6999999999999993</v>
      </c>
      <c r="CW10">
        <f t="shared" ca="1" si="5"/>
        <v>58.7</v>
      </c>
      <c r="CX10">
        <f t="shared" ca="1" si="5"/>
        <v>270.59999999999997</v>
      </c>
      <c r="CZ10">
        <v>2004</v>
      </c>
      <c r="DA10">
        <f t="shared" ca="1" si="13"/>
        <v>846.09999999999991</v>
      </c>
      <c r="DB10">
        <f t="shared" ca="1" si="6"/>
        <v>632.90000000000009</v>
      </c>
      <c r="DC10">
        <f t="shared" ca="1" si="6"/>
        <v>538.1</v>
      </c>
      <c r="DD10">
        <f t="shared" ca="1" si="6"/>
        <v>391.90000000000015</v>
      </c>
      <c r="DE10">
        <f t="shared" ca="1" si="6"/>
        <v>234.59999999999997</v>
      </c>
      <c r="DF10">
        <f t="shared" ca="1" si="6"/>
        <v>90.699999999999989</v>
      </c>
      <c r="DG10">
        <f t="shared" ca="1" si="6"/>
        <v>24.400000000000002</v>
      </c>
      <c r="DH10">
        <f t="shared" ca="1" si="6"/>
        <v>30.3</v>
      </c>
      <c r="DI10">
        <f t="shared" ca="1" si="6"/>
        <v>50.1</v>
      </c>
      <c r="DJ10">
        <f t="shared" ca="1" si="6"/>
        <v>279.20000000000005</v>
      </c>
      <c r="DK10">
        <f t="shared" ca="1" si="6"/>
        <v>403</v>
      </c>
      <c r="DL10">
        <f t="shared" ca="1" si="6"/>
        <v>642.30000000000007</v>
      </c>
    </row>
    <row r="11" spans="1:116" x14ac:dyDescent="0.2">
      <c r="A11" s="13">
        <v>36434</v>
      </c>
      <c r="B11">
        <v>1999</v>
      </c>
      <c r="C11">
        <v>10</v>
      </c>
      <c r="D11" s="21">
        <v>10.619354838709677</v>
      </c>
      <c r="E11" s="21">
        <v>290.79999999999995</v>
      </c>
      <c r="F11" s="21">
        <v>0</v>
      </c>
      <c r="G11" s="21">
        <v>229</v>
      </c>
      <c r="H11" s="21">
        <v>0.19999999999999929</v>
      </c>
      <c r="I11" s="21">
        <v>170.59999999999997</v>
      </c>
      <c r="J11" s="21">
        <v>3.8000000000000007</v>
      </c>
      <c r="K11" s="21">
        <v>115.3</v>
      </c>
      <c r="L11" s="21">
        <v>10.5</v>
      </c>
      <c r="M11" s="21">
        <v>67.5</v>
      </c>
      <c r="N11" s="21">
        <v>24.7</v>
      </c>
      <c r="O11" s="21">
        <v>32.200000000000003</v>
      </c>
      <c r="P11" s="21">
        <v>51.400000000000006</v>
      </c>
      <c r="Q11" s="21">
        <v>10.399999999999999</v>
      </c>
      <c r="R11" s="21">
        <v>91.59999999999998</v>
      </c>
      <c r="T11">
        <v>2005</v>
      </c>
      <c r="U11">
        <f t="shared" ca="1" si="7"/>
        <v>708.4000000000002</v>
      </c>
      <c r="V11">
        <f t="shared" ca="1" si="0"/>
        <v>582</v>
      </c>
      <c r="W11">
        <f t="shared" ca="1" si="0"/>
        <v>587.79999999999984</v>
      </c>
      <c r="X11">
        <f t="shared" ca="1" si="0"/>
        <v>325.3</v>
      </c>
      <c r="Y11">
        <f t="shared" ca="1" si="0"/>
        <v>209.39999999999998</v>
      </c>
      <c r="Z11">
        <f t="shared" ca="1" si="0"/>
        <v>13.600000000000001</v>
      </c>
      <c r="AA11">
        <f t="shared" ca="1" si="0"/>
        <v>1.5</v>
      </c>
      <c r="AB11">
        <f t="shared" ca="1" si="0"/>
        <v>0</v>
      </c>
      <c r="AC11">
        <f t="shared" ca="1" si="0"/>
        <v>10.000000000000002</v>
      </c>
      <c r="AD11">
        <f t="shared" ca="1" si="0"/>
        <v>199.79999999999998</v>
      </c>
      <c r="AE11">
        <f t="shared" ca="1" si="0"/>
        <v>336.40000000000003</v>
      </c>
      <c r="AF11">
        <f t="shared" ca="1" si="0"/>
        <v>619.20000000000016</v>
      </c>
      <c r="AH11">
        <v>2005</v>
      </c>
      <c r="AI11">
        <f t="shared" ca="1" si="8"/>
        <v>646.4000000000002</v>
      </c>
      <c r="AJ11">
        <f t="shared" ca="1" si="1"/>
        <v>526</v>
      </c>
      <c r="AK11">
        <f t="shared" ca="1" si="1"/>
        <v>525.79999999999995</v>
      </c>
      <c r="AL11">
        <f t="shared" ca="1" si="1"/>
        <v>265.3</v>
      </c>
      <c r="AM11">
        <f t="shared" ca="1" si="1"/>
        <v>151.29999999999995</v>
      </c>
      <c r="AN11">
        <f t="shared" ca="1" si="1"/>
        <v>1.6999999999999993</v>
      </c>
      <c r="AO11">
        <f t="shared" ca="1" si="1"/>
        <v>0</v>
      </c>
      <c r="AP11">
        <f t="shared" ca="1" si="1"/>
        <v>0</v>
      </c>
      <c r="AQ11">
        <f t="shared" ca="1" si="1"/>
        <v>2.0999999999999996</v>
      </c>
      <c r="AR11">
        <f t="shared" ca="1" si="1"/>
        <v>145.79999999999998</v>
      </c>
      <c r="AS11">
        <f t="shared" ca="1" si="1"/>
        <v>276.39999999999998</v>
      </c>
      <c r="AT11">
        <f t="shared" ca="1" si="1"/>
        <v>557.20000000000027</v>
      </c>
      <c r="AV11">
        <v>2005</v>
      </c>
      <c r="AW11">
        <f t="shared" ca="1" si="9"/>
        <v>584.40000000000009</v>
      </c>
      <c r="AX11">
        <f t="shared" ca="1" si="2"/>
        <v>470.00000000000006</v>
      </c>
      <c r="AY11">
        <f t="shared" ca="1" si="2"/>
        <v>463.8</v>
      </c>
      <c r="AZ11">
        <f t="shared" ca="1" si="2"/>
        <v>206.70000000000002</v>
      </c>
      <c r="BA11">
        <f t="shared" ca="1" si="2"/>
        <v>102.60000000000001</v>
      </c>
      <c r="BB11">
        <f t="shared" ca="1" si="2"/>
        <v>0</v>
      </c>
      <c r="BC11">
        <f t="shared" ca="1" si="2"/>
        <v>0</v>
      </c>
      <c r="BD11">
        <f t="shared" ca="1" si="2"/>
        <v>0</v>
      </c>
      <c r="BE11">
        <f t="shared" ca="1" si="2"/>
        <v>0</v>
      </c>
      <c r="BF11">
        <f t="shared" ca="1" si="2"/>
        <v>93.9</v>
      </c>
      <c r="BG11">
        <f t="shared" ca="1" si="2"/>
        <v>216.70000000000002</v>
      </c>
      <c r="BH11">
        <f t="shared" ca="1" si="2"/>
        <v>495.20000000000022</v>
      </c>
      <c r="BJ11">
        <v>2005</v>
      </c>
      <c r="BK11">
        <f t="shared" ca="1" si="10"/>
        <v>522.40000000000009</v>
      </c>
      <c r="BL11">
        <f t="shared" ca="1" si="3"/>
        <v>414.00000000000006</v>
      </c>
      <c r="BM11">
        <f t="shared" ca="1" si="3"/>
        <v>401.8</v>
      </c>
      <c r="BN11">
        <f t="shared" ca="1" si="3"/>
        <v>149.30000000000004</v>
      </c>
      <c r="BO11">
        <f t="shared" ca="1" si="3"/>
        <v>61.399999999999991</v>
      </c>
      <c r="BP11">
        <f t="shared" ca="1" si="3"/>
        <v>0</v>
      </c>
      <c r="BQ11">
        <f t="shared" ca="1" si="3"/>
        <v>0</v>
      </c>
      <c r="BR11">
        <f t="shared" ca="1" si="3"/>
        <v>0</v>
      </c>
      <c r="BS11">
        <f t="shared" ca="1" si="3"/>
        <v>0</v>
      </c>
      <c r="BT11">
        <f t="shared" ca="1" si="3"/>
        <v>51.999999999999993</v>
      </c>
      <c r="BU11">
        <f t="shared" ca="1" si="3"/>
        <v>164.1</v>
      </c>
      <c r="BV11">
        <f t="shared" ca="1" si="3"/>
        <v>433.20000000000022</v>
      </c>
      <c r="BX11">
        <v>2005</v>
      </c>
      <c r="BY11">
        <f t="shared" ca="1" si="11"/>
        <v>460.40000000000003</v>
      </c>
      <c r="BZ11">
        <f t="shared" ca="1" si="11"/>
        <v>358</v>
      </c>
      <c r="CA11">
        <f t="shared" ca="1" si="11"/>
        <v>339.79999999999995</v>
      </c>
      <c r="CB11">
        <f t="shared" ca="1" si="11"/>
        <v>97.8</v>
      </c>
      <c r="CC11">
        <f t="shared" ca="1" si="11"/>
        <v>29.5</v>
      </c>
      <c r="CD11">
        <f t="shared" ca="1" si="11"/>
        <v>0</v>
      </c>
      <c r="CE11">
        <f t="shared" ca="1" si="11"/>
        <v>0</v>
      </c>
      <c r="CF11">
        <f t="shared" ca="1" si="11"/>
        <v>0</v>
      </c>
      <c r="CG11">
        <f t="shared" ca="1" si="11"/>
        <v>0</v>
      </c>
      <c r="CH11">
        <f t="shared" ca="1" si="11"/>
        <v>27.099999999999998</v>
      </c>
      <c r="CI11">
        <f t="shared" ca="1" si="11"/>
        <v>119.90000000000002</v>
      </c>
      <c r="CJ11">
        <f t="shared" ca="1" si="11"/>
        <v>371.20000000000022</v>
      </c>
      <c r="CL11">
        <v>2005</v>
      </c>
      <c r="CM11">
        <f t="shared" ca="1" si="12"/>
        <v>400.1</v>
      </c>
      <c r="CN11">
        <f t="shared" ca="1" si="5"/>
        <v>302.00000000000006</v>
      </c>
      <c r="CO11">
        <f t="shared" ca="1" si="5"/>
        <v>279.40000000000009</v>
      </c>
      <c r="CP11">
        <f t="shared" ca="1" si="5"/>
        <v>51.400000000000006</v>
      </c>
      <c r="CQ11">
        <f t="shared" ca="1" si="5"/>
        <v>11.599999999999998</v>
      </c>
      <c r="CR11">
        <f t="shared" ca="1" si="5"/>
        <v>0</v>
      </c>
      <c r="CS11">
        <f t="shared" ca="1" si="5"/>
        <v>0</v>
      </c>
      <c r="CT11">
        <f t="shared" ca="1" si="5"/>
        <v>0</v>
      </c>
      <c r="CU11">
        <f t="shared" ca="1" si="5"/>
        <v>0</v>
      </c>
      <c r="CV11">
        <f t="shared" ca="1" si="5"/>
        <v>9.1</v>
      </c>
      <c r="CW11">
        <f t="shared" ca="1" si="5"/>
        <v>87.3</v>
      </c>
      <c r="CX11">
        <f t="shared" ca="1" si="5"/>
        <v>309.20000000000016</v>
      </c>
      <c r="CZ11">
        <v>2005</v>
      </c>
      <c r="DA11">
        <f t="shared" ca="1" si="13"/>
        <v>770.40000000000009</v>
      </c>
      <c r="DB11">
        <f t="shared" ca="1" si="6"/>
        <v>638</v>
      </c>
      <c r="DC11">
        <f t="shared" ca="1" si="6"/>
        <v>649.79999999999984</v>
      </c>
      <c r="DD11">
        <f t="shared" ca="1" si="6"/>
        <v>385.29999999999995</v>
      </c>
      <c r="DE11">
        <f t="shared" ca="1" si="6"/>
        <v>271.39999999999998</v>
      </c>
      <c r="DF11">
        <f t="shared" ca="1" si="6"/>
        <v>33.500000000000007</v>
      </c>
      <c r="DG11">
        <f t="shared" ca="1" si="6"/>
        <v>5.6999999999999993</v>
      </c>
      <c r="DH11">
        <f t="shared" ca="1" si="6"/>
        <v>3.1000000000000014</v>
      </c>
      <c r="DI11">
        <f t="shared" ca="1" si="6"/>
        <v>28.300000000000004</v>
      </c>
      <c r="DJ11">
        <f t="shared" ca="1" si="6"/>
        <v>259.10000000000002</v>
      </c>
      <c r="DK11">
        <f t="shared" ca="1" si="6"/>
        <v>396.40000000000003</v>
      </c>
      <c r="DL11">
        <f t="shared" ca="1" si="6"/>
        <v>681.20000000000016</v>
      </c>
    </row>
    <row r="12" spans="1:116" x14ac:dyDescent="0.2">
      <c r="A12" s="13">
        <v>36465</v>
      </c>
      <c r="B12">
        <v>1999</v>
      </c>
      <c r="C12">
        <v>11</v>
      </c>
      <c r="D12" s="21">
        <v>6.7983333333333338</v>
      </c>
      <c r="E12" s="21">
        <v>396.04999999999995</v>
      </c>
      <c r="F12" s="21">
        <v>0</v>
      </c>
      <c r="G12" s="21">
        <v>336.05</v>
      </c>
      <c r="H12" s="21">
        <v>0</v>
      </c>
      <c r="I12" s="21">
        <v>276.05</v>
      </c>
      <c r="J12" s="21">
        <v>0</v>
      </c>
      <c r="K12" s="21">
        <v>217.95000000000002</v>
      </c>
      <c r="L12" s="21">
        <v>1.9000000000000004</v>
      </c>
      <c r="M12" s="21">
        <v>160.44999999999999</v>
      </c>
      <c r="N12" s="21">
        <v>4.4000000000000004</v>
      </c>
      <c r="O12" s="21">
        <v>110.54999999999998</v>
      </c>
      <c r="P12" s="21">
        <v>14.5</v>
      </c>
      <c r="Q12" s="21">
        <v>73.45</v>
      </c>
      <c r="R12" s="21">
        <v>37.4</v>
      </c>
      <c r="T12">
        <v>2006</v>
      </c>
      <c r="U12">
        <f t="shared" ca="1" si="7"/>
        <v>507.09999999999997</v>
      </c>
      <c r="V12">
        <f t="shared" ca="1" si="0"/>
        <v>553.6</v>
      </c>
      <c r="W12">
        <f t="shared" ca="1" si="0"/>
        <v>487.90000000000003</v>
      </c>
      <c r="X12">
        <f t="shared" ca="1" si="0"/>
        <v>311.69999999999993</v>
      </c>
      <c r="Y12">
        <f t="shared" ca="1" si="0"/>
        <v>160.00000000000003</v>
      </c>
      <c r="Z12">
        <f t="shared" ca="1" si="0"/>
        <v>19.199999999999996</v>
      </c>
      <c r="AA12">
        <f t="shared" ca="1" si="0"/>
        <v>0.80000000000000071</v>
      </c>
      <c r="AB12">
        <f t="shared" ca="1" si="0"/>
        <v>1.8999999999999986</v>
      </c>
      <c r="AC12">
        <f t="shared" ca="1" si="0"/>
        <v>59.099999999999994</v>
      </c>
      <c r="AD12">
        <f t="shared" ca="1" si="0"/>
        <v>249.2</v>
      </c>
      <c r="AE12">
        <f t="shared" ca="1" si="0"/>
        <v>361.19999999999993</v>
      </c>
      <c r="AF12">
        <f t="shared" ca="1" si="0"/>
        <v>456.79999999999995</v>
      </c>
      <c r="AH12">
        <v>2006</v>
      </c>
      <c r="AI12">
        <f t="shared" ca="1" si="8"/>
        <v>445.09999999999991</v>
      </c>
      <c r="AJ12">
        <f t="shared" ca="1" si="1"/>
        <v>497.6</v>
      </c>
      <c r="AK12">
        <f t="shared" ca="1" si="1"/>
        <v>425.90000000000003</v>
      </c>
      <c r="AL12">
        <f t="shared" ca="1" si="1"/>
        <v>251.69999999999996</v>
      </c>
      <c r="AM12">
        <f t="shared" ca="1" si="1"/>
        <v>105.89999999999999</v>
      </c>
      <c r="AN12">
        <f t="shared" ca="1" si="1"/>
        <v>6.6</v>
      </c>
      <c r="AO12">
        <f t="shared" ca="1" si="1"/>
        <v>0</v>
      </c>
      <c r="AP12">
        <f t="shared" ca="1" si="1"/>
        <v>0</v>
      </c>
      <c r="AQ12">
        <f t="shared" ca="1" si="1"/>
        <v>26.400000000000002</v>
      </c>
      <c r="AR12">
        <f t="shared" ca="1" si="1"/>
        <v>188.70000000000002</v>
      </c>
      <c r="AS12">
        <f t="shared" ca="1" si="1"/>
        <v>301.2</v>
      </c>
      <c r="AT12">
        <f t="shared" ca="1" si="1"/>
        <v>394.79999999999995</v>
      </c>
      <c r="AV12">
        <v>2006</v>
      </c>
      <c r="AW12">
        <f t="shared" ca="1" si="9"/>
        <v>383.09999999999991</v>
      </c>
      <c r="AX12">
        <f t="shared" ca="1" si="2"/>
        <v>441.6</v>
      </c>
      <c r="AY12">
        <f t="shared" ca="1" si="2"/>
        <v>363.90000000000003</v>
      </c>
      <c r="AZ12">
        <f t="shared" ca="1" si="2"/>
        <v>191.79999999999998</v>
      </c>
      <c r="BA12">
        <f t="shared" ca="1" si="2"/>
        <v>62.000000000000007</v>
      </c>
      <c r="BB12">
        <f t="shared" ca="1" si="2"/>
        <v>0.69999999999999929</v>
      </c>
      <c r="BC12">
        <f t="shared" ca="1" si="2"/>
        <v>0</v>
      </c>
      <c r="BD12">
        <f t="shared" ca="1" si="2"/>
        <v>0</v>
      </c>
      <c r="BE12">
        <f t="shared" ca="1" si="2"/>
        <v>9.3000000000000007</v>
      </c>
      <c r="BF12">
        <f t="shared" ca="1" si="2"/>
        <v>134.5</v>
      </c>
      <c r="BG12">
        <f t="shared" ca="1" si="2"/>
        <v>241.20000000000007</v>
      </c>
      <c r="BH12">
        <f t="shared" ca="1" si="2"/>
        <v>332.79999999999995</v>
      </c>
      <c r="BJ12">
        <v>2006</v>
      </c>
      <c r="BK12">
        <f t="shared" ca="1" si="10"/>
        <v>321.09999999999997</v>
      </c>
      <c r="BL12">
        <f t="shared" ca="1" si="3"/>
        <v>385.6</v>
      </c>
      <c r="BM12">
        <f t="shared" ca="1" si="3"/>
        <v>301.90000000000003</v>
      </c>
      <c r="BN12">
        <f t="shared" ca="1" si="3"/>
        <v>134.10000000000002</v>
      </c>
      <c r="BO12">
        <f t="shared" ca="1" si="3"/>
        <v>26</v>
      </c>
      <c r="BP12">
        <f t="shared" ca="1" si="3"/>
        <v>0</v>
      </c>
      <c r="BQ12">
        <f t="shared" ca="1" si="3"/>
        <v>0</v>
      </c>
      <c r="BR12">
        <f t="shared" ca="1" si="3"/>
        <v>0</v>
      </c>
      <c r="BS12">
        <f t="shared" ca="1" si="3"/>
        <v>1.5</v>
      </c>
      <c r="BT12">
        <f t="shared" ca="1" si="3"/>
        <v>89.500000000000014</v>
      </c>
      <c r="BU12">
        <f t="shared" ca="1" si="3"/>
        <v>181.20000000000002</v>
      </c>
      <c r="BV12">
        <f t="shared" ca="1" si="3"/>
        <v>270.8</v>
      </c>
      <c r="BX12">
        <v>2006</v>
      </c>
      <c r="BY12">
        <f t="shared" ca="1" si="11"/>
        <v>259.09999999999991</v>
      </c>
      <c r="BZ12">
        <f t="shared" ca="1" si="11"/>
        <v>329.6</v>
      </c>
      <c r="CA12">
        <f t="shared" ca="1" si="11"/>
        <v>241.89999999999998</v>
      </c>
      <c r="CB12">
        <f t="shared" ca="1" si="11"/>
        <v>82.500000000000014</v>
      </c>
      <c r="CC12">
        <f t="shared" ca="1" si="11"/>
        <v>6.5000000000000009</v>
      </c>
      <c r="CD12">
        <f t="shared" ca="1" si="11"/>
        <v>0</v>
      </c>
      <c r="CE12">
        <f t="shared" ca="1" si="11"/>
        <v>0</v>
      </c>
      <c r="CF12">
        <f t="shared" ca="1" si="11"/>
        <v>0</v>
      </c>
      <c r="CG12">
        <f t="shared" ca="1" si="11"/>
        <v>0</v>
      </c>
      <c r="CH12">
        <f t="shared" ca="1" si="11"/>
        <v>51.199999999999996</v>
      </c>
      <c r="CI12">
        <f t="shared" ca="1" si="11"/>
        <v>124.20000000000002</v>
      </c>
      <c r="CJ12">
        <f t="shared" ca="1" si="11"/>
        <v>208.8</v>
      </c>
      <c r="CL12">
        <v>2006</v>
      </c>
      <c r="CM12">
        <f t="shared" ca="1" si="12"/>
        <v>197.09999999999997</v>
      </c>
      <c r="CN12">
        <f t="shared" ca="1" si="5"/>
        <v>273.60000000000002</v>
      </c>
      <c r="CO12">
        <f t="shared" ca="1" si="5"/>
        <v>184.89999999999998</v>
      </c>
      <c r="CP12">
        <f t="shared" ca="1" si="5"/>
        <v>40.000000000000007</v>
      </c>
      <c r="CQ12">
        <f t="shared" ca="1" si="5"/>
        <v>1.2999999999999998</v>
      </c>
      <c r="CR12">
        <f t="shared" ca="1" si="5"/>
        <v>0</v>
      </c>
      <c r="CS12">
        <f t="shared" ca="1" si="5"/>
        <v>0</v>
      </c>
      <c r="CT12">
        <f t="shared" ca="1" si="5"/>
        <v>0</v>
      </c>
      <c r="CU12">
        <f t="shared" ca="1" si="5"/>
        <v>0</v>
      </c>
      <c r="CV12">
        <f t="shared" ca="1" si="5"/>
        <v>21.799999999999997</v>
      </c>
      <c r="CW12">
        <f t="shared" ca="1" si="5"/>
        <v>76.100000000000009</v>
      </c>
      <c r="CX12">
        <f t="shared" ca="1" si="5"/>
        <v>148.30000000000004</v>
      </c>
      <c r="CZ12">
        <v>2006</v>
      </c>
      <c r="DA12">
        <f t="shared" ca="1" si="13"/>
        <v>569.09999999999991</v>
      </c>
      <c r="DB12">
        <f t="shared" ca="1" si="6"/>
        <v>609.59999999999991</v>
      </c>
      <c r="DC12">
        <f t="shared" ca="1" si="6"/>
        <v>549.90000000000009</v>
      </c>
      <c r="DD12">
        <f t="shared" ca="1" si="6"/>
        <v>371.69999999999993</v>
      </c>
      <c r="DE12">
        <f t="shared" ca="1" si="6"/>
        <v>216</v>
      </c>
      <c r="DF12">
        <f t="shared" ca="1" si="6"/>
        <v>48.400000000000006</v>
      </c>
      <c r="DG12">
        <f t="shared" ca="1" si="6"/>
        <v>9.6000000000000014</v>
      </c>
      <c r="DH12">
        <f t="shared" ca="1" si="6"/>
        <v>14.399999999999999</v>
      </c>
      <c r="DI12">
        <f t="shared" ca="1" si="6"/>
        <v>107.99999999999999</v>
      </c>
      <c r="DJ12">
        <f t="shared" ca="1" si="6"/>
        <v>311.20000000000005</v>
      </c>
      <c r="DK12">
        <f t="shared" ca="1" si="6"/>
        <v>421.19999999999993</v>
      </c>
      <c r="DL12">
        <f t="shared" ca="1" si="6"/>
        <v>518.79999999999995</v>
      </c>
    </row>
    <row r="13" spans="1:116" x14ac:dyDescent="0.2">
      <c r="A13" s="13">
        <v>36495</v>
      </c>
      <c r="B13">
        <v>1999</v>
      </c>
      <c r="C13">
        <v>12</v>
      </c>
      <c r="D13" s="21">
        <v>1.0451612903225806</v>
      </c>
      <c r="E13" s="21">
        <v>587.6</v>
      </c>
      <c r="F13" s="21">
        <v>0</v>
      </c>
      <c r="G13" s="21">
        <v>525.6</v>
      </c>
      <c r="H13" s="21">
        <v>0</v>
      </c>
      <c r="I13" s="21">
        <v>463.6</v>
      </c>
      <c r="J13" s="21">
        <v>0</v>
      </c>
      <c r="K13" s="21">
        <v>401.6</v>
      </c>
      <c r="L13" s="21">
        <v>0</v>
      </c>
      <c r="M13" s="21">
        <v>339.6</v>
      </c>
      <c r="N13" s="21">
        <v>0</v>
      </c>
      <c r="O13" s="21">
        <v>280.70000000000005</v>
      </c>
      <c r="P13" s="21">
        <v>3.1000000000000014</v>
      </c>
      <c r="Q13" s="21">
        <v>224.7</v>
      </c>
      <c r="R13" s="21">
        <v>9.1000000000000014</v>
      </c>
      <c r="T13">
        <v>2007</v>
      </c>
      <c r="U13">
        <f t="shared" ca="1" si="7"/>
        <v>599.90000000000009</v>
      </c>
      <c r="V13">
        <f t="shared" ca="1" si="0"/>
        <v>693.3</v>
      </c>
      <c r="W13">
        <f t="shared" ca="1" si="0"/>
        <v>522.20000000000005</v>
      </c>
      <c r="X13">
        <f t="shared" ca="1" si="0"/>
        <v>358.09999999999997</v>
      </c>
      <c r="Y13">
        <f t="shared" ca="1" si="0"/>
        <v>158.79999999999998</v>
      </c>
      <c r="Z13">
        <f t="shared" ca="1" si="0"/>
        <v>13.600000000000001</v>
      </c>
      <c r="AA13">
        <f t="shared" ca="1" si="0"/>
        <v>1.6000000000000014</v>
      </c>
      <c r="AB13">
        <f t="shared" ca="1" si="0"/>
        <v>2.600000000000005</v>
      </c>
      <c r="AC13">
        <f t="shared" ca="1" si="0"/>
        <v>29.100000000000005</v>
      </c>
      <c r="AD13">
        <f t="shared" ca="1" si="0"/>
        <v>118.5</v>
      </c>
      <c r="AE13">
        <f t="shared" ca="1" si="0"/>
        <v>401.8</v>
      </c>
      <c r="AF13">
        <f t="shared" ca="1" si="0"/>
        <v>577.0999999999998</v>
      </c>
      <c r="AH13">
        <v>2007</v>
      </c>
      <c r="AI13">
        <f t="shared" ca="1" si="8"/>
        <v>537.90000000000009</v>
      </c>
      <c r="AJ13">
        <f t="shared" ca="1" si="1"/>
        <v>637.29999999999995</v>
      </c>
      <c r="AK13">
        <f t="shared" ca="1" si="1"/>
        <v>460.20000000000005</v>
      </c>
      <c r="AL13">
        <f t="shared" ca="1" si="1"/>
        <v>299.7</v>
      </c>
      <c r="AM13">
        <f t="shared" ca="1" si="1"/>
        <v>110.09999999999998</v>
      </c>
      <c r="AN13">
        <f t="shared" ca="1" si="1"/>
        <v>3.5</v>
      </c>
      <c r="AO13">
        <f t="shared" ca="1" si="1"/>
        <v>0</v>
      </c>
      <c r="AP13">
        <f t="shared" ca="1" si="1"/>
        <v>0</v>
      </c>
      <c r="AQ13">
        <f t="shared" ca="1" si="1"/>
        <v>10.299999999999999</v>
      </c>
      <c r="AR13">
        <f t="shared" ca="1" si="1"/>
        <v>77.500000000000028</v>
      </c>
      <c r="AS13">
        <f t="shared" ca="1" si="1"/>
        <v>341.8</v>
      </c>
      <c r="AT13">
        <f t="shared" ca="1" si="1"/>
        <v>515.0999999999998</v>
      </c>
      <c r="AV13">
        <v>2007</v>
      </c>
      <c r="AW13">
        <f t="shared" ca="1" si="9"/>
        <v>475.90000000000003</v>
      </c>
      <c r="AX13">
        <f t="shared" ca="1" si="2"/>
        <v>581.29999999999984</v>
      </c>
      <c r="AY13">
        <f t="shared" ca="1" si="2"/>
        <v>398.20000000000005</v>
      </c>
      <c r="AZ13">
        <f t="shared" ca="1" si="2"/>
        <v>244</v>
      </c>
      <c r="BA13">
        <f t="shared" ca="1" si="2"/>
        <v>69.5</v>
      </c>
      <c r="BB13">
        <f t="shared" ca="1" si="2"/>
        <v>0</v>
      </c>
      <c r="BC13">
        <f t="shared" ca="1" si="2"/>
        <v>0</v>
      </c>
      <c r="BD13">
        <f t="shared" ca="1" si="2"/>
        <v>0</v>
      </c>
      <c r="BE13">
        <f t="shared" ca="1" si="2"/>
        <v>3.2999999999999989</v>
      </c>
      <c r="BF13">
        <f t="shared" ca="1" si="2"/>
        <v>41.3</v>
      </c>
      <c r="BG13">
        <f t="shared" ca="1" si="2"/>
        <v>281.80000000000007</v>
      </c>
      <c r="BH13">
        <f t="shared" ca="1" si="2"/>
        <v>453.09999999999991</v>
      </c>
      <c r="BJ13">
        <v>2007</v>
      </c>
      <c r="BK13">
        <f t="shared" ca="1" si="10"/>
        <v>413.90000000000009</v>
      </c>
      <c r="BL13">
        <f t="shared" ca="1" si="3"/>
        <v>525.29999999999995</v>
      </c>
      <c r="BM13">
        <f t="shared" ca="1" si="3"/>
        <v>336.2</v>
      </c>
      <c r="BN13">
        <f t="shared" ca="1" si="3"/>
        <v>191.8</v>
      </c>
      <c r="BO13">
        <f t="shared" ca="1" si="3"/>
        <v>36</v>
      </c>
      <c r="BP13">
        <f t="shared" ca="1" si="3"/>
        <v>0</v>
      </c>
      <c r="BQ13">
        <f t="shared" ca="1" si="3"/>
        <v>0</v>
      </c>
      <c r="BR13">
        <f t="shared" ca="1" si="3"/>
        <v>0</v>
      </c>
      <c r="BS13">
        <f t="shared" ca="1" si="3"/>
        <v>0.69999999999999929</v>
      </c>
      <c r="BT13">
        <f t="shared" ca="1" si="3"/>
        <v>16.599999999999998</v>
      </c>
      <c r="BU13">
        <f t="shared" ca="1" si="3"/>
        <v>223.20000000000005</v>
      </c>
      <c r="BV13">
        <f t="shared" ca="1" si="3"/>
        <v>391.09999999999991</v>
      </c>
      <c r="BX13">
        <v>2007</v>
      </c>
      <c r="BY13">
        <f t="shared" ca="1" si="11"/>
        <v>351.90000000000009</v>
      </c>
      <c r="BZ13">
        <f t="shared" ca="1" si="11"/>
        <v>469.2999999999999</v>
      </c>
      <c r="CA13">
        <f t="shared" ca="1" si="11"/>
        <v>275.5</v>
      </c>
      <c r="CB13">
        <f t="shared" ca="1" si="11"/>
        <v>144.30000000000001</v>
      </c>
      <c r="CC13">
        <f t="shared" ca="1" si="11"/>
        <v>11.499999999999998</v>
      </c>
      <c r="CD13">
        <f t="shared" ca="1" si="11"/>
        <v>0</v>
      </c>
      <c r="CE13">
        <f t="shared" ca="1" si="11"/>
        <v>0</v>
      </c>
      <c r="CF13">
        <f t="shared" ca="1" si="11"/>
        <v>0</v>
      </c>
      <c r="CG13">
        <f t="shared" ca="1" si="11"/>
        <v>0</v>
      </c>
      <c r="CH13">
        <f t="shared" ca="1" si="11"/>
        <v>4.8</v>
      </c>
      <c r="CI13">
        <f t="shared" ca="1" si="11"/>
        <v>165.5</v>
      </c>
      <c r="CJ13">
        <f t="shared" ca="1" si="11"/>
        <v>329.09999999999997</v>
      </c>
      <c r="CL13">
        <v>2007</v>
      </c>
      <c r="CM13">
        <f t="shared" ca="1" si="12"/>
        <v>291.20000000000005</v>
      </c>
      <c r="CN13">
        <f t="shared" ca="1" si="5"/>
        <v>413.2999999999999</v>
      </c>
      <c r="CO13">
        <f t="shared" ca="1" si="5"/>
        <v>218.70000000000005</v>
      </c>
      <c r="CP13">
        <f t="shared" ca="1" si="5"/>
        <v>102.69999999999999</v>
      </c>
      <c r="CQ13">
        <f t="shared" ca="1" si="5"/>
        <v>1.0999999999999996</v>
      </c>
      <c r="CR13">
        <f t="shared" ca="1" si="5"/>
        <v>0</v>
      </c>
      <c r="CS13">
        <f t="shared" ca="1" si="5"/>
        <v>0</v>
      </c>
      <c r="CT13">
        <f t="shared" ca="1" si="5"/>
        <v>0</v>
      </c>
      <c r="CU13">
        <f t="shared" ca="1" si="5"/>
        <v>0</v>
      </c>
      <c r="CV13">
        <f t="shared" ca="1" si="5"/>
        <v>1.2000000000000002</v>
      </c>
      <c r="CW13">
        <f t="shared" ca="1" si="5"/>
        <v>114.1</v>
      </c>
      <c r="CX13">
        <f t="shared" ca="1" si="5"/>
        <v>267.10000000000002</v>
      </c>
      <c r="CZ13">
        <v>2007</v>
      </c>
      <c r="DA13">
        <f t="shared" ca="1" si="13"/>
        <v>661.90000000000009</v>
      </c>
      <c r="DB13">
        <f t="shared" ca="1" si="6"/>
        <v>749.3</v>
      </c>
      <c r="DC13">
        <f t="shared" ca="1" si="6"/>
        <v>584.20000000000005</v>
      </c>
      <c r="DD13">
        <f t="shared" ca="1" si="6"/>
        <v>418.09999999999997</v>
      </c>
      <c r="DE13">
        <f t="shared" ca="1" si="6"/>
        <v>212.39999999999998</v>
      </c>
      <c r="DF13">
        <f t="shared" ca="1" si="6"/>
        <v>33.200000000000003</v>
      </c>
      <c r="DG13">
        <f t="shared" ca="1" si="6"/>
        <v>17.900000000000002</v>
      </c>
      <c r="DH13">
        <f t="shared" ca="1" si="6"/>
        <v>13.8</v>
      </c>
      <c r="DI13">
        <f t="shared" ca="1" si="6"/>
        <v>61.800000000000004</v>
      </c>
      <c r="DJ13">
        <f t="shared" ca="1" si="6"/>
        <v>165.89999999999998</v>
      </c>
      <c r="DK13">
        <f t="shared" ca="1" si="6"/>
        <v>461.8</v>
      </c>
      <c r="DL13">
        <f t="shared" ca="1" si="6"/>
        <v>639.09999999999991</v>
      </c>
    </row>
    <row r="14" spans="1:116" x14ac:dyDescent="0.2">
      <c r="A14" s="13">
        <v>36526</v>
      </c>
      <c r="B14">
        <v>2000</v>
      </c>
      <c r="C14">
        <v>1</v>
      </c>
      <c r="D14" s="21">
        <v>-3.8225806451612905</v>
      </c>
      <c r="E14" s="21">
        <v>738.49999999999989</v>
      </c>
      <c r="F14" s="21">
        <v>0</v>
      </c>
      <c r="G14" s="21">
        <v>676.49999999999989</v>
      </c>
      <c r="H14" s="21">
        <v>0</v>
      </c>
      <c r="I14" s="21">
        <v>614.49999999999989</v>
      </c>
      <c r="J14" s="21">
        <v>0</v>
      </c>
      <c r="K14" s="21">
        <v>552.5</v>
      </c>
      <c r="L14" s="21">
        <v>0</v>
      </c>
      <c r="M14" s="21">
        <v>490.5</v>
      </c>
      <c r="N14" s="21">
        <v>0</v>
      </c>
      <c r="O14" s="21">
        <v>428.50000000000006</v>
      </c>
      <c r="P14" s="21">
        <v>0</v>
      </c>
      <c r="Q14" s="21">
        <v>366.50000000000006</v>
      </c>
      <c r="R14" s="21">
        <v>0</v>
      </c>
      <c r="T14">
        <v>2008</v>
      </c>
      <c r="U14">
        <f t="shared" ca="1" si="7"/>
        <v>568.79999999999995</v>
      </c>
      <c r="V14">
        <f t="shared" ca="1" si="0"/>
        <v>617.99999999999989</v>
      </c>
      <c r="W14">
        <f t="shared" ca="1" si="0"/>
        <v>567.00000000000011</v>
      </c>
      <c r="X14">
        <f t="shared" ca="1" si="0"/>
        <v>304.5</v>
      </c>
      <c r="Y14">
        <f t="shared" ca="1" si="0"/>
        <v>190.39999999999995</v>
      </c>
      <c r="Z14">
        <f t="shared" ca="1" si="0"/>
        <v>32.199999999999996</v>
      </c>
      <c r="AA14">
        <f t="shared" ca="1" si="0"/>
        <v>2.3000000000000007</v>
      </c>
      <c r="AB14">
        <f t="shared" ca="1" si="0"/>
        <v>8.1000000000000014</v>
      </c>
      <c r="AC14">
        <f t="shared" ca="1" si="0"/>
        <v>36.599999999999994</v>
      </c>
      <c r="AD14">
        <f t="shared" ca="1" si="0"/>
        <v>231.50000000000003</v>
      </c>
      <c r="AE14">
        <f t="shared" ca="1" si="0"/>
        <v>413.80000000000007</v>
      </c>
      <c r="AF14">
        <f t="shared" ca="1" si="0"/>
        <v>598.69999999999993</v>
      </c>
      <c r="AH14">
        <v>2008</v>
      </c>
      <c r="AI14">
        <f t="shared" ca="1" si="8"/>
        <v>506.8</v>
      </c>
      <c r="AJ14">
        <f t="shared" ca="1" si="1"/>
        <v>559.99999999999989</v>
      </c>
      <c r="AK14">
        <f t="shared" ca="1" si="1"/>
        <v>505.00000000000011</v>
      </c>
      <c r="AL14">
        <f t="shared" ca="1" si="1"/>
        <v>244.49999999999997</v>
      </c>
      <c r="AM14">
        <f t="shared" ca="1" si="1"/>
        <v>132.9</v>
      </c>
      <c r="AN14">
        <f t="shared" ca="1" si="1"/>
        <v>14.3</v>
      </c>
      <c r="AO14">
        <f t="shared" ca="1" si="1"/>
        <v>0</v>
      </c>
      <c r="AP14">
        <f t="shared" ca="1" si="1"/>
        <v>1</v>
      </c>
      <c r="AQ14">
        <f t="shared" ca="1" si="1"/>
        <v>8.6999999999999993</v>
      </c>
      <c r="AR14">
        <f t="shared" ca="1" si="1"/>
        <v>171.60000000000002</v>
      </c>
      <c r="AS14">
        <f t="shared" ca="1" si="1"/>
        <v>353.80000000000007</v>
      </c>
      <c r="AT14">
        <f t="shared" ca="1" si="1"/>
        <v>536.69999999999982</v>
      </c>
      <c r="AV14">
        <v>2008</v>
      </c>
      <c r="AW14">
        <f t="shared" ca="1" si="9"/>
        <v>444.8</v>
      </c>
      <c r="AX14">
        <f t="shared" ca="1" si="2"/>
        <v>502.00000000000006</v>
      </c>
      <c r="AY14">
        <f t="shared" ca="1" si="2"/>
        <v>443.00000000000011</v>
      </c>
      <c r="AZ14">
        <f t="shared" ca="1" si="2"/>
        <v>184.49999999999997</v>
      </c>
      <c r="BA14">
        <f t="shared" ca="1" si="2"/>
        <v>80.100000000000009</v>
      </c>
      <c r="BB14">
        <f t="shared" ca="1" si="2"/>
        <v>2.1999999999999993</v>
      </c>
      <c r="BC14">
        <f t="shared" ca="1" si="2"/>
        <v>0</v>
      </c>
      <c r="BD14">
        <f t="shared" ca="1" si="2"/>
        <v>0</v>
      </c>
      <c r="BE14">
        <f t="shared" ca="1" si="2"/>
        <v>0</v>
      </c>
      <c r="BF14">
        <f t="shared" ca="1" si="2"/>
        <v>114.9</v>
      </c>
      <c r="BG14">
        <f t="shared" ca="1" si="2"/>
        <v>295.10000000000008</v>
      </c>
      <c r="BH14">
        <f t="shared" ca="1" si="2"/>
        <v>474.7</v>
      </c>
      <c r="BJ14">
        <v>2008</v>
      </c>
      <c r="BK14">
        <f t="shared" ca="1" si="10"/>
        <v>385.59999999999997</v>
      </c>
      <c r="BL14">
        <f t="shared" ca="1" si="3"/>
        <v>444</v>
      </c>
      <c r="BM14">
        <f t="shared" ca="1" si="3"/>
        <v>381.00000000000006</v>
      </c>
      <c r="BN14">
        <f t="shared" ca="1" si="3"/>
        <v>129</v>
      </c>
      <c r="BO14">
        <f t="shared" ca="1" si="3"/>
        <v>40.200000000000003</v>
      </c>
      <c r="BP14">
        <f t="shared" ca="1" si="3"/>
        <v>0</v>
      </c>
      <c r="BQ14">
        <f t="shared" ca="1" si="3"/>
        <v>0</v>
      </c>
      <c r="BR14">
        <f t="shared" ca="1" si="3"/>
        <v>0</v>
      </c>
      <c r="BS14">
        <f t="shared" ca="1" si="3"/>
        <v>0</v>
      </c>
      <c r="BT14">
        <f t="shared" ca="1" si="3"/>
        <v>68.2</v>
      </c>
      <c r="BU14">
        <f t="shared" ca="1" si="3"/>
        <v>237.10000000000005</v>
      </c>
      <c r="BV14">
        <f t="shared" ca="1" si="3"/>
        <v>412.69999999999993</v>
      </c>
      <c r="BX14">
        <v>2008</v>
      </c>
      <c r="BY14">
        <f t="shared" ca="1" si="11"/>
        <v>327.60000000000002</v>
      </c>
      <c r="BZ14">
        <f t="shared" ca="1" si="11"/>
        <v>386.00000000000006</v>
      </c>
      <c r="CA14">
        <f t="shared" ca="1" si="11"/>
        <v>319.00000000000006</v>
      </c>
      <c r="CB14">
        <f t="shared" ca="1" si="11"/>
        <v>81.600000000000023</v>
      </c>
      <c r="CC14">
        <f t="shared" ca="1" si="11"/>
        <v>14.600000000000001</v>
      </c>
      <c r="CD14">
        <f t="shared" ca="1" si="11"/>
        <v>0</v>
      </c>
      <c r="CE14">
        <f t="shared" ca="1" si="11"/>
        <v>0</v>
      </c>
      <c r="CF14">
        <f t="shared" ca="1" si="11"/>
        <v>0</v>
      </c>
      <c r="CG14">
        <f t="shared" ca="1" si="11"/>
        <v>0</v>
      </c>
      <c r="CH14">
        <f t="shared" ca="1" si="11"/>
        <v>35.1</v>
      </c>
      <c r="CI14">
        <f t="shared" ca="1" si="11"/>
        <v>184.70000000000005</v>
      </c>
      <c r="CJ14">
        <f t="shared" ca="1" si="11"/>
        <v>350.69999999999993</v>
      </c>
      <c r="CL14">
        <v>2008</v>
      </c>
      <c r="CM14">
        <f t="shared" ca="1" si="12"/>
        <v>269.60000000000002</v>
      </c>
      <c r="CN14">
        <f t="shared" ca="1" si="5"/>
        <v>328.00000000000006</v>
      </c>
      <c r="CO14">
        <f t="shared" ca="1" si="5"/>
        <v>257</v>
      </c>
      <c r="CP14">
        <f t="shared" ca="1" si="5"/>
        <v>45.000000000000007</v>
      </c>
      <c r="CQ14">
        <f t="shared" ca="1" si="5"/>
        <v>4.5999999999999996</v>
      </c>
      <c r="CR14">
        <f t="shared" ca="1" si="5"/>
        <v>0</v>
      </c>
      <c r="CS14">
        <f t="shared" ca="1" si="5"/>
        <v>0</v>
      </c>
      <c r="CT14">
        <f t="shared" ca="1" si="5"/>
        <v>0</v>
      </c>
      <c r="CU14">
        <f t="shared" ca="1" si="5"/>
        <v>0</v>
      </c>
      <c r="CV14">
        <f t="shared" ca="1" si="5"/>
        <v>17.200000000000003</v>
      </c>
      <c r="CW14">
        <f t="shared" ca="1" si="5"/>
        <v>136.5</v>
      </c>
      <c r="CX14">
        <f t="shared" ca="1" si="5"/>
        <v>290.2</v>
      </c>
      <c r="CZ14">
        <v>2008</v>
      </c>
      <c r="DA14">
        <f t="shared" ca="1" si="13"/>
        <v>630.79999999999995</v>
      </c>
      <c r="DB14">
        <f t="shared" ca="1" si="6"/>
        <v>675.99999999999989</v>
      </c>
      <c r="DC14">
        <f t="shared" ca="1" si="6"/>
        <v>629.00000000000011</v>
      </c>
      <c r="DD14">
        <f t="shared" ca="1" si="6"/>
        <v>364.5</v>
      </c>
      <c r="DE14">
        <f t="shared" ca="1" si="6"/>
        <v>249.9</v>
      </c>
      <c r="DF14">
        <f t="shared" ca="1" si="6"/>
        <v>57.199999999999989</v>
      </c>
      <c r="DG14">
        <f t="shared" ca="1" si="6"/>
        <v>13.200000000000003</v>
      </c>
      <c r="DH14">
        <f t="shared" ca="1" si="6"/>
        <v>30.900000000000006</v>
      </c>
      <c r="DI14">
        <f t="shared" ca="1" si="6"/>
        <v>77.8</v>
      </c>
      <c r="DJ14">
        <f t="shared" ca="1" si="6"/>
        <v>292.39999999999998</v>
      </c>
      <c r="DK14">
        <f t="shared" ca="1" si="6"/>
        <v>473.8</v>
      </c>
      <c r="DL14">
        <f t="shared" ca="1" si="6"/>
        <v>660.69999999999993</v>
      </c>
    </row>
    <row r="15" spans="1:116" x14ac:dyDescent="0.2">
      <c r="A15" s="13">
        <v>36557</v>
      </c>
      <c r="B15">
        <v>2000</v>
      </c>
      <c r="C15">
        <v>2</v>
      </c>
      <c r="D15" s="21">
        <v>-1.4827586206896546</v>
      </c>
      <c r="E15" s="21">
        <v>623.00000000000011</v>
      </c>
      <c r="F15" s="21">
        <v>0</v>
      </c>
      <c r="G15" s="21">
        <v>565.00000000000011</v>
      </c>
      <c r="H15" s="21">
        <v>0</v>
      </c>
      <c r="I15" s="21">
        <v>507.00000000000006</v>
      </c>
      <c r="J15" s="21">
        <v>0</v>
      </c>
      <c r="K15" s="21">
        <v>449.00000000000006</v>
      </c>
      <c r="L15" s="21">
        <v>0</v>
      </c>
      <c r="M15" s="21">
        <v>391</v>
      </c>
      <c r="N15" s="21">
        <v>0</v>
      </c>
      <c r="O15" s="21">
        <v>333</v>
      </c>
      <c r="P15" s="21">
        <v>0</v>
      </c>
      <c r="Q15" s="21">
        <v>277.10000000000002</v>
      </c>
      <c r="R15" s="21">
        <v>2.1000000000000014</v>
      </c>
      <c r="T15">
        <v>2009</v>
      </c>
      <c r="U15">
        <f t="shared" ca="1" si="7"/>
        <v>766.90000000000009</v>
      </c>
      <c r="V15">
        <f t="shared" ca="1" si="0"/>
        <v>562.09999999999991</v>
      </c>
      <c r="W15">
        <f t="shared" ca="1" si="0"/>
        <v>510.5</v>
      </c>
      <c r="X15">
        <f t="shared" ca="1" si="0"/>
        <v>320.7000000000001</v>
      </c>
      <c r="Y15">
        <f t="shared" ca="1" si="0"/>
        <v>168.00000000000003</v>
      </c>
      <c r="Z15">
        <f t="shared" ca="1" si="0"/>
        <v>59.2</v>
      </c>
      <c r="AA15">
        <f t="shared" ca="1" si="0"/>
        <v>9.4999999999999982</v>
      </c>
      <c r="AB15">
        <f t="shared" ca="1" si="0"/>
        <v>4.7999999999999972</v>
      </c>
      <c r="AC15">
        <f t="shared" ca="1" si="0"/>
        <v>40.499999999999993</v>
      </c>
      <c r="AD15">
        <f t="shared" ca="1" si="0"/>
        <v>258.79999999999995</v>
      </c>
      <c r="AE15">
        <f t="shared" ca="1" si="0"/>
        <v>325.60000000000002</v>
      </c>
      <c r="AF15">
        <f t="shared" ca="1" si="0"/>
        <v>580.20000000000016</v>
      </c>
      <c r="AH15">
        <v>2009</v>
      </c>
      <c r="AI15">
        <f t="shared" ca="1" si="8"/>
        <v>704.9</v>
      </c>
      <c r="AJ15">
        <f t="shared" ca="1" si="1"/>
        <v>506.1</v>
      </c>
      <c r="AK15">
        <f t="shared" ca="1" si="1"/>
        <v>448.50000000000006</v>
      </c>
      <c r="AL15">
        <f t="shared" ca="1" si="1"/>
        <v>261.80000000000007</v>
      </c>
      <c r="AM15">
        <f t="shared" ca="1" si="1"/>
        <v>113.30000000000001</v>
      </c>
      <c r="AN15">
        <f t="shared" ca="1" si="1"/>
        <v>29.499999999999996</v>
      </c>
      <c r="AO15">
        <f t="shared" ca="1" si="1"/>
        <v>9.9999999999999645E-2</v>
      </c>
      <c r="AP15">
        <f t="shared" ca="1" si="1"/>
        <v>0</v>
      </c>
      <c r="AQ15">
        <f t="shared" ca="1" si="1"/>
        <v>17</v>
      </c>
      <c r="AR15">
        <f t="shared" ca="1" si="1"/>
        <v>196.79999999999998</v>
      </c>
      <c r="AS15">
        <f t="shared" ca="1" si="1"/>
        <v>265.60000000000002</v>
      </c>
      <c r="AT15">
        <f t="shared" ca="1" si="1"/>
        <v>518.20000000000016</v>
      </c>
      <c r="AV15">
        <v>2009</v>
      </c>
      <c r="AW15">
        <f t="shared" ca="1" si="9"/>
        <v>642.9</v>
      </c>
      <c r="AX15">
        <f t="shared" ca="1" si="2"/>
        <v>450.1</v>
      </c>
      <c r="AY15">
        <f t="shared" ca="1" si="2"/>
        <v>386.50000000000006</v>
      </c>
      <c r="AZ15">
        <f t="shared" ca="1" si="2"/>
        <v>205.70000000000002</v>
      </c>
      <c r="BA15">
        <f t="shared" ca="1" si="2"/>
        <v>64.599999999999994</v>
      </c>
      <c r="BB15">
        <f t="shared" ca="1" si="2"/>
        <v>9.3000000000000007</v>
      </c>
      <c r="BC15">
        <f t="shared" ca="1" si="2"/>
        <v>0</v>
      </c>
      <c r="BD15">
        <f t="shared" ca="1" si="2"/>
        <v>0</v>
      </c>
      <c r="BE15">
        <f t="shared" ca="1" si="2"/>
        <v>5.8000000000000007</v>
      </c>
      <c r="BF15">
        <f t="shared" ca="1" si="2"/>
        <v>135.69999999999999</v>
      </c>
      <c r="BG15">
        <f t="shared" ca="1" si="2"/>
        <v>205.6</v>
      </c>
      <c r="BH15">
        <f t="shared" ca="1" si="2"/>
        <v>456.20000000000016</v>
      </c>
      <c r="BJ15">
        <v>2009</v>
      </c>
      <c r="BK15">
        <f t="shared" ca="1" si="10"/>
        <v>580.9</v>
      </c>
      <c r="BL15">
        <f t="shared" ca="1" si="3"/>
        <v>394.10000000000008</v>
      </c>
      <c r="BM15">
        <f t="shared" ca="1" si="3"/>
        <v>324.5</v>
      </c>
      <c r="BN15">
        <f t="shared" ca="1" si="3"/>
        <v>152.60000000000002</v>
      </c>
      <c r="BO15">
        <f t="shared" ca="1" si="3"/>
        <v>30.300000000000008</v>
      </c>
      <c r="BP15">
        <f t="shared" ca="1" si="3"/>
        <v>0.90000000000000036</v>
      </c>
      <c r="BQ15">
        <f t="shared" ca="1" si="3"/>
        <v>0</v>
      </c>
      <c r="BR15">
        <f t="shared" ca="1" si="3"/>
        <v>0</v>
      </c>
      <c r="BS15">
        <f t="shared" ca="1" si="3"/>
        <v>2.4000000000000004</v>
      </c>
      <c r="BT15">
        <f t="shared" ca="1" si="3"/>
        <v>82.4</v>
      </c>
      <c r="BU15">
        <f t="shared" ca="1" si="3"/>
        <v>147.1</v>
      </c>
      <c r="BV15">
        <f t="shared" ca="1" si="3"/>
        <v>394.20000000000005</v>
      </c>
      <c r="BX15">
        <v>2009</v>
      </c>
      <c r="BY15">
        <f t="shared" ca="1" si="11"/>
        <v>518.9</v>
      </c>
      <c r="BZ15">
        <f t="shared" ca="1" si="11"/>
        <v>338.1</v>
      </c>
      <c r="CA15">
        <f t="shared" ca="1" si="11"/>
        <v>263.40000000000003</v>
      </c>
      <c r="CB15">
        <f t="shared" ca="1" si="11"/>
        <v>105.4</v>
      </c>
      <c r="CC15">
        <f t="shared" ca="1" si="11"/>
        <v>7.1000000000000014</v>
      </c>
      <c r="CD15">
        <f t="shared" ca="1" si="11"/>
        <v>0</v>
      </c>
      <c r="CE15">
        <f t="shared" ca="1" si="11"/>
        <v>0</v>
      </c>
      <c r="CF15">
        <f t="shared" ca="1" si="11"/>
        <v>0</v>
      </c>
      <c r="CG15">
        <f t="shared" ca="1" si="11"/>
        <v>0.40000000000000036</v>
      </c>
      <c r="CH15">
        <f t="shared" ca="1" si="11"/>
        <v>46.400000000000006</v>
      </c>
      <c r="CI15">
        <f t="shared" ca="1" si="11"/>
        <v>90.999999999999986</v>
      </c>
      <c r="CJ15">
        <f t="shared" ca="1" si="11"/>
        <v>332.2000000000001</v>
      </c>
      <c r="CL15">
        <v>2009</v>
      </c>
      <c r="CM15">
        <f t="shared" ca="1" si="12"/>
        <v>456.9</v>
      </c>
      <c r="CN15">
        <f t="shared" ca="1" si="5"/>
        <v>282.10000000000008</v>
      </c>
      <c r="CO15">
        <f t="shared" ca="1" si="5"/>
        <v>205</v>
      </c>
      <c r="CP15">
        <f t="shared" ca="1" si="5"/>
        <v>60.199999999999996</v>
      </c>
      <c r="CQ15">
        <f t="shared" ca="1" si="5"/>
        <v>0</v>
      </c>
      <c r="CR15">
        <f t="shared" ca="1" si="5"/>
        <v>0</v>
      </c>
      <c r="CS15">
        <f t="shared" ca="1" si="5"/>
        <v>0</v>
      </c>
      <c r="CT15">
        <f t="shared" ca="1" si="5"/>
        <v>0</v>
      </c>
      <c r="CU15">
        <f t="shared" ca="1" si="5"/>
        <v>0</v>
      </c>
      <c r="CV15">
        <f t="shared" ca="1" si="5"/>
        <v>25.599999999999998</v>
      </c>
      <c r="CW15">
        <f t="shared" ca="1" si="5"/>
        <v>42</v>
      </c>
      <c r="CX15">
        <f t="shared" ca="1" si="5"/>
        <v>270.50000000000006</v>
      </c>
      <c r="CZ15">
        <v>2009</v>
      </c>
      <c r="DA15">
        <f t="shared" ca="1" si="13"/>
        <v>828.9</v>
      </c>
      <c r="DB15">
        <f t="shared" ca="1" si="6"/>
        <v>618.09999999999991</v>
      </c>
      <c r="DC15">
        <f t="shared" ca="1" si="6"/>
        <v>572.5</v>
      </c>
      <c r="DD15">
        <f t="shared" ca="1" si="6"/>
        <v>380.70000000000005</v>
      </c>
      <c r="DE15">
        <f t="shared" ca="1" si="6"/>
        <v>225.9</v>
      </c>
      <c r="DF15">
        <f t="shared" ca="1" si="6"/>
        <v>96.300000000000011</v>
      </c>
      <c r="DG15">
        <f t="shared" ca="1" si="6"/>
        <v>40.300000000000004</v>
      </c>
      <c r="DH15">
        <f t="shared" ca="1" si="6"/>
        <v>19.299999999999997</v>
      </c>
      <c r="DI15">
        <f t="shared" ca="1" si="6"/>
        <v>81.099999999999994</v>
      </c>
      <c r="DJ15">
        <f t="shared" ca="1" si="6"/>
        <v>320.80000000000007</v>
      </c>
      <c r="DK15">
        <f t="shared" ca="1" si="6"/>
        <v>385.60000000000008</v>
      </c>
      <c r="DL15">
        <f t="shared" ca="1" si="6"/>
        <v>642.20000000000005</v>
      </c>
    </row>
    <row r="16" spans="1:116" x14ac:dyDescent="0.2">
      <c r="A16" s="13">
        <v>36586</v>
      </c>
      <c r="B16">
        <v>2000</v>
      </c>
      <c r="C16">
        <v>3</v>
      </c>
      <c r="D16" s="21">
        <v>4.7709677419354852</v>
      </c>
      <c r="E16" s="21">
        <v>472.10000000000019</v>
      </c>
      <c r="F16" s="21">
        <v>0</v>
      </c>
      <c r="G16" s="21">
        <v>410.10000000000014</v>
      </c>
      <c r="H16" s="21">
        <v>0</v>
      </c>
      <c r="I16" s="21">
        <v>348.10000000000014</v>
      </c>
      <c r="J16" s="21">
        <v>0</v>
      </c>
      <c r="K16" s="21">
        <v>286.10000000000008</v>
      </c>
      <c r="L16" s="21">
        <v>0</v>
      </c>
      <c r="M16" s="21">
        <v>224.40000000000003</v>
      </c>
      <c r="N16" s="21">
        <v>0.30000000000000071</v>
      </c>
      <c r="O16" s="21">
        <v>166.10000000000002</v>
      </c>
      <c r="P16" s="21">
        <v>4</v>
      </c>
      <c r="Q16" s="21">
        <v>111.39999999999996</v>
      </c>
      <c r="R16" s="21">
        <v>11.299999999999999</v>
      </c>
      <c r="T16">
        <v>2010</v>
      </c>
      <c r="U16">
        <f t="shared" ca="1" si="7"/>
        <v>669.2</v>
      </c>
      <c r="V16">
        <f t="shared" ca="1" si="0"/>
        <v>560.60000000000014</v>
      </c>
      <c r="W16">
        <f t="shared" ca="1" si="0"/>
        <v>418.40000000000009</v>
      </c>
      <c r="X16">
        <f t="shared" ca="1" si="0"/>
        <v>248.9</v>
      </c>
      <c r="Y16">
        <f t="shared" ca="1" si="0"/>
        <v>131.80000000000001</v>
      </c>
      <c r="Z16">
        <f t="shared" ca="1" si="0"/>
        <v>20.300000000000004</v>
      </c>
      <c r="AA16">
        <f t="shared" ca="1" si="0"/>
        <v>0.60000000000000142</v>
      </c>
      <c r="AB16">
        <f t="shared" ca="1" si="0"/>
        <v>0</v>
      </c>
      <c r="AC16">
        <f t="shared" ca="1" si="0"/>
        <v>67.499999999999986</v>
      </c>
      <c r="AD16">
        <f t="shared" ca="1" si="0"/>
        <v>199.9</v>
      </c>
      <c r="AE16">
        <f t="shared" ca="1" si="0"/>
        <v>382.09999999999997</v>
      </c>
      <c r="AF16">
        <f t="shared" ca="1" si="0"/>
        <v>633.6</v>
      </c>
      <c r="AH16">
        <v>2010</v>
      </c>
      <c r="AI16">
        <f t="shared" ca="1" si="8"/>
        <v>607.20000000000005</v>
      </c>
      <c r="AJ16">
        <f t="shared" ca="1" si="1"/>
        <v>504.6</v>
      </c>
      <c r="AK16">
        <f t="shared" ca="1" si="1"/>
        <v>356.40000000000009</v>
      </c>
      <c r="AL16">
        <f t="shared" ca="1" si="1"/>
        <v>188.90000000000003</v>
      </c>
      <c r="AM16">
        <f t="shared" ca="1" si="1"/>
        <v>91.8</v>
      </c>
      <c r="AN16">
        <f t="shared" ca="1" si="1"/>
        <v>3.9000000000000004</v>
      </c>
      <c r="AO16">
        <f t="shared" ca="1" si="1"/>
        <v>0</v>
      </c>
      <c r="AP16">
        <f t="shared" ca="1" si="1"/>
        <v>0</v>
      </c>
      <c r="AQ16">
        <f t="shared" ca="1" si="1"/>
        <v>28.200000000000003</v>
      </c>
      <c r="AR16">
        <f t="shared" ca="1" si="1"/>
        <v>141.1</v>
      </c>
      <c r="AS16">
        <f t="shared" ca="1" si="1"/>
        <v>322.09999999999997</v>
      </c>
      <c r="AT16">
        <f t="shared" ca="1" si="1"/>
        <v>571.6</v>
      </c>
      <c r="AV16">
        <v>2010</v>
      </c>
      <c r="AW16">
        <f t="shared" ca="1" si="9"/>
        <v>545.20000000000005</v>
      </c>
      <c r="AX16">
        <f t="shared" ca="1" si="2"/>
        <v>448.6</v>
      </c>
      <c r="AY16">
        <f t="shared" ca="1" si="2"/>
        <v>294.40000000000003</v>
      </c>
      <c r="AZ16">
        <f t="shared" ca="1" si="2"/>
        <v>130.30000000000001</v>
      </c>
      <c r="BA16">
        <f t="shared" ca="1" si="2"/>
        <v>59.900000000000006</v>
      </c>
      <c r="BB16">
        <f t="shared" ca="1" si="2"/>
        <v>0</v>
      </c>
      <c r="BC16">
        <f t="shared" ca="1" si="2"/>
        <v>0</v>
      </c>
      <c r="BD16">
        <f t="shared" ca="1" si="2"/>
        <v>0</v>
      </c>
      <c r="BE16">
        <f t="shared" ca="1" si="2"/>
        <v>5.7999999999999989</v>
      </c>
      <c r="BF16">
        <f t="shared" ca="1" si="2"/>
        <v>89.199999999999989</v>
      </c>
      <c r="BG16">
        <f t="shared" ca="1" si="2"/>
        <v>262.10000000000002</v>
      </c>
      <c r="BH16">
        <f t="shared" ca="1" si="2"/>
        <v>509.6</v>
      </c>
      <c r="BJ16">
        <v>2010</v>
      </c>
      <c r="BK16">
        <f t="shared" ca="1" si="10"/>
        <v>483.20000000000005</v>
      </c>
      <c r="BL16">
        <f t="shared" ca="1" si="3"/>
        <v>392.59999999999997</v>
      </c>
      <c r="BM16">
        <f t="shared" ca="1" si="3"/>
        <v>232.39999999999995</v>
      </c>
      <c r="BN16">
        <f t="shared" ca="1" si="3"/>
        <v>78.500000000000014</v>
      </c>
      <c r="BO16">
        <f t="shared" ca="1" si="3"/>
        <v>36.5</v>
      </c>
      <c r="BP16">
        <f t="shared" ca="1" si="3"/>
        <v>0</v>
      </c>
      <c r="BQ16">
        <f t="shared" ca="1" si="3"/>
        <v>0</v>
      </c>
      <c r="BR16">
        <f t="shared" ca="1" si="3"/>
        <v>0</v>
      </c>
      <c r="BS16">
        <f t="shared" ca="1" si="3"/>
        <v>9.9999999999999645E-2</v>
      </c>
      <c r="BT16">
        <f t="shared" ca="1" si="3"/>
        <v>44.2</v>
      </c>
      <c r="BU16">
        <f t="shared" ca="1" si="3"/>
        <v>202.7</v>
      </c>
      <c r="BV16">
        <f t="shared" ca="1" si="3"/>
        <v>447.59999999999997</v>
      </c>
      <c r="BX16">
        <v>2010</v>
      </c>
      <c r="BY16">
        <f t="shared" ca="1" si="11"/>
        <v>421.2</v>
      </c>
      <c r="BZ16">
        <f t="shared" ca="1" si="11"/>
        <v>336.6</v>
      </c>
      <c r="CA16">
        <f t="shared" ca="1" si="11"/>
        <v>172.69999999999996</v>
      </c>
      <c r="CB16">
        <f t="shared" ca="1" si="11"/>
        <v>39.800000000000004</v>
      </c>
      <c r="CC16">
        <f t="shared" ca="1" si="11"/>
        <v>20</v>
      </c>
      <c r="CD16">
        <f t="shared" ca="1" si="11"/>
        <v>0</v>
      </c>
      <c r="CE16">
        <f t="shared" ca="1" si="11"/>
        <v>0</v>
      </c>
      <c r="CF16">
        <f t="shared" ca="1" si="11"/>
        <v>0</v>
      </c>
      <c r="CG16">
        <f t="shared" ca="1" si="11"/>
        <v>0</v>
      </c>
      <c r="CH16">
        <f t="shared" ca="1" si="11"/>
        <v>16</v>
      </c>
      <c r="CI16">
        <f t="shared" ca="1" si="11"/>
        <v>144.99999999999997</v>
      </c>
      <c r="CJ16">
        <f t="shared" ca="1" si="11"/>
        <v>385.59999999999997</v>
      </c>
      <c r="CL16">
        <v>2010</v>
      </c>
      <c r="CM16">
        <f t="shared" ca="1" si="12"/>
        <v>359.19999999999993</v>
      </c>
      <c r="CN16">
        <f t="shared" ca="1" si="5"/>
        <v>280.59999999999997</v>
      </c>
      <c r="CO16">
        <f t="shared" ca="1" si="5"/>
        <v>118.89999999999998</v>
      </c>
      <c r="CP16">
        <f t="shared" ca="1" si="5"/>
        <v>11.4</v>
      </c>
      <c r="CQ16">
        <f t="shared" ca="1" si="5"/>
        <v>6.0000000000000009</v>
      </c>
      <c r="CR16">
        <f t="shared" ca="1" si="5"/>
        <v>0</v>
      </c>
      <c r="CS16">
        <f t="shared" ca="1" si="5"/>
        <v>0</v>
      </c>
      <c r="CT16">
        <f t="shared" ca="1" si="5"/>
        <v>0</v>
      </c>
      <c r="CU16">
        <f t="shared" ca="1" si="5"/>
        <v>0</v>
      </c>
      <c r="CV16">
        <f t="shared" ca="1" si="5"/>
        <v>5.8999999999999995</v>
      </c>
      <c r="CW16">
        <f t="shared" ca="1" si="5"/>
        <v>91</v>
      </c>
      <c r="CX16">
        <f t="shared" ca="1" si="5"/>
        <v>323.89999999999998</v>
      </c>
      <c r="CZ16">
        <v>2010</v>
      </c>
      <c r="DA16">
        <f t="shared" ca="1" si="13"/>
        <v>731.2</v>
      </c>
      <c r="DB16">
        <f t="shared" ca="1" si="6"/>
        <v>616.6</v>
      </c>
      <c r="DC16">
        <f t="shared" ca="1" si="6"/>
        <v>480.40000000000003</v>
      </c>
      <c r="DD16">
        <f t="shared" ca="1" si="6"/>
        <v>308.89999999999998</v>
      </c>
      <c r="DE16">
        <f t="shared" ca="1" si="6"/>
        <v>178.60000000000002</v>
      </c>
      <c r="DF16">
        <f t="shared" ca="1" si="6"/>
        <v>47.6</v>
      </c>
      <c r="DG16">
        <f t="shared" ca="1" si="6"/>
        <v>6.2000000000000028</v>
      </c>
      <c r="DH16">
        <f t="shared" ca="1" si="6"/>
        <v>6.1000000000000014</v>
      </c>
      <c r="DI16">
        <f t="shared" ca="1" si="6"/>
        <v>113.9</v>
      </c>
      <c r="DJ16">
        <f t="shared" ca="1" si="6"/>
        <v>261.7</v>
      </c>
      <c r="DK16">
        <f t="shared" ca="1" si="6"/>
        <v>442.09999999999997</v>
      </c>
      <c r="DL16">
        <f t="shared" ca="1" si="6"/>
        <v>695.6</v>
      </c>
    </row>
    <row r="17" spans="1:116" x14ac:dyDescent="0.2">
      <c r="A17" s="13">
        <v>36617</v>
      </c>
      <c r="B17">
        <v>2000</v>
      </c>
      <c r="C17">
        <v>4</v>
      </c>
      <c r="D17" s="21">
        <v>6.4600000000000017</v>
      </c>
      <c r="E17" s="21">
        <v>406.19999999999987</v>
      </c>
      <c r="F17" s="21">
        <v>0</v>
      </c>
      <c r="G17" s="21">
        <v>346.19999999999993</v>
      </c>
      <c r="H17" s="21">
        <v>0</v>
      </c>
      <c r="I17" s="21">
        <v>286.79999999999995</v>
      </c>
      <c r="J17" s="21">
        <v>0.60000000000000142</v>
      </c>
      <c r="K17" s="21">
        <v>228.79999999999995</v>
      </c>
      <c r="L17" s="21">
        <v>2.6000000000000014</v>
      </c>
      <c r="M17" s="21">
        <v>170.79999999999995</v>
      </c>
      <c r="N17" s="21">
        <v>4.6000000000000014</v>
      </c>
      <c r="O17" s="21">
        <v>117.60000000000002</v>
      </c>
      <c r="P17" s="21">
        <v>11.400000000000002</v>
      </c>
      <c r="Q17" s="21">
        <v>73.900000000000006</v>
      </c>
      <c r="R17" s="21">
        <v>27.700000000000003</v>
      </c>
      <c r="T17">
        <v>2011</v>
      </c>
      <c r="U17">
        <f t="shared" ca="1" si="7"/>
        <v>726.69999999999993</v>
      </c>
      <c r="V17">
        <f t="shared" ca="1" si="0"/>
        <v>605.20000000000016</v>
      </c>
      <c r="W17">
        <f t="shared" ca="1" si="0"/>
        <v>545.50000000000011</v>
      </c>
      <c r="X17">
        <f t="shared" ca="1" si="0"/>
        <v>355.7</v>
      </c>
      <c r="Y17">
        <f t="shared" ca="1" si="0"/>
        <v>191.7</v>
      </c>
      <c r="Z17">
        <f t="shared" ca="1" si="0"/>
        <v>22.4</v>
      </c>
      <c r="AA17">
        <f t="shared" ca="1" si="0"/>
        <v>0</v>
      </c>
      <c r="AB17">
        <f t="shared" ca="1" si="0"/>
        <v>0</v>
      </c>
      <c r="AC17">
        <f t="shared" ca="1" si="0"/>
        <v>41.600000000000016</v>
      </c>
      <c r="AD17">
        <f t="shared" ca="1" si="0"/>
        <v>203.49999999999997</v>
      </c>
      <c r="AE17">
        <f t="shared" ca="1" si="0"/>
        <v>298.39999999999998</v>
      </c>
      <c r="AF17">
        <f t="shared" ca="1" si="0"/>
        <v>481.2999999999999</v>
      </c>
      <c r="AH17">
        <v>2011</v>
      </c>
      <c r="AI17">
        <f t="shared" ca="1" si="8"/>
        <v>664.69999999999993</v>
      </c>
      <c r="AJ17">
        <f t="shared" ca="1" si="1"/>
        <v>549.20000000000016</v>
      </c>
      <c r="AK17">
        <f t="shared" ca="1" si="1"/>
        <v>483.50000000000006</v>
      </c>
      <c r="AL17">
        <f t="shared" ca="1" si="1"/>
        <v>295.7</v>
      </c>
      <c r="AM17">
        <f t="shared" ca="1" si="1"/>
        <v>134.79999999999998</v>
      </c>
      <c r="AN17">
        <f t="shared" ca="1" si="1"/>
        <v>6.8000000000000025</v>
      </c>
      <c r="AO17">
        <f t="shared" ca="1" si="1"/>
        <v>0</v>
      </c>
      <c r="AP17">
        <f t="shared" ca="1" si="1"/>
        <v>0</v>
      </c>
      <c r="AQ17">
        <f t="shared" ca="1" si="1"/>
        <v>16.5</v>
      </c>
      <c r="AR17">
        <f t="shared" ca="1" si="1"/>
        <v>148.4</v>
      </c>
      <c r="AS17">
        <f t="shared" ca="1" si="1"/>
        <v>238.39999999999998</v>
      </c>
      <c r="AT17">
        <f t="shared" ca="1" si="1"/>
        <v>419.29999999999995</v>
      </c>
      <c r="AV17">
        <v>2011</v>
      </c>
      <c r="AW17">
        <f t="shared" ca="1" si="9"/>
        <v>602.69999999999993</v>
      </c>
      <c r="AX17">
        <f t="shared" ca="1" si="2"/>
        <v>493.20000000000005</v>
      </c>
      <c r="AY17">
        <f t="shared" ca="1" si="2"/>
        <v>421.50000000000006</v>
      </c>
      <c r="AZ17">
        <f t="shared" ca="1" si="2"/>
        <v>235.69999999999996</v>
      </c>
      <c r="BA17">
        <f t="shared" ca="1" si="2"/>
        <v>85.7</v>
      </c>
      <c r="BB17">
        <f t="shared" ca="1" si="2"/>
        <v>0.30000000000000071</v>
      </c>
      <c r="BC17">
        <f t="shared" ca="1" si="2"/>
        <v>0</v>
      </c>
      <c r="BD17">
        <f t="shared" ca="1" si="2"/>
        <v>0</v>
      </c>
      <c r="BE17">
        <f t="shared" ca="1" si="2"/>
        <v>5.6999999999999993</v>
      </c>
      <c r="BF17">
        <f t="shared" ca="1" si="2"/>
        <v>102.2</v>
      </c>
      <c r="BG17">
        <f t="shared" ca="1" si="2"/>
        <v>179.4</v>
      </c>
      <c r="BH17">
        <f t="shared" ca="1" si="2"/>
        <v>357.29999999999995</v>
      </c>
      <c r="BJ17">
        <v>2011</v>
      </c>
      <c r="BK17">
        <f t="shared" ca="1" si="10"/>
        <v>540.69999999999993</v>
      </c>
      <c r="BL17">
        <f t="shared" ca="1" si="3"/>
        <v>437.20000000000005</v>
      </c>
      <c r="BM17">
        <f t="shared" ca="1" si="3"/>
        <v>359.50000000000006</v>
      </c>
      <c r="BN17">
        <f t="shared" ca="1" si="3"/>
        <v>177.5</v>
      </c>
      <c r="BO17">
        <f t="shared" ca="1" si="3"/>
        <v>42.399999999999991</v>
      </c>
      <c r="BP17">
        <f t="shared" ca="1" si="3"/>
        <v>0</v>
      </c>
      <c r="BQ17">
        <f t="shared" ca="1" si="3"/>
        <v>0</v>
      </c>
      <c r="BR17">
        <f t="shared" ca="1" si="3"/>
        <v>0</v>
      </c>
      <c r="BS17">
        <f t="shared" ca="1" si="3"/>
        <v>0.40000000000000036</v>
      </c>
      <c r="BT17">
        <f t="shared" ca="1" si="3"/>
        <v>61.1</v>
      </c>
      <c r="BU17">
        <f t="shared" ca="1" si="3"/>
        <v>127.09999999999998</v>
      </c>
      <c r="BV17">
        <f t="shared" ca="1" si="3"/>
        <v>295.3</v>
      </c>
      <c r="BX17">
        <v>2011</v>
      </c>
      <c r="BY17">
        <f t="shared" ca="1" si="11"/>
        <v>478.69999999999993</v>
      </c>
      <c r="BZ17">
        <f t="shared" ca="1" si="11"/>
        <v>381.20000000000005</v>
      </c>
      <c r="CA17">
        <f t="shared" ca="1" si="11"/>
        <v>297.50000000000006</v>
      </c>
      <c r="CB17">
        <f t="shared" ca="1" si="11"/>
        <v>125.80000000000001</v>
      </c>
      <c r="CC17">
        <f t="shared" ca="1" si="11"/>
        <v>12.799999999999999</v>
      </c>
      <c r="CD17">
        <f t="shared" ca="1" si="11"/>
        <v>0</v>
      </c>
      <c r="CE17">
        <f t="shared" ca="1" si="11"/>
        <v>0</v>
      </c>
      <c r="CF17">
        <f t="shared" ca="1" si="11"/>
        <v>0</v>
      </c>
      <c r="CG17">
        <f t="shared" ca="1" si="11"/>
        <v>0</v>
      </c>
      <c r="CH17">
        <f t="shared" ca="1" si="11"/>
        <v>30.6</v>
      </c>
      <c r="CI17">
        <f t="shared" ca="1" si="11"/>
        <v>81.999999999999986</v>
      </c>
      <c r="CJ17">
        <f t="shared" ca="1" si="11"/>
        <v>233.4</v>
      </c>
      <c r="CL17">
        <v>2011</v>
      </c>
      <c r="CM17">
        <f t="shared" ca="1" si="12"/>
        <v>416.69999999999993</v>
      </c>
      <c r="CN17">
        <f t="shared" ca="1" si="5"/>
        <v>325.20000000000005</v>
      </c>
      <c r="CO17">
        <f t="shared" ca="1" si="5"/>
        <v>237.79999999999993</v>
      </c>
      <c r="CP17">
        <f t="shared" ca="1" si="5"/>
        <v>75.8</v>
      </c>
      <c r="CQ17">
        <f t="shared" ca="1" si="5"/>
        <v>3.3</v>
      </c>
      <c r="CR17">
        <f t="shared" ca="1" si="5"/>
        <v>0</v>
      </c>
      <c r="CS17">
        <f t="shared" ca="1" si="5"/>
        <v>0</v>
      </c>
      <c r="CT17">
        <f t="shared" ca="1" si="5"/>
        <v>0</v>
      </c>
      <c r="CU17">
        <f t="shared" ca="1" si="5"/>
        <v>0</v>
      </c>
      <c r="CV17">
        <f t="shared" ca="1" si="5"/>
        <v>13.2</v>
      </c>
      <c r="CW17">
        <f t="shared" ca="1" si="5"/>
        <v>49.999999999999993</v>
      </c>
      <c r="CX17">
        <f t="shared" ca="1" si="5"/>
        <v>173.9</v>
      </c>
      <c r="CZ17">
        <v>2011</v>
      </c>
      <c r="DA17">
        <f t="shared" ca="1" si="13"/>
        <v>788.69999999999993</v>
      </c>
      <c r="DB17">
        <f t="shared" ca="1" si="6"/>
        <v>661.20000000000016</v>
      </c>
      <c r="DC17">
        <f t="shared" ca="1" si="6"/>
        <v>607.50000000000011</v>
      </c>
      <c r="DD17">
        <f t="shared" ca="1" si="6"/>
        <v>415.70000000000005</v>
      </c>
      <c r="DE17">
        <f t="shared" ca="1" si="6"/>
        <v>251.70000000000002</v>
      </c>
      <c r="DF17">
        <f t="shared" ca="1" si="6"/>
        <v>53.199999999999989</v>
      </c>
      <c r="DG17">
        <f t="shared" ca="1" si="6"/>
        <v>2.5999999999999979</v>
      </c>
      <c r="DH17">
        <f t="shared" ca="1" si="6"/>
        <v>7.0999999999999979</v>
      </c>
      <c r="DI17">
        <f t="shared" ca="1" si="6"/>
        <v>83.1</v>
      </c>
      <c r="DJ17">
        <f t="shared" ca="1" si="6"/>
        <v>261.7</v>
      </c>
      <c r="DK17">
        <f t="shared" ca="1" si="6"/>
        <v>358.40000000000003</v>
      </c>
      <c r="DL17">
        <f t="shared" ca="1" si="6"/>
        <v>543.29999999999995</v>
      </c>
    </row>
    <row r="18" spans="1:116" x14ac:dyDescent="0.2">
      <c r="A18" s="13">
        <v>36647</v>
      </c>
      <c r="B18">
        <v>2000</v>
      </c>
      <c r="C18">
        <v>5</v>
      </c>
      <c r="D18" s="21">
        <v>13.683870967741939</v>
      </c>
      <c r="E18" s="21">
        <v>206.49999999999994</v>
      </c>
      <c r="F18" s="21">
        <v>10.700000000000003</v>
      </c>
      <c r="G18" s="21">
        <v>154.5</v>
      </c>
      <c r="H18" s="21">
        <v>20.700000000000003</v>
      </c>
      <c r="I18" s="21">
        <v>106.6</v>
      </c>
      <c r="J18" s="21">
        <v>34.800000000000004</v>
      </c>
      <c r="K18" s="21">
        <v>63.899999999999991</v>
      </c>
      <c r="L18" s="21">
        <v>54.1</v>
      </c>
      <c r="M18" s="21">
        <v>28.399999999999995</v>
      </c>
      <c r="N18" s="21">
        <v>80.599999999999994</v>
      </c>
      <c r="O18" s="21">
        <v>9.7999999999999989</v>
      </c>
      <c r="P18" s="21">
        <v>124</v>
      </c>
      <c r="Q18" s="21">
        <v>2.4000000000000004</v>
      </c>
      <c r="R18" s="21">
        <v>178.6</v>
      </c>
      <c r="T18">
        <v>2012</v>
      </c>
      <c r="U18">
        <f t="shared" ca="1" si="7"/>
        <v>568.69999999999982</v>
      </c>
      <c r="V18">
        <f t="shared" ca="1" si="0"/>
        <v>497.39999999999992</v>
      </c>
      <c r="W18">
        <f t="shared" ca="1" si="0"/>
        <v>368.49999999999994</v>
      </c>
      <c r="X18">
        <f t="shared" ca="1" si="0"/>
        <v>304.2</v>
      </c>
      <c r="Y18">
        <f t="shared" ca="1" si="0"/>
        <v>100.99999999999999</v>
      </c>
      <c r="Z18">
        <f t="shared" ca="1" si="0"/>
        <v>22.7</v>
      </c>
      <c r="AA18">
        <f t="shared" ca="1" si="0"/>
        <v>0</v>
      </c>
      <c r="AB18">
        <f t="shared" ca="1" si="0"/>
        <v>0</v>
      </c>
      <c r="AC18">
        <f t="shared" ca="1" si="0"/>
        <v>58.400000000000006</v>
      </c>
      <c r="AD18">
        <f t="shared" ca="1" si="0"/>
        <v>223.20000000000002</v>
      </c>
      <c r="AE18">
        <f t="shared" ca="1" si="0"/>
        <v>394.9</v>
      </c>
      <c r="AF18">
        <f t="shared" ca="1" si="0"/>
        <v>479.4</v>
      </c>
      <c r="AH18">
        <v>2012</v>
      </c>
      <c r="AI18">
        <f t="shared" ca="1" si="8"/>
        <v>506.70000000000005</v>
      </c>
      <c r="AJ18">
        <f t="shared" ca="1" si="1"/>
        <v>439.4</v>
      </c>
      <c r="AK18">
        <f t="shared" ca="1" si="1"/>
        <v>306.5</v>
      </c>
      <c r="AL18">
        <f t="shared" ca="1" si="1"/>
        <v>244.20000000000002</v>
      </c>
      <c r="AM18">
        <f t="shared" ca="1" si="1"/>
        <v>62</v>
      </c>
      <c r="AN18">
        <f t="shared" ca="1" si="1"/>
        <v>8</v>
      </c>
      <c r="AO18">
        <f t="shared" ca="1" si="1"/>
        <v>0</v>
      </c>
      <c r="AP18">
        <f t="shared" ca="1" si="1"/>
        <v>0</v>
      </c>
      <c r="AQ18">
        <f t="shared" ca="1" si="1"/>
        <v>28.299999999999997</v>
      </c>
      <c r="AR18">
        <f t="shared" ca="1" si="1"/>
        <v>164.50000000000003</v>
      </c>
      <c r="AS18">
        <f t="shared" ca="1" si="1"/>
        <v>334.90000000000003</v>
      </c>
      <c r="AT18">
        <f t="shared" ca="1" si="1"/>
        <v>417.40000000000003</v>
      </c>
      <c r="AV18">
        <v>2012</v>
      </c>
      <c r="AW18">
        <f t="shared" ca="1" si="9"/>
        <v>444.70000000000005</v>
      </c>
      <c r="AX18">
        <f t="shared" ca="1" si="2"/>
        <v>381.4</v>
      </c>
      <c r="AY18">
        <f t="shared" ca="1" si="2"/>
        <v>244.8</v>
      </c>
      <c r="AZ18">
        <f t="shared" ca="1" si="2"/>
        <v>186.6</v>
      </c>
      <c r="BA18">
        <f t="shared" ca="1" si="2"/>
        <v>31.1</v>
      </c>
      <c r="BB18">
        <f t="shared" ca="1" si="2"/>
        <v>1.0999999999999996</v>
      </c>
      <c r="BC18">
        <f t="shared" ca="1" si="2"/>
        <v>0</v>
      </c>
      <c r="BD18">
        <f t="shared" ca="1" si="2"/>
        <v>0</v>
      </c>
      <c r="BE18">
        <f t="shared" ca="1" si="2"/>
        <v>11.3</v>
      </c>
      <c r="BF18">
        <f t="shared" ca="1" si="2"/>
        <v>110.60000000000001</v>
      </c>
      <c r="BG18">
        <f t="shared" ca="1" si="2"/>
        <v>274.90000000000009</v>
      </c>
      <c r="BH18">
        <f t="shared" ca="1" si="2"/>
        <v>355.4</v>
      </c>
      <c r="BJ18">
        <v>2012</v>
      </c>
      <c r="BK18">
        <f t="shared" ca="1" si="10"/>
        <v>382.7000000000001</v>
      </c>
      <c r="BL18">
        <f t="shared" ca="1" si="3"/>
        <v>323.39999999999998</v>
      </c>
      <c r="BM18">
        <f t="shared" ca="1" si="3"/>
        <v>184.89999999999998</v>
      </c>
      <c r="BN18">
        <f t="shared" ca="1" si="3"/>
        <v>134.19999999999999</v>
      </c>
      <c r="BO18">
        <f t="shared" ca="1" si="3"/>
        <v>11.399999999999997</v>
      </c>
      <c r="BP18">
        <f t="shared" ca="1" si="3"/>
        <v>0</v>
      </c>
      <c r="BQ18">
        <f t="shared" ca="1" si="3"/>
        <v>0</v>
      </c>
      <c r="BR18">
        <f t="shared" ca="1" si="3"/>
        <v>0</v>
      </c>
      <c r="BS18">
        <f t="shared" ca="1" si="3"/>
        <v>0.90000000000000036</v>
      </c>
      <c r="BT18">
        <f t="shared" ca="1" si="3"/>
        <v>66.599999999999994</v>
      </c>
      <c r="BU18">
        <f t="shared" ca="1" si="3"/>
        <v>216.80000000000004</v>
      </c>
      <c r="BV18">
        <f t="shared" ca="1" si="3"/>
        <v>293.39999999999998</v>
      </c>
      <c r="BX18">
        <v>2012</v>
      </c>
      <c r="BY18">
        <f t="shared" ca="1" si="11"/>
        <v>320.70000000000005</v>
      </c>
      <c r="BZ18">
        <f t="shared" ca="1" si="11"/>
        <v>265.40000000000003</v>
      </c>
      <c r="CA18">
        <f t="shared" ca="1" si="11"/>
        <v>132.9</v>
      </c>
      <c r="CB18">
        <f t="shared" ca="1" si="11"/>
        <v>83.5</v>
      </c>
      <c r="CC18">
        <f t="shared" ca="1" si="11"/>
        <v>1.8999999999999986</v>
      </c>
      <c r="CD18">
        <f t="shared" ca="1" si="11"/>
        <v>0</v>
      </c>
      <c r="CE18">
        <f t="shared" ca="1" si="11"/>
        <v>0</v>
      </c>
      <c r="CF18">
        <f t="shared" ca="1" si="11"/>
        <v>0</v>
      </c>
      <c r="CG18">
        <f t="shared" ca="1" si="11"/>
        <v>0</v>
      </c>
      <c r="CH18">
        <f t="shared" ca="1" si="11"/>
        <v>29.7</v>
      </c>
      <c r="CI18">
        <f t="shared" ca="1" si="11"/>
        <v>161</v>
      </c>
      <c r="CJ18">
        <f t="shared" ca="1" si="11"/>
        <v>233.29999999999998</v>
      </c>
      <c r="CL18">
        <v>2012</v>
      </c>
      <c r="CM18">
        <f t="shared" ca="1" si="12"/>
        <v>258.7</v>
      </c>
      <c r="CN18">
        <f t="shared" ca="1" si="5"/>
        <v>207.40000000000006</v>
      </c>
      <c r="CO18">
        <f t="shared" ca="1" si="5"/>
        <v>93.1</v>
      </c>
      <c r="CP18">
        <f t="shared" ca="1" si="5"/>
        <v>38</v>
      </c>
      <c r="CQ18">
        <f t="shared" ca="1" si="5"/>
        <v>0</v>
      </c>
      <c r="CR18">
        <f t="shared" ca="1" si="5"/>
        <v>0</v>
      </c>
      <c r="CS18">
        <f t="shared" ca="1" si="5"/>
        <v>0</v>
      </c>
      <c r="CT18">
        <f t="shared" ca="1" si="5"/>
        <v>0</v>
      </c>
      <c r="CU18">
        <f t="shared" ca="1" si="5"/>
        <v>0</v>
      </c>
      <c r="CV18">
        <f t="shared" ca="1" si="5"/>
        <v>9.1999999999999993</v>
      </c>
      <c r="CW18">
        <f t="shared" ca="1" si="5"/>
        <v>107</v>
      </c>
      <c r="CX18">
        <f t="shared" ca="1" si="5"/>
        <v>173.79999999999998</v>
      </c>
      <c r="CZ18">
        <v>2012</v>
      </c>
      <c r="DA18">
        <f t="shared" ca="1" si="13"/>
        <v>630.70000000000005</v>
      </c>
      <c r="DB18">
        <f t="shared" ca="1" si="6"/>
        <v>555.39999999999986</v>
      </c>
      <c r="DC18">
        <f t="shared" ca="1" si="6"/>
        <v>430.49999999999994</v>
      </c>
      <c r="DD18">
        <f t="shared" ca="1" si="6"/>
        <v>364.2</v>
      </c>
      <c r="DE18">
        <f t="shared" ca="1" si="6"/>
        <v>152.00000000000003</v>
      </c>
      <c r="DF18">
        <f t="shared" ca="1" si="6"/>
        <v>44.199999999999996</v>
      </c>
      <c r="DG18">
        <f t="shared" ca="1" si="6"/>
        <v>0</v>
      </c>
      <c r="DH18">
        <f t="shared" ca="1" si="6"/>
        <v>2.7000000000000028</v>
      </c>
      <c r="DI18">
        <f t="shared" ca="1" si="6"/>
        <v>97.299999999999983</v>
      </c>
      <c r="DJ18">
        <f t="shared" ca="1" si="6"/>
        <v>284.69999999999993</v>
      </c>
      <c r="DK18">
        <f t="shared" ca="1" si="6"/>
        <v>454.90000000000003</v>
      </c>
      <c r="DL18">
        <f t="shared" ca="1" si="6"/>
        <v>541.40000000000009</v>
      </c>
    </row>
    <row r="19" spans="1:116" x14ac:dyDescent="0.2">
      <c r="A19" s="13">
        <v>36678</v>
      </c>
      <c r="B19">
        <v>2000</v>
      </c>
      <c r="C19">
        <v>6</v>
      </c>
      <c r="D19" s="21">
        <v>17.676666666666669</v>
      </c>
      <c r="E19" s="21">
        <v>82.5</v>
      </c>
      <c r="F19" s="21">
        <v>12.8</v>
      </c>
      <c r="G19" s="21">
        <v>45.800000000000004</v>
      </c>
      <c r="H19" s="21">
        <v>36.1</v>
      </c>
      <c r="I19" s="21">
        <v>24.8</v>
      </c>
      <c r="J19" s="21">
        <v>75.099999999999994</v>
      </c>
      <c r="K19" s="21">
        <v>11.1</v>
      </c>
      <c r="L19" s="21">
        <v>121.4</v>
      </c>
      <c r="M19" s="21">
        <v>1.5</v>
      </c>
      <c r="N19" s="21">
        <v>171.8</v>
      </c>
      <c r="O19" s="21">
        <v>0</v>
      </c>
      <c r="P19" s="21">
        <v>230.3</v>
      </c>
      <c r="Q19" s="21">
        <v>0</v>
      </c>
      <c r="R19" s="21">
        <v>290.29999999999995</v>
      </c>
      <c r="T19">
        <v>2013</v>
      </c>
      <c r="U19">
        <f t="shared" ca="1" si="7"/>
        <v>581.20000000000005</v>
      </c>
      <c r="V19">
        <f t="shared" ca="1" si="0"/>
        <v>587.49999999999989</v>
      </c>
      <c r="W19">
        <f t="shared" ca="1" si="0"/>
        <v>523.30000000000007</v>
      </c>
      <c r="X19">
        <f t="shared" ca="1" si="0"/>
        <v>358.59999999999985</v>
      </c>
      <c r="Y19">
        <f t="shared" ca="1" si="0"/>
        <v>161.5</v>
      </c>
      <c r="Z19">
        <f t="shared" ca="1" si="0"/>
        <v>43.599999999999994</v>
      </c>
      <c r="AA19">
        <f t="shared" ca="1" si="0"/>
        <v>0.69999999999999929</v>
      </c>
      <c r="AB19">
        <f t="shared" ca="1" si="0"/>
        <v>2.5999999999999979</v>
      </c>
      <c r="AC19">
        <f t="shared" ca="1" si="0"/>
        <v>67</v>
      </c>
      <c r="AD19">
        <f t="shared" ca="1" si="0"/>
        <v>193.6</v>
      </c>
      <c r="AE19">
        <f t="shared" ca="1" si="0"/>
        <v>426.7</v>
      </c>
      <c r="AF19">
        <f t="shared" ca="1" si="0"/>
        <v>624</v>
      </c>
      <c r="AH19">
        <v>2013</v>
      </c>
      <c r="AI19">
        <f t="shared" ca="1" si="8"/>
        <v>519.20000000000005</v>
      </c>
      <c r="AJ19">
        <f t="shared" ca="1" si="1"/>
        <v>531.5</v>
      </c>
      <c r="AK19">
        <f t="shared" ca="1" si="1"/>
        <v>461.30000000000007</v>
      </c>
      <c r="AL19">
        <f t="shared" ca="1" si="1"/>
        <v>298.59999999999991</v>
      </c>
      <c r="AM19">
        <f t="shared" ca="1" si="1"/>
        <v>109.9</v>
      </c>
      <c r="AN19">
        <f t="shared" ca="1" si="1"/>
        <v>17.8</v>
      </c>
      <c r="AO19">
        <f t="shared" ca="1" si="1"/>
        <v>0</v>
      </c>
      <c r="AP19">
        <f t="shared" ca="1" si="1"/>
        <v>0</v>
      </c>
      <c r="AQ19">
        <f t="shared" ca="1" si="1"/>
        <v>34.1</v>
      </c>
      <c r="AR19">
        <f t="shared" ca="1" si="1"/>
        <v>138.20000000000002</v>
      </c>
      <c r="AS19">
        <f t="shared" ca="1" si="1"/>
        <v>366.69999999999993</v>
      </c>
      <c r="AT19">
        <f t="shared" ca="1" si="1"/>
        <v>562</v>
      </c>
      <c r="AV19">
        <v>2013</v>
      </c>
      <c r="AW19">
        <f t="shared" ca="1" si="9"/>
        <v>457.2</v>
      </c>
      <c r="AX19">
        <f t="shared" ca="1" si="2"/>
        <v>475.5</v>
      </c>
      <c r="AY19">
        <f t="shared" ca="1" si="2"/>
        <v>399.30000000000007</v>
      </c>
      <c r="AZ19">
        <f t="shared" ca="1" si="2"/>
        <v>240.19999999999993</v>
      </c>
      <c r="BA19">
        <f t="shared" ca="1" si="2"/>
        <v>64.599999999999994</v>
      </c>
      <c r="BB19">
        <f t="shared" ca="1" si="2"/>
        <v>5.5999999999999979</v>
      </c>
      <c r="BC19">
        <f t="shared" ca="1" si="2"/>
        <v>0</v>
      </c>
      <c r="BD19">
        <f t="shared" ca="1" si="2"/>
        <v>0</v>
      </c>
      <c r="BE19">
        <f t="shared" ca="1" si="2"/>
        <v>12.4</v>
      </c>
      <c r="BF19">
        <f t="shared" ca="1" si="2"/>
        <v>93.100000000000009</v>
      </c>
      <c r="BG19">
        <f t="shared" ca="1" si="2"/>
        <v>306.7</v>
      </c>
      <c r="BH19">
        <f t="shared" ca="1" si="2"/>
        <v>500.00000000000006</v>
      </c>
      <c r="BJ19">
        <v>2013</v>
      </c>
      <c r="BK19">
        <f t="shared" ca="1" si="10"/>
        <v>395.20000000000005</v>
      </c>
      <c r="BL19">
        <f t="shared" ca="1" si="3"/>
        <v>419.5</v>
      </c>
      <c r="BM19">
        <f t="shared" ca="1" si="3"/>
        <v>337.3</v>
      </c>
      <c r="BN19">
        <f t="shared" ca="1" si="3"/>
        <v>182.99999999999997</v>
      </c>
      <c r="BO19">
        <f t="shared" ca="1" si="3"/>
        <v>28.200000000000003</v>
      </c>
      <c r="BP19">
        <f t="shared" ca="1" si="3"/>
        <v>9.9999999999999645E-2</v>
      </c>
      <c r="BQ19">
        <f t="shared" ca="1" si="3"/>
        <v>0</v>
      </c>
      <c r="BR19">
        <f t="shared" ca="1" si="3"/>
        <v>0</v>
      </c>
      <c r="BS19">
        <f t="shared" ca="1" si="3"/>
        <v>1.9000000000000004</v>
      </c>
      <c r="BT19">
        <f t="shared" ca="1" si="3"/>
        <v>62.400000000000006</v>
      </c>
      <c r="BU19">
        <f t="shared" ca="1" si="3"/>
        <v>249.59999999999997</v>
      </c>
      <c r="BV19">
        <f t="shared" ca="1" si="3"/>
        <v>438.00000000000006</v>
      </c>
      <c r="BX19">
        <v>2013</v>
      </c>
      <c r="BY19">
        <f t="shared" ca="1" si="11"/>
        <v>334.3</v>
      </c>
      <c r="BZ19">
        <f t="shared" ca="1" si="11"/>
        <v>363.5</v>
      </c>
      <c r="CA19">
        <f t="shared" ca="1" si="11"/>
        <v>275.29999999999995</v>
      </c>
      <c r="CB19">
        <f t="shared" ca="1" si="11"/>
        <v>129.40000000000003</v>
      </c>
      <c r="CC19">
        <f t="shared" ca="1" si="11"/>
        <v>10.700000000000001</v>
      </c>
      <c r="CD19">
        <f t="shared" ca="1" si="11"/>
        <v>0</v>
      </c>
      <c r="CE19">
        <f t="shared" ca="1" si="11"/>
        <v>0</v>
      </c>
      <c r="CF19">
        <f t="shared" ca="1" si="11"/>
        <v>0</v>
      </c>
      <c r="CG19">
        <f t="shared" ca="1" si="11"/>
        <v>0</v>
      </c>
      <c r="CH19">
        <f t="shared" ca="1" si="11"/>
        <v>40.400000000000006</v>
      </c>
      <c r="CI19">
        <f t="shared" ca="1" si="11"/>
        <v>195.59999999999994</v>
      </c>
      <c r="CJ19">
        <f t="shared" ca="1" si="11"/>
        <v>376</v>
      </c>
      <c r="CL19">
        <v>2013</v>
      </c>
      <c r="CM19">
        <f t="shared" ca="1" si="12"/>
        <v>277.60000000000002</v>
      </c>
      <c r="CN19">
        <f t="shared" ca="1" si="5"/>
        <v>307.50000000000006</v>
      </c>
      <c r="CO19">
        <f t="shared" ca="1" si="5"/>
        <v>214.7</v>
      </c>
      <c r="CP19">
        <f t="shared" ca="1" si="5"/>
        <v>84.200000000000017</v>
      </c>
      <c r="CQ19">
        <f t="shared" ca="1" si="5"/>
        <v>3.5</v>
      </c>
      <c r="CR19">
        <f t="shared" ca="1" si="5"/>
        <v>0</v>
      </c>
      <c r="CS19">
        <f t="shared" ca="1" si="5"/>
        <v>0</v>
      </c>
      <c r="CT19">
        <f t="shared" ca="1" si="5"/>
        <v>0</v>
      </c>
      <c r="CU19">
        <f t="shared" ca="1" si="5"/>
        <v>0</v>
      </c>
      <c r="CV19">
        <f t="shared" ca="1" si="5"/>
        <v>21.7</v>
      </c>
      <c r="CW19">
        <f t="shared" ca="1" si="5"/>
        <v>144.99999999999997</v>
      </c>
      <c r="CX19">
        <f t="shared" ca="1" si="5"/>
        <v>314.00000000000006</v>
      </c>
      <c r="CZ19">
        <v>2013</v>
      </c>
      <c r="DA19">
        <f t="shared" ca="1" si="13"/>
        <v>643.20000000000005</v>
      </c>
      <c r="DB19">
        <f t="shared" ca="1" si="6"/>
        <v>643.49999999999989</v>
      </c>
      <c r="DC19">
        <f t="shared" ca="1" si="6"/>
        <v>585.30000000000007</v>
      </c>
      <c r="DD19">
        <f t="shared" ca="1" si="6"/>
        <v>418.59999999999985</v>
      </c>
      <c r="DE19">
        <f t="shared" ca="1" si="6"/>
        <v>216.00000000000003</v>
      </c>
      <c r="DF19">
        <f t="shared" ca="1" si="6"/>
        <v>79.400000000000006</v>
      </c>
      <c r="DG19">
        <f t="shared" ca="1" si="6"/>
        <v>14.5</v>
      </c>
      <c r="DH19">
        <f t="shared" ca="1" si="6"/>
        <v>16.699999999999996</v>
      </c>
      <c r="DI19">
        <f t="shared" ca="1" si="6"/>
        <v>110.80000000000001</v>
      </c>
      <c r="DJ19">
        <f t="shared" ca="1" si="6"/>
        <v>252.5</v>
      </c>
      <c r="DK19">
        <f t="shared" ca="1" si="6"/>
        <v>486.7</v>
      </c>
      <c r="DL19">
        <f t="shared" ca="1" si="6"/>
        <v>685.99999999999989</v>
      </c>
    </row>
    <row r="20" spans="1:116" x14ac:dyDescent="0.2">
      <c r="A20" s="13">
        <v>36708</v>
      </c>
      <c r="B20">
        <v>2000</v>
      </c>
      <c r="C20">
        <v>7</v>
      </c>
      <c r="D20" s="21">
        <v>19.987096774193546</v>
      </c>
      <c r="E20" s="21">
        <v>21.8</v>
      </c>
      <c r="F20" s="21">
        <v>21.400000000000009</v>
      </c>
      <c r="G20" s="21">
        <v>3.3000000000000007</v>
      </c>
      <c r="H20" s="21">
        <v>64.90000000000002</v>
      </c>
      <c r="I20" s="21">
        <v>0</v>
      </c>
      <c r="J20" s="21">
        <v>123.60000000000002</v>
      </c>
      <c r="K20" s="21">
        <v>0</v>
      </c>
      <c r="L20" s="21">
        <v>185.6</v>
      </c>
      <c r="M20" s="21">
        <v>0</v>
      </c>
      <c r="N20" s="21">
        <v>247.59999999999997</v>
      </c>
      <c r="O20" s="21">
        <v>0</v>
      </c>
      <c r="P20" s="21">
        <v>309.60000000000008</v>
      </c>
      <c r="Q20" s="21">
        <v>0</v>
      </c>
      <c r="R20" s="21">
        <v>371.60000000000014</v>
      </c>
      <c r="T20">
        <v>2014</v>
      </c>
      <c r="U20">
        <f t="shared" ca="1" si="7"/>
        <v>772.1</v>
      </c>
      <c r="V20">
        <f t="shared" ca="1" si="0"/>
        <v>696.60000000000014</v>
      </c>
      <c r="W20">
        <f t="shared" ca="1" si="0"/>
        <v>650.4</v>
      </c>
      <c r="X20">
        <f t="shared" ca="1" si="0"/>
        <v>364.3</v>
      </c>
      <c r="Y20">
        <f t="shared" ca="1" si="0"/>
        <v>169.29999999999995</v>
      </c>
      <c r="Z20">
        <f t="shared" ca="1" si="0"/>
        <v>31.200000000000006</v>
      </c>
      <c r="AA20">
        <f t="shared" ca="1" si="0"/>
        <v>9.4</v>
      </c>
      <c r="AB20">
        <f t="shared" ca="1" si="0"/>
        <v>8.3000000000000007</v>
      </c>
      <c r="AC20">
        <f t="shared" ca="1" si="0"/>
        <v>55.900000000000006</v>
      </c>
      <c r="AD20">
        <f t="shared" ca="1" si="0"/>
        <v>197.1</v>
      </c>
      <c r="AE20">
        <f t="shared" ca="1" si="0"/>
        <v>441.49999999999994</v>
      </c>
      <c r="AF20">
        <f t="shared" ca="1" si="0"/>
        <v>519.09999999999991</v>
      </c>
      <c r="AH20">
        <v>2014</v>
      </c>
      <c r="AI20">
        <f t="shared" ca="1" si="8"/>
        <v>710.09999999999991</v>
      </c>
      <c r="AJ20">
        <f t="shared" ca="1" si="1"/>
        <v>640.60000000000014</v>
      </c>
      <c r="AK20">
        <f t="shared" ca="1" si="1"/>
        <v>588.4</v>
      </c>
      <c r="AL20">
        <f t="shared" ca="1" si="1"/>
        <v>304.3</v>
      </c>
      <c r="AM20">
        <f t="shared" ca="1" si="1"/>
        <v>115.5</v>
      </c>
      <c r="AN20">
        <f t="shared" ca="1" si="1"/>
        <v>10.700000000000001</v>
      </c>
      <c r="AO20">
        <f t="shared" ca="1" si="1"/>
        <v>0.90000000000000036</v>
      </c>
      <c r="AP20">
        <f t="shared" ca="1" si="1"/>
        <v>0.5</v>
      </c>
      <c r="AQ20">
        <f t="shared" ca="1" si="1"/>
        <v>26</v>
      </c>
      <c r="AR20">
        <f t="shared" ca="1" si="1"/>
        <v>139.29999999999998</v>
      </c>
      <c r="AS20">
        <f t="shared" ca="1" si="1"/>
        <v>381.49999999999994</v>
      </c>
      <c r="AT20">
        <f t="shared" ca="1" si="1"/>
        <v>457.09999999999997</v>
      </c>
      <c r="AV20">
        <v>2014</v>
      </c>
      <c r="AW20">
        <f t="shared" ca="1" si="9"/>
        <v>648.1</v>
      </c>
      <c r="AX20">
        <f t="shared" ca="1" si="2"/>
        <v>584.60000000000014</v>
      </c>
      <c r="AY20">
        <f t="shared" ca="1" si="2"/>
        <v>526.39999999999986</v>
      </c>
      <c r="AZ20">
        <f t="shared" ca="1" si="2"/>
        <v>244.29999999999993</v>
      </c>
      <c r="BA20">
        <f t="shared" ca="1" si="2"/>
        <v>71.099999999999994</v>
      </c>
      <c r="BB20">
        <f t="shared" ca="1" si="2"/>
        <v>1.9000000000000004</v>
      </c>
      <c r="BC20">
        <f t="shared" ca="1" si="2"/>
        <v>0</v>
      </c>
      <c r="BD20">
        <f t="shared" ca="1" si="2"/>
        <v>0</v>
      </c>
      <c r="BE20">
        <f t="shared" ca="1" si="2"/>
        <v>10.299999999999999</v>
      </c>
      <c r="BF20">
        <f t="shared" ca="1" si="2"/>
        <v>90.8</v>
      </c>
      <c r="BG20">
        <f t="shared" ca="1" si="2"/>
        <v>321.5</v>
      </c>
      <c r="BH20">
        <f t="shared" ca="1" si="2"/>
        <v>395.1</v>
      </c>
      <c r="BJ20">
        <v>2014</v>
      </c>
      <c r="BK20">
        <f t="shared" ca="1" si="10"/>
        <v>586.09999999999991</v>
      </c>
      <c r="BL20">
        <f t="shared" ca="1" si="3"/>
        <v>528.60000000000014</v>
      </c>
      <c r="BM20">
        <f t="shared" ca="1" si="3"/>
        <v>464.4</v>
      </c>
      <c r="BN20">
        <f t="shared" ca="1" si="3"/>
        <v>185.89999999999995</v>
      </c>
      <c r="BO20">
        <f t="shared" ca="1" si="3"/>
        <v>33.899999999999991</v>
      </c>
      <c r="BP20">
        <f t="shared" ca="1" si="3"/>
        <v>0</v>
      </c>
      <c r="BQ20">
        <f t="shared" ca="1" si="3"/>
        <v>0</v>
      </c>
      <c r="BR20">
        <f t="shared" ca="1" si="3"/>
        <v>0</v>
      </c>
      <c r="BS20">
        <f t="shared" ca="1" si="3"/>
        <v>0.59999999999999964</v>
      </c>
      <c r="BT20">
        <f t="shared" ca="1" si="3"/>
        <v>50.6</v>
      </c>
      <c r="BU20">
        <f t="shared" ca="1" si="3"/>
        <v>261.60000000000002</v>
      </c>
      <c r="BV20">
        <f t="shared" ca="1" si="3"/>
        <v>333.1</v>
      </c>
      <c r="BX20">
        <v>2014</v>
      </c>
      <c r="BY20">
        <f t="shared" ca="1" si="11"/>
        <v>524.09999999999991</v>
      </c>
      <c r="BZ20">
        <f t="shared" ca="1" si="11"/>
        <v>472.60000000000008</v>
      </c>
      <c r="CA20">
        <f t="shared" ca="1" si="11"/>
        <v>402.40000000000003</v>
      </c>
      <c r="CB20">
        <f t="shared" ca="1" si="11"/>
        <v>131.9</v>
      </c>
      <c r="CC20">
        <f t="shared" ca="1" si="11"/>
        <v>9.5999999999999979</v>
      </c>
      <c r="CD20">
        <f t="shared" ca="1" si="11"/>
        <v>0</v>
      </c>
      <c r="CE20">
        <f t="shared" ca="1" si="11"/>
        <v>0</v>
      </c>
      <c r="CF20">
        <f t="shared" ca="1" si="11"/>
        <v>0</v>
      </c>
      <c r="CG20">
        <f t="shared" ca="1" si="11"/>
        <v>0</v>
      </c>
      <c r="CH20">
        <f t="shared" ca="1" si="11"/>
        <v>18.099999999999998</v>
      </c>
      <c r="CI20">
        <f t="shared" ca="1" si="11"/>
        <v>207.1</v>
      </c>
      <c r="CJ20">
        <f t="shared" ca="1" si="11"/>
        <v>271.10000000000002</v>
      </c>
      <c r="CL20">
        <v>2014</v>
      </c>
      <c r="CM20">
        <f t="shared" ca="1" si="12"/>
        <v>462.09999999999997</v>
      </c>
      <c r="CN20">
        <f t="shared" ca="1" si="5"/>
        <v>416.6</v>
      </c>
      <c r="CO20">
        <f t="shared" ca="1" si="5"/>
        <v>340.4</v>
      </c>
      <c r="CP20">
        <f t="shared" ca="1" si="5"/>
        <v>82.3</v>
      </c>
      <c r="CQ20">
        <f t="shared" ca="1" si="5"/>
        <v>1.2999999999999998</v>
      </c>
      <c r="CR20">
        <f t="shared" ca="1" si="5"/>
        <v>0</v>
      </c>
      <c r="CS20">
        <f t="shared" ca="1" si="5"/>
        <v>0</v>
      </c>
      <c r="CT20">
        <f t="shared" ca="1" si="5"/>
        <v>0</v>
      </c>
      <c r="CU20">
        <f t="shared" ca="1" si="5"/>
        <v>0</v>
      </c>
      <c r="CV20">
        <f t="shared" ca="1" si="5"/>
        <v>3.7999999999999989</v>
      </c>
      <c r="CW20">
        <f t="shared" ca="1" si="5"/>
        <v>156.39999999999998</v>
      </c>
      <c r="CX20">
        <f t="shared" ca="1" si="5"/>
        <v>209.10000000000002</v>
      </c>
      <c r="CZ20">
        <v>2014</v>
      </c>
      <c r="DA20">
        <f t="shared" ca="1" si="13"/>
        <v>834.1</v>
      </c>
      <c r="DB20">
        <f t="shared" ca="1" si="6"/>
        <v>752.6</v>
      </c>
      <c r="DC20">
        <f t="shared" ca="1" si="6"/>
        <v>712.39999999999986</v>
      </c>
      <c r="DD20">
        <f t="shared" ca="1" si="6"/>
        <v>424.3</v>
      </c>
      <c r="DE20">
        <f t="shared" ca="1" si="6"/>
        <v>225.29999999999995</v>
      </c>
      <c r="DF20">
        <f t="shared" ca="1" si="6"/>
        <v>65.400000000000006</v>
      </c>
      <c r="DG20">
        <f t="shared" ca="1" si="6"/>
        <v>36.6</v>
      </c>
      <c r="DH20">
        <f t="shared" ca="1" si="6"/>
        <v>29.3</v>
      </c>
      <c r="DI20">
        <f t="shared" ca="1" si="6"/>
        <v>99.799999999999983</v>
      </c>
      <c r="DJ20">
        <f t="shared" ca="1" si="6"/>
        <v>256.89999999999998</v>
      </c>
      <c r="DK20">
        <f t="shared" ca="1" si="6"/>
        <v>501.49999999999994</v>
      </c>
      <c r="DL20">
        <f t="shared" ca="1" si="6"/>
        <v>581.09999999999991</v>
      </c>
    </row>
    <row r="21" spans="1:116" x14ac:dyDescent="0.2">
      <c r="A21" s="13">
        <v>36739</v>
      </c>
      <c r="B21">
        <v>2000</v>
      </c>
      <c r="C21">
        <v>8</v>
      </c>
      <c r="D21" s="21">
        <v>20.890322580645162</v>
      </c>
      <c r="E21" s="21">
        <v>19.900000000000002</v>
      </c>
      <c r="F21" s="21">
        <v>47.5</v>
      </c>
      <c r="G21" s="21">
        <v>6</v>
      </c>
      <c r="H21" s="21">
        <v>95.6</v>
      </c>
      <c r="I21" s="21">
        <v>0.69999999999999929</v>
      </c>
      <c r="J21" s="21">
        <v>152.30000000000001</v>
      </c>
      <c r="K21" s="21">
        <v>0</v>
      </c>
      <c r="L21" s="21">
        <v>213.60000000000002</v>
      </c>
      <c r="M21" s="21">
        <v>0</v>
      </c>
      <c r="N21" s="21">
        <v>275.60000000000008</v>
      </c>
      <c r="O21" s="21">
        <v>0</v>
      </c>
      <c r="P21" s="21">
        <v>337.60000000000008</v>
      </c>
      <c r="Q21" s="21">
        <v>0</v>
      </c>
      <c r="R21" s="21">
        <v>399.60000000000014</v>
      </c>
      <c r="T21">
        <v>2015</v>
      </c>
      <c r="U21">
        <f t="shared" ca="1" si="7"/>
        <v>739.5999999999998</v>
      </c>
      <c r="V21">
        <f t="shared" ca="1" si="7"/>
        <v>815.89999999999975</v>
      </c>
      <c r="W21">
        <f t="shared" ca="1" si="7"/>
        <v>593.99999999999989</v>
      </c>
      <c r="X21">
        <f t="shared" ca="1" si="7"/>
        <v>321.90000000000009</v>
      </c>
      <c r="Y21">
        <f t="shared" ca="1" si="7"/>
        <v>123.90000000000002</v>
      </c>
      <c r="Z21">
        <f t="shared" ca="1" si="7"/>
        <v>61.3</v>
      </c>
      <c r="AA21">
        <f t="shared" ca="1" si="7"/>
        <v>4.4000000000000021</v>
      </c>
      <c r="AB21">
        <f t="shared" ca="1" si="7"/>
        <v>1.8000000000000007</v>
      </c>
      <c r="AC21">
        <f t="shared" ca="1" si="7"/>
        <v>22.6</v>
      </c>
      <c r="AD21">
        <f t="shared" ca="1" si="7"/>
        <v>200</v>
      </c>
      <c r="AE21">
        <f t="shared" ca="1" si="7"/>
        <v>301.10000000000008</v>
      </c>
      <c r="AF21">
        <f t="shared" ca="1" si="7"/>
        <v>394.5</v>
      </c>
      <c r="AH21">
        <v>2015</v>
      </c>
      <c r="AI21">
        <f t="shared" ca="1" si="8"/>
        <v>677.59999999999968</v>
      </c>
      <c r="AJ21">
        <f t="shared" ca="1" si="8"/>
        <v>759.89999999999986</v>
      </c>
      <c r="AK21">
        <f t="shared" ca="1" si="8"/>
        <v>531.99999999999989</v>
      </c>
      <c r="AL21">
        <f t="shared" ca="1" si="8"/>
        <v>261.89999999999998</v>
      </c>
      <c r="AM21">
        <f t="shared" ca="1" si="8"/>
        <v>80.5</v>
      </c>
      <c r="AN21">
        <f t="shared" ca="1" si="8"/>
        <v>29.699999999999996</v>
      </c>
      <c r="AO21">
        <f t="shared" ca="1" si="8"/>
        <v>0</v>
      </c>
      <c r="AP21">
        <f t="shared" ca="1" si="8"/>
        <v>0</v>
      </c>
      <c r="AQ21">
        <f t="shared" ca="1" si="8"/>
        <v>7.2000000000000011</v>
      </c>
      <c r="AR21">
        <f t="shared" ca="1" si="8"/>
        <v>141.1</v>
      </c>
      <c r="AS21">
        <f t="shared" ca="1" si="8"/>
        <v>241.20000000000005</v>
      </c>
      <c r="AT21">
        <f t="shared" ca="1" si="8"/>
        <v>332.5</v>
      </c>
      <c r="AV21">
        <v>2015</v>
      </c>
      <c r="AW21">
        <f t="shared" ca="1" si="9"/>
        <v>615.5999999999998</v>
      </c>
      <c r="AX21">
        <f t="shared" ca="1" si="9"/>
        <v>703.89999999999986</v>
      </c>
      <c r="AY21">
        <f t="shared" ca="1" si="9"/>
        <v>469.99999999999994</v>
      </c>
      <c r="AZ21">
        <f t="shared" ca="1" si="9"/>
        <v>203.49999999999991</v>
      </c>
      <c r="BA21">
        <f t="shared" ca="1" si="9"/>
        <v>44.20000000000001</v>
      </c>
      <c r="BB21">
        <f t="shared" ca="1" si="9"/>
        <v>11.4</v>
      </c>
      <c r="BC21">
        <f t="shared" ca="1" si="9"/>
        <v>0</v>
      </c>
      <c r="BD21">
        <f t="shared" ca="1" si="9"/>
        <v>0</v>
      </c>
      <c r="BE21">
        <f t="shared" ca="1" si="9"/>
        <v>9.9999999999999645E-2</v>
      </c>
      <c r="BF21">
        <f t="shared" ca="1" si="9"/>
        <v>89.2</v>
      </c>
      <c r="BG21">
        <f t="shared" ca="1" si="9"/>
        <v>185.10000000000002</v>
      </c>
      <c r="BH21">
        <f t="shared" ca="1" si="9"/>
        <v>270.5</v>
      </c>
      <c r="BJ21">
        <v>2015</v>
      </c>
      <c r="BK21">
        <f t="shared" ca="1" si="10"/>
        <v>553.59999999999991</v>
      </c>
      <c r="BL21">
        <f t="shared" ca="1" si="10"/>
        <v>647.9</v>
      </c>
      <c r="BM21">
        <f t="shared" ca="1" si="10"/>
        <v>408</v>
      </c>
      <c r="BN21">
        <f t="shared" ca="1" si="10"/>
        <v>149.69999999999996</v>
      </c>
      <c r="BO21">
        <f t="shared" ca="1" si="10"/>
        <v>18.3</v>
      </c>
      <c r="BP21">
        <f t="shared" ca="1" si="10"/>
        <v>3.5</v>
      </c>
      <c r="BQ21">
        <f t="shared" ca="1" si="10"/>
        <v>0</v>
      </c>
      <c r="BR21">
        <f t="shared" ca="1" si="10"/>
        <v>0</v>
      </c>
      <c r="BS21">
        <f t="shared" ca="1" si="10"/>
        <v>0</v>
      </c>
      <c r="BT21">
        <f t="shared" ca="1" si="10"/>
        <v>51.800000000000004</v>
      </c>
      <c r="BU21">
        <f t="shared" ca="1" si="10"/>
        <v>133</v>
      </c>
      <c r="BV21">
        <f t="shared" ca="1" si="10"/>
        <v>208.49999999999994</v>
      </c>
      <c r="BX21">
        <v>2015</v>
      </c>
      <c r="BY21">
        <f t="shared" ca="1" si="11"/>
        <v>491.59999999999997</v>
      </c>
      <c r="BZ21">
        <f t="shared" ca="1" si="11"/>
        <v>591.9</v>
      </c>
      <c r="CA21">
        <f t="shared" ca="1" si="11"/>
        <v>346</v>
      </c>
      <c r="CB21">
        <f t="shared" ca="1" si="11"/>
        <v>102.5</v>
      </c>
      <c r="CC21">
        <f t="shared" ca="1" si="11"/>
        <v>4.5999999999999996</v>
      </c>
      <c r="CD21">
        <f t="shared" ca="1" si="11"/>
        <v>0</v>
      </c>
      <c r="CE21">
        <f t="shared" ca="1" si="11"/>
        <v>0</v>
      </c>
      <c r="CF21">
        <f t="shared" ca="1" si="11"/>
        <v>0</v>
      </c>
      <c r="CG21">
        <f t="shared" ca="1" si="11"/>
        <v>0</v>
      </c>
      <c r="CH21">
        <f t="shared" ca="1" si="11"/>
        <v>26.9</v>
      </c>
      <c r="CI21">
        <f t="shared" ca="1" si="11"/>
        <v>90.2</v>
      </c>
      <c r="CJ21">
        <f t="shared" ca="1" si="11"/>
        <v>148</v>
      </c>
      <c r="CL21">
        <v>2015</v>
      </c>
      <c r="CM21">
        <f t="shared" ca="1" si="12"/>
        <v>429.59999999999997</v>
      </c>
      <c r="CN21">
        <f t="shared" ca="1" si="12"/>
        <v>535.9</v>
      </c>
      <c r="CO21">
        <f t="shared" ca="1" si="12"/>
        <v>284</v>
      </c>
      <c r="CP21">
        <f t="shared" ca="1" si="12"/>
        <v>61.70000000000001</v>
      </c>
      <c r="CQ21">
        <f t="shared" ca="1" si="12"/>
        <v>0.5</v>
      </c>
      <c r="CR21">
        <f t="shared" ca="1" si="12"/>
        <v>0</v>
      </c>
      <c r="CS21">
        <f t="shared" ca="1" si="12"/>
        <v>0</v>
      </c>
      <c r="CT21">
        <f t="shared" ca="1" si="12"/>
        <v>0</v>
      </c>
      <c r="CU21">
        <f t="shared" ca="1" si="12"/>
        <v>0</v>
      </c>
      <c r="CV21">
        <f t="shared" ca="1" si="12"/>
        <v>11.299999999999999</v>
      </c>
      <c r="CW21">
        <f t="shared" ca="1" si="12"/>
        <v>56.800000000000004</v>
      </c>
      <c r="CX21">
        <f t="shared" ca="1" si="12"/>
        <v>96.899999999999991</v>
      </c>
      <c r="CZ21">
        <v>2015</v>
      </c>
      <c r="DA21">
        <f t="shared" ca="1" si="13"/>
        <v>801.5999999999998</v>
      </c>
      <c r="DB21">
        <f t="shared" ca="1" si="13"/>
        <v>871.89999999999975</v>
      </c>
      <c r="DC21">
        <f t="shared" ca="1" si="13"/>
        <v>655.99999999999989</v>
      </c>
      <c r="DD21">
        <f t="shared" ca="1" si="13"/>
        <v>381.90000000000003</v>
      </c>
      <c r="DE21">
        <f t="shared" ca="1" si="13"/>
        <v>175.50000000000003</v>
      </c>
      <c r="DF21">
        <f t="shared" ca="1" si="13"/>
        <v>101.39999999999998</v>
      </c>
      <c r="DG21">
        <f t="shared" ca="1" si="13"/>
        <v>17.600000000000001</v>
      </c>
      <c r="DH21">
        <f t="shared" ca="1" si="13"/>
        <v>20.399999999999999</v>
      </c>
      <c r="DI21">
        <f t="shared" ca="1" si="13"/>
        <v>50.100000000000009</v>
      </c>
      <c r="DJ21">
        <f t="shared" ca="1" si="13"/>
        <v>260.8</v>
      </c>
      <c r="DK21">
        <f t="shared" ca="1" si="13"/>
        <v>361.1</v>
      </c>
      <c r="DL21">
        <f t="shared" ca="1" si="13"/>
        <v>456.5</v>
      </c>
    </row>
    <row r="22" spans="1:116" x14ac:dyDescent="0.2">
      <c r="A22" s="13">
        <v>36770</v>
      </c>
      <c r="B22">
        <v>2000</v>
      </c>
      <c r="C22">
        <v>9</v>
      </c>
      <c r="D22" s="21">
        <v>16.483333333333331</v>
      </c>
      <c r="E22" s="21">
        <v>123.89999999999999</v>
      </c>
      <c r="F22" s="21">
        <v>18.400000000000002</v>
      </c>
      <c r="G22" s="21">
        <v>83.1</v>
      </c>
      <c r="H22" s="21">
        <v>37.6</v>
      </c>
      <c r="I22" s="21">
        <v>49.8</v>
      </c>
      <c r="J22" s="21">
        <v>64.300000000000011</v>
      </c>
      <c r="K22" s="21">
        <v>27.000000000000004</v>
      </c>
      <c r="L22" s="21">
        <v>101.50000000000001</v>
      </c>
      <c r="M22" s="21">
        <v>13.100000000000001</v>
      </c>
      <c r="N22" s="21">
        <v>147.6</v>
      </c>
      <c r="O22" s="21">
        <v>5.3</v>
      </c>
      <c r="P22" s="21">
        <v>199.79999999999995</v>
      </c>
      <c r="Q22" s="21">
        <v>1.7999999999999998</v>
      </c>
      <c r="R22" s="21">
        <v>256.3</v>
      </c>
      <c r="T22">
        <v>2016</v>
      </c>
      <c r="U22">
        <f t="shared" ca="1" si="7"/>
        <v>624.99999999999989</v>
      </c>
      <c r="V22">
        <f t="shared" ca="1" si="7"/>
        <v>544.29999999999984</v>
      </c>
      <c r="W22">
        <f t="shared" ca="1" si="7"/>
        <v>451.2</v>
      </c>
      <c r="X22">
        <f t="shared" ca="1" si="7"/>
        <v>390.99999999999983</v>
      </c>
      <c r="Y22">
        <f t="shared" ca="1" si="7"/>
        <v>156.09999999999997</v>
      </c>
      <c r="Z22">
        <f t="shared" ca="1" si="7"/>
        <v>26.500000000000004</v>
      </c>
      <c r="AA22">
        <f t="shared" ca="1" si="7"/>
        <v>0.10000000000000142</v>
      </c>
      <c r="AB22">
        <f t="shared" ca="1" si="7"/>
        <v>0</v>
      </c>
      <c r="AC22">
        <f t="shared" ca="1" si="7"/>
        <v>15.500000000000002</v>
      </c>
      <c r="AD22">
        <f t="shared" ca="1" si="7"/>
        <v>156.6</v>
      </c>
      <c r="AE22">
        <f t="shared" ca="1" si="7"/>
        <v>292.90000000000003</v>
      </c>
      <c r="AF22">
        <f t="shared" ca="1" si="7"/>
        <v>559</v>
      </c>
      <c r="AH22">
        <v>2016</v>
      </c>
      <c r="AI22">
        <f t="shared" ca="1" si="8"/>
        <v>563</v>
      </c>
      <c r="AJ22">
        <f t="shared" ca="1" si="8"/>
        <v>486.3</v>
      </c>
      <c r="AK22">
        <f t="shared" ca="1" si="8"/>
        <v>389.2</v>
      </c>
      <c r="AL22">
        <f t="shared" ca="1" si="8"/>
        <v>331.7999999999999</v>
      </c>
      <c r="AM22">
        <f t="shared" ca="1" si="8"/>
        <v>113.69999999999999</v>
      </c>
      <c r="AN22">
        <f t="shared" ca="1" si="8"/>
        <v>8.5</v>
      </c>
      <c r="AO22">
        <f t="shared" ca="1" si="8"/>
        <v>0</v>
      </c>
      <c r="AP22">
        <f t="shared" ca="1" si="8"/>
        <v>0</v>
      </c>
      <c r="AQ22">
        <f t="shared" ca="1" si="8"/>
        <v>3.7999999999999989</v>
      </c>
      <c r="AR22">
        <f t="shared" ca="1" si="8"/>
        <v>111.3</v>
      </c>
      <c r="AS22">
        <f t="shared" ca="1" si="8"/>
        <v>232.90000000000003</v>
      </c>
      <c r="AT22">
        <f t="shared" ca="1" si="8"/>
        <v>497</v>
      </c>
      <c r="AV22">
        <v>2016</v>
      </c>
      <c r="AW22">
        <f t="shared" ca="1" si="9"/>
        <v>501</v>
      </c>
      <c r="AX22">
        <f t="shared" ca="1" si="9"/>
        <v>428.29999999999995</v>
      </c>
      <c r="AY22">
        <f t="shared" ca="1" si="9"/>
        <v>327.2</v>
      </c>
      <c r="AZ22">
        <f t="shared" ca="1" si="9"/>
        <v>273.7999999999999</v>
      </c>
      <c r="BA22">
        <f t="shared" ca="1" si="9"/>
        <v>74.600000000000009</v>
      </c>
      <c r="BB22">
        <f t="shared" ca="1" si="9"/>
        <v>2</v>
      </c>
      <c r="BC22">
        <f t="shared" ca="1" si="9"/>
        <v>0</v>
      </c>
      <c r="BD22">
        <f t="shared" ca="1" si="9"/>
        <v>0</v>
      </c>
      <c r="BE22">
        <f t="shared" ca="1" si="9"/>
        <v>9.9999999999999645E-2</v>
      </c>
      <c r="BF22">
        <f t="shared" ca="1" si="9"/>
        <v>77.199999999999989</v>
      </c>
      <c r="BG22">
        <f t="shared" ca="1" si="9"/>
        <v>174.8</v>
      </c>
      <c r="BH22">
        <f t="shared" ca="1" si="9"/>
        <v>435.00000000000006</v>
      </c>
      <c r="BJ22">
        <v>2016</v>
      </c>
      <c r="BK22">
        <f t="shared" ca="1" si="10"/>
        <v>439</v>
      </c>
      <c r="BL22">
        <f t="shared" ca="1" si="10"/>
        <v>370.3</v>
      </c>
      <c r="BM22">
        <f t="shared" ca="1" si="10"/>
        <v>267</v>
      </c>
      <c r="BN22">
        <f t="shared" ca="1" si="10"/>
        <v>216.89999999999998</v>
      </c>
      <c r="BO22">
        <f t="shared" ca="1" si="10"/>
        <v>41.900000000000006</v>
      </c>
      <c r="BP22">
        <f t="shared" ca="1" si="10"/>
        <v>0</v>
      </c>
      <c r="BQ22">
        <f t="shared" ca="1" si="10"/>
        <v>0</v>
      </c>
      <c r="BR22">
        <f t="shared" ca="1" si="10"/>
        <v>0</v>
      </c>
      <c r="BS22">
        <f t="shared" ca="1" si="10"/>
        <v>0</v>
      </c>
      <c r="BT22">
        <f t="shared" ca="1" si="10"/>
        <v>50.1</v>
      </c>
      <c r="BU22">
        <f t="shared" ca="1" si="10"/>
        <v>121.3</v>
      </c>
      <c r="BV22">
        <f t="shared" ca="1" si="10"/>
        <v>373</v>
      </c>
      <c r="BX22">
        <v>2016</v>
      </c>
      <c r="BY22">
        <f t="shared" ca="1" si="11"/>
        <v>377.00000000000006</v>
      </c>
      <c r="BZ22">
        <f t="shared" ca="1" si="11"/>
        <v>312.5</v>
      </c>
      <c r="CA22">
        <f t="shared" ca="1" si="11"/>
        <v>208.49999999999997</v>
      </c>
      <c r="CB22">
        <f t="shared" ca="1" si="11"/>
        <v>162.69999999999999</v>
      </c>
      <c r="CC22">
        <f t="shared" ca="1" si="11"/>
        <v>17.299999999999997</v>
      </c>
      <c r="CD22">
        <f t="shared" ca="1" si="11"/>
        <v>0</v>
      </c>
      <c r="CE22">
        <f t="shared" ca="1" si="11"/>
        <v>0</v>
      </c>
      <c r="CF22">
        <f t="shared" ca="1" si="11"/>
        <v>0</v>
      </c>
      <c r="CG22">
        <f t="shared" ca="1" si="11"/>
        <v>0</v>
      </c>
      <c r="CH22">
        <f t="shared" ca="1" si="11"/>
        <v>26.6</v>
      </c>
      <c r="CI22">
        <f t="shared" ca="1" si="11"/>
        <v>76.000000000000014</v>
      </c>
      <c r="CJ22">
        <f t="shared" ca="1" si="11"/>
        <v>311</v>
      </c>
      <c r="CL22">
        <v>2016</v>
      </c>
      <c r="CM22">
        <f t="shared" ca="1" si="12"/>
        <v>315</v>
      </c>
      <c r="CN22">
        <f t="shared" ca="1" si="12"/>
        <v>257.2</v>
      </c>
      <c r="CO22">
        <f t="shared" ca="1" si="12"/>
        <v>154.29999999999998</v>
      </c>
      <c r="CP22">
        <f t="shared" ca="1" si="12"/>
        <v>113.70000000000002</v>
      </c>
      <c r="CQ22">
        <f t="shared" ca="1" si="12"/>
        <v>4.5</v>
      </c>
      <c r="CR22">
        <f t="shared" ca="1" si="12"/>
        <v>0</v>
      </c>
      <c r="CS22">
        <f t="shared" ca="1" si="12"/>
        <v>0</v>
      </c>
      <c r="CT22">
        <f t="shared" ca="1" si="12"/>
        <v>0</v>
      </c>
      <c r="CU22">
        <f t="shared" ca="1" si="12"/>
        <v>0</v>
      </c>
      <c r="CV22">
        <f t="shared" ca="1" si="12"/>
        <v>10.800000000000002</v>
      </c>
      <c r="CW22">
        <f t="shared" ca="1" si="12"/>
        <v>45.8</v>
      </c>
      <c r="CX22">
        <f t="shared" ca="1" si="12"/>
        <v>249</v>
      </c>
      <c r="CZ22">
        <v>2016</v>
      </c>
      <c r="DA22">
        <f t="shared" ca="1" si="13"/>
        <v>686.99999999999989</v>
      </c>
      <c r="DB22">
        <f t="shared" ca="1" si="13"/>
        <v>602.29999999999995</v>
      </c>
      <c r="DC22">
        <f t="shared" ca="1" si="13"/>
        <v>513.20000000000005</v>
      </c>
      <c r="DD22">
        <f t="shared" ca="1" si="13"/>
        <v>450.99999999999983</v>
      </c>
      <c r="DE22">
        <f t="shared" ca="1" si="13"/>
        <v>203.6</v>
      </c>
      <c r="DF22">
        <f t="shared" ca="1" si="13"/>
        <v>53</v>
      </c>
      <c r="DG22">
        <f t="shared" ca="1" si="13"/>
        <v>5.2999999999999972</v>
      </c>
      <c r="DH22">
        <f t="shared" ca="1" si="13"/>
        <v>0.10000000000000142</v>
      </c>
      <c r="DI22">
        <f t="shared" ca="1" si="13"/>
        <v>41.900000000000013</v>
      </c>
      <c r="DJ22">
        <f t="shared" ca="1" si="13"/>
        <v>212.29999999999998</v>
      </c>
      <c r="DK22">
        <f t="shared" ca="1" si="13"/>
        <v>352.90000000000003</v>
      </c>
      <c r="DL22">
        <f t="shared" ca="1" si="13"/>
        <v>621</v>
      </c>
    </row>
    <row r="23" spans="1:116" x14ac:dyDescent="0.2">
      <c r="A23" s="13">
        <v>36800</v>
      </c>
      <c r="B23">
        <v>2000</v>
      </c>
      <c r="C23">
        <v>10</v>
      </c>
      <c r="D23" s="21">
        <v>11.916129032258064</v>
      </c>
      <c r="E23" s="21">
        <v>250.70000000000002</v>
      </c>
      <c r="F23" s="21">
        <v>0.10000000000000142</v>
      </c>
      <c r="G23" s="21">
        <v>191.8</v>
      </c>
      <c r="H23" s="21">
        <v>3.2000000000000028</v>
      </c>
      <c r="I23" s="21">
        <v>136.5</v>
      </c>
      <c r="J23" s="21">
        <v>9.9000000000000057</v>
      </c>
      <c r="K23" s="21">
        <v>87.100000000000009</v>
      </c>
      <c r="L23" s="21">
        <v>22.500000000000007</v>
      </c>
      <c r="M23" s="21">
        <v>52.29999999999999</v>
      </c>
      <c r="N23" s="21">
        <v>49.7</v>
      </c>
      <c r="O23" s="21">
        <v>27</v>
      </c>
      <c r="P23" s="21">
        <v>86.4</v>
      </c>
      <c r="Q23" s="21">
        <v>9.6</v>
      </c>
      <c r="R23" s="21">
        <v>131</v>
      </c>
      <c r="T23">
        <v>2017</v>
      </c>
      <c r="U23">
        <f t="shared" ca="1" si="7"/>
        <v>568.60000000000014</v>
      </c>
      <c r="V23">
        <f t="shared" ca="1" si="7"/>
        <v>471.19999999999987</v>
      </c>
      <c r="W23">
        <f t="shared" ca="1" si="7"/>
        <v>541.20000000000005</v>
      </c>
      <c r="X23">
        <f t="shared" ca="1" si="7"/>
        <v>272.09999999999997</v>
      </c>
      <c r="Y23">
        <f t="shared" ca="1" si="7"/>
        <v>200.5</v>
      </c>
      <c r="Z23">
        <f t="shared" ca="1" si="7"/>
        <v>29.300000000000004</v>
      </c>
      <c r="AA23">
        <f t="shared" ca="1" si="7"/>
        <v>0</v>
      </c>
      <c r="AB23">
        <f t="shared" ca="1" si="7"/>
        <v>7.1999999999999993</v>
      </c>
      <c r="AC23">
        <f t="shared" ca="1" si="7"/>
        <v>41.699999999999996</v>
      </c>
      <c r="AD23">
        <f t="shared" ca="1" si="7"/>
        <v>113.30000000000003</v>
      </c>
      <c r="AE23">
        <f t="shared" ca="1" si="7"/>
        <v>387.89999999999992</v>
      </c>
      <c r="AF23">
        <f t="shared" ca="1" si="7"/>
        <v>649.20000000000016</v>
      </c>
      <c r="AH23">
        <v>2017</v>
      </c>
      <c r="AI23">
        <f t="shared" ca="1" si="8"/>
        <v>506.60000000000014</v>
      </c>
      <c r="AJ23">
        <f t="shared" ca="1" si="8"/>
        <v>415.19999999999987</v>
      </c>
      <c r="AK23">
        <f t="shared" ca="1" si="8"/>
        <v>479.2</v>
      </c>
      <c r="AL23">
        <f t="shared" ca="1" si="8"/>
        <v>213</v>
      </c>
      <c r="AM23">
        <f t="shared" ca="1" si="8"/>
        <v>147.99999999999997</v>
      </c>
      <c r="AN23">
        <f t="shared" ca="1" si="8"/>
        <v>8.9000000000000021</v>
      </c>
      <c r="AO23">
        <f t="shared" ca="1" si="8"/>
        <v>0</v>
      </c>
      <c r="AP23">
        <f t="shared" ca="1" si="8"/>
        <v>0</v>
      </c>
      <c r="AQ23">
        <f t="shared" ca="1" si="8"/>
        <v>18.599999999999998</v>
      </c>
      <c r="AR23">
        <f t="shared" ca="1" si="8"/>
        <v>75.2</v>
      </c>
      <c r="AS23">
        <f t="shared" ca="1" si="8"/>
        <v>327.9</v>
      </c>
      <c r="AT23">
        <f t="shared" ca="1" si="8"/>
        <v>587.20000000000005</v>
      </c>
      <c r="AV23">
        <v>2017</v>
      </c>
      <c r="AW23">
        <f t="shared" ca="1" si="9"/>
        <v>444.60000000000008</v>
      </c>
      <c r="AX23">
        <f t="shared" ca="1" si="9"/>
        <v>359.19999999999993</v>
      </c>
      <c r="AY23">
        <f t="shared" ca="1" si="9"/>
        <v>417.20000000000005</v>
      </c>
      <c r="AZ23">
        <f t="shared" ca="1" si="9"/>
        <v>156.79999999999998</v>
      </c>
      <c r="BA23">
        <f t="shared" ca="1" si="9"/>
        <v>98.600000000000009</v>
      </c>
      <c r="BB23">
        <f t="shared" ca="1" si="9"/>
        <v>0</v>
      </c>
      <c r="BC23">
        <f t="shared" ca="1" si="9"/>
        <v>0</v>
      </c>
      <c r="BD23">
        <f t="shared" ca="1" si="9"/>
        <v>0</v>
      </c>
      <c r="BE23">
        <f t="shared" ca="1" si="9"/>
        <v>4.0999999999999996</v>
      </c>
      <c r="BF23">
        <f t="shared" ca="1" si="9"/>
        <v>47.5</v>
      </c>
      <c r="BG23">
        <f t="shared" ca="1" si="9"/>
        <v>267.89999999999998</v>
      </c>
      <c r="BH23">
        <f t="shared" ca="1" si="9"/>
        <v>525.19999999999993</v>
      </c>
      <c r="BJ23">
        <v>2017</v>
      </c>
      <c r="BK23">
        <f t="shared" ca="1" si="10"/>
        <v>382.60000000000008</v>
      </c>
      <c r="BL23">
        <f t="shared" ca="1" si="10"/>
        <v>303.19999999999993</v>
      </c>
      <c r="BM23">
        <f t="shared" ca="1" si="10"/>
        <v>355.20000000000005</v>
      </c>
      <c r="BN23">
        <f t="shared" ca="1" si="10"/>
        <v>107.10000000000002</v>
      </c>
      <c r="BO23">
        <f t="shared" ca="1" si="10"/>
        <v>57.899999999999991</v>
      </c>
      <c r="BP23">
        <f t="shared" ca="1" si="10"/>
        <v>0</v>
      </c>
      <c r="BQ23">
        <f t="shared" ca="1" si="10"/>
        <v>0</v>
      </c>
      <c r="BR23">
        <f t="shared" ca="1" si="10"/>
        <v>0</v>
      </c>
      <c r="BS23">
        <f t="shared" ca="1" si="10"/>
        <v>1</v>
      </c>
      <c r="BT23">
        <f t="shared" ca="1" si="10"/>
        <v>26.3</v>
      </c>
      <c r="BU23">
        <f t="shared" ca="1" si="10"/>
        <v>208.10000000000005</v>
      </c>
      <c r="BV23">
        <f t="shared" ca="1" si="10"/>
        <v>463.20000000000005</v>
      </c>
      <c r="BX23">
        <v>2017</v>
      </c>
      <c r="BY23">
        <f t="shared" ca="1" si="11"/>
        <v>320.59999999999997</v>
      </c>
      <c r="BZ23">
        <f t="shared" ca="1" si="11"/>
        <v>247.7</v>
      </c>
      <c r="CA23">
        <f t="shared" ca="1" si="11"/>
        <v>293.40000000000003</v>
      </c>
      <c r="CB23">
        <f t="shared" ca="1" si="11"/>
        <v>65.800000000000011</v>
      </c>
      <c r="CC23">
        <f t="shared" ca="1" si="11"/>
        <v>25.700000000000003</v>
      </c>
      <c r="CD23">
        <f t="shared" ca="1" si="11"/>
        <v>0</v>
      </c>
      <c r="CE23">
        <f t="shared" ca="1" si="11"/>
        <v>0</v>
      </c>
      <c r="CF23">
        <f t="shared" ca="1" si="11"/>
        <v>0</v>
      </c>
      <c r="CG23">
        <f t="shared" ca="1" si="11"/>
        <v>0</v>
      </c>
      <c r="CH23">
        <f t="shared" ca="1" si="11"/>
        <v>12.3</v>
      </c>
      <c r="CI23">
        <f t="shared" ca="1" si="11"/>
        <v>151.80000000000004</v>
      </c>
      <c r="CJ23">
        <f t="shared" ca="1" si="11"/>
        <v>401.20000000000005</v>
      </c>
      <c r="CL23">
        <v>2017</v>
      </c>
      <c r="CM23">
        <f t="shared" ca="1" si="12"/>
        <v>258.59999999999997</v>
      </c>
      <c r="CN23">
        <f t="shared" ca="1" si="12"/>
        <v>193.8</v>
      </c>
      <c r="CO23">
        <f t="shared" ca="1" si="12"/>
        <v>234.70000000000002</v>
      </c>
      <c r="CP23">
        <f t="shared" ca="1" si="12"/>
        <v>29.499999999999996</v>
      </c>
      <c r="CQ23">
        <f t="shared" ca="1" si="12"/>
        <v>6.8000000000000007</v>
      </c>
      <c r="CR23">
        <f t="shared" ca="1" si="12"/>
        <v>0</v>
      </c>
      <c r="CS23">
        <f t="shared" ca="1" si="12"/>
        <v>0</v>
      </c>
      <c r="CT23">
        <f t="shared" ca="1" si="12"/>
        <v>0</v>
      </c>
      <c r="CU23">
        <f t="shared" ca="1" si="12"/>
        <v>0</v>
      </c>
      <c r="CV23">
        <f t="shared" ca="1" si="12"/>
        <v>2.1000000000000005</v>
      </c>
      <c r="CW23">
        <f t="shared" ca="1" si="12"/>
        <v>99.000000000000014</v>
      </c>
      <c r="CX23">
        <f t="shared" ca="1" si="12"/>
        <v>339.20000000000005</v>
      </c>
      <c r="CZ23">
        <v>2017</v>
      </c>
      <c r="DA23">
        <f t="shared" ca="1" si="13"/>
        <v>630.59999999999991</v>
      </c>
      <c r="DB23">
        <f t="shared" ca="1" si="13"/>
        <v>527.19999999999982</v>
      </c>
      <c r="DC23">
        <f t="shared" ca="1" si="13"/>
        <v>603.20000000000005</v>
      </c>
      <c r="DD23">
        <f t="shared" ca="1" si="13"/>
        <v>332.09999999999991</v>
      </c>
      <c r="DE23">
        <f t="shared" ca="1" si="13"/>
        <v>258.59999999999997</v>
      </c>
      <c r="DF23">
        <f t="shared" ca="1" si="13"/>
        <v>57.4</v>
      </c>
      <c r="DG23">
        <f t="shared" ca="1" si="13"/>
        <v>5.3999999999999986</v>
      </c>
      <c r="DH23">
        <f t="shared" ca="1" si="13"/>
        <v>26.599999999999994</v>
      </c>
      <c r="DI23">
        <f t="shared" ca="1" si="13"/>
        <v>72.199999999999989</v>
      </c>
      <c r="DJ23">
        <f t="shared" ca="1" si="13"/>
        <v>167.79999999999998</v>
      </c>
      <c r="DK23">
        <f t="shared" ca="1" si="13"/>
        <v>447.9</v>
      </c>
      <c r="DL23">
        <f t="shared" ca="1" si="13"/>
        <v>711.20000000000016</v>
      </c>
    </row>
    <row r="24" spans="1:116" x14ac:dyDescent="0.2">
      <c r="A24" s="13">
        <v>36831</v>
      </c>
      <c r="B24">
        <v>2000</v>
      </c>
      <c r="C24">
        <v>11</v>
      </c>
      <c r="D24" s="21">
        <v>4.97</v>
      </c>
      <c r="E24" s="21">
        <v>450.89999999999992</v>
      </c>
      <c r="F24" s="21">
        <v>0</v>
      </c>
      <c r="G24" s="21">
        <v>390.89999999999986</v>
      </c>
      <c r="H24" s="21">
        <v>0</v>
      </c>
      <c r="I24" s="21">
        <v>330.89999999999986</v>
      </c>
      <c r="J24" s="21">
        <v>0</v>
      </c>
      <c r="K24" s="21">
        <v>271.20000000000005</v>
      </c>
      <c r="L24" s="21">
        <v>0.30000000000000071</v>
      </c>
      <c r="M24" s="21">
        <v>213.3</v>
      </c>
      <c r="N24" s="21">
        <v>2.4000000000000004</v>
      </c>
      <c r="O24" s="21">
        <v>159</v>
      </c>
      <c r="P24" s="21">
        <v>8.1000000000000014</v>
      </c>
      <c r="Q24" s="21">
        <v>109.80000000000003</v>
      </c>
      <c r="R24" s="21">
        <v>18.899999999999999</v>
      </c>
      <c r="T24">
        <v>2018</v>
      </c>
      <c r="U24">
        <f t="shared" ca="1" si="7"/>
        <v>680.29999999999984</v>
      </c>
      <c r="V24">
        <f t="shared" ca="1" si="7"/>
        <v>512.09999999999991</v>
      </c>
      <c r="W24">
        <f t="shared" ca="1" si="7"/>
        <v>533.9</v>
      </c>
      <c r="X24">
        <f t="shared" ca="1" si="7"/>
        <v>419.3</v>
      </c>
      <c r="Y24">
        <f t="shared" ca="1" si="7"/>
        <v>127.7</v>
      </c>
      <c r="Z24">
        <f t="shared" ca="1" si="7"/>
        <v>26.9</v>
      </c>
      <c r="AA24">
        <f t="shared" ca="1" si="7"/>
        <v>0</v>
      </c>
      <c r="AB24">
        <f t="shared" ca="1" si="7"/>
        <v>1.3000000000000007</v>
      </c>
      <c r="AC24">
        <f t="shared" ca="1" si="7"/>
        <v>27.800000000000004</v>
      </c>
      <c r="AD24">
        <f t="shared" ca="1" si="7"/>
        <v>237.49999999999997</v>
      </c>
      <c r="AE24">
        <f t="shared" ca="1" si="7"/>
        <v>452.40000000000003</v>
      </c>
      <c r="AF24">
        <f t="shared" ca="1" si="7"/>
        <v>516.00000000000011</v>
      </c>
      <c r="AH24">
        <v>2018</v>
      </c>
      <c r="AI24">
        <f t="shared" ca="1" si="8"/>
        <v>618.29999999999984</v>
      </c>
      <c r="AJ24">
        <f t="shared" ca="1" si="8"/>
        <v>456.1</v>
      </c>
      <c r="AK24">
        <f t="shared" ca="1" si="8"/>
        <v>471.89999999999992</v>
      </c>
      <c r="AL24">
        <f t="shared" ca="1" si="8"/>
        <v>359.3</v>
      </c>
      <c r="AM24">
        <f t="shared" ca="1" si="8"/>
        <v>86</v>
      </c>
      <c r="AN24">
        <f t="shared" ca="1" si="8"/>
        <v>5.0000000000000018</v>
      </c>
      <c r="AO24">
        <f t="shared" ca="1" si="8"/>
        <v>0</v>
      </c>
      <c r="AP24">
        <f t="shared" ca="1" si="8"/>
        <v>0</v>
      </c>
      <c r="AQ24">
        <f t="shared" ca="1" si="8"/>
        <v>11.300000000000002</v>
      </c>
      <c r="AR24">
        <f t="shared" ca="1" si="8"/>
        <v>182.2</v>
      </c>
      <c r="AS24">
        <f t="shared" ca="1" si="8"/>
        <v>392.40000000000003</v>
      </c>
      <c r="AT24">
        <f t="shared" ca="1" si="8"/>
        <v>454.00000000000006</v>
      </c>
      <c r="AV24">
        <v>2018</v>
      </c>
      <c r="AW24">
        <f t="shared" ca="1" si="9"/>
        <v>556.29999999999995</v>
      </c>
      <c r="AX24">
        <f t="shared" ca="1" si="9"/>
        <v>400.1</v>
      </c>
      <c r="AY24">
        <f t="shared" ca="1" si="9"/>
        <v>409.89999999999986</v>
      </c>
      <c r="AZ24">
        <f t="shared" ca="1" si="9"/>
        <v>299.3</v>
      </c>
      <c r="BA24">
        <f t="shared" ca="1" si="9"/>
        <v>50.5</v>
      </c>
      <c r="BB24">
        <f t="shared" ca="1" si="9"/>
        <v>0.60000000000000142</v>
      </c>
      <c r="BC24">
        <f t="shared" ca="1" si="9"/>
        <v>0</v>
      </c>
      <c r="BD24">
        <f t="shared" ca="1" si="9"/>
        <v>0</v>
      </c>
      <c r="BE24">
        <f t="shared" ca="1" si="9"/>
        <v>2.0000000000000018</v>
      </c>
      <c r="BF24">
        <f t="shared" ca="1" si="9"/>
        <v>132.70000000000002</v>
      </c>
      <c r="BG24">
        <f t="shared" ca="1" si="9"/>
        <v>332.40000000000003</v>
      </c>
      <c r="BH24">
        <f t="shared" ca="1" si="9"/>
        <v>392.00000000000006</v>
      </c>
      <c r="BJ24">
        <v>2018</v>
      </c>
      <c r="BK24">
        <f t="shared" ca="1" si="10"/>
        <v>494.3</v>
      </c>
      <c r="BL24">
        <f t="shared" ca="1" si="10"/>
        <v>344.10000000000008</v>
      </c>
      <c r="BM24">
        <f t="shared" ca="1" si="10"/>
        <v>347.89999999999986</v>
      </c>
      <c r="BN24">
        <f t="shared" ca="1" si="10"/>
        <v>239.3</v>
      </c>
      <c r="BO24">
        <f t="shared" ca="1" si="10"/>
        <v>25.199999999999996</v>
      </c>
      <c r="BP24">
        <f t="shared" ca="1" si="10"/>
        <v>0</v>
      </c>
      <c r="BQ24">
        <f t="shared" ca="1" si="10"/>
        <v>0</v>
      </c>
      <c r="BR24">
        <f t="shared" ca="1" si="10"/>
        <v>0</v>
      </c>
      <c r="BS24">
        <f t="shared" ca="1" si="10"/>
        <v>0</v>
      </c>
      <c r="BT24">
        <f t="shared" ca="1" si="10"/>
        <v>88.200000000000031</v>
      </c>
      <c r="BU24">
        <f t="shared" ca="1" si="10"/>
        <v>272.40000000000003</v>
      </c>
      <c r="BV24">
        <f t="shared" ca="1" si="10"/>
        <v>330</v>
      </c>
      <c r="BX24">
        <v>2018</v>
      </c>
      <c r="BY24">
        <f t="shared" ca="1" si="11"/>
        <v>432.5</v>
      </c>
      <c r="BZ24">
        <f t="shared" ca="1" si="11"/>
        <v>288.50000000000006</v>
      </c>
      <c r="CA24">
        <f t="shared" ca="1" si="11"/>
        <v>285.89999999999992</v>
      </c>
      <c r="CB24">
        <f t="shared" ca="1" si="11"/>
        <v>180.8</v>
      </c>
      <c r="CC24">
        <f t="shared" ca="1" si="11"/>
        <v>6.8999999999999986</v>
      </c>
      <c r="CD24">
        <f t="shared" ca="1" si="11"/>
        <v>0</v>
      </c>
      <c r="CE24">
        <f t="shared" ca="1" si="11"/>
        <v>0</v>
      </c>
      <c r="CF24">
        <f t="shared" ca="1" si="11"/>
        <v>0</v>
      </c>
      <c r="CG24">
        <f t="shared" ca="1" si="11"/>
        <v>0</v>
      </c>
      <c r="CH24">
        <f t="shared" ca="1" si="11"/>
        <v>50.199999999999996</v>
      </c>
      <c r="CI24">
        <f t="shared" ca="1" si="11"/>
        <v>214.10000000000002</v>
      </c>
      <c r="CJ24">
        <f t="shared" ca="1" si="11"/>
        <v>267.99999999999994</v>
      </c>
      <c r="CL24">
        <v>2018</v>
      </c>
      <c r="CM24">
        <f t="shared" ca="1" si="12"/>
        <v>372.5</v>
      </c>
      <c r="CN24">
        <f t="shared" ca="1" si="12"/>
        <v>235.5</v>
      </c>
      <c r="CO24">
        <f t="shared" ca="1" si="12"/>
        <v>223.89999999999998</v>
      </c>
      <c r="CP24">
        <f t="shared" ca="1" si="12"/>
        <v>127.50000000000003</v>
      </c>
      <c r="CQ24">
        <f t="shared" ca="1" si="12"/>
        <v>0.69999999999999929</v>
      </c>
      <c r="CR24">
        <f t="shared" ca="1" si="12"/>
        <v>0</v>
      </c>
      <c r="CS24">
        <f t="shared" ca="1" si="12"/>
        <v>0</v>
      </c>
      <c r="CT24">
        <f t="shared" ca="1" si="12"/>
        <v>0</v>
      </c>
      <c r="CU24">
        <f t="shared" ca="1" si="12"/>
        <v>0</v>
      </c>
      <c r="CV24">
        <f t="shared" ca="1" si="12"/>
        <v>20.599999999999994</v>
      </c>
      <c r="CW24">
        <f t="shared" ca="1" si="12"/>
        <v>157.90000000000003</v>
      </c>
      <c r="CX24">
        <f t="shared" ca="1" si="12"/>
        <v>205.99999999999994</v>
      </c>
      <c r="CZ24">
        <v>2018</v>
      </c>
      <c r="DA24">
        <f t="shared" ca="1" si="13"/>
        <v>742.29999999999984</v>
      </c>
      <c r="DB24">
        <f t="shared" ca="1" si="13"/>
        <v>568.1</v>
      </c>
      <c r="DC24">
        <f t="shared" ca="1" si="13"/>
        <v>595.9</v>
      </c>
      <c r="DD24">
        <f t="shared" ca="1" si="13"/>
        <v>479.3</v>
      </c>
      <c r="DE24">
        <f t="shared" ca="1" si="13"/>
        <v>173.79999999999998</v>
      </c>
      <c r="DF24">
        <f t="shared" ca="1" si="13"/>
        <v>64.600000000000009</v>
      </c>
      <c r="DG24">
        <f t="shared" ca="1" si="13"/>
        <v>0.5</v>
      </c>
      <c r="DH24">
        <f t="shared" ca="1" si="13"/>
        <v>5.8000000000000007</v>
      </c>
      <c r="DI24">
        <f t="shared" ca="1" si="13"/>
        <v>57.199999999999996</v>
      </c>
      <c r="DJ24">
        <f t="shared" ca="1" si="13"/>
        <v>295.49999999999989</v>
      </c>
      <c r="DK24">
        <f t="shared" ca="1" si="13"/>
        <v>512.4</v>
      </c>
      <c r="DL24">
        <f t="shared" ca="1" si="13"/>
        <v>578.00000000000011</v>
      </c>
    </row>
    <row r="25" spans="1:116" x14ac:dyDescent="0.2">
      <c r="A25" s="13">
        <v>36861</v>
      </c>
      <c r="B25">
        <v>2000</v>
      </c>
      <c r="C25">
        <v>12</v>
      </c>
      <c r="D25" s="21">
        <v>-5.2774193548387105</v>
      </c>
      <c r="E25" s="21">
        <v>783.6</v>
      </c>
      <c r="F25" s="21">
        <v>0</v>
      </c>
      <c r="G25" s="21">
        <v>721.59999999999991</v>
      </c>
      <c r="H25" s="21">
        <v>0</v>
      </c>
      <c r="I25" s="21">
        <v>659.59999999999991</v>
      </c>
      <c r="J25" s="21">
        <v>0</v>
      </c>
      <c r="K25" s="21">
        <v>597.59999999999991</v>
      </c>
      <c r="L25" s="21">
        <v>0</v>
      </c>
      <c r="M25" s="21">
        <v>535.59999999999991</v>
      </c>
      <c r="N25" s="21">
        <v>0</v>
      </c>
      <c r="O25" s="21">
        <v>473.59999999999997</v>
      </c>
      <c r="P25" s="21">
        <v>0</v>
      </c>
      <c r="Q25" s="21">
        <v>411.60000000000008</v>
      </c>
      <c r="R25" s="21">
        <v>0</v>
      </c>
      <c r="T25">
        <v>2019</v>
      </c>
      <c r="U25">
        <f t="shared" ca="1" si="7"/>
        <v>700</v>
      </c>
      <c r="V25">
        <f t="shared" ca="1" si="7"/>
        <v>571.70000000000016</v>
      </c>
      <c r="W25">
        <f t="shared" ca="1" si="7"/>
        <v>556.49999999999989</v>
      </c>
      <c r="X25">
        <f t="shared" ca="1" si="7"/>
        <v>351.9</v>
      </c>
      <c r="Y25">
        <f t="shared" ca="1" si="7"/>
        <v>215.59999999999997</v>
      </c>
      <c r="Z25">
        <f t="shared" ca="1" si="7"/>
        <v>54.899999999999991</v>
      </c>
      <c r="AA25">
        <f t="shared" ca="1" si="7"/>
        <v>0</v>
      </c>
      <c r="AB25">
        <f t="shared" ca="1" si="7"/>
        <v>1.4000000000000021</v>
      </c>
      <c r="AC25">
        <f t="shared" ca="1" si="7"/>
        <v>21.8</v>
      </c>
      <c r="AD25">
        <f t="shared" ca="1" si="7"/>
        <v>187.00000000000003</v>
      </c>
      <c r="AE25">
        <f t="shared" ca="1" si="7"/>
        <v>464</v>
      </c>
      <c r="AF25">
        <f t="shared" ca="1" si="7"/>
        <v>520.39999999999986</v>
      </c>
      <c r="AH25">
        <v>2019</v>
      </c>
      <c r="AI25">
        <f t="shared" ca="1" si="8"/>
        <v>638</v>
      </c>
      <c r="AJ25">
        <f t="shared" ca="1" si="8"/>
        <v>515.70000000000005</v>
      </c>
      <c r="AK25">
        <f t="shared" ca="1" si="8"/>
        <v>494.49999999999989</v>
      </c>
      <c r="AL25">
        <f t="shared" ca="1" si="8"/>
        <v>291.89999999999998</v>
      </c>
      <c r="AM25">
        <f t="shared" ca="1" si="8"/>
        <v>157.79999999999998</v>
      </c>
      <c r="AN25">
        <f t="shared" ca="1" si="8"/>
        <v>22</v>
      </c>
      <c r="AO25">
        <f t="shared" ca="1" si="8"/>
        <v>0</v>
      </c>
      <c r="AP25">
        <f t="shared" ca="1" si="8"/>
        <v>0</v>
      </c>
      <c r="AQ25">
        <f t="shared" ca="1" si="8"/>
        <v>5.0999999999999996</v>
      </c>
      <c r="AR25">
        <f t="shared" ca="1" si="8"/>
        <v>128.5</v>
      </c>
      <c r="AS25">
        <f t="shared" ca="1" si="8"/>
        <v>403.99999999999994</v>
      </c>
      <c r="AT25">
        <f t="shared" ca="1" si="8"/>
        <v>458.4</v>
      </c>
      <c r="AV25">
        <v>2019</v>
      </c>
      <c r="AW25">
        <f t="shared" ca="1" si="9"/>
        <v>576</v>
      </c>
      <c r="AX25">
        <f t="shared" ca="1" si="9"/>
        <v>459.70000000000005</v>
      </c>
      <c r="AY25">
        <f t="shared" ca="1" si="9"/>
        <v>432.49999999999989</v>
      </c>
      <c r="AZ25">
        <f t="shared" ca="1" si="9"/>
        <v>231.89999999999995</v>
      </c>
      <c r="BA25">
        <f t="shared" ca="1" si="9"/>
        <v>105.80000000000003</v>
      </c>
      <c r="BB25">
        <f t="shared" ca="1" si="9"/>
        <v>4.3999999999999986</v>
      </c>
      <c r="BC25">
        <f t="shared" ca="1" si="9"/>
        <v>0</v>
      </c>
      <c r="BD25">
        <f t="shared" ca="1" si="9"/>
        <v>0</v>
      </c>
      <c r="BE25">
        <f t="shared" ca="1" si="9"/>
        <v>0.30000000000000071</v>
      </c>
      <c r="BF25">
        <f t="shared" ca="1" si="9"/>
        <v>74.100000000000009</v>
      </c>
      <c r="BG25">
        <f t="shared" ca="1" si="9"/>
        <v>343.99999999999994</v>
      </c>
      <c r="BH25">
        <f t="shared" ca="1" si="9"/>
        <v>396.4</v>
      </c>
      <c r="BJ25">
        <v>2019</v>
      </c>
      <c r="BK25">
        <f t="shared" ca="1" si="10"/>
        <v>514</v>
      </c>
      <c r="BL25">
        <f t="shared" ca="1" si="10"/>
        <v>403.70000000000005</v>
      </c>
      <c r="BM25">
        <f t="shared" ca="1" si="10"/>
        <v>370.49999999999989</v>
      </c>
      <c r="BN25">
        <f t="shared" ca="1" si="10"/>
        <v>173.29999999999998</v>
      </c>
      <c r="BO25">
        <f t="shared" ca="1" si="10"/>
        <v>63.5</v>
      </c>
      <c r="BP25">
        <f t="shared" ca="1" si="10"/>
        <v>0.19999999999999929</v>
      </c>
      <c r="BQ25">
        <f t="shared" ca="1" si="10"/>
        <v>0</v>
      </c>
      <c r="BR25">
        <f t="shared" ca="1" si="10"/>
        <v>0</v>
      </c>
      <c r="BS25">
        <f t="shared" ca="1" si="10"/>
        <v>0</v>
      </c>
      <c r="BT25">
        <f t="shared" ca="1" si="10"/>
        <v>32</v>
      </c>
      <c r="BU25">
        <f t="shared" ca="1" si="10"/>
        <v>284</v>
      </c>
      <c r="BV25">
        <f t="shared" ca="1" si="10"/>
        <v>334.40000000000003</v>
      </c>
      <c r="BX25">
        <v>2019</v>
      </c>
      <c r="BY25">
        <f t="shared" ca="1" si="11"/>
        <v>452.00000000000006</v>
      </c>
      <c r="BZ25">
        <f t="shared" ca="1" si="11"/>
        <v>347.70000000000005</v>
      </c>
      <c r="CA25">
        <f t="shared" ca="1" si="11"/>
        <v>308.49999999999994</v>
      </c>
      <c r="CB25">
        <f t="shared" ca="1" si="11"/>
        <v>116.70000000000002</v>
      </c>
      <c r="CC25">
        <f t="shared" ca="1" si="11"/>
        <v>33.1</v>
      </c>
      <c r="CD25">
        <f t="shared" ca="1" si="11"/>
        <v>0</v>
      </c>
      <c r="CE25">
        <f t="shared" ca="1" si="11"/>
        <v>0</v>
      </c>
      <c r="CF25">
        <f t="shared" ca="1" si="11"/>
        <v>0</v>
      </c>
      <c r="CG25">
        <f t="shared" ca="1" si="11"/>
        <v>0</v>
      </c>
      <c r="CH25">
        <f t="shared" ca="1" si="11"/>
        <v>10.4</v>
      </c>
      <c r="CI25">
        <f t="shared" ca="1" si="11"/>
        <v>224.00000000000006</v>
      </c>
      <c r="CJ25">
        <f t="shared" ca="1" si="11"/>
        <v>272.40000000000003</v>
      </c>
      <c r="CL25">
        <v>2019</v>
      </c>
      <c r="CM25">
        <f t="shared" ca="1" si="12"/>
        <v>390.00000000000006</v>
      </c>
      <c r="CN25">
        <f t="shared" ca="1" si="12"/>
        <v>293.70000000000005</v>
      </c>
      <c r="CO25">
        <f t="shared" ca="1" si="12"/>
        <v>246.6</v>
      </c>
      <c r="CP25">
        <f t="shared" ca="1" si="12"/>
        <v>71.400000000000006</v>
      </c>
      <c r="CQ25">
        <f t="shared" ca="1" si="12"/>
        <v>13.399999999999999</v>
      </c>
      <c r="CR25">
        <f t="shared" ca="1" si="12"/>
        <v>0</v>
      </c>
      <c r="CS25">
        <f t="shared" ca="1" si="12"/>
        <v>0</v>
      </c>
      <c r="CT25">
        <f t="shared" ca="1" si="12"/>
        <v>0</v>
      </c>
      <c r="CU25">
        <f t="shared" ca="1" si="12"/>
        <v>0</v>
      </c>
      <c r="CV25">
        <f t="shared" ca="1" si="12"/>
        <v>0.29999999999999982</v>
      </c>
      <c r="CW25">
        <f t="shared" ca="1" si="12"/>
        <v>165.8</v>
      </c>
      <c r="CX25">
        <f t="shared" ca="1" si="12"/>
        <v>210.40000000000006</v>
      </c>
      <c r="CZ25">
        <v>2019</v>
      </c>
      <c r="DA25">
        <f t="shared" ca="1" si="13"/>
        <v>762</v>
      </c>
      <c r="DB25">
        <f t="shared" ca="1" si="13"/>
        <v>627.70000000000005</v>
      </c>
      <c r="DC25">
        <f t="shared" ca="1" si="13"/>
        <v>618.49999999999989</v>
      </c>
      <c r="DD25">
        <f t="shared" ca="1" si="13"/>
        <v>411.9</v>
      </c>
      <c r="DE25">
        <f t="shared" ca="1" si="13"/>
        <v>277.2</v>
      </c>
      <c r="DF25">
        <f t="shared" ca="1" si="13"/>
        <v>96.9</v>
      </c>
      <c r="DG25">
        <f t="shared" ca="1" si="13"/>
        <v>1.4000000000000021</v>
      </c>
      <c r="DH25">
        <f t="shared" ca="1" si="13"/>
        <v>10.700000000000003</v>
      </c>
      <c r="DI25">
        <f t="shared" ca="1" si="13"/>
        <v>58</v>
      </c>
      <c r="DJ25">
        <f t="shared" ca="1" si="13"/>
        <v>247.00000000000003</v>
      </c>
      <c r="DK25">
        <f t="shared" ca="1" si="13"/>
        <v>524</v>
      </c>
      <c r="DL25">
        <f t="shared" ca="1" si="13"/>
        <v>582.39999999999986</v>
      </c>
    </row>
    <row r="26" spans="1:116" ht="15" x14ac:dyDescent="0.25">
      <c r="A26" s="13">
        <v>36892</v>
      </c>
      <c r="B26">
        <v>2001</v>
      </c>
      <c r="C26">
        <v>1</v>
      </c>
      <c r="D26" s="21">
        <v>-2.6870967741935479</v>
      </c>
      <c r="E26" s="21">
        <v>703.30000000000018</v>
      </c>
      <c r="F26" s="21">
        <v>0</v>
      </c>
      <c r="G26" s="21">
        <v>641.30000000000007</v>
      </c>
      <c r="H26" s="21">
        <v>0</v>
      </c>
      <c r="I26" s="21">
        <v>579.30000000000007</v>
      </c>
      <c r="J26" s="21">
        <v>0</v>
      </c>
      <c r="K26" s="21">
        <v>517.29999999999995</v>
      </c>
      <c r="L26" s="21">
        <v>0</v>
      </c>
      <c r="M26" s="21">
        <v>455.3</v>
      </c>
      <c r="N26" s="21">
        <v>0</v>
      </c>
      <c r="O26" s="21">
        <v>393.30000000000007</v>
      </c>
      <c r="P26" s="21">
        <v>0</v>
      </c>
      <c r="Q26" s="21">
        <v>331.30000000000007</v>
      </c>
      <c r="R26" s="21">
        <v>0</v>
      </c>
      <c r="T26" s="59">
        <v>2020</v>
      </c>
      <c r="U26" s="62">
        <f ca="1">MAX(TREND(U$6:U$25,$T$6:$T$25,$T26),0)</f>
        <v>664.8684210526319</v>
      </c>
      <c r="V26" s="62">
        <f t="shared" ref="V26:AF27" ca="1" si="14">MAX(TREND(V$6:V$25,$T$6:$T$25,$T26),0)</f>
        <v>589.99578947368411</v>
      </c>
      <c r="W26" s="62">
        <f t="shared" ca="1" si="14"/>
        <v>540.02157894736865</v>
      </c>
      <c r="X26" s="62">
        <f t="shared" ca="1" si="14"/>
        <v>347.4973684210529</v>
      </c>
      <c r="Y26" s="62">
        <f t="shared" ca="1" si="14"/>
        <v>155.83052631578903</v>
      </c>
      <c r="Z26" s="62">
        <f t="shared" ca="1" si="14"/>
        <v>33.473157894736801</v>
      </c>
      <c r="AA26" s="62">
        <f t="shared" ca="1" si="14"/>
        <v>1.033157894736803</v>
      </c>
      <c r="AB26" s="62">
        <f t="shared" ca="1" si="14"/>
        <v>2.7873684210526299</v>
      </c>
      <c r="AC26" s="62">
        <f t="shared" ca="1" si="14"/>
        <v>33.63736842105277</v>
      </c>
      <c r="AD26" s="62">
        <f t="shared" ca="1" si="14"/>
        <v>179.35947368421057</v>
      </c>
      <c r="AE26" s="62">
        <f t="shared" ca="1" si="14"/>
        <v>402.82157894736883</v>
      </c>
      <c r="AF26" s="62">
        <f t="shared" ca="1" si="14"/>
        <v>523.43947368421141</v>
      </c>
      <c r="AH26" s="59">
        <v>2020</v>
      </c>
      <c r="AI26" s="62">
        <f ca="1">MAX(TREND(AI$6:AI$25,$AH$6:$AH$25,$AH26),0)</f>
        <v>602.86842105263156</v>
      </c>
      <c r="AJ26" s="62">
        <f t="shared" ref="AJ26:AT27" ca="1" si="15">MAX(TREND(AJ$6:AJ$25,$AH$6:$AH$25,$AH26),0)</f>
        <v>533.73263157894735</v>
      </c>
      <c r="AK26" s="62">
        <f t="shared" ca="1" si="15"/>
        <v>478.02157894736865</v>
      </c>
      <c r="AL26" s="62">
        <f t="shared" ca="1" si="15"/>
        <v>287.32894736842081</v>
      </c>
      <c r="AM26" s="62">
        <f t="shared" ca="1" si="15"/>
        <v>108.66947368421074</v>
      </c>
      <c r="AN26" s="62">
        <f t="shared" ca="1" si="15"/>
        <v>10.253157894736773</v>
      </c>
      <c r="AO26" s="62">
        <f t="shared" ca="1" si="15"/>
        <v>3.7368421052633494E-2</v>
      </c>
      <c r="AP26" s="62">
        <f t="shared" ca="1" si="15"/>
        <v>0</v>
      </c>
      <c r="AQ26" s="62">
        <f t="shared" ca="1" si="15"/>
        <v>11.95631578947382</v>
      </c>
      <c r="AR26" s="62">
        <f t="shared" ca="1" si="15"/>
        <v>126.68210526315852</v>
      </c>
      <c r="AS26" s="62">
        <f t="shared" ca="1" si="15"/>
        <v>342.83526315789368</v>
      </c>
      <c r="AT26" s="62">
        <f t="shared" ca="1" si="15"/>
        <v>461.43947368420959</v>
      </c>
      <c r="AV26" s="59">
        <v>2020</v>
      </c>
      <c r="AW26" s="62">
        <f ca="1">MAX(TREND(AW$6:AW$25,$AV$6:$AV$25,$AV26),0)</f>
        <v>540.86842105263145</v>
      </c>
      <c r="AX26" s="62">
        <f t="shared" ref="AX26:BH27" ca="1" si="16">MAX(TREND(AX$6:AX$25,$AV$6:$AV$25,$AV26),0)</f>
        <v>477.46947368421058</v>
      </c>
      <c r="AY26" s="62">
        <f t="shared" ca="1" si="16"/>
        <v>416.04842105263106</v>
      </c>
      <c r="AZ26" s="62">
        <f t="shared" ca="1" si="16"/>
        <v>227.78947368421041</v>
      </c>
      <c r="BA26" s="62">
        <f t="shared" ca="1" si="16"/>
        <v>68.169473684210516</v>
      </c>
      <c r="BB26" s="62">
        <f t="shared" ca="1" si="16"/>
        <v>0.78578947368418994</v>
      </c>
      <c r="BC26" s="62">
        <f t="shared" ca="1" si="16"/>
        <v>0</v>
      </c>
      <c r="BD26" s="62">
        <f t="shared" ca="1" si="16"/>
        <v>0</v>
      </c>
      <c r="BE26" s="62">
        <f t="shared" ca="1" si="16"/>
        <v>1.4799999999999045</v>
      </c>
      <c r="BF26" s="62">
        <f t="shared" ca="1" si="16"/>
        <v>81.982105263157791</v>
      </c>
      <c r="BG26" s="62">
        <f t="shared" ca="1" si="16"/>
        <v>283.54578947368464</v>
      </c>
      <c r="BH26" s="62">
        <f t="shared" ca="1" si="16"/>
        <v>399.35526315789502</v>
      </c>
      <c r="BJ26" s="59">
        <v>2020</v>
      </c>
      <c r="BK26" s="62">
        <f ca="1">MAX(TREND(BK$6:BK$25,$BJ$6:$BJ$25,$BJ26),0)</f>
        <v>478.94210526315783</v>
      </c>
      <c r="BL26" s="62">
        <f t="shared" ref="BL26:BV27" ca="1" si="17">MAX(TREND(BL$6:BL$25,$BJ$6:$BJ$25,$BJ26),0)</f>
        <v>421.20631578947371</v>
      </c>
      <c r="BM26" s="62">
        <f t="shared" ca="1" si="17"/>
        <v>354.40736842105298</v>
      </c>
      <c r="BN26" s="62">
        <f t="shared" ca="1" si="17"/>
        <v>171.06947368421061</v>
      </c>
      <c r="BO26" s="62">
        <f t="shared" ca="1" si="17"/>
        <v>36.737368421052622</v>
      </c>
      <c r="BP26" s="62">
        <f t="shared" ca="1" si="17"/>
        <v>0</v>
      </c>
      <c r="BQ26" s="62">
        <f t="shared" ca="1" si="17"/>
        <v>0</v>
      </c>
      <c r="BR26" s="62">
        <f t="shared" ca="1" si="17"/>
        <v>0</v>
      </c>
      <c r="BS26" s="62">
        <f t="shared" ca="1" si="17"/>
        <v>0</v>
      </c>
      <c r="BT26" s="62">
        <f t="shared" ca="1" si="17"/>
        <v>46.248421052631329</v>
      </c>
      <c r="BU26" s="62">
        <f t="shared" ca="1" si="17"/>
        <v>225.6036842105259</v>
      </c>
      <c r="BV26" s="62">
        <f t="shared" ca="1" si="17"/>
        <v>337.18684210526317</v>
      </c>
      <c r="BX26" s="59">
        <v>2020</v>
      </c>
      <c r="BY26" s="62">
        <f ca="1">MAX(TREND(BY$6:BY$25,$BJ$6:$BJ$25,$BJ26),0)</f>
        <v>417.19999999999993</v>
      </c>
      <c r="BZ26" s="62">
        <f t="shared" ref="BZ26:CJ27" ca="1" si="18">MAX(TREND(BZ$6:BZ$25,$BJ$6:$BJ$25,$BJ26),0)</f>
        <v>365.13157894736833</v>
      </c>
      <c r="CA26" s="62">
        <f t="shared" ca="1" si="18"/>
        <v>293.54157894736863</v>
      </c>
      <c r="CB26" s="62">
        <f t="shared" ca="1" si="18"/>
        <v>119.13947368421043</v>
      </c>
      <c r="CC26" s="62">
        <f t="shared" ca="1" si="18"/>
        <v>14.363157894736844</v>
      </c>
      <c r="CD26" s="62">
        <f t="shared" ca="1" si="18"/>
        <v>0</v>
      </c>
      <c r="CE26" s="62">
        <f t="shared" ca="1" si="18"/>
        <v>0</v>
      </c>
      <c r="CF26" s="62">
        <f t="shared" ca="1" si="18"/>
        <v>0</v>
      </c>
      <c r="CG26" s="62">
        <f t="shared" ca="1" si="18"/>
        <v>0</v>
      </c>
      <c r="CH26" s="62">
        <f t="shared" ca="1" si="18"/>
        <v>21.494210526315783</v>
      </c>
      <c r="CI26" s="62">
        <f t="shared" ca="1" si="18"/>
        <v>171.68842105263229</v>
      </c>
      <c r="CJ26" s="62">
        <f t="shared" ca="1" si="18"/>
        <v>275.29157894736818</v>
      </c>
      <c r="CL26" s="59">
        <v>2020</v>
      </c>
      <c r="CM26" s="62">
        <f ca="1">MAX(TREND(CM$6:CM$25,$BJ$6:$BJ$25,$BJ26),0)</f>
        <v>356.1578947368422</v>
      </c>
      <c r="CN26" s="62">
        <f t="shared" ref="CN26:CX27" ca="1" si="19">MAX(TREND(CN$6:CN$25,$BJ$6:$BJ$25,$BJ26),0)</f>
        <v>310.26736842105277</v>
      </c>
      <c r="CO26" s="62">
        <f t="shared" ca="1" si="19"/>
        <v>235.0773684210526</v>
      </c>
      <c r="CP26" s="62">
        <f t="shared" ca="1" si="19"/>
        <v>73.724210526315801</v>
      </c>
      <c r="CQ26" s="62">
        <f t="shared" ca="1" si="19"/>
        <v>4.005789473684203</v>
      </c>
      <c r="CR26" s="62">
        <f t="shared" ca="1" si="19"/>
        <v>0</v>
      </c>
      <c r="CS26" s="62">
        <f t="shared" ca="1" si="19"/>
        <v>0</v>
      </c>
      <c r="CT26" s="62">
        <f t="shared" ca="1" si="19"/>
        <v>0</v>
      </c>
      <c r="CU26" s="62">
        <f t="shared" ca="1" si="19"/>
        <v>0</v>
      </c>
      <c r="CV26" s="62">
        <f t="shared" ca="1" si="19"/>
        <v>7.7157894736842536</v>
      </c>
      <c r="CW26" s="62">
        <f t="shared" ca="1" si="19"/>
        <v>122.54947368421108</v>
      </c>
      <c r="CX26" s="62">
        <f t="shared" ca="1" si="19"/>
        <v>214.63315789473654</v>
      </c>
      <c r="CZ26" s="59">
        <v>2020</v>
      </c>
      <c r="DA26" s="62">
        <f ca="1">MAX(TREND(DA$6:DA$25,$BJ$6:$BJ$25,$BJ26),0)</f>
        <v>726.86842105263167</v>
      </c>
      <c r="DB26" s="62">
        <f t="shared" ref="DB26:DL27" ca="1" si="20">MAX(TREND(DB$6:DB$25,$BJ$6:$BJ$25,$BJ26),0)</f>
        <v>646.2589473684211</v>
      </c>
      <c r="DC26" s="62">
        <f t="shared" ca="1" si="20"/>
        <v>602.02157894736865</v>
      </c>
      <c r="DD26" s="62">
        <f t="shared" ca="1" si="20"/>
        <v>407.73894736842112</v>
      </c>
      <c r="DE26" s="62">
        <f t="shared" ca="1" si="20"/>
        <v>208.45736842105225</v>
      </c>
      <c r="DF26" s="62">
        <f t="shared" ca="1" si="20"/>
        <v>66.590526315789475</v>
      </c>
      <c r="DG26" s="62">
        <f t="shared" ca="1" si="20"/>
        <v>5.8352631578945875</v>
      </c>
      <c r="DH26" s="62">
        <f t="shared" ca="1" si="20"/>
        <v>13.745789473684212</v>
      </c>
      <c r="DI26" s="62">
        <f t="shared" ca="1" si="20"/>
        <v>68.124210526315892</v>
      </c>
      <c r="DJ26" s="62">
        <f t="shared" ca="1" si="20"/>
        <v>237.75421052631555</v>
      </c>
      <c r="DK26" s="62">
        <f t="shared" ca="1" si="20"/>
        <v>462.82157894736883</v>
      </c>
      <c r="DL26" s="62">
        <f t="shared" ca="1" si="20"/>
        <v>585.4394736842105</v>
      </c>
    </row>
    <row r="27" spans="1:116" ht="15" x14ac:dyDescent="0.25">
      <c r="A27" s="13">
        <v>36923</v>
      </c>
      <c r="B27">
        <v>2001</v>
      </c>
      <c r="C27">
        <v>2</v>
      </c>
      <c r="D27" s="21">
        <v>-1.5678571428571431</v>
      </c>
      <c r="E27" s="21">
        <v>603.9</v>
      </c>
      <c r="F27" s="21">
        <v>0</v>
      </c>
      <c r="G27" s="21">
        <v>547.9</v>
      </c>
      <c r="H27" s="21">
        <v>0</v>
      </c>
      <c r="I27" s="21">
        <v>491.9</v>
      </c>
      <c r="J27" s="21">
        <v>0</v>
      </c>
      <c r="K27" s="21">
        <v>435.9</v>
      </c>
      <c r="L27" s="21">
        <v>0</v>
      </c>
      <c r="M27" s="21">
        <v>379.9</v>
      </c>
      <c r="N27" s="21">
        <v>0</v>
      </c>
      <c r="O27" s="21">
        <v>323.89999999999998</v>
      </c>
      <c r="P27" s="21">
        <v>0</v>
      </c>
      <c r="Q27" s="21">
        <v>267.89999999999998</v>
      </c>
      <c r="R27" s="21">
        <v>0</v>
      </c>
      <c r="T27" s="59">
        <v>2021</v>
      </c>
      <c r="U27" s="62">
        <f ca="1">MAX(TREND(U$6:U$25,$T$6:$T$25,$T27),0)</f>
        <v>665.46541353383486</v>
      </c>
      <c r="V27" s="62">
        <f t="shared" ca="1" si="14"/>
        <v>590.40586466165405</v>
      </c>
      <c r="W27" s="62">
        <f t="shared" ca="1" si="14"/>
        <v>542.09601503759404</v>
      </c>
      <c r="X27" s="62">
        <f t="shared" ca="1" si="14"/>
        <v>348.6190225563912</v>
      </c>
      <c r="Y27" s="62">
        <f t="shared" ca="1" si="14"/>
        <v>154.47390977443592</v>
      </c>
      <c r="Z27" s="62">
        <f t="shared" ca="1" si="14"/>
        <v>33.226315789473631</v>
      </c>
      <c r="AA27" s="62">
        <f t="shared" ca="1" si="14"/>
        <v>0.89774436090220888</v>
      </c>
      <c r="AB27" s="62">
        <f t="shared" ca="1" si="14"/>
        <v>2.7975939849624041</v>
      </c>
      <c r="AC27" s="62">
        <f t="shared" ca="1" si="14"/>
        <v>32.993308270676835</v>
      </c>
      <c r="AD27" s="62">
        <f t="shared" ca="1" si="14"/>
        <v>176.8975187969927</v>
      </c>
      <c r="AE27" s="62">
        <f t="shared" ca="1" si="14"/>
        <v>405.66030075188064</v>
      </c>
      <c r="AF27" s="62">
        <f t="shared" ca="1" si="14"/>
        <v>520.62609022556444</v>
      </c>
      <c r="AH27" s="59">
        <v>2021</v>
      </c>
      <c r="AI27" s="62">
        <f ca="1">MAX(TREND(AI$6:AI$25,$AH$6:$AH$25,$AH27),0)</f>
        <v>603.46541353383452</v>
      </c>
      <c r="AJ27" s="62">
        <f t="shared" ca="1" si="15"/>
        <v>534.16526315789474</v>
      </c>
      <c r="AK27" s="62">
        <f t="shared" ca="1" si="15"/>
        <v>480.09601503759404</v>
      </c>
      <c r="AL27" s="62">
        <f t="shared" ca="1" si="15"/>
        <v>288.37075187969913</v>
      </c>
      <c r="AM27" s="62">
        <f t="shared" ca="1" si="15"/>
        <v>107.69751879699265</v>
      </c>
      <c r="AN27" s="62">
        <f t="shared" ca="1" si="15"/>
        <v>9.8091729323307391</v>
      </c>
      <c r="AO27" s="62">
        <f t="shared" ca="1" si="15"/>
        <v>3.1879699248122506E-2</v>
      </c>
      <c r="AP27" s="62">
        <f t="shared" ca="1" si="15"/>
        <v>0</v>
      </c>
      <c r="AQ27" s="62">
        <f t="shared" ca="1" si="15"/>
        <v>11.426917293233146</v>
      </c>
      <c r="AR27" s="62">
        <f t="shared" ca="1" si="15"/>
        <v>124.46135338345903</v>
      </c>
      <c r="AS27" s="62">
        <f t="shared" ca="1" si="15"/>
        <v>345.67481203007446</v>
      </c>
      <c r="AT27" s="62">
        <f t="shared" ca="1" si="15"/>
        <v>458.62609022556353</v>
      </c>
      <c r="AV27" s="59">
        <v>2021</v>
      </c>
      <c r="AW27" s="62">
        <f ca="1">MAX(TREND(AW$6:AW$25,$AV$6:$AV$25,$AV27),0)</f>
        <v>541.46541353383441</v>
      </c>
      <c r="AX27" s="62">
        <f t="shared" ca="1" si="16"/>
        <v>477.92466165413532</v>
      </c>
      <c r="AY27" s="62">
        <f t="shared" ca="1" si="16"/>
        <v>418.1239849624053</v>
      </c>
      <c r="AZ27" s="62">
        <f t="shared" ca="1" si="16"/>
        <v>228.66751879699223</v>
      </c>
      <c r="BA27" s="62">
        <f t="shared" ca="1" si="16"/>
        <v>67.613233082706756</v>
      </c>
      <c r="BB27" s="62">
        <f t="shared" ca="1" si="16"/>
        <v>0.43015037593977468</v>
      </c>
      <c r="BC27" s="62">
        <f t="shared" ca="1" si="16"/>
        <v>0</v>
      </c>
      <c r="BD27" s="62">
        <f t="shared" ca="1" si="16"/>
        <v>0</v>
      </c>
      <c r="BE27" s="62">
        <f t="shared" ca="1" si="16"/>
        <v>1.0557142857142026</v>
      </c>
      <c r="BF27" s="62">
        <f t="shared" ca="1" si="16"/>
        <v>80.162781954887123</v>
      </c>
      <c r="BG27" s="62">
        <f t="shared" ca="1" si="16"/>
        <v>286.40015037594003</v>
      </c>
      <c r="BH27" s="62">
        <f t="shared" ca="1" si="16"/>
        <v>396.52909774436102</v>
      </c>
      <c r="BJ27" s="59">
        <v>2021</v>
      </c>
      <c r="BK27" s="62">
        <f ca="1">MAX(TREND(BK$6:BK$25,$BJ$6:$BJ$25,$BJ27),0)</f>
        <v>479.53278195488724</v>
      </c>
      <c r="BL27" s="62">
        <f t="shared" ca="1" si="17"/>
        <v>421.68406015037601</v>
      </c>
      <c r="BM27" s="62">
        <f t="shared" ca="1" si="17"/>
        <v>356.48759398496304</v>
      </c>
      <c r="BN27" s="62">
        <f t="shared" ca="1" si="17"/>
        <v>171.77466165413534</v>
      </c>
      <c r="BO27" s="62">
        <f t="shared" ca="1" si="17"/>
        <v>36.57473684210521</v>
      </c>
      <c r="BP27" s="62">
        <f t="shared" ca="1" si="17"/>
        <v>0</v>
      </c>
      <c r="BQ27" s="62">
        <f t="shared" ca="1" si="17"/>
        <v>0</v>
      </c>
      <c r="BR27" s="62">
        <f t="shared" ca="1" si="17"/>
        <v>0</v>
      </c>
      <c r="BS27" s="62">
        <f t="shared" ca="1" si="17"/>
        <v>0</v>
      </c>
      <c r="BT27" s="62">
        <f t="shared" ca="1" si="17"/>
        <v>44.825413533834308</v>
      </c>
      <c r="BU27" s="62">
        <f t="shared" ca="1" si="17"/>
        <v>228.39593984962357</v>
      </c>
      <c r="BV27" s="62">
        <f t="shared" ca="1" si="17"/>
        <v>334.3351127819551</v>
      </c>
      <c r="BX27" s="59">
        <v>2021</v>
      </c>
      <c r="BY27" s="62">
        <f ca="1">MAX(TREND(BY$6:BY$25,$BJ$6:$BJ$25,$BJ27),0)</f>
        <v>417.79000000000008</v>
      </c>
      <c r="BZ27" s="62">
        <f t="shared" ca="1" si="18"/>
        <v>365.64458646616526</v>
      </c>
      <c r="CA27" s="62">
        <f t="shared" ca="1" si="18"/>
        <v>295.59887218045105</v>
      </c>
      <c r="CB27" s="62">
        <f t="shared" ca="1" si="18"/>
        <v>119.65323308270661</v>
      </c>
      <c r="CC27" s="62">
        <f t="shared" ca="1" si="18"/>
        <v>14.279172932330852</v>
      </c>
      <c r="CD27" s="62">
        <f t="shared" ca="1" si="18"/>
        <v>0</v>
      </c>
      <c r="CE27" s="62">
        <f t="shared" ca="1" si="18"/>
        <v>0</v>
      </c>
      <c r="CF27" s="62">
        <f t="shared" ca="1" si="18"/>
        <v>0</v>
      </c>
      <c r="CG27" s="62">
        <f t="shared" ca="1" si="18"/>
        <v>0</v>
      </c>
      <c r="CH27" s="62">
        <f t="shared" ca="1" si="18"/>
        <v>20.514135338346023</v>
      </c>
      <c r="CI27" s="62">
        <f t="shared" ca="1" si="18"/>
        <v>174.41969924812111</v>
      </c>
      <c r="CJ27" s="62">
        <f t="shared" ca="1" si="18"/>
        <v>272.41744360902248</v>
      </c>
      <c r="CL27" s="59">
        <v>2021</v>
      </c>
      <c r="CM27" s="62">
        <f ca="1">MAX(TREND(CM$6:CM$25,$BJ$6:$BJ$25,$BJ27),0)</f>
        <v>356.76436090225582</v>
      </c>
      <c r="CN27" s="62">
        <f t="shared" ca="1" si="19"/>
        <v>310.8718796992481</v>
      </c>
      <c r="CO27" s="62">
        <f t="shared" ca="1" si="19"/>
        <v>237.10045112781927</v>
      </c>
      <c r="CP27" s="62">
        <f t="shared" ca="1" si="19"/>
        <v>74.075563909774473</v>
      </c>
      <c r="CQ27" s="62">
        <f t="shared" ca="1" si="19"/>
        <v>3.9758646616541284</v>
      </c>
      <c r="CR27" s="62">
        <f t="shared" ca="1" si="19"/>
        <v>0</v>
      </c>
      <c r="CS27" s="62">
        <f t="shared" ca="1" si="19"/>
        <v>0</v>
      </c>
      <c r="CT27" s="62">
        <f t="shared" ca="1" si="19"/>
        <v>0</v>
      </c>
      <c r="CU27" s="62">
        <f t="shared" ca="1" si="19"/>
        <v>0</v>
      </c>
      <c r="CV27" s="62">
        <f t="shared" ca="1" si="19"/>
        <v>7.217293233082728</v>
      </c>
      <c r="CW27" s="62">
        <f t="shared" ca="1" si="19"/>
        <v>125.04037593984958</v>
      </c>
      <c r="CX27" s="62">
        <f t="shared" ca="1" si="19"/>
        <v>211.7577443609016</v>
      </c>
      <c r="CZ27" s="59">
        <v>2021</v>
      </c>
      <c r="DA27" s="62">
        <f ca="1">MAX(TREND(DA$6:DA$25,$BJ$6:$BJ$25,$BJ27),0)</f>
        <v>727.46541353383464</v>
      </c>
      <c r="DB27" s="62">
        <f t="shared" ca="1" si="20"/>
        <v>646.64646616541359</v>
      </c>
      <c r="DC27" s="62">
        <f t="shared" ca="1" si="20"/>
        <v>604.09601503759404</v>
      </c>
      <c r="DD27" s="62">
        <f t="shared" ca="1" si="20"/>
        <v>408.90360902255634</v>
      </c>
      <c r="DE27" s="62">
        <f t="shared" ca="1" si="20"/>
        <v>206.81759398496206</v>
      </c>
      <c r="DF27" s="62">
        <f t="shared" ca="1" si="20"/>
        <v>66.471052631578942</v>
      </c>
      <c r="DG27" s="62">
        <f t="shared" ca="1" si="20"/>
        <v>5.0519548872177893</v>
      </c>
      <c r="DH27" s="62">
        <f t="shared" ca="1" si="20"/>
        <v>13.701578947368418</v>
      </c>
      <c r="DI27" s="62">
        <f t="shared" ca="1" si="20"/>
        <v>67.301278195488749</v>
      </c>
      <c r="DJ27" s="62">
        <f t="shared" ca="1" si="20"/>
        <v>235.24413533834559</v>
      </c>
      <c r="DK27" s="62">
        <f t="shared" ca="1" si="20"/>
        <v>465.66030075188064</v>
      </c>
      <c r="DL27" s="62">
        <f t="shared" ca="1" si="20"/>
        <v>582.62609022556444</v>
      </c>
    </row>
    <row r="28" spans="1:116" x14ac:dyDescent="0.2">
      <c r="A28" s="13">
        <v>36951</v>
      </c>
      <c r="B28">
        <v>2001</v>
      </c>
      <c r="C28">
        <v>3</v>
      </c>
      <c r="D28" s="21">
        <v>0.42580645161290331</v>
      </c>
      <c r="E28" s="21">
        <v>606.79999999999995</v>
      </c>
      <c r="F28" s="21">
        <v>0</v>
      </c>
      <c r="G28" s="21">
        <v>544.79999999999984</v>
      </c>
      <c r="H28" s="21">
        <v>0</v>
      </c>
      <c r="I28" s="21">
        <v>482.79999999999984</v>
      </c>
      <c r="J28" s="21">
        <v>0</v>
      </c>
      <c r="K28" s="21">
        <v>420.7999999999999</v>
      </c>
      <c r="L28" s="21">
        <v>0</v>
      </c>
      <c r="M28" s="21">
        <v>358.79999999999995</v>
      </c>
      <c r="N28" s="21">
        <v>0</v>
      </c>
      <c r="O28" s="21">
        <v>296.7999999999999</v>
      </c>
      <c r="P28" s="21">
        <v>0</v>
      </c>
      <c r="Q28" s="21">
        <v>234.79999999999995</v>
      </c>
      <c r="R28" s="21">
        <v>0</v>
      </c>
    </row>
    <row r="29" spans="1:116" x14ac:dyDescent="0.2">
      <c r="A29" s="13">
        <v>36982</v>
      </c>
      <c r="B29">
        <v>2001</v>
      </c>
      <c r="C29">
        <v>4</v>
      </c>
      <c r="D29" s="21">
        <v>7.3733333333333322</v>
      </c>
      <c r="E29" s="21">
        <v>378.8</v>
      </c>
      <c r="F29" s="21">
        <v>0</v>
      </c>
      <c r="G29" s="21">
        <v>318.8</v>
      </c>
      <c r="H29" s="21">
        <v>0</v>
      </c>
      <c r="I29" s="21">
        <v>258.8</v>
      </c>
      <c r="J29" s="21">
        <v>0</v>
      </c>
      <c r="K29" s="21">
        <v>201.60000000000002</v>
      </c>
      <c r="L29" s="21">
        <v>2.7999999999999989</v>
      </c>
      <c r="M29" s="21">
        <v>149.5</v>
      </c>
      <c r="N29" s="21">
        <v>10.7</v>
      </c>
      <c r="O29" s="21">
        <v>103</v>
      </c>
      <c r="P29" s="21">
        <v>24.2</v>
      </c>
      <c r="Q29" s="21">
        <v>59.999999999999993</v>
      </c>
      <c r="R29" s="21">
        <v>41.2</v>
      </c>
      <c r="T29" s="1" t="s">
        <v>100</v>
      </c>
      <c r="U29" s="21">
        <f ca="1">AVERAGE(U16:U25)</f>
        <v>663.1400000000001</v>
      </c>
      <c r="V29" s="21">
        <f t="shared" ref="V29:AE29" ca="1" si="21">AVERAGE(V16:V25)</f>
        <v>586.24999999999989</v>
      </c>
      <c r="W29" s="21">
        <f t="shared" ca="1" si="21"/>
        <v>518.29</v>
      </c>
      <c r="X29" s="21">
        <f t="shared" ca="1" si="21"/>
        <v>338.79</v>
      </c>
      <c r="Y29" s="21">
        <f t="shared" ca="1" si="21"/>
        <v>157.91</v>
      </c>
      <c r="Z29" s="21">
        <f t="shared" ca="1" si="21"/>
        <v>33.909999999999997</v>
      </c>
      <c r="AA29" s="21">
        <f t="shared" ca="1" si="21"/>
        <v>1.5200000000000005</v>
      </c>
      <c r="AB29" s="21">
        <f t="shared" ca="1" si="21"/>
        <v>2.2600000000000002</v>
      </c>
      <c r="AC29" s="21">
        <f t="shared" ca="1" si="21"/>
        <v>41.980000000000004</v>
      </c>
      <c r="AD29" s="21">
        <f t="shared" ca="1" si="21"/>
        <v>191.17000000000002</v>
      </c>
      <c r="AE29" s="21">
        <f t="shared" ca="1" si="21"/>
        <v>384.19000000000005</v>
      </c>
      <c r="AF29" s="21">
        <f ca="1">AVERAGE(AF16:AF25)</f>
        <v>537.64999999999986</v>
      </c>
      <c r="AH29" s="1" t="s">
        <v>100</v>
      </c>
      <c r="AI29">
        <f ca="1">AVERAGE(AI16:AI25)</f>
        <v>601.1400000000001</v>
      </c>
      <c r="AJ29">
        <f t="shared" ref="AJ29:AT29" ca="1" si="22">AVERAGE(AJ16:AJ25)</f>
        <v>529.85</v>
      </c>
      <c r="AK29">
        <f t="shared" ca="1" si="22"/>
        <v>456.28999999999996</v>
      </c>
      <c r="AL29">
        <f t="shared" ca="1" si="22"/>
        <v>278.95999999999998</v>
      </c>
      <c r="AM29">
        <f t="shared" ca="1" si="22"/>
        <v>110</v>
      </c>
      <c r="AN29">
        <f t="shared" ca="1" si="22"/>
        <v>12.13</v>
      </c>
      <c r="AO29">
        <f t="shared" ca="1" si="22"/>
        <v>9.0000000000000038E-2</v>
      </c>
      <c r="AP29">
        <f t="shared" ca="1" si="22"/>
        <v>0.05</v>
      </c>
      <c r="AQ29">
        <f t="shared" ca="1" si="22"/>
        <v>17.91</v>
      </c>
      <c r="AR29">
        <f t="shared" ca="1" si="22"/>
        <v>136.97999999999999</v>
      </c>
      <c r="AS29">
        <f t="shared" ca="1" si="22"/>
        <v>324.2</v>
      </c>
      <c r="AT29">
        <f t="shared" ca="1" si="22"/>
        <v>475.65</v>
      </c>
      <c r="AV29" s="1" t="s">
        <v>100</v>
      </c>
      <c r="AW29">
        <f ca="1">AVERAGE(AW16:AW25)</f>
        <v>539.1400000000001</v>
      </c>
      <c r="AX29">
        <f t="shared" ref="AX29:BH29" ca="1" si="23">AVERAGE(AX16:AX25)</f>
        <v>473.45</v>
      </c>
      <c r="AY29">
        <f t="shared" ca="1" si="23"/>
        <v>394.31999999999988</v>
      </c>
      <c r="AZ29">
        <f t="shared" ca="1" si="23"/>
        <v>220.23999999999995</v>
      </c>
      <c r="BA29">
        <f t="shared" ca="1" si="23"/>
        <v>68.61</v>
      </c>
      <c r="BB29">
        <f t="shared" ca="1" si="23"/>
        <v>2.7299999999999995</v>
      </c>
      <c r="BC29">
        <f t="shared" ca="1" si="23"/>
        <v>0</v>
      </c>
      <c r="BD29">
        <f t="shared" ca="1" si="23"/>
        <v>0</v>
      </c>
      <c r="BE29">
        <f t="shared" ca="1" si="23"/>
        <v>5.2099999999999991</v>
      </c>
      <c r="BF29">
        <f t="shared" ca="1" si="23"/>
        <v>90.66</v>
      </c>
      <c r="BG29">
        <f t="shared" ca="1" si="23"/>
        <v>264.88</v>
      </c>
      <c r="BH29">
        <f t="shared" ca="1" si="23"/>
        <v>413.65</v>
      </c>
      <c r="BJ29" s="1" t="s">
        <v>100</v>
      </c>
      <c r="BK29">
        <f ca="1">AVERAGE(BK16:BK25)</f>
        <v>477.14</v>
      </c>
      <c r="BL29">
        <f t="shared" ref="BL29:BV29" ca="1" si="24">AVERAGE(BL16:BL25)</f>
        <v>417.05</v>
      </c>
      <c r="BM29">
        <f t="shared" ca="1" si="24"/>
        <v>332.70999999999992</v>
      </c>
      <c r="BN29">
        <f t="shared" ca="1" si="24"/>
        <v>164.53999999999996</v>
      </c>
      <c r="BO29">
        <f t="shared" ca="1" si="24"/>
        <v>35.92</v>
      </c>
      <c r="BP29">
        <f t="shared" ca="1" si="24"/>
        <v>0.37999999999999989</v>
      </c>
      <c r="BQ29">
        <f t="shared" ca="1" si="24"/>
        <v>0</v>
      </c>
      <c r="BR29">
        <f t="shared" ca="1" si="24"/>
        <v>0</v>
      </c>
      <c r="BS29">
        <f t="shared" ca="1" si="24"/>
        <v>0.49000000000000005</v>
      </c>
      <c r="BT29">
        <f t="shared" ca="1" si="24"/>
        <v>53.33000000000002</v>
      </c>
      <c r="BU29">
        <f t="shared" ca="1" si="24"/>
        <v>207.66000000000003</v>
      </c>
      <c r="BV29">
        <f t="shared" ca="1" si="24"/>
        <v>351.65000000000003</v>
      </c>
      <c r="BX29" s="1" t="s">
        <v>100</v>
      </c>
      <c r="BY29">
        <f ca="1">AVERAGE(BY16:BY25)</f>
        <v>415.27</v>
      </c>
      <c r="BZ29">
        <f t="shared" ref="BZ29:CJ29" ca="1" si="25">AVERAGE(BZ16:BZ25)</f>
        <v>360.76000000000005</v>
      </c>
      <c r="CA29">
        <f t="shared" ca="1" si="25"/>
        <v>272.31</v>
      </c>
      <c r="CB29">
        <f t="shared" ca="1" si="25"/>
        <v>113.89000000000001</v>
      </c>
      <c r="CC29">
        <f t="shared" ca="1" si="25"/>
        <v>14.26</v>
      </c>
      <c r="CD29">
        <f t="shared" ca="1" si="25"/>
        <v>0</v>
      </c>
      <c r="CE29">
        <f t="shared" ca="1" si="25"/>
        <v>0</v>
      </c>
      <c r="CF29">
        <f t="shared" ca="1" si="25"/>
        <v>0</v>
      </c>
      <c r="CG29">
        <f t="shared" ca="1" si="25"/>
        <v>0</v>
      </c>
      <c r="CH29">
        <f t="shared" ca="1" si="25"/>
        <v>26.119999999999997</v>
      </c>
      <c r="CI29">
        <f t="shared" ca="1" si="25"/>
        <v>154.68</v>
      </c>
      <c r="CJ29">
        <f t="shared" ca="1" si="25"/>
        <v>290.00000000000006</v>
      </c>
      <c r="CL29" s="1" t="s">
        <v>100</v>
      </c>
      <c r="CM29">
        <f ca="1">AVERAGE(CM16:CM25)</f>
        <v>353.99999999999994</v>
      </c>
      <c r="CN29">
        <f t="shared" ref="CN29:CX29" ca="1" si="26">AVERAGE(CN16:CN25)</f>
        <v>305.34000000000003</v>
      </c>
      <c r="CO29">
        <f t="shared" ca="1" si="26"/>
        <v>214.84</v>
      </c>
      <c r="CP29">
        <f t="shared" ca="1" si="26"/>
        <v>69.55</v>
      </c>
      <c r="CQ29">
        <f t="shared" ca="1" si="26"/>
        <v>4</v>
      </c>
      <c r="CR29">
        <f t="shared" ca="1" si="26"/>
        <v>0</v>
      </c>
      <c r="CS29">
        <f t="shared" ca="1" si="26"/>
        <v>0</v>
      </c>
      <c r="CT29">
        <f t="shared" ca="1" si="26"/>
        <v>0</v>
      </c>
      <c r="CU29">
        <f t="shared" ca="1" si="26"/>
        <v>0</v>
      </c>
      <c r="CV29">
        <f t="shared" ca="1" si="26"/>
        <v>9.889999999999997</v>
      </c>
      <c r="CW29">
        <f t="shared" ca="1" si="26"/>
        <v>107.46999999999998</v>
      </c>
      <c r="CX29">
        <f t="shared" ca="1" si="26"/>
        <v>229.61999999999998</v>
      </c>
      <c r="CZ29" s="1" t="s">
        <v>100</v>
      </c>
      <c r="DA29">
        <f ca="1">AVERAGE(DA16:DA25)</f>
        <v>725.1400000000001</v>
      </c>
      <c r="DB29">
        <f t="shared" ref="DB29:DL29" ca="1" si="27">AVERAGE(DB16:DB25)</f>
        <v>642.65</v>
      </c>
      <c r="DC29">
        <f t="shared" ca="1" si="27"/>
        <v>580.29</v>
      </c>
      <c r="DD29">
        <f t="shared" ca="1" si="27"/>
        <v>398.79</v>
      </c>
      <c r="DE29">
        <f t="shared" ca="1" si="27"/>
        <v>211.22999999999996</v>
      </c>
      <c r="DF29">
        <f t="shared" ca="1" si="27"/>
        <v>66.309999999999988</v>
      </c>
      <c r="DG29">
        <f t="shared" ca="1" si="27"/>
        <v>9.01</v>
      </c>
      <c r="DH29">
        <f t="shared" ca="1" si="27"/>
        <v>12.549999999999997</v>
      </c>
      <c r="DI29">
        <f t="shared" ca="1" si="27"/>
        <v>78.429999999999993</v>
      </c>
      <c r="DJ29">
        <f t="shared" ca="1" si="27"/>
        <v>250.08999999999997</v>
      </c>
      <c r="DK29">
        <f t="shared" ca="1" si="27"/>
        <v>444.18999999999994</v>
      </c>
      <c r="DL29">
        <f t="shared" ca="1" si="27"/>
        <v>599.64999999999986</v>
      </c>
    </row>
    <row r="30" spans="1:116" x14ac:dyDescent="0.2">
      <c r="A30" s="13">
        <v>37012</v>
      </c>
      <c r="B30">
        <v>2001</v>
      </c>
      <c r="C30">
        <v>5</v>
      </c>
      <c r="D30" s="21">
        <v>13.483870967741934</v>
      </c>
      <c r="E30" s="21">
        <v>206.50000000000003</v>
      </c>
      <c r="F30" s="21">
        <v>4.5</v>
      </c>
      <c r="G30" s="21">
        <v>149.69999999999999</v>
      </c>
      <c r="H30" s="21">
        <v>9.6999999999999993</v>
      </c>
      <c r="I30" s="21">
        <v>100.6</v>
      </c>
      <c r="J30" s="21">
        <v>22.599999999999998</v>
      </c>
      <c r="K30" s="21">
        <v>55</v>
      </c>
      <c r="L30" s="21">
        <v>39</v>
      </c>
      <c r="M30" s="21">
        <v>17.200000000000003</v>
      </c>
      <c r="N30" s="21">
        <v>63.199999999999989</v>
      </c>
      <c r="O30" s="21">
        <v>2.6000000000000014</v>
      </c>
      <c r="P30" s="21">
        <v>110.60000000000001</v>
      </c>
      <c r="Q30" s="21">
        <v>0</v>
      </c>
      <c r="R30" s="21">
        <v>169.99999999999994</v>
      </c>
      <c r="T30"/>
      <c r="U30"/>
    </row>
    <row r="31" spans="1:116" x14ac:dyDescent="0.2">
      <c r="A31" s="13">
        <v>37043</v>
      </c>
      <c r="B31">
        <v>2001</v>
      </c>
      <c r="C31">
        <v>6</v>
      </c>
      <c r="D31" s="21">
        <v>19.193333333333335</v>
      </c>
      <c r="E31" s="21">
        <v>64.700000000000017</v>
      </c>
      <c r="F31" s="21">
        <v>40.5</v>
      </c>
      <c r="G31" s="21">
        <v>35.4</v>
      </c>
      <c r="H31" s="21">
        <v>71.2</v>
      </c>
      <c r="I31" s="21">
        <v>16.7</v>
      </c>
      <c r="J31" s="21">
        <v>112.5</v>
      </c>
      <c r="K31" s="21">
        <v>5.6999999999999993</v>
      </c>
      <c r="L31" s="21">
        <v>161.50000000000003</v>
      </c>
      <c r="M31" s="21">
        <v>0.69999999999999929</v>
      </c>
      <c r="N31" s="21">
        <v>216.49999999999997</v>
      </c>
      <c r="O31" s="21">
        <v>0</v>
      </c>
      <c r="P31" s="21">
        <v>275.79999999999995</v>
      </c>
      <c r="Q31" s="21">
        <v>0</v>
      </c>
      <c r="R31" s="21">
        <v>335.79999999999995</v>
      </c>
      <c r="T31" s="56" t="s">
        <v>36</v>
      </c>
      <c r="U31" s="57" t="s">
        <v>54</v>
      </c>
      <c r="V31" s="57" t="s">
        <v>55</v>
      </c>
      <c r="W31" s="57" t="s">
        <v>56</v>
      </c>
      <c r="X31" s="57" t="s">
        <v>57</v>
      </c>
      <c r="Y31" s="57" t="s">
        <v>58</v>
      </c>
      <c r="Z31" s="57" t="s">
        <v>97</v>
      </c>
      <c r="AA31" s="57" t="s">
        <v>98</v>
      </c>
      <c r="AB31" s="58" t="s">
        <v>99</v>
      </c>
      <c r="AC31" s="58" t="s">
        <v>62</v>
      </c>
      <c r="AD31" s="58" t="s">
        <v>63</v>
      </c>
      <c r="AE31" s="58" t="s">
        <v>64</v>
      </c>
      <c r="AF31" s="58" t="s">
        <v>65</v>
      </c>
      <c r="AH31" s="56" t="s">
        <v>38</v>
      </c>
      <c r="AI31" s="57" t="s">
        <v>54</v>
      </c>
      <c r="AJ31" s="57" t="s">
        <v>55</v>
      </c>
      <c r="AK31" s="57" t="s">
        <v>56</v>
      </c>
      <c r="AL31" s="57" t="s">
        <v>57</v>
      </c>
      <c r="AM31" s="57" t="s">
        <v>58</v>
      </c>
      <c r="AN31" s="57" t="s">
        <v>97</v>
      </c>
      <c r="AO31" s="57" t="s">
        <v>98</v>
      </c>
      <c r="AP31" s="58" t="s">
        <v>99</v>
      </c>
      <c r="AQ31" s="58" t="s">
        <v>62</v>
      </c>
      <c r="AR31" s="58" t="s">
        <v>63</v>
      </c>
      <c r="AS31" s="58" t="s">
        <v>64</v>
      </c>
      <c r="AT31" s="58" t="s">
        <v>65</v>
      </c>
      <c r="AV31" s="56" t="s">
        <v>40</v>
      </c>
      <c r="AW31" s="57" t="s">
        <v>54</v>
      </c>
      <c r="AX31" s="57" t="s">
        <v>55</v>
      </c>
      <c r="AY31" s="57" t="s">
        <v>56</v>
      </c>
      <c r="AZ31" s="57" t="s">
        <v>57</v>
      </c>
      <c r="BA31" s="57" t="s">
        <v>58</v>
      </c>
      <c r="BB31" s="57" t="s">
        <v>97</v>
      </c>
      <c r="BC31" s="57" t="s">
        <v>98</v>
      </c>
      <c r="BD31" s="58" t="s">
        <v>99</v>
      </c>
      <c r="BE31" s="58" t="s">
        <v>62</v>
      </c>
      <c r="BF31" s="58" t="s">
        <v>63</v>
      </c>
      <c r="BG31" s="58" t="s">
        <v>64</v>
      </c>
      <c r="BH31" s="58" t="s">
        <v>65</v>
      </c>
      <c r="BJ31" s="56" t="s">
        <v>42</v>
      </c>
      <c r="BK31" s="57" t="s">
        <v>54</v>
      </c>
      <c r="BL31" s="57" t="s">
        <v>55</v>
      </c>
      <c r="BM31" s="57" t="s">
        <v>56</v>
      </c>
      <c r="BN31" s="57" t="s">
        <v>57</v>
      </c>
      <c r="BO31" s="57" t="s">
        <v>58</v>
      </c>
      <c r="BP31" s="57" t="s">
        <v>97</v>
      </c>
      <c r="BQ31" s="57" t="s">
        <v>98</v>
      </c>
      <c r="BR31" s="58" t="s">
        <v>99</v>
      </c>
      <c r="BS31" s="58" t="s">
        <v>62</v>
      </c>
      <c r="BT31" s="58" t="s">
        <v>63</v>
      </c>
      <c r="BU31" s="58" t="s">
        <v>64</v>
      </c>
      <c r="BV31" s="58" t="s">
        <v>65</v>
      </c>
      <c r="BX31" s="56" t="s">
        <v>179</v>
      </c>
      <c r="BY31" s="57" t="s">
        <v>54</v>
      </c>
      <c r="BZ31" s="57" t="s">
        <v>55</v>
      </c>
      <c r="CA31" s="57" t="s">
        <v>56</v>
      </c>
      <c r="CB31" s="57" t="s">
        <v>57</v>
      </c>
      <c r="CC31" s="57" t="s">
        <v>58</v>
      </c>
      <c r="CD31" s="57" t="s">
        <v>97</v>
      </c>
      <c r="CE31" s="57" t="s">
        <v>98</v>
      </c>
      <c r="CF31" s="58" t="s">
        <v>99</v>
      </c>
      <c r="CG31" s="58" t="s">
        <v>62</v>
      </c>
      <c r="CH31" s="58" t="s">
        <v>63</v>
      </c>
      <c r="CI31" s="58" t="s">
        <v>64</v>
      </c>
      <c r="CJ31" s="58" t="s">
        <v>65</v>
      </c>
      <c r="CL31" s="56" t="s">
        <v>181</v>
      </c>
      <c r="CM31" s="57" t="s">
        <v>54</v>
      </c>
      <c r="CN31" s="57" t="s">
        <v>55</v>
      </c>
      <c r="CO31" s="57" t="s">
        <v>56</v>
      </c>
      <c r="CP31" s="57" t="s">
        <v>57</v>
      </c>
      <c r="CQ31" s="57" t="s">
        <v>58</v>
      </c>
      <c r="CR31" s="57" t="s">
        <v>97</v>
      </c>
      <c r="CS31" s="57" t="s">
        <v>98</v>
      </c>
      <c r="CT31" s="58" t="s">
        <v>99</v>
      </c>
      <c r="CU31" s="58" t="s">
        <v>62</v>
      </c>
      <c r="CV31" s="58" t="s">
        <v>63</v>
      </c>
      <c r="CW31" s="58" t="s">
        <v>64</v>
      </c>
      <c r="CX31" s="58" t="s">
        <v>65</v>
      </c>
      <c r="CZ31" s="56" t="s">
        <v>177</v>
      </c>
      <c r="DA31" s="57" t="s">
        <v>54</v>
      </c>
      <c r="DB31" s="57" t="s">
        <v>55</v>
      </c>
      <c r="DC31" s="57" t="s">
        <v>56</v>
      </c>
      <c r="DD31" s="57" t="s">
        <v>57</v>
      </c>
      <c r="DE31" s="57" t="s">
        <v>58</v>
      </c>
      <c r="DF31" s="57" t="s">
        <v>97</v>
      </c>
      <c r="DG31" s="57" t="s">
        <v>98</v>
      </c>
      <c r="DH31" s="58" t="s">
        <v>99</v>
      </c>
      <c r="DI31" s="58" t="s">
        <v>62</v>
      </c>
      <c r="DJ31" s="58" t="s">
        <v>63</v>
      </c>
      <c r="DK31" s="58" t="s">
        <v>64</v>
      </c>
      <c r="DL31" s="58" t="s">
        <v>65</v>
      </c>
    </row>
    <row r="32" spans="1:116" x14ac:dyDescent="0.2">
      <c r="A32" s="13">
        <v>37073</v>
      </c>
      <c r="B32">
        <v>2001</v>
      </c>
      <c r="C32">
        <v>7</v>
      </c>
      <c r="D32" s="21">
        <v>20.319354838709678</v>
      </c>
      <c r="E32" s="21">
        <v>31.500000000000004</v>
      </c>
      <c r="F32" s="21">
        <v>41.399999999999991</v>
      </c>
      <c r="G32" s="21">
        <v>6.4999999999999982</v>
      </c>
      <c r="H32" s="21">
        <v>78.399999999999991</v>
      </c>
      <c r="I32" s="21">
        <v>0.90000000000000036</v>
      </c>
      <c r="J32" s="21">
        <v>134.79999999999995</v>
      </c>
      <c r="K32" s="21">
        <v>0</v>
      </c>
      <c r="L32" s="21">
        <v>195.9</v>
      </c>
      <c r="M32" s="21">
        <v>0</v>
      </c>
      <c r="N32" s="21">
        <v>257.90000000000003</v>
      </c>
      <c r="O32" s="21">
        <v>0</v>
      </c>
      <c r="P32" s="21">
        <v>319.90000000000003</v>
      </c>
      <c r="Q32" s="21">
        <v>0</v>
      </c>
      <c r="R32" s="21">
        <v>381.90000000000003</v>
      </c>
      <c r="T32">
        <v>1999</v>
      </c>
      <c r="U32" s="21">
        <f ca="1">OFFSET($H$2,(ROW()-32)*12+COLUMN()-21,0)</f>
        <v>0</v>
      </c>
      <c r="V32" s="21">
        <f t="shared" ref="V32:AF47" ca="1" si="28">OFFSET($H$2,(ROW()-32)*12+COLUMN()-21,0)</f>
        <v>0</v>
      </c>
      <c r="W32" s="21">
        <f t="shared" ca="1" si="28"/>
        <v>0</v>
      </c>
      <c r="X32" s="21">
        <f t="shared" ca="1" si="28"/>
        <v>0</v>
      </c>
      <c r="Y32" s="21">
        <f t="shared" ca="1" si="28"/>
        <v>14.899999999999999</v>
      </c>
      <c r="Z32" s="21">
        <f t="shared" ca="1" si="28"/>
        <v>69.55</v>
      </c>
      <c r="AA32" s="21">
        <f t="shared" ca="1" si="28"/>
        <v>183.2</v>
      </c>
      <c r="AB32" s="21">
        <f t="shared" ca="1" si="28"/>
        <v>73.400000000000006</v>
      </c>
      <c r="AC32" s="21">
        <f t="shared" ca="1" si="28"/>
        <v>49.699999999999989</v>
      </c>
      <c r="AD32" s="21">
        <f t="shared" ca="1" si="28"/>
        <v>0.19999999999999929</v>
      </c>
      <c r="AE32" s="21">
        <f t="shared" ca="1" si="28"/>
        <v>0</v>
      </c>
      <c r="AF32" s="21">
        <f t="shared" ca="1" si="28"/>
        <v>0</v>
      </c>
      <c r="AH32">
        <v>1999</v>
      </c>
      <c r="AI32" s="21">
        <f ca="1">OFFSET($J$2,(ROW()-32)*12+COLUMN()-35,0)</f>
        <v>0</v>
      </c>
      <c r="AJ32" s="21">
        <f t="shared" ref="AJ32:AT47" ca="1" si="29">OFFSET($J$2,(ROW()-32)*12+COLUMN()-35,0)</f>
        <v>0</v>
      </c>
      <c r="AK32" s="21">
        <f t="shared" ca="1" si="29"/>
        <v>0</v>
      </c>
      <c r="AL32" s="21">
        <f t="shared" ca="1" si="29"/>
        <v>0</v>
      </c>
      <c r="AM32" s="21">
        <f t="shared" ca="1" si="29"/>
        <v>25.799999999999997</v>
      </c>
      <c r="AN32" s="21">
        <f t="shared" ca="1" si="29"/>
        <v>111.35</v>
      </c>
      <c r="AO32" s="21">
        <f t="shared" ca="1" si="29"/>
        <v>245.10000000000002</v>
      </c>
      <c r="AP32" s="21">
        <f t="shared" ca="1" si="29"/>
        <v>129.89999999999995</v>
      </c>
      <c r="AQ32" s="21">
        <f t="shared" ca="1" si="29"/>
        <v>90.299999999999969</v>
      </c>
      <c r="AR32" s="21">
        <f t="shared" ca="1" si="29"/>
        <v>3.8000000000000007</v>
      </c>
      <c r="AS32" s="21">
        <f t="shared" ca="1" si="29"/>
        <v>0</v>
      </c>
      <c r="AT32" s="21">
        <f t="shared" ca="1" si="29"/>
        <v>0</v>
      </c>
      <c r="AV32">
        <v>1999</v>
      </c>
      <c r="AW32" s="21">
        <f ca="1">OFFSET($L$2,(ROW()-32)*12+COLUMN()-49,0)</f>
        <v>0</v>
      </c>
      <c r="AX32" s="21">
        <f t="shared" ref="AX32:BH47" ca="1" si="30">OFFSET($L$2,(ROW()-32)*12+COLUMN()-49,0)</f>
        <v>0</v>
      </c>
      <c r="AY32" s="21">
        <f t="shared" ca="1" si="30"/>
        <v>0.30000000000000071</v>
      </c>
      <c r="AZ32" s="21">
        <f t="shared" ca="1" si="30"/>
        <v>0</v>
      </c>
      <c r="BA32" s="21">
        <f t="shared" ca="1" si="30"/>
        <v>46.29999999999999</v>
      </c>
      <c r="BB32" s="21">
        <f t="shared" ca="1" si="30"/>
        <v>163.15</v>
      </c>
      <c r="BC32" s="21">
        <f t="shared" ca="1" si="30"/>
        <v>307.10000000000002</v>
      </c>
      <c r="BD32" s="21">
        <f t="shared" ca="1" si="30"/>
        <v>191.29999999999995</v>
      </c>
      <c r="BE32" s="21">
        <f t="shared" ca="1" si="30"/>
        <v>140.39999999999998</v>
      </c>
      <c r="BF32" s="21">
        <f t="shared" ca="1" si="30"/>
        <v>10.5</v>
      </c>
      <c r="BG32" s="21">
        <f t="shared" ca="1" si="30"/>
        <v>1.9000000000000004</v>
      </c>
      <c r="BH32" s="21">
        <f t="shared" ca="1" si="30"/>
        <v>0</v>
      </c>
      <c r="BJ32">
        <v>1999</v>
      </c>
      <c r="BK32" s="21">
        <f ca="1">OFFSET($N$2,(ROW()-32)*12+COLUMN()-63,0)</f>
        <v>0</v>
      </c>
      <c r="BL32" s="21">
        <f t="shared" ref="BL32:BV47" ca="1" si="31">OFFSET($N$2,(ROW()-32)*12+COLUMN()-63,0)</f>
        <v>0</v>
      </c>
      <c r="BM32" s="21">
        <f t="shared" ca="1" si="31"/>
        <v>2.3000000000000007</v>
      </c>
      <c r="BN32" s="21">
        <f t="shared" ca="1" si="31"/>
        <v>0.69999999999999929</v>
      </c>
      <c r="BO32" s="21">
        <f t="shared" ca="1" si="31"/>
        <v>82.800000000000011</v>
      </c>
      <c r="BP32" s="21">
        <f t="shared" ca="1" si="31"/>
        <v>221.65000000000003</v>
      </c>
      <c r="BQ32" s="21">
        <f t="shared" ca="1" si="31"/>
        <v>369.10000000000014</v>
      </c>
      <c r="BR32" s="21">
        <f t="shared" ca="1" si="31"/>
        <v>253.29999999999998</v>
      </c>
      <c r="BS32" s="21">
        <f t="shared" ca="1" si="31"/>
        <v>196.30000000000004</v>
      </c>
      <c r="BT32" s="21">
        <f t="shared" ca="1" si="31"/>
        <v>24.7</v>
      </c>
      <c r="BU32" s="21">
        <f t="shared" ca="1" si="31"/>
        <v>4.4000000000000004</v>
      </c>
      <c r="BV32" s="21">
        <f t="shared" ca="1" si="31"/>
        <v>0</v>
      </c>
      <c r="BX32">
        <v>1999</v>
      </c>
      <c r="BY32" s="21">
        <f ca="1">OFFSET($P$2,(ROW()-32)*12+COLUMN()-77,0)</f>
        <v>0</v>
      </c>
      <c r="BZ32" s="21">
        <f t="shared" ref="BZ32:CJ47" ca="1" si="32">OFFSET($P$2,(ROW()-32)*12+COLUMN()-77,0)</f>
        <v>0</v>
      </c>
      <c r="CA32" s="21">
        <f t="shared" ca="1" si="32"/>
        <v>4.3000000000000007</v>
      </c>
      <c r="CB32" s="21">
        <f t="shared" ca="1" si="32"/>
        <v>8.6</v>
      </c>
      <c r="CC32" s="21">
        <f t="shared" ca="1" si="32"/>
        <v>133.70000000000002</v>
      </c>
      <c r="CD32" s="21">
        <f t="shared" ca="1" si="32"/>
        <v>281.64999999999998</v>
      </c>
      <c r="CE32" s="21">
        <f t="shared" ca="1" si="32"/>
        <v>431.10000000000008</v>
      </c>
      <c r="CF32" s="21">
        <f t="shared" ca="1" si="32"/>
        <v>315.3</v>
      </c>
      <c r="CG32" s="21">
        <f t="shared" ca="1" si="32"/>
        <v>255.30000000000004</v>
      </c>
      <c r="CH32" s="21">
        <f t="shared" ca="1" si="32"/>
        <v>51.400000000000006</v>
      </c>
      <c r="CI32" s="21">
        <f t="shared" ca="1" si="32"/>
        <v>14.5</v>
      </c>
      <c r="CJ32" s="21">
        <f t="shared" ca="1" si="32"/>
        <v>3.1000000000000014</v>
      </c>
      <c r="CL32">
        <v>1999</v>
      </c>
      <c r="CM32" s="21">
        <f ca="1">OFFSET($R$2,(ROW()-32)*12+COLUMN()-91,0)</f>
        <v>0</v>
      </c>
      <c r="CN32" s="21">
        <f t="shared" ref="CN32:CX47" ca="1" si="33">OFFSET($R$2,(ROW()-32)*12+COLUMN()-91,0)</f>
        <v>0</v>
      </c>
      <c r="CO32" s="21">
        <f t="shared" ca="1" si="33"/>
        <v>8.0000000000000018</v>
      </c>
      <c r="CP32" s="21">
        <f t="shared" ca="1" si="33"/>
        <v>27.099999999999994</v>
      </c>
      <c r="CQ32" s="21">
        <f t="shared" ca="1" si="33"/>
        <v>195.49999999999997</v>
      </c>
      <c r="CR32" s="21">
        <f t="shared" ca="1" si="33"/>
        <v>341.65</v>
      </c>
      <c r="CS32" s="21">
        <f t="shared" ca="1" si="33"/>
        <v>493.10000000000008</v>
      </c>
      <c r="CT32" s="21">
        <f t="shared" ca="1" si="33"/>
        <v>377.3</v>
      </c>
      <c r="CU32" s="21">
        <f t="shared" ca="1" si="33"/>
        <v>315.3</v>
      </c>
      <c r="CV32" s="21">
        <f t="shared" ca="1" si="33"/>
        <v>91.59999999999998</v>
      </c>
      <c r="CW32" s="21">
        <f t="shared" ca="1" si="33"/>
        <v>37.4</v>
      </c>
      <c r="CX32" s="21">
        <f t="shared" ca="1" si="33"/>
        <v>9.1000000000000014</v>
      </c>
      <c r="CZ32">
        <v>1999</v>
      </c>
      <c r="DA32" s="21">
        <f ca="1">OFFSET($F$2,(ROW()-32)*12+COLUMN()-105,0)</f>
        <v>0</v>
      </c>
      <c r="DB32" s="21">
        <f t="shared" ref="DB32:DL47" ca="1" si="34">OFFSET($F$2,(ROW()-32)*12+COLUMN()-105,0)</f>
        <v>0</v>
      </c>
      <c r="DC32" s="21">
        <f t="shared" ca="1" si="34"/>
        <v>0</v>
      </c>
      <c r="DD32" s="21">
        <f t="shared" ca="1" si="34"/>
        <v>0</v>
      </c>
      <c r="DE32" s="21">
        <f t="shared" ca="1" si="34"/>
        <v>6.0999999999999979</v>
      </c>
      <c r="DF32" s="21">
        <f t="shared" ca="1" si="34"/>
        <v>39.050000000000004</v>
      </c>
      <c r="DG32" s="21">
        <f t="shared" ca="1" si="34"/>
        <v>125.7</v>
      </c>
      <c r="DH32" s="21">
        <f t="shared" ca="1" si="34"/>
        <v>31.3</v>
      </c>
      <c r="DI32" s="21">
        <f t="shared" ca="1" si="34"/>
        <v>24.099999999999998</v>
      </c>
      <c r="DJ32" s="21">
        <f t="shared" ca="1" si="34"/>
        <v>0</v>
      </c>
      <c r="DK32" s="21">
        <f t="shared" ca="1" si="34"/>
        <v>0</v>
      </c>
      <c r="DL32" s="21">
        <f t="shared" ca="1" si="34"/>
        <v>0</v>
      </c>
    </row>
    <row r="33" spans="1:116" x14ac:dyDescent="0.2">
      <c r="A33" s="13">
        <v>37104</v>
      </c>
      <c r="B33">
        <v>2001</v>
      </c>
      <c r="C33">
        <v>8</v>
      </c>
      <c r="D33" s="21">
        <v>22.819354838709682</v>
      </c>
      <c r="E33" s="21">
        <v>3.6000000000000014</v>
      </c>
      <c r="F33" s="21">
        <v>91</v>
      </c>
      <c r="G33" s="21">
        <v>0</v>
      </c>
      <c r="H33" s="21">
        <v>149.39999999999998</v>
      </c>
      <c r="I33" s="21">
        <v>0</v>
      </c>
      <c r="J33" s="21">
        <v>211.39999999999998</v>
      </c>
      <c r="K33" s="21">
        <v>0</v>
      </c>
      <c r="L33" s="21">
        <v>273.39999999999998</v>
      </c>
      <c r="M33" s="21">
        <v>0</v>
      </c>
      <c r="N33" s="21">
        <v>335.4</v>
      </c>
      <c r="O33" s="21">
        <v>0</v>
      </c>
      <c r="P33" s="21">
        <v>397.4</v>
      </c>
      <c r="Q33" s="21">
        <v>0</v>
      </c>
      <c r="R33" s="21">
        <v>459.40000000000003</v>
      </c>
      <c r="T33">
        <v>2000</v>
      </c>
      <c r="U33" s="21">
        <f t="shared" ref="U33:AF52" ca="1" si="35">OFFSET($H$2,(ROW()-32)*12+COLUMN()-21,0)</f>
        <v>0</v>
      </c>
      <c r="V33" s="21">
        <f t="shared" ca="1" si="28"/>
        <v>0</v>
      </c>
      <c r="W33" s="21">
        <f t="shared" ca="1" si="28"/>
        <v>0</v>
      </c>
      <c r="X33" s="21">
        <f t="shared" ca="1" si="28"/>
        <v>0</v>
      </c>
      <c r="Y33" s="21">
        <f t="shared" ca="1" si="28"/>
        <v>20.700000000000003</v>
      </c>
      <c r="Z33" s="21">
        <f t="shared" ca="1" si="28"/>
        <v>36.1</v>
      </c>
      <c r="AA33" s="21">
        <f t="shared" ca="1" si="28"/>
        <v>64.90000000000002</v>
      </c>
      <c r="AB33" s="21">
        <f t="shared" ca="1" si="28"/>
        <v>95.6</v>
      </c>
      <c r="AC33" s="21">
        <f t="shared" ca="1" si="28"/>
        <v>37.6</v>
      </c>
      <c r="AD33" s="21">
        <f t="shared" ca="1" si="28"/>
        <v>3.2000000000000028</v>
      </c>
      <c r="AE33" s="21">
        <f t="shared" ca="1" si="28"/>
        <v>0</v>
      </c>
      <c r="AF33" s="21">
        <f t="shared" ca="1" si="28"/>
        <v>0</v>
      </c>
      <c r="AH33">
        <v>2000</v>
      </c>
      <c r="AI33" s="21">
        <f t="shared" ref="AI33:AT52" ca="1" si="36">OFFSET($J$2,(ROW()-32)*12+COLUMN()-35,0)</f>
        <v>0</v>
      </c>
      <c r="AJ33" s="21">
        <f t="shared" ca="1" si="29"/>
        <v>0</v>
      </c>
      <c r="AK33" s="21">
        <f t="shared" ca="1" si="29"/>
        <v>0</v>
      </c>
      <c r="AL33" s="21">
        <f t="shared" ca="1" si="29"/>
        <v>0.60000000000000142</v>
      </c>
      <c r="AM33" s="21">
        <f t="shared" ca="1" si="29"/>
        <v>34.800000000000004</v>
      </c>
      <c r="AN33" s="21">
        <f t="shared" ca="1" si="29"/>
        <v>75.099999999999994</v>
      </c>
      <c r="AO33" s="21">
        <f t="shared" ca="1" si="29"/>
        <v>123.60000000000002</v>
      </c>
      <c r="AP33" s="21">
        <f t="shared" ca="1" si="29"/>
        <v>152.30000000000001</v>
      </c>
      <c r="AQ33" s="21">
        <f t="shared" ca="1" si="29"/>
        <v>64.300000000000011</v>
      </c>
      <c r="AR33" s="21">
        <f t="shared" ca="1" si="29"/>
        <v>9.9000000000000057</v>
      </c>
      <c r="AS33" s="21">
        <f t="shared" ca="1" si="29"/>
        <v>0</v>
      </c>
      <c r="AT33" s="21">
        <f t="shared" ca="1" si="29"/>
        <v>0</v>
      </c>
      <c r="AV33">
        <v>2000</v>
      </c>
      <c r="AW33" s="21">
        <f t="shared" ref="AW33:BH52" ca="1" si="37">OFFSET($L$2,(ROW()-32)*12+COLUMN()-49,0)</f>
        <v>0</v>
      </c>
      <c r="AX33" s="21">
        <f t="shared" ca="1" si="30"/>
        <v>0</v>
      </c>
      <c r="AY33" s="21">
        <f t="shared" ca="1" si="30"/>
        <v>0</v>
      </c>
      <c r="AZ33" s="21">
        <f t="shared" ca="1" si="30"/>
        <v>2.6000000000000014</v>
      </c>
      <c r="BA33" s="21">
        <f t="shared" ca="1" si="30"/>
        <v>54.1</v>
      </c>
      <c r="BB33" s="21">
        <f t="shared" ca="1" si="30"/>
        <v>121.4</v>
      </c>
      <c r="BC33" s="21">
        <f t="shared" ca="1" si="30"/>
        <v>185.6</v>
      </c>
      <c r="BD33" s="21">
        <f t="shared" ca="1" si="30"/>
        <v>213.60000000000002</v>
      </c>
      <c r="BE33" s="21">
        <f t="shared" ca="1" si="30"/>
        <v>101.50000000000001</v>
      </c>
      <c r="BF33" s="21">
        <f t="shared" ca="1" si="30"/>
        <v>22.500000000000007</v>
      </c>
      <c r="BG33" s="21">
        <f t="shared" ca="1" si="30"/>
        <v>0.30000000000000071</v>
      </c>
      <c r="BH33" s="21">
        <f t="shared" ca="1" si="30"/>
        <v>0</v>
      </c>
      <c r="BJ33">
        <v>2000</v>
      </c>
      <c r="BK33" s="21">
        <f t="shared" ref="BK33:BV52" ca="1" si="38">OFFSET($N$2,(ROW()-32)*12+COLUMN()-63,0)</f>
        <v>0</v>
      </c>
      <c r="BL33" s="21">
        <f t="shared" ca="1" si="31"/>
        <v>0</v>
      </c>
      <c r="BM33" s="21">
        <f t="shared" ca="1" si="31"/>
        <v>0.30000000000000071</v>
      </c>
      <c r="BN33" s="21">
        <f t="shared" ca="1" si="31"/>
        <v>4.6000000000000014</v>
      </c>
      <c r="BO33" s="21">
        <f t="shared" ca="1" si="31"/>
        <v>80.599999999999994</v>
      </c>
      <c r="BP33" s="21">
        <f t="shared" ca="1" si="31"/>
        <v>171.8</v>
      </c>
      <c r="BQ33" s="21">
        <f t="shared" ca="1" si="31"/>
        <v>247.59999999999997</v>
      </c>
      <c r="BR33" s="21">
        <f t="shared" ca="1" si="31"/>
        <v>275.60000000000008</v>
      </c>
      <c r="BS33" s="21">
        <f t="shared" ca="1" si="31"/>
        <v>147.6</v>
      </c>
      <c r="BT33" s="21">
        <f t="shared" ca="1" si="31"/>
        <v>49.7</v>
      </c>
      <c r="BU33" s="21">
        <f t="shared" ca="1" si="31"/>
        <v>2.4000000000000004</v>
      </c>
      <c r="BV33" s="21">
        <f t="shared" ca="1" si="31"/>
        <v>0</v>
      </c>
      <c r="BX33">
        <v>2000</v>
      </c>
      <c r="BY33" s="21">
        <f t="shared" ref="BY33:CJ52" ca="1" si="39">OFFSET($P$2,(ROW()-32)*12+COLUMN()-77,0)</f>
        <v>0</v>
      </c>
      <c r="BZ33" s="21">
        <f t="shared" ca="1" si="32"/>
        <v>0</v>
      </c>
      <c r="CA33" s="21">
        <f t="shared" ca="1" si="32"/>
        <v>4</v>
      </c>
      <c r="CB33" s="21">
        <f t="shared" ca="1" si="32"/>
        <v>11.400000000000002</v>
      </c>
      <c r="CC33" s="21">
        <f t="shared" ca="1" si="32"/>
        <v>124</v>
      </c>
      <c r="CD33" s="21">
        <f t="shared" ca="1" si="32"/>
        <v>230.3</v>
      </c>
      <c r="CE33" s="21">
        <f t="shared" ca="1" si="32"/>
        <v>309.60000000000008</v>
      </c>
      <c r="CF33" s="21">
        <f t="shared" ca="1" si="32"/>
        <v>337.60000000000008</v>
      </c>
      <c r="CG33" s="21">
        <f t="shared" ca="1" si="32"/>
        <v>199.79999999999995</v>
      </c>
      <c r="CH33" s="21">
        <f t="shared" ca="1" si="32"/>
        <v>86.4</v>
      </c>
      <c r="CI33" s="21">
        <f t="shared" ca="1" si="32"/>
        <v>8.1000000000000014</v>
      </c>
      <c r="CJ33" s="21">
        <f t="shared" ca="1" si="32"/>
        <v>0</v>
      </c>
      <c r="CL33">
        <v>2000</v>
      </c>
      <c r="CM33" s="21">
        <f t="shared" ref="CM33:CX52" ca="1" si="40">OFFSET($R$2,(ROW()-32)*12+COLUMN()-91,0)</f>
        <v>0</v>
      </c>
      <c r="CN33" s="21">
        <f t="shared" ca="1" si="33"/>
        <v>2.1000000000000014</v>
      </c>
      <c r="CO33" s="21">
        <f t="shared" ca="1" si="33"/>
        <v>11.299999999999999</v>
      </c>
      <c r="CP33" s="21">
        <f t="shared" ca="1" si="33"/>
        <v>27.700000000000003</v>
      </c>
      <c r="CQ33" s="21">
        <f t="shared" ca="1" si="33"/>
        <v>178.6</v>
      </c>
      <c r="CR33" s="21">
        <f t="shared" ca="1" si="33"/>
        <v>290.29999999999995</v>
      </c>
      <c r="CS33" s="21">
        <f t="shared" ca="1" si="33"/>
        <v>371.60000000000014</v>
      </c>
      <c r="CT33" s="21">
        <f t="shared" ca="1" si="33"/>
        <v>399.60000000000014</v>
      </c>
      <c r="CU33" s="21">
        <f t="shared" ca="1" si="33"/>
        <v>256.3</v>
      </c>
      <c r="CV33" s="21">
        <f t="shared" ca="1" si="33"/>
        <v>131</v>
      </c>
      <c r="CW33" s="21">
        <f t="shared" ca="1" si="33"/>
        <v>18.899999999999999</v>
      </c>
      <c r="CX33" s="21">
        <f t="shared" ca="1" si="33"/>
        <v>0</v>
      </c>
      <c r="CZ33">
        <v>2000</v>
      </c>
      <c r="DA33" s="21">
        <f t="shared" ref="DA33:DL52" ca="1" si="41">OFFSET($F$2,(ROW()-32)*12+COLUMN()-105,0)</f>
        <v>0</v>
      </c>
      <c r="DB33" s="21">
        <f t="shared" ca="1" si="34"/>
        <v>0</v>
      </c>
      <c r="DC33" s="21">
        <f t="shared" ca="1" si="34"/>
        <v>0</v>
      </c>
      <c r="DD33" s="21">
        <f t="shared" ca="1" si="34"/>
        <v>0</v>
      </c>
      <c r="DE33" s="21">
        <f t="shared" ca="1" si="34"/>
        <v>10.700000000000003</v>
      </c>
      <c r="DF33" s="21">
        <f t="shared" ca="1" si="34"/>
        <v>12.8</v>
      </c>
      <c r="DG33" s="21">
        <f t="shared" ca="1" si="34"/>
        <v>21.400000000000009</v>
      </c>
      <c r="DH33" s="21">
        <f t="shared" ca="1" si="34"/>
        <v>47.5</v>
      </c>
      <c r="DI33" s="21">
        <f t="shared" ca="1" si="34"/>
        <v>18.400000000000002</v>
      </c>
      <c r="DJ33" s="21">
        <f t="shared" ca="1" si="34"/>
        <v>0.10000000000000142</v>
      </c>
      <c r="DK33" s="21">
        <f t="shared" ca="1" si="34"/>
        <v>0</v>
      </c>
      <c r="DL33" s="21">
        <f t="shared" ca="1" si="34"/>
        <v>0</v>
      </c>
    </row>
    <row r="34" spans="1:116" x14ac:dyDescent="0.2">
      <c r="A34" s="13">
        <v>37135</v>
      </c>
      <c r="B34">
        <v>2001</v>
      </c>
      <c r="C34">
        <v>9</v>
      </c>
      <c r="D34" s="21">
        <v>17.316666666666666</v>
      </c>
      <c r="E34" s="21">
        <v>100.80000000000001</v>
      </c>
      <c r="F34" s="21">
        <v>20.299999999999997</v>
      </c>
      <c r="G34" s="21">
        <v>56.9</v>
      </c>
      <c r="H34" s="21">
        <v>36.399999999999991</v>
      </c>
      <c r="I34" s="21">
        <v>30.4</v>
      </c>
      <c r="J34" s="21">
        <v>69.900000000000006</v>
      </c>
      <c r="K34" s="21">
        <v>13.4</v>
      </c>
      <c r="L34" s="21">
        <v>112.9</v>
      </c>
      <c r="M34" s="21">
        <v>5.4</v>
      </c>
      <c r="N34" s="21">
        <v>164.89999999999998</v>
      </c>
      <c r="O34" s="21">
        <v>1.1999999999999993</v>
      </c>
      <c r="P34" s="21">
        <v>220.69999999999996</v>
      </c>
      <c r="Q34" s="21">
        <v>0</v>
      </c>
      <c r="R34" s="21">
        <v>279.5</v>
      </c>
      <c r="T34">
        <v>2001</v>
      </c>
      <c r="U34" s="21">
        <f t="shared" ca="1" si="35"/>
        <v>0</v>
      </c>
      <c r="V34" s="21">
        <f t="shared" ca="1" si="28"/>
        <v>0</v>
      </c>
      <c r="W34" s="21">
        <f t="shared" ca="1" si="28"/>
        <v>0</v>
      </c>
      <c r="X34" s="21">
        <f t="shared" ca="1" si="28"/>
        <v>0</v>
      </c>
      <c r="Y34" s="21">
        <f t="shared" ca="1" si="28"/>
        <v>9.6999999999999993</v>
      </c>
      <c r="Z34" s="21">
        <f t="shared" ca="1" si="28"/>
        <v>71.2</v>
      </c>
      <c r="AA34" s="21">
        <f t="shared" ca="1" si="28"/>
        <v>78.399999999999991</v>
      </c>
      <c r="AB34" s="21">
        <f t="shared" ca="1" si="28"/>
        <v>149.39999999999998</v>
      </c>
      <c r="AC34" s="21">
        <f t="shared" ca="1" si="28"/>
        <v>36.399999999999991</v>
      </c>
      <c r="AD34" s="21">
        <f t="shared" ca="1" si="28"/>
        <v>2.8999999999999986</v>
      </c>
      <c r="AE34" s="21">
        <f t="shared" ca="1" si="28"/>
        <v>0</v>
      </c>
      <c r="AF34" s="21">
        <f t="shared" ca="1" si="28"/>
        <v>0</v>
      </c>
      <c r="AH34">
        <v>2001</v>
      </c>
      <c r="AI34" s="21">
        <f t="shared" ca="1" si="36"/>
        <v>0</v>
      </c>
      <c r="AJ34" s="21">
        <f t="shared" ca="1" si="29"/>
        <v>0</v>
      </c>
      <c r="AK34" s="21">
        <f t="shared" ca="1" si="29"/>
        <v>0</v>
      </c>
      <c r="AL34" s="21">
        <f t="shared" ca="1" si="29"/>
        <v>0</v>
      </c>
      <c r="AM34" s="21">
        <f t="shared" ca="1" si="29"/>
        <v>22.599999999999998</v>
      </c>
      <c r="AN34" s="21">
        <f t="shared" ca="1" si="29"/>
        <v>112.5</v>
      </c>
      <c r="AO34" s="21">
        <f t="shared" ca="1" si="29"/>
        <v>134.79999999999995</v>
      </c>
      <c r="AP34" s="21">
        <f t="shared" ca="1" si="29"/>
        <v>211.39999999999998</v>
      </c>
      <c r="AQ34" s="21">
        <f t="shared" ca="1" si="29"/>
        <v>69.900000000000006</v>
      </c>
      <c r="AR34" s="21">
        <f t="shared" ca="1" si="29"/>
        <v>10.599999999999998</v>
      </c>
      <c r="AS34" s="21">
        <f t="shared" ca="1" si="29"/>
        <v>0</v>
      </c>
      <c r="AT34" s="21">
        <f t="shared" ca="1" si="29"/>
        <v>0</v>
      </c>
      <c r="AV34">
        <v>2001</v>
      </c>
      <c r="AW34" s="21">
        <f t="shared" ca="1" si="37"/>
        <v>0</v>
      </c>
      <c r="AX34" s="21">
        <f t="shared" ca="1" si="30"/>
        <v>0</v>
      </c>
      <c r="AY34" s="21">
        <f t="shared" ca="1" si="30"/>
        <v>0</v>
      </c>
      <c r="AZ34" s="21">
        <f t="shared" ca="1" si="30"/>
        <v>2.7999999999999989</v>
      </c>
      <c r="BA34" s="21">
        <f t="shared" ca="1" si="30"/>
        <v>39</v>
      </c>
      <c r="BB34" s="21">
        <f t="shared" ca="1" si="30"/>
        <v>161.50000000000003</v>
      </c>
      <c r="BC34" s="21">
        <f t="shared" ca="1" si="30"/>
        <v>195.9</v>
      </c>
      <c r="BD34" s="21">
        <f t="shared" ca="1" si="30"/>
        <v>273.39999999999998</v>
      </c>
      <c r="BE34" s="21">
        <f t="shared" ca="1" si="30"/>
        <v>112.9</v>
      </c>
      <c r="BF34" s="21">
        <f t="shared" ca="1" si="30"/>
        <v>27.4</v>
      </c>
      <c r="BG34" s="21">
        <f t="shared" ca="1" si="30"/>
        <v>1.3000000000000007</v>
      </c>
      <c r="BH34" s="21">
        <f t="shared" ca="1" si="30"/>
        <v>1</v>
      </c>
      <c r="BJ34">
        <v>2001</v>
      </c>
      <c r="BK34" s="21">
        <f t="shared" ca="1" si="38"/>
        <v>0</v>
      </c>
      <c r="BL34" s="21">
        <f t="shared" ca="1" si="31"/>
        <v>0</v>
      </c>
      <c r="BM34" s="21">
        <f t="shared" ca="1" si="31"/>
        <v>0</v>
      </c>
      <c r="BN34" s="21">
        <f t="shared" ca="1" si="31"/>
        <v>10.7</v>
      </c>
      <c r="BO34" s="21">
        <f t="shared" ca="1" si="31"/>
        <v>63.199999999999989</v>
      </c>
      <c r="BP34" s="21">
        <f t="shared" ca="1" si="31"/>
        <v>216.49999999999997</v>
      </c>
      <c r="BQ34" s="21">
        <f t="shared" ca="1" si="31"/>
        <v>257.90000000000003</v>
      </c>
      <c r="BR34" s="21">
        <f t="shared" ca="1" si="31"/>
        <v>335.4</v>
      </c>
      <c r="BS34" s="21">
        <f t="shared" ca="1" si="31"/>
        <v>164.89999999999998</v>
      </c>
      <c r="BT34" s="21">
        <f t="shared" ca="1" si="31"/>
        <v>52.29999999999999</v>
      </c>
      <c r="BU34" s="21">
        <f t="shared" ca="1" si="31"/>
        <v>7.7000000000000011</v>
      </c>
      <c r="BV34" s="21">
        <f t="shared" ca="1" si="31"/>
        <v>3</v>
      </c>
      <c r="BX34">
        <v>2001</v>
      </c>
      <c r="BY34" s="21">
        <f t="shared" ca="1" si="39"/>
        <v>0</v>
      </c>
      <c r="BZ34" s="21">
        <f t="shared" ca="1" si="32"/>
        <v>0</v>
      </c>
      <c r="CA34" s="21">
        <f t="shared" ca="1" si="32"/>
        <v>0</v>
      </c>
      <c r="CB34" s="21">
        <f t="shared" ca="1" si="32"/>
        <v>24.2</v>
      </c>
      <c r="CC34" s="21">
        <f t="shared" ca="1" si="32"/>
        <v>110.60000000000001</v>
      </c>
      <c r="CD34" s="21">
        <f t="shared" ca="1" si="32"/>
        <v>275.79999999999995</v>
      </c>
      <c r="CE34" s="21">
        <f t="shared" ca="1" si="32"/>
        <v>319.90000000000003</v>
      </c>
      <c r="CF34" s="21">
        <f t="shared" ca="1" si="32"/>
        <v>397.4</v>
      </c>
      <c r="CG34" s="21">
        <f t="shared" ca="1" si="32"/>
        <v>220.69999999999996</v>
      </c>
      <c r="CH34" s="21">
        <f t="shared" ca="1" si="32"/>
        <v>85.8</v>
      </c>
      <c r="CI34" s="21">
        <f t="shared" ca="1" si="32"/>
        <v>20</v>
      </c>
      <c r="CJ34" s="21">
        <f t="shared" ca="1" si="32"/>
        <v>6.3000000000000007</v>
      </c>
      <c r="CL34">
        <v>2001</v>
      </c>
      <c r="CM34" s="21">
        <f t="shared" ca="1" si="40"/>
        <v>0</v>
      </c>
      <c r="CN34" s="21">
        <f t="shared" ca="1" si="33"/>
        <v>0</v>
      </c>
      <c r="CO34" s="21">
        <f t="shared" ca="1" si="33"/>
        <v>0</v>
      </c>
      <c r="CP34" s="21">
        <f t="shared" ca="1" si="33"/>
        <v>41.2</v>
      </c>
      <c r="CQ34" s="21">
        <f t="shared" ca="1" si="33"/>
        <v>169.99999999999994</v>
      </c>
      <c r="CR34" s="21">
        <f t="shared" ca="1" si="33"/>
        <v>335.79999999999995</v>
      </c>
      <c r="CS34" s="21">
        <f t="shared" ca="1" si="33"/>
        <v>381.90000000000003</v>
      </c>
      <c r="CT34" s="21">
        <f t="shared" ca="1" si="33"/>
        <v>459.40000000000003</v>
      </c>
      <c r="CU34" s="21">
        <f t="shared" ca="1" si="33"/>
        <v>279.5</v>
      </c>
      <c r="CV34" s="21">
        <f t="shared" ca="1" si="33"/>
        <v>125.8</v>
      </c>
      <c r="CW34" s="21">
        <f t="shared" ca="1" si="33"/>
        <v>44.899999999999991</v>
      </c>
      <c r="CX34" s="21">
        <f t="shared" ca="1" si="33"/>
        <v>13.400000000000002</v>
      </c>
      <c r="CZ34">
        <v>2001</v>
      </c>
      <c r="DA34" s="21">
        <f t="shared" ca="1" si="41"/>
        <v>0</v>
      </c>
      <c r="DB34" s="21">
        <f t="shared" ca="1" si="34"/>
        <v>0</v>
      </c>
      <c r="DC34" s="21">
        <f t="shared" ca="1" si="34"/>
        <v>0</v>
      </c>
      <c r="DD34" s="21">
        <f t="shared" ca="1" si="34"/>
        <v>0</v>
      </c>
      <c r="DE34" s="21">
        <f t="shared" ca="1" si="34"/>
        <v>4.5</v>
      </c>
      <c r="DF34" s="21">
        <f t="shared" ca="1" si="34"/>
        <v>40.5</v>
      </c>
      <c r="DG34" s="21">
        <f t="shared" ca="1" si="34"/>
        <v>41.399999999999991</v>
      </c>
      <c r="DH34" s="21">
        <f t="shared" ca="1" si="34"/>
        <v>91</v>
      </c>
      <c r="DI34" s="21">
        <f t="shared" ca="1" si="34"/>
        <v>20.299999999999997</v>
      </c>
      <c r="DJ34" s="21">
        <f t="shared" ca="1" si="34"/>
        <v>0.39999999999999858</v>
      </c>
      <c r="DK34" s="21">
        <f t="shared" ca="1" si="34"/>
        <v>0</v>
      </c>
      <c r="DL34" s="21">
        <f t="shared" ca="1" si="34"/>
        <v>0</v>
      </c>
    </row>
    <row r="35" spans="1:116" x14ac:dyDescent="0.2">
      <c r="A35" s="13">
        <v>37165</v>
      </c>
      <c r="B35">
        <v>2001</v>
      </c>
      <c r="C35">
        <v>10</v>
      </c>
      <c r="D35" s="21">
        <v>11.56451612903226</v>
      </c>
      <c r="E35" s="21">
        <v>261.90000000000003</v>
      </c>
      <c r="F35" s="21">
        <v>0.39999999999999858</v>
      </c>
      <c r="G35" s="21">
        <v>202.4</v>
      </c>
      <c r="H35" s="21">
        <v>2.8999999999999986</v>
      </c>
      <c r="I35" s="21">
        <v>148.10000000000002</v>
      </c>
      <c r="J35" s="21">
        <v>10.599999999999998</v>
      </c>
      <c r="K35" s="21">
        <v>102.9</v>
      </c>
      <c r="L35" s="21">
        <v>27.4</v>
      </c>
      <c r="M35" s="21">
        <v>65.800000000000011</v>
      </c>
      <c r="N35" s="21">
        <v>52.29999999999999</v>
      </c>
      <c r="O35" s="21">
        <v>37.299999999999997</v>
      </c>
      <c r="P35" s="21">
        <v>85.8</v>
      </c>
      <c r="Q35" s="21">
        <v>15.3</v>
      </c>
      <c r="R35" s="21">
        <v>125.8</v>
      </c>
      <c r="T35">
        <v>2002</v>
      </c>
      <c r="U35" s="21">
        <f t="shared" ca="1" si="35"/>
        <v>0</v>
      </c>
      <c r="V35" s="21">
        <f t="shared" ca="1" si="28"/>
        <v>0</v>
      </c>
      <c r="W35" s="21">
        <f t="shared" ca="1" si="28"/>
        <v>0</v>
      </c>
      <c r="X35" s="21">
        <f t="shared" ca="1" si="28"/>
        <v>3.3000000000000007</v>
      </c>
      <c r="Y35" s="21">
        <f t="shared" ca="1" si="28"/>
        <v>6</v>
      </c>
      <c r="Z35" s="21">
        <f t="shared" ca="1" si="28"/>
        <v>63.800000000000004</v>
      </c>
      <c r="AA35" s="21">
        <f t="shared" ca="1" si="28"/>
        <v>179.20000000000005</v>
      </c>
      <c r="AB35" s="21">
        <f t="shared" ca="1" si="28"/>
        <v>134.89999999999998</v>
      </c>
      <c r="AC35" s="21">
        <f t="shared" ca="1" si="28"/>
        <v>86.199999999999989</v>
      </c>
      <c r="AD35" s="21">
        <f t="shared" ca="1" si="28"/>
        <v>11.600000000000001</v>
      </c>
      <c r="AE35" s="21">
        <f t="shared" ca="1" si="28"/>
        <v>0</v>
      </c>
      <c r="AF35" s="21">
        <f t="shared" ca="1" si="28"/>
        <v>0</v>
      </c>
      <c r="AH35">
        <v>2002</v>
      </c>
      <c r="AI35" s="21">
        <f t="shared" ca="1" si="36"/>
        <v>0</v>
      </c>
      <c r="AJ35" s="21">
        <f t="shared" ca="1" si="29"/>
        <v>0</v>
      </c>
      <c r="AK35" s="21">
        <f t="shared" ca="1" si="29"/>
        <v>0</v>
      </c>
      <c r="AL35" s="21">
        <f t="shared" ca="1" si="29"/>
        <v>5.9000000000000021</v>
      </c>
      <c r="AM35" s="21">
        <f t="shared" ca="1" si="29"/>
        <v>12</v>
      </c>
      <c r="AN35" s="21">
        <f t="shared" ca="1" si="29"/>
        <v>98.4</v>
      </c>
      <c r="AO35" s="21">
        <f t="shared" ca="1" si="29"/>
        <v>240.20000000000005</v>
      </c>
      <c r="AP35" s="21">
        <f t="shared" ca="1" si="29"/>
        <v>196.90000000000003</v>
      </c>
      <c r="AQ35" s="21">
        <f t="shared" ca="1" si="29"/>
        <v>134.79999999999998</v>
      </c>
      <c r="AR35" s="21">
        <f t="shared" ca="1" si="29"/>
        <v>17.600000000000001</v>
      </c>
      <c r="AS35" s="21">
        <f t="shared" ca="1" si="29"/>
        <v>0</v>
      </c>
      <c r="AT35" s="21">
        <f t="shared" ca="1" si="29"/>
        <v>0</v>
      </c>
      <c r="AV35">
        <v>2002</v>
      </c>
      <c r="AW35" s="21">
        <f t="shared" ca="1" si="37"/>
        <v>0</v>
      </c>
      <c r="AX35" s="21">
        <f t="shared" ca="1" si="30"/>
        <v>0</v>
      </c>
      <c r="AY35" s="21">
        <f t="shared" ca="1" si="30"/>
        <v>0</v>
      </c>
      <c r="AZ35" s="21">
        <f t="shared" ca="1" si="30"/>
        <v>13.500000000000002</v>
      </c>
      <c r="BA35" s="21">
        <f t="shared" ca="1" si="30"/>
        <v>19.299999999999997</v>
      </c>
      <c r="BB35" s="21">
        <f t="shared" ca="1" si="30"/>
        <v>146.19999999999999</v>
      </c>
      <c r="BC35" s="21">
        <f t="shared" ca="1" si="30"/>
        <v>302.20000000000005</v>
      </c>
      <c r="BD35" s="21">
        <f t="shared" ca="1" si="30"/>
        <v>258.89999999999998</v>
      </c>
      <c r="BE35" s="21">
        <f t="shared" ca="1" si="30"/>
        <v>192.4</v>
      </c>
      <c r="BF35" s="21">
        <f t="shared" ca="1" si="30"/>
        <v>29.800000000000004</v>
      </c>
      <c r="BG35" s="21">
        <f t="shared" ca="1" si="30"/>
        <v>1.0999999999999996</v>
      </c>
      <c r="BH35" s="21">
        <f t="shared" ca="1" si="30"/>
        <v>0</v>
      </c>
      <c r="BJ35">
        <v>2002</v>
      </c>
      <c r="BK35" s="21">
        <f t="shared" ca="1" si="38"/>
        <v>0</v>
      </c>
      <c r="BL35" s="21">
        <f t="shared" ca="1" si="31"/>
        <v>0</v>
      </c>
      <c r="BM35" s="21">
        <f t="shared" ca="1" si="31"/>
        <v>0</v>
      </c>
      <c r="BN35" s="21">
        <f t="shared" ca="1" si="31"/>
        <v>25.5</v>
      </c>
      <c r="BO35" s="21">
        <f t="shared" ca="1" si="31"/>
        <v>38.5</v>
      </c>
      <c r="BP35" s="21">
        <f t="shared" ca="1" si="31"/>
        <v>199.99999999999997</v>
      </c>
      <c r="BQ35" s="21">
        <f t="shared" ca="1" si="31"/>
        <v>364.19999999999993</v>
      </c>
      <c r="BR35" s="21">
        <f t="shared" ca="1" si="31"/>
        <v>320.90000000000003</v>
      </c>
      <c r="BS35" s="21">
        <f t="shared" ca="1" si="31"/>
        <v>252.40000000000003</v>
      </c>
      <c r="BT35" s="21">
        <f t="shared" ca="1" si="31"/>
        <v>49.400000000000013</v>
      </c>
      <c r="BU35" s="21">
        <f t="shared" ca="1" si="31"/>
        <v>5.5</v>
      </c>
      <c r="BV35" s="21">
        <f t="shared" ca="1" si="31"/>
        <v>0</v>
      </c>
      <c r="BX35">
        <v>2002</v>
      </c>
      <c r="BY35" s="21">
        <f t="shared" ca="1" si="39"/>
        <v>0</v>
      </c>
      <c r="BZ35" s="21">
        <f t="shared" ca="1" si="32"/>
        <v>0</v>
      </c>
      <c r="CA35" s="21">
        <f t="shared" ca="1" si="32"/>
        <v>0</v>
      </c>
      <c r="CB35" s="21">
        <f t="shared" ca="1" si="32"/>
        <v>37.6</v>
      </c>
      <c r="CC35" s="21">
        <f t="shared" ca="1" si="32"/>
        <v>66.900000000000006</v>
      </c>
      <c r="CD35" s="21">
        <f t="shared" ca="1" si="32"/>
        <v>256.49999999999994</v>
      </c>
      <c r="CE35" s="21">
        <f t="shared" ca="1" si="32"/>
        <v>426.2</v>
      </c>
      <c r="CF35" s="21">
        <f t="shared" ca="1" si="32"/>
        <v>382.90000000000003</v>
      </c>
      <c r="CG35" s="21">
        <f t="shared" ca="1" si="32"/>
        <v>312.40000000000003</v>
      </c>
      <c r="CH35" s="21">
        <f t="shared" ca="1" si="32"/>
        <v>75.300000000000011</v>
      </c>
      <c r="CI35" s="21">
        <f t="shared" ca="1" si="32"/>
        <v>12.8</v>
      </c>
      <c r="CJ35" s="21">
        <f t="shared" ca="1" si="32"/>
        <v>0</v>
      </c>
      <c r="CL35">
        <v>2002</v>
      </c>
      <c r="CM35" s="21">
        <f t="shared" ca="1" si="40"/>
        <v>0</v>
      </c>
      <c r="CN35" s="21">
        <f t="shared" ca="1" si="33"/>
        <v>1.5999999999999996</v>
      </c>
      <c r="CO35" s="21">
        <f t="shared" ca="1" si="33"/>
        <v>0</v>
      </c>
      <c r="CP35" s="21">
        <f t="shared" ca="1" si="33"/>
        <v>55.3</v>
      </c>
      <c r="CQ35" s="21">
        <f t="shared" ca="1" si="33"/>
        <v>101.80000000000001</v>
      </c>
      <c r="CR35" s="21">
        <f t="shared" ca="1" si="33"/>
        <v>316.3</v>
      </c>
      <c r="CS35" s="21">
        <f t="shared" ca="1" si="33"/>
        <v>488.20000000000005</v>
      </c>
      <c r="CT35" s="21">
        <f t="shared" ca="1" si="33"/>
        <v>444.90000000000009</v>
      </c>
      <c r="CU35" s="21">
        <f t="shared" ca="1" si="33"/>
        <v>372.40000000000009</v>
      </c>
      <c r="CV35" s="21">
        <f t="shared" ca="1" si="33"/>
        <v>107.3</v>
      </c>
      <c r="CW35" s="21">
        <f t="shared" ca="1" si="33"/>
        <v>22.4</v>
      </c>
      <c r="CX35" s="21">
        <f t="shared" ca="1" si="33"/>
        <v>0</v>
      </c>
      <c r="CZ35">
        <v>2002</v>
      </c>
      <c r="DA35" s="21">
        <f t="shared" ca="1" si="41"/>
        <v>0</v>
      </c>
      <c r="DB35" s="21">
        <f t="shared" ca="1" si="34"/>
        <v>0</v>
      </c>
      <c r="DC35" s="21">
        <f t="shared" ca="1" si="34"/>
        <v>0</v>
      </c>
      <c r="DD35" s="21">
        <f t="shared" ca="1" si="34"/>
        <v>1.3000000000000007</v>
      </c>
      <c r="DE35" s="21">
        <f t="shared" ca="1" si="34"/>
        <v>1.8999999999999986</v>
      </c>
      <c r="DF35" s="21">
        <f t="shared" ca="1" si="34"/>
        <v>37.300000000000004</v>
      </c>
      <c r="DG35" s="21">
        <f t="shared" ca="1" si="34"/>
        <v>122.29999999999998</v>
      </c>
      <c r="DH35" s="21">
        <f t="shared" ca="1" si="34"/>
        <v>83.1</v>
      </c>
      <c r="DI35" s="21">
        <f t="shared" ca="1" si="34"/>
        <v>46.7</v>
      </c>
      <c r="DJ35" s="21">
        <f t="shared" ca="1" si="34"/>
        <v>5.6000000000000014</v>
      </c>
      <c r="DK35" s="21">
        <f t="shared" ca="1" si="34"/>
        <v>0</v>
      </c>
      <c r="DL35" s="21">
        <f t="shared" ca="1" si="34"/>
        <v>0</v>
      </c>
    </row>
    <row r="36" spans="1:116" x14ac:dyDescent="0.2">
      <c r="A36" s="13">
        <v>37196</v>
      </c>
      <c r="B36">
        <v>2001</v>
      </c>
      <c r="C36">
        <v>11</v>
      </c>
      <c r="D36" s="21">
        <v>8.3633333333333333</v>
      </c>
      <c r="E36" s="21">
        <v>349.1</v>
      </c>
      <c r="F36" s="21">
        <v>0</v>
      </c>
      <c r="G36" s="21">
        <v>289.10000000000002</v>
      </c>
      <c r="H36" s="21">
        <v>0</v>
      </c>
      <c r="I36" s="21">
        <v>229.1</v>
      </c>
      <c r="J36" s="21">
        <v>0</v>
      </c>
      <c r="K36" s="21">
        <v>170.4</v>
      </c>
      <c r="L36" s="21">
        <v>1.3000000000000007</v>
      </c>
      <c r="M36" s="21">
        <v>116.79999999999998</v>
      </c>
      <c r="N36" s="21">
        <v>7.7000000000000011</v>
      </c>
      <c r="O36" s="21">
        <v>69.100000000000009</v>
      </c>
      <c r="P36" s="21">
        <v>20</v>
      </c>
      <c r="Q36" s="21">
        <v>34</v>
      </c>
      <c r="R36" s="21">
        <v>44.899999999999991</v>
      </c>
      <c r="T36">
        <v>2003</v>
      </c>
      <c r="U36" s="21">
        <f t="shared" ca="1" si="35"/>
        <v>0</v>
      </c>
      <c r="V36" s="21">
        <f t="shared" ca="1" si="28"/>
        <v>0</v>
      </c>
      <c r="W36" s="21">
        <f t="shared" ca="1" si="28"/>
        <v>0</v>
      </c>
      <c r="X36" s="21">
        <f t="shared" ca="1" si="28"/>
        <v>1.5</v>
      </c>
      <c r="Y36" s="21">
        <f t="shared" ca="1" si="28"/>
        <v>0</v>
      </c>
      <c r="Z36" s="21">
        <f t="shared" ca="1" si="28"/>
        <v>53.300000000000004</v>
      </c>
      <c r="AA36" s="21">
        <f t="shared" ca="1" si="28"/>
        <v>87.4</v>
      </c>
      <c r="AB36" s="21">
        <f t="shared" ca="1" si="28"/>
        <v>119.00000000000003</v>
      </c>
      <c r="AC36" s="21">
        <f t="shared" ca="1" si="28"/>
        <v>14.500000000000007</v>
      </c>
      <c r="AD36" s="21">
        <f t="shared" ca="1" si="28"/>
        <v>0</v>
      </c>
      <c r="AE36" s="21">
        <f t="shared" ca="1" si="28"/>
        <v>0</v>
      </c>
      <c r="AF36" s="21">
        <f t="shared" ca="1" si="28"/>
        <v>0</v>
      </c>
      <c r="AH36">
        <v>2003</v>
      </c>
      <c r="AI36" s="21">
        <f t="shared" ca="1" si="36"/>
        <v>0</v>
      </c>
      <c r="AJ36" s="21">
        <f t="shared" ca="1" si="29"/>
        <v>0</v>
      </c>
      <c r="AK36" s="21">
        <f t="shared" ca="1" si="29"/>
        <v>0</v>
      </c>
      <c r="AL36" s="21">
        <f t="shared" ca="1" si="29"/>
        <v>4.8999999999999986</v>
      </c>
      <c r="AM36" s="21">
        <f t="shared" ca="1" si="29"/>
        <v>1</v>
      </c>
      <c r="AN36" s="21">
        <f t="shared" ca="1" si="29"/>
        <v>83</v>
      </c>
      <c r="AO36" s="21">
        <f t="shared" ca="1" si="29"/>
        <v>146.00000000000003</v>
      </c>
      <c r="AP36" s="21">
        <f t="shared" ca="1" si="29"/>
        <v>179.60000000000005</v>
      </c>
      <c r="AQ36" s="21">
        <f t="shared" ca="1" si="29"/>
        <v>53.300000000000004</v>
      </c>
      <c r="AR36" s="21">
        <f t="shared" ca="1" si="29"/>
        <v>0</v>
      </c>
      <c r="AS36" s="21">
        <f t="shared" ca="1" si="29"/>
        <v>0</v>
      </c>
      <c r="AT36" s="21">
        <f t="shared" ca="1" si="29"/>
        <v>0</v>
      </c>
      <c r="AV36">
        <v>2003</v>
      </c>
      <c r="AW36" s="21">
        <f t="shared" ca="1" si="37"/>
        <v>0</v>
      </c>
      <c r="AX36" s="21">
        <f t="shared" ca="1" si="30"/>
        <v>0</v>
      </c>
      <c r="AY36" s="21">
        <f t="shared" ca="1" si="30"/>
        <v>0</v>
      </c>
      <c r="AZ36" s="21">
        <f t="shared" ca="1" si="30"/>
        <v>9.3999999999999986</v>
      </c>
      <c r="BA36" s="21">
        <f t="shared" ca="1" si="30"/>
        <v>4</v>
      </c>
      <c r="BB36" s="21">
        <f t="shared" ca="1" si="30"/>
        <v>124</v>
      </c>
      <c r="BC36" s="21">
        <f t="shared" ca="1" si="30"/>
        <v>208</v>
      </c>
      <c r="BD36" s="21">
        <f t="shared" ca="1" si="30"/>
        <v>241.60000000000002</v>
      </c>
      <c r="BE36" s="21">
        <f t="shared" ca="1" si="30"/>
        <v>104.6</v>
      </c>
      <c r="BF36" s="21">
        <f t="shared" ca="1" si="30"/>
        <v>1.1999999999999993</v>
      </c>
      <c r="BG36" s="21">
        <f t="shared" ca="1" si="30"/>
        <v>0</v>
      </c>
      <c r="BH36" s="21">
        <f t="shared" ca="1" si="30"/>
        <v>0</v>
      </c>
      <c r="BJ36">
        <v>2003</v>
      </c>
      <c r="BK36" s="21">
        <f t="shared" ca="1" si="38"/>
        <v>0</v>
      </c>
      <c r="BL36" s="21">
        <f t="shared" ca="1" si="31"/>
        <v>0</v>
      </c>
      <c r="BM36" s="21">
        <f t="shared" ca="1" si="31"/>
        <v>0</v>
      </c>
      <c r="BN36" s="21">
        <f t="shared" ca="1" si="31"/>
        <v>15.399999999999999</v>
      </c>
      <c r="BO36" s="21">
        <f t="shared" ca="1" si="31"/>
        <v>16.8</v>
      </c>
      <c r="BP36" s="21">
        <f t="shared" ca="1" si="31"/>
        <v>170.09999999999997</v>
      </c>
      <c r="BQ36" s="21">
        <f t="shared" ca="1" si="31"/>
        <v>270</v>
      </c>
      <c r="BR36" s="21">
        <f t="shared" ca="1" si="31"/>
        <v>303.60000000000002</v>
      </c>
      <c r="BS36" s="21">
        <f t="shared" ca="1" si="31"/>
        <v>160.00000000000003</v>
      </c>
      <c r="BT36" s="21">
        <f t="shared" ca="1" si="31"/>
        <v>9.3999999999999986</v>
      </c>
      <c r="BU36" s="21">
        <f t="shared" ca="1" si="31"/>
        <v>1.1999999999999993</v>
      </c>
      <c r="BV36" s="21">
        <f t="shared" ca="1" si="31"/>
        <v>0</v>
      </c>
      <c r="BX36">
        <v>2003</v>
      </c>
      <c r="BY36" s="21">
        <f t="shared" ca="1" si="39"/>
        <v>0</v>
      </c>
      <c r="BZ36" s="21">
        <f t="shared" ca="1" si="32"/>
        <v>0</v>
      </c>
      <c r="CA36" s="21">
        <f t="shared" ca="1" si="32"/>
        <v>0</v>
      </c>
      <c r="CB36" s="21">
        <f t="shared" ca="1" si="32"/>
        <v>22.599999999999994</v>
      </c>
      <c r="CC36" s="21">
        <f t="shared" ca="1" si="32"/>
        <v>41.7</v>
      </c>
      <c r="CD36" s="21">
        <f t="shared" ca="1" si="32"/>
        <v>225.99999999999994</v>
      </c>
      <c r="CE36" s="21">
        <f t="shared" ca="1" si="32"/>
        <v>332</v>
      </c>
      <c r="CF36" s="21">
        <f t="shared" ca="1" si="32"/>
        <v>365.59999999999997</v>
      </c>
      <c r="CG36" s="21">
        <f t="shared" ca="1" si="32"/>
        <v>218.20000000000007</v>
      </c>
      <c r="CH36" s="21">
        <f t="shared" ca="1" si="32"/>
        <v>26.199999999999996</v>
      </c>
      <c r="CI36" s="21">
        <f t="shared" ca="1" si="32"/>
        <v>4.4999999999999982</v>
      </c>
      <c r="CJ36" s="21">
        <f t="shared" ca="1" si="32"/>
        <v>0</v>
      </c>
      <c r="CL36">
        <v>2003</v>
      </c>
      <c r="CM36" s="21">
        <f t="shared" ca="1" si="40"/>
        <v>0</v>
      </c>
      <c r="CN36" s="21">
        <f t="shared" ca="1" si="33"/>
        <v>0</v>
      </c>
      <c r="CO36" s="21">
        <f t="shared" ca="1" si="33"/>
        <v>3.7999999999999989</v>
      </c>
      <c r="CP36" s="21">
        <f t="shared" ca="1" si="33"/>
        <v>36.9</v>
      </c>
      <c r="CQ36" s="21">
        <f t="shared" ca="1" si="33"/>
        <v>85.9</v>
      </c>
      <c r="CR36" s="21">
        <f t="shared" ca="1" si="33"/>
        <v>285.20000000000005</v>
      </c>
      <c r="CS36" s="21">
        <f t="shared" ca="1" si="33"/>
        <v>394</v>
      </c>
      <c r="CT36" s="21">
        <f t="shared" ca="1" si="33"/>
        <v>427.59999999999997</v>
      </c>
      <c r="CU36" s="21">
        <f t="shared" ca="1" si="33"/>
        <v>278.2</v>
      </c>
      <c r="CV36" s="21">
        <f t="shared" ca="1" si="33"/>
        <v>54.800000000000004</v>
      </c>
      <c r="CW36" s="21">
        <f t="shared" ca="1" si="33"/>
        <v>15.699999999999998</v>
      </c>
      <c r="CX36" s="21">
        <f t="shared" ca="1" si="33"/>
        <v>0.19999999999999929</v>
      </c>
      <c r="CZ36">
        <v>2003</v>
      </c>
      <c r="DA36" s="21">
        <f t="shared" ca="1" si="41"/>
        <v>0</v>
      </c>
      <c r="DB36" s="21">
        <f t="shared" ca="1" si="34"/>
        <v>0</v>
      </c>
      <c r="DC36" s="21">
        <f t="shared" ca="1" si="34"/>
        <v>0</v>
      </c>
      <c r="DD36" s="21">
        <f t="shared" ca="1" si="34"/>
        <v>0</v>
      </c>
      <c r="DE36" s="21">
        <f t="shared" ca="1" si="34"/>
        <v>0</v>
      </c>
      <c r="DF36" s="21">
        <f t="shared" ca="1" si="34"/>
        <v>31.500000000000004</v>
      </c>
      <c r="DG36" s="21">
        <f t="shared" ca="1" si="34"/>
        <v>42.599999999999994</v>
      </c>
      <c r="DH36" s="21">
        <f t="shared" ca="1" si="34"/>
        <v>68.800000000000011</v>
      </c>
      <c r="DI36" s="21">
        <f t="shared" ca="1" si="34"/>
        <v>3.1000000000000014</v>
      </c>
      <c r="DJ36" s="21">
        <f t="shared" ca="1" si="34"/>
        <v>0</v>
      </c>
      <c r="DK36" s="21">
        <f t="shared" ca="1" si="34"/>
        <v>0</v>
      </c>
      <c r="DL36" s="21">
        <f t="shared" ca="1" si="34"/>
        <v>0</v>
      </c>
    </row>
    <row r="37" spans="1:116" x14ac:dyDescent="0.2">
      <c r="A37" s="13">
        <v>37226</v>
      </c>
      <c r="B37">
        <v>2001</v>
      </c>
      <c r="C37">
        <v>12</v>
      </c>
      <c r="D37" s="21">
        <v>3.0322580645161286</v>
      </c>
      <c r="E37" s="21">
        <v>525.99999999999989</v>
      </c>
      <c r="F37" s="21">
        <v>0</v>
      </c>
      <c r="G37" s="21">
        <v>463.99999999999989</v>
      </c>
      <c r="H37" s="21">
        <v>0</v>
      </c>
      <c r="I37" s="21">
        <v>402</v>
      </c>
      <c r="J37" s="21">
        <v>0</v>
      </c>
      <c r="K37" s="21">
        <v>341.00000000000006</v>
      </c>
      <c r="L37" s="21">
        <v>1</v>
      </c>
      <c r="M37" s="21">
        <v>281.00000000000006</v>
      </c>
      <c r="N37" s="21">
        <v>3</v>
      </c>
      <c r="O37" s="21">
        <v>222.30000000000004</v>
      </c>
      <c r="P37" s="21">
        <v>6.3000000000000007</v>
      </c>
      <c r="Q37" s="21">
        <v>167.4</v>
      </c>
      <c r="R37" s="21">
        <v>13.400000000000002</v>
      </c>
      <c r="T37">
        <v>2004</v>
      </c>
      <c r="U37" s="21">
        <f t="shared" ca="1" si="35"/>
        <v>0</v>
      </c>
      <c r="V37" s="21">
        <f t="shared" ca="1" si="28"/>
        <v>0</v>
      </c>
      <c r="W37" s="21">
        <f t="shared" ca="1" si="28"/>
        <v>0</v>
      </c>
      <c r="X37" s="21">
        <f t="shared" ca="1" si="28"/>
        <v>0.69999999999999929</v>
      </c>
      <c r="Y37" s="21">
        <f t="shared" ca="1" si="28"/>
        <v>0.89999999999999858</v>
      </c>
      <c r="Z37" s="21">
        <f t="shared" ca="1" si="28"/>
        <v>31.599999999999998</v>
      </c>
      <c r="AA37" s="21">
        <f t="shared" ca="1" si="28"/>
        <v>75</v>
      </c>
      <c r="AB37" s="21">
        <f t="shared" ca="1" si="28"/>
        <v>66</v>
      </c>
      <c r="AC37" s="21">
        <f t="shared" ca="1" si="28"/>
        <v>55.199999999999989</v>
      </c>
      <c r="AD37" s="21">
        <f t="shared" ca="1" si="28"/>
        <v>1.1999999999999993</v>
      </c>
      <c r="AE37" s="21">
        <f t="shared" ca="1" si="28"/>
        <v>0</v>
      </c>
      <c r="AF37" s="21">
        <f t="shared" ca="1" si="28"/>
        <v>0</v>
      </c>
      <c r="AH37">
        <v>2004</v>
      </c>
      <c r="AI37" s="21">
        <f t="shared" ca="1" si="36"/>
        <v>0</v>
      </c>
      <c r="AJ37" s="21">
        <f t="shared" ca="1" si="29"/>
        <v>0</v>
      </c>
      <c r="AK37" s="21">
        <f t="shared" ca="1" si="29"/>
        <v>0</v>
      </c>
      <c r="AL37" s="21">
        <f t="shared" ca="1" si="29"/>
        <v>3.0999999999999979</v>
      </c>
      <c r="AM37" s="21">
        <f t="shared" ca="1" si="29"/>
        <v>5.0999999999999979</v>
      </c>
      <c r="AN37" s="21">
        <f t="shared" ca="1" si="29"/>
        <v>64.000000000000014</v>
      </c>
      <c r="AO37" s="21">
        <f t="shared" ca="1" si="29"/>
        <v>133.00000000000003</v>
      </c>
      <c r="AP37" s="21">
        <f t="shared" ca="1" si="29"/>
        <v>123.00000000000001</v>
      </c>
      <c r="AQ37" s="21">
        <f t="shared" ca="1" si="29"/>
        <v>101.4</v>
      </c>
      <c r="AR37" s="21">
        <f t="shared" ca="1" si="29"/>
        <v>5.8999999999999986</v>
      </c>
      <c r="AS37" s="21">
        <f t="shared" ca="1" si="29"/>
        <v>0</v>
      </c>
      <c r="AT37" s="21">
        <f t="shared" ca="1" si="29"/>
        <v>0</v>
      </c>
      <c r="AV37">
        <v>2004</v>
      </c>
      <c r="AW37" s="21">
        <f t="shared" ca="1" si="37"/>
        <v>0</v>
      </c>
      <c r="AX37" s="21">
        <f t="shared" ca="1" si="30"/>
        <v>0</v>
      </c>
      <c r="AY37" s="21">
        <f t="shared" ca="1" si="30"/>
        <v>0</v>
      </c>
      <c r="AZ37" s="21">
        <f t="shared" ca="1" si="30"/>
        <v>7.2999999999999972</v>
      </c>
      <c r="BA37" s="21">
        <f t="shared" ca="1" si="30"/>
        <v>20.399999999999999</v>
      </c>
      <c r="BB37" s="21">
        <f t="shared" ca="1" si="30"/>
        <v>109.39999999999998</v>
      </c>
      <c r="BC37" s="21">
        <f t="shared" ca="1" si="30"/>
        <v>194.99999999999997</v>
      </c>
      <c r="BD37" s="21">
        <f t="shared" ca="1" si="30"/>
        <v>183.79999999999998</v>
      </c>
      <c r="BE37" s="21">
        <f t="shared" ca="1" si="30"/>
        <v>153.79999999999995</v>
      </c>
      <c r="BF37" s="21">
        <f t="shared" ca="1" si="30"/>
        <v>18.100000000000001</v>
      </c>
      <c r="BG37" s="21">
        <f t="shared" ca="1" si="30"/>
        <v>0</v>
      </c>
      <c r="BH37" s="21">
        <f t="shared" ca="1" si="30"/>
        <v>0</v>
      </c>
      <c r="BJ37">
        <v>2004</v>
      </c>
      <c r="BK37" s="21">
        <f t="shared" ca="1" si="38"/>
        <v>0</v>
      </c>
      <c r="BL37" s="21">
        <f t="shared" ca="1" si="31"/>
        <v>0</v>
      </c>
      <c r="BM37" s="21">
        <f t="shared" ca="1" si="31"/>
        <v>2</v>
      </c>
      <c r="BN37" s="21">
        <f t="shared" ca="1" si="31"/>
        <v>14.199999999999996</v>
      </c>
      <c r="BO37" s="21">
        <f t="shared" ca="1" si="31"/>
        <v>48.200000000000017</v>
      </c>
      <c r="BP37" s="21">
        <f t="shared" ca="1" si="31"/>
        <v>164.79999999999998</v>
      </c>
      <c r="BQ37" s="21">
        <f t="shared" ca="1" si="31"/>
        <v>257</v>
      </c>
      <c r="BR37" s="21">
        <f t="shared" ca="1" si="31"/>
        <v>245.79999999999998</v>
      </c>
      <c r="BS37" s="21">
        <f t="shared" ca="1" si="31"/>
        <v>212.39999999999998</v>
      </c>
      <c r="BT37" s="21">
        <f t="shared" ca="1" si="31"/>
        <v>35.200000000000003</v>
      </c>
      <c r="BU37" s="21">
        <f t="shared" ca="1" si="31"/>
        <v>0</v>
      </c>
      <c r="BV37" s="21">
        <f t="shared" ca="1" si="31"/>
        <v>0</v>
      </c>
      <c r="BX37">
        <v>2004</v>
      </c>
      <c r="BY37" s="21">
        <f t="shared" ca="1" si="39"/>
        <v>0</v>
      </c>
      <c r="BZ37" s="21">
        <f t="shared" ca="1" si="32"/>
        <v>0</v>
      </c>
      <c r="CA37" s="21">
        <f t="shared" ca="1" si="32"/>
        <v>5.6</v>
      </c>
      <c r="CB37" s="21">
        <f t="shared" ca="1" si="32"/>
        <v>27.899999999999995</v>
      </c>
      <c r="CC37" s="21">
        <f t="shared" ca="1" si="32"/>
        <v>91.399999999999991</v>
      </c>
      <c r="CD37" s="21">
        <f t="shared" ca="1" si="32"/>
        <v>224</v>
      </c>
      <c r="CE37" s="21">
        <f t="shared" ca="1" si="32"/>
        <v>319</v>
      </c>
      <c r="CF37" s="21">
        <f t="shared" ca="1" si="32"/>
        <v>307.8</v>
      </c>
      <c r="CG37" s="21">
        <f t="shared" ca="1" si="32"/>
        <v>272.40000000000003</v>
      </c>
      <c r="CH37" s="21">
        <f t="shared" ca="1" si="32"/>
        <v>60.399999999999991</v>
      </c>
      <c r="CI37" s="21">
        <f t="shared" ca="1" si="32"/>
        <v>3.0999999999999996</v>
      </c>
      <c r="CJ37" s="21">
        <f t="shared" ca="1" si="32"/>
        <v>0</v>
      </c>
      <c r="CL37">
        <v>2004</v>
      </c>
      <c r="CM37" s="21">
        <f t="shared" ca="1" si="40"/>
        <v>1.4000000000000004</v>
      </c>
      <c r="CN37" s="21">
        <f t="shared" ca="1" si="33"/>
        <v>0</v>
      </c>
      <c r="CO37" s="21">
        <f t="shared" ca="1" si="33"/>
        <v>11.7</v>
      </c>
      <c r="CP37" s="21">
        <f t="shared" ca="1" si="33"/>
        <v>44.099999999999994</v>
      </c>
      <c r="CQ37" s="21">
        <f t="shared" ca="1" si="33"/>
        <v>142.99999999999994</v>
      </c>
      <c r="CR37" s="21">
        <f t="shared" ca="1" si="33"/>
        <v>284</v>
      </c>
      <c r="CS37" s="21">
        <f t="shared" ca="1" si="33"/>
        <v>381</v>
      </c>
      <c r="CT37" s="21">
        <f t="shared" ca="1" si="33"/>
        <v>369.8</v>
      </c>
      <c r="CU37" s="21">
        <f t="shared" ca="1" si="33"/>
        <v>332.40000000000003</v>
      </c>
      <c r="CV37" s="21">
        <f t="shared" ca="1" si="33"/>
        <v>100.5</v>
      </c>
      <c r="CW37" s="21">
        <f t="shared" ca="1" si="33"/>
        <v>15.7</v>
      </c>
      <c r="CX37" s="21">
        <f t="shared" ca="1" si="33"/>
        <v>0.30000000000000071</v>
      </c>
      <c r="CZ37">
        <v>2004</v>
      </c>
      <c r="DA37" s="21">
        <f t="shared" ca="1" si="41"/>
        <v>0</v>
      </c>
      <c r="DB37" s="21">
        <f t="shared" ca="1" si="34"/>
        <v>0</v>
      </c>
      <c r="DC37" s="21">
        <f t="shared" ca="1" si="34"/>
        <v>0</v>
      </c>
      <c r="DD37" s="21">
        <f t="shared" ca="1" si="34"/>
        <v>0</v>
      </c>
      <c r="DE37" s="21">
        <f t="shared" ca="1" si="34"/>
        <v>0</v>
      </c>
      <c r="DF37" s="21">
        <f t="shared" ca="1" si="34"/>
        <v>14.699999999999996</v>
      </c>
      <c r="DG37" s="21">
        <f t="shared" ca="1" si="34"/>
        <v>33.400000000000006</v>
      </c>
      <c r="DH37" s="21">
        <f t="shared" ca="1" si="34"/>
        <v>28.1</v>
      </c>
      <c r="DI37" s="21">
        <f t="shared" ca="1" si="34"/>
        <v>22.5</v>
      </c>
      <c r="DJ37" s="21">
        <f t="shared" ca="1" si="34"/>
        <v>0</v>
      </c>
      <c r="DK37" s="21">
        <f t="shared" ca="1" si="34"/>
        <v>0</v>
      </c>
      <c r="DL37" s="21">
        <f t="shared" ca="1" si="34"/>
        <v>0</v>
      </c>
    </row>
    <row r="38" spans="1:116" x14ac:dyDescent="0.2">
      <c r="A38" s="13">
        <v>37257</v>
      </c>
      <c r="B38">
        <v>2002</v>
      </c>
      <c r="C38">
        <v>1</v>
      </c>
      <c r="D38" s="21">
        <v>1.0129032258064514</v>
      </c>
      <c r="E38" s="21">
        <v>588.6</v>
      </c>
      <c r="F38" s="21">
        <v>0</v>
      </c>
      <c r="G38" s="21">
        <v>526.59999999999991</v>
      </c>
      <c r="H38" s="21">
        <v>0</v>
      </c>
      <c r="I38" s="21">
        <v>464.59999999999997</v>
      </c>
      <c r="J38" s="21">
        <v>0</v>
      </c>
      <c r="K38" s="21">
        <v>402.59999999999997</v>
      </c>
      <c r="L38" s="21">
        <v>0</v>
      </c>
      <c r="M38" s="21">
        <v>340.59999999999997</v>
      </c>
      <c r="N38" s="21">
        <v>0</v>
      </c>
      <c r="O38" s="21">
        <v>278.60000000000008</v>
      </c>
      <c r="P38" s="21">
        <v>0</v>
      </c>
      <c r="Q38" s="21">
        <v>216.60000000000005</v>
      </c>
      <c r="R38" s="21">
        <v>0</v>
      </c>
      <c r="T38">
        <v>2005</v>
      </c>
      <c r="U38" s="21">
        <f t="shared" ca="1" si="35"/>
        <v>0</v>
      </c>
      <c r="V38" s="21">
        <f t="shared" ca="1" si="28"/>
        <v>0</v>
      </c>
      <c r="W38" s="21">
        <f t="shared" ca="1" si="28"/>
        <v>0</v>
      </c>
      <c r="X38" s="21">
        <f t="shared" ca="1" si="28"/>
        <v>0</v>
      </c>
      <c r="Y38" s="21">
        <f t="shared" ca="1" si="28"/>
        <v>0</v>
      </c>
      <c r="Z38" s="21">
        <f t="shared" ca="1" si="28"/>
        <v>113.8</v>
      </c>
      <c r="AA38" s="21">
        <f t="shared" ca="1" si="28"/>
        <v>170.79999999999998</v>
      </c>
      <c r="AB38" s="21">
        <f t="shared" ca="1" si="28"/>
        <v>151.79999999999998</v>
      </c>
      <c r="AC38" s="21">
        <f t="shared" ca="1" si="28"/>
        <v>74.599999999999994</v>
      </c>
      <c r="AD38" s="21">
        <f t="shared" ca="1" si="28"/>
        <v>3.8000000000000007</v>
      </c>
      <c r="AE38" s="21">
        <f t="shared" ca="1" si="28"/>
        <v>0</v>
      </c>
      <c r="AF38" s="21">
        <f t="shared" ca="1" si="28"/>
        <v>0</v>
      </c>
      <c r="AH38">
        <v>2005</v>
      </c>
      <c r="AI38" s="21">
        <f t="shared" ca="1" si="36"/>
        <v>0</v>
      </c>
      <c r="AJ38" s="21">
        <f t="shared" ca="1" si="29"/>
        <v>0</v>
      </c>
      <c r="AK38" s="21">
        <f t="shared" ca="1" si="29"/>
        <v>0</v>
      </c>
      <c r="AL38" s="21">
        <f t="shared" ca="1" si="29"/>
        <v>0</v>
      </c>
      <c r="AM38" s="21">
        <f t="shared" ca="1" si="29"/>
        <v>3.9000000000000021</v>
      </c>
      <c r="AN38" s="21">
        <f t="shared" ca="1" si="29"/>
        <v>161.90000000000003</v>
      </c>
      <c r="AO38" s="21">
        <f t="shared" ca="1" si="29"/>
        <v>231.29999999999998</v>
      </c>
      <c r="AP38" s="21">
        <f t="shared" ca="1" si="29"/>
        <v>213.79999999999993</v>
      </c>
      <c r="AQ38" s="21">
        <f t="shared" ca="1" si="29"/>
        <v>126.7</v>
      </c>
      <c r="AR38" s="21">
        <f t="shared" ca="1" si="29"/>
        <v>11.8</v>
      </c>
      <c r="AS38" s="21">
        <f t="shared" ca="1" si="29"/>
        <v>0</v>
      </c>
      <c r="AT38" s="21">
        <f t="shared" ca="1" si="29"/>
        <v>0</v>
      </c>
      <c r="AV38">
        <v>2005</v>
      </c>
      <c r="AW38" s="21">
        <f t="shared" ca="1" si="37"/>
        <v>0</v>
      </c>
      <c r="AX38" s="21">
        <f t="shared" ca="1" si="30"/>
        <v>0</v>
      </c>
      <c r="AY38" s="21">
        <f t="shared" ca="1" si="30"/>
        <v>0</v>
      </c>
      <c r="AZ38" s="21">
        <f t="shared" ca="1" si="30"/>
        <v>1.4000000000000004</v>
      </c>
      <c r="BA38" s="21">
        <f t="shared" ca="1" si="30"/>
        <v>17.200000000000003</v>
      </c>
      <c r="BB38" s="21">
        <f t="shared" ca="1" si="30"/>
        <v>220.2</v>
      </c>
      <c r="BC38" s="21">
        <f t="shared" ca="1" si="30"/>
        <v>293.3</v>
      </c>
      <c r="BD38" s="21">
        <f t="shared" ca="1" si="30"/>
        <v>275.79999999999995</v>
      </c>
      <c r="BE38" s="21">
        <f t="shared" ca="1" si="30"/>
        <v>184.6</v>
      </c>
      <c r="BF38" s="21">
        <f t="shared" ca="1" si="30"/>
        <v>21.900000000000002</v>
      </c>
      <c r="BG38" s="21">
        <f t="shared" ca="1" si="30"/>
        <v>0.29999999999999893</v>
      </c>
      <c r="BH38" s="21">
        <f t="shared" ca="1" si="30"/>
        <v>0</v>
      </c>
      <c r="BJ38">
        <v>2005</v>
      </c>
      <c r="BK38" s="21">
        <f t="shared" ca="1" si="38"/>
        <v>0</v>
      </c>
      <c r="BL38" s="21">
        <f t="shared" ca="1" si="31"/>
        <v>0</v>
      </c>
      <c r="BM38" s="21">
        <f t="shared" ca="1" si="31"/>
        <v>0</v>
      </c>
      <c r="BN38" s="21">
        <f t="shared" ca="1" si="31"/>
        <v>4</v>
      </c>
      <c r="BO38" s="21">
        <f t="shared" ca="1" si="31"/>
        <v>38</v>
      </c>
      <c r="BP38" s="21">
        <f t="shared" ca="1" si="31"/>
        <v>280.20000000000005</v>
      </c>
      <c r="BQ38" s="21">
        <f t="shared" ca="1" si="31"/>
        <v>355.3</v>
      </c>
      <c r="BR38" s="21">
        <f t="shared" ca="1" si="31"/>
        <v>337.8</v>
      </c>
      <c r="BS38" s="21">
        <f t="shared" ca="1" si="31"/>
        <v>244.6</v>
      </c>
      <c r="BT38" s="21">
        <f t="shared" ca="1" si="31"/>
        <v>42.000000000000014</v>
      </c>
      <c r="BU38" s="21">
        <f t="shared" ca="1" si="31"/>
        <v>7.6999999999999993</v>
      </c>
      <c r="BV38" s="21">
        <f t="shared" ca="1" si="31"/>
        <v>0</v>
      </c>
      <c r="BX38">
        <v>2005</v>
      </c>
      <c r="BY38" s="21">
        <f t="shared" ca="1" si="39"/>
        <v>0</v>
      </c>
      <c r="BZ38" s="21">
        <f t="shared" ca="1" si="32"/>
        <v>0</v>
      </c>
      <c r="CA38" s="21">
        <f t="shared" ca="1" si="32"/>
        <v>0</v>
      </c>
      <c r="CB38" s="21">
        <f t="shared" ca="1" si="32"/>
        <v>12.5</v>
      </c>
      <c r="CC38" s="21">
        <f t="shared" ca="1" si="32"/>
        <v>68.099999999999994</v>
      </c>
      <c r="CD38" s="21">
        <f t="shared" ca="1" si="32"/>
        <v>340.20000000000005</v>
      </c>
      <c r="CE38" s="21">
        <f t="shared" ca="1" si="32"/>
        <v>417.3</v>
      </c>
      <c r="CF38" s="21">
        <f t="shared" ca="1" si="32"/>
        <v>399.8</v>
      </c>
      <c r="CG38" s="21">
        <f t="shared" ca="1" si="32"/>
        <v>304.59999999999997</v>
      </c>
      <c r="CH38" s="21">
        <f t="shared" ca="1" si="32"/>
        <v>79.100000000000009</v>
      </c>
      <c r="CI38" s="21">
        <f t="shared" ca="1" si="32"/>
        <v>23.5</v>
      </c>
      <c r="CJ38" s="21">
        <f t="shared" ca="1" si="32"/>
        <v>0</v>
      </c>
      <c r="CL38">
        <v>2005</v>
      </c>
      <c r="CM38" s="21">
        <f t="shared" ca="1" si="40"/>
        <v>1.6999999999999993</v>
      </c>
      <c r="CN38" s="21">
        <f t="shared" ca="1" si="33"/>
        <v>0</v>
      </c>
      <c r="CO38" s="21">
        <f t="shared" ca="1" si="33"/>
        <v>1.5999999999999996</v>
      </c>
      <c r="CP38" s="21">
        <f t="shared" ca="1" si="33"/>
        <v>26.099999999999998</v>
      </c>
      <c r="CQ38" s="21">
        <f t="shared" ca="1" si="33"/>
        <v>112.19999999999999</v>
      </c>
      <c r="CR38" s="21">
        <f t="shared" ca="1" si="33"/>
        <v>400.2</v>
      </c>
      <c r="CS38" s="21">
        <f t="shared" ca="1" si="33"/>
        <v>479.3</v>
      </c>
      <c r="CT38" s="21">
        <f t="shared" ca="1" si="33"/>
        <v>461.8</v>
      </c>
      <c r="CU38" s="21">
        <f t="shared" ca="1" si="33"/>
        <v>364.59999999999991</v>
      </c>
      <c r="CV38" s="21">
        <f t="shared" ca="1" si="33"/>
        <v>123.09999999999998</v>
      </c>
      <c r="CW38" s="21">
        <f t="shared" ca="1" si="33"/>
        <v>50.9</v>
      </c>
      <c r="CX38" s="21">
        <f t="shared" ca="1" si="33"/>
        <v>0</v>
      </c>
      <c r="CZ38">
        <v>2005</v>
      </c>
      <c r="DA38" s="21">
        <f t="shared" ca="1" si="41"/>
        <v>0</v>
      </c>
      <c r="DB38" s="21">
        <f t="shared" ca="1" si="34"/>
        <v>0</v>
      </c>
      <c r="DC38" s="21">
        <f t="shared" ca="1" si="34"/>
        <v>0</v>
      </c>
      <c r="DD38" s="21">
        <f t="shared" ca="1" si="34"/>
        <v>0</v>
      </c>
      <c r="DE38" s="21">
        <f t="shared" ca="1" si="34"/>
        <v>0</v>
      </c>
      <c r="DF38" s="21">
        <f t="shared" ca="1" si="34"/>
        <v>73.699999999999989</v>
      </c>
      <c r="DG38" s="21">
        <f t="shared" ca="1" si="34"/>
        <v>113</v>
      </c>
      <c r="DH38" s="21">
        <f t="shared" ca="1" si="34"/>
        <v>92.899999999999991</v>
      </c>
      <c r="DI38" s="21">
        <f t="shared" ca="1" si="34"/>
        <v>32.9</v>
      </c>
      <c r="DJ38" s="21">
        <f t="shared" ca="1" si="34"/>
        <v>1.1000000000000014</v>
      </c>
      <c r="DK38" s="21">
        <f t="shared" ca="1" si="34"/>
        <v>0</v>
      </c>
      <c r="DL38" s="21">
        <f t="shared" ca="1" si="34"/>
        <v>0</v>
      </c>
    </row>
    <row r="39" spans="1:116" x14ac:dyDescent="0.2">
      <c r="A39" s="13">
        <v>37288</v>
      </c>
      <c r="B39">
        <v>2002</v>
      </c>
      <c r="C39">
        <v>2</v>
      </c>
      <c r="D39" s="21">
        <v>-1.7857142857142714E-2</v>
      </c>
      <c r="E39" s="21">
        <v>560.49999999999989</v>
      </c>
      <c r="F39" s="21">
        <v>0</v>
      </c>
      <c r="G39" s="21">
        <v>504.5</v>
      </c>
      <c r="H39" s="21">
        <v>0</v>
      </c>
      <c r="I39" s="21">
        <v>448.5</v>
      </c>
      <c r="J39" s="21">
        <v>0</v>
      </c>
      <c r="K39" s="21">
        <v>392.5</v>
      </c>
      <c r="L39" s="21">
        <v>0</v>
      </c>
      <c r="M39" s="21">
        <v>336.49999999999994</v>
      </c>
      <c r="N39" s="21">
        <v>0</v>
      </c>
      <c r="O39" s="21">
        <v>280.49999999999994</v>
      </c>
      <c r="P39" s="21">
        <v>0</v>
      </c>
      <c r="Q39" s="21">
        <v>226.1</v>
      </c>
      <c r="R39" s="21">
        <v>1.5999999999999996</v>
      </c>
      <c r="T39">
        <v>2006</v>
      </c>
      <c r="U39" s="21">
        <f t="shared" ca="1" si="35"/>
        <v>0</v>
      </c>
      <c r="V39" s="21">
        <f t="shared" ca="1" si="28"/>
        <v>0</v>
      </c>
      <c r="W39" s="21">
        <f t="shared" ca="1" si="28"/>
        <v>0</v>
      </c>
      <c r="X39" s="21">
        <f t="shared" ca="1" si="28"/>
        <v>0</v>
      </c>
      <c r="Y39" s="21">
        <f t="shared" ca="1" si="28"/>
        <v>19</v>
      </c>
      <c r="Z39" s="21">
        <f t="shared" ca="1" si="28"/>
        <v>63.699999999999989</v>
      </c>
      <c r="AA39" s="21">
        <f t="shared" ca="1" si="28"/>
        <v>150.79999999999998</v>
      </c>
      <c r="AB39" s="21">
        <f t="shared" ca="1" si="28"/>
        <v>106.29999999999998</v>
      </c>
      <c r="AC39" s="21">
        <f t="shared" ca="1" si="28"/>
        <v>13.600000000000001</v>
      </c>
      <c r="AD39" s="21">
        <f t="shared" ca="1" si="28"/>
        <v>0</v>
      </c>
      <c r="AE39" s="21">
        <f t="shared" ca="1" si="28"/>
        <v>0</v>
      </c>
      <c r="AF39" s="21">
        <f t="shared" ca="1" si="28"/>
        <v>0</v>
      </c>
      <c r="AH39">
        <v>2006</v>
      </c>
      <c r="AI39" s="21">
        <f t="shared" ca="1" si="36"/>
        <v>0</v>
      </c>
      <c r="AJ39" s="21">
        <f t="shared" ca="1" si="29"/>
        <v>0</v>
      </c>
      <c r="AK39" s="21">
        <f t="shared" ca="1" si="29"/>
        <v>0</v>
      </c>
      <c r="AL39" s="21">
        <f t="shared" ca="1" si="29"/>
        <v>0</v>
      </c>
      <c r="AM39" s="21">
        <f t="shared" ca="1" si="29"/>
        <v>26.900000000000002</v>
      </c>
      <c r="AN39" s="21">
        <f t="shared" ca="1" si="29"/>
        <v>111.10000000000001</v>
      </c>
      <c r="AO39" s="21">
        <f t="shared" ca="1" si="29"/>
        <v>212</v>
      </c>
      <c r="AP39" s="21">
        <f t="shared" ca="1" si="29"/>
        <v>166.40000000000003</v>
      </c>
      <c r="AQ39" s="21">
        <f t="shared" ca="1" si="29"/>
        <v>40.900000000000006</v>
      </c>
      <c r="AR39" s="21">
        <f t="shared" ca="1" si="29"/>
        <v>1.5</v>
      </c>
      <c r="AS39" s="21">
        <f t="shared" ca="1" si="29"/>
        <v>0</v>
      </c>
      <c r="AT39" s="21">
        <f t="shared" ca="1" si="29"/>
        <v>0</v>
      </c>
      <c r="AV39">
        <v>2006</v>
      </c>
      <c r="AW39" s="21">
        <f t="shared" ca="1" si="37"/>
        <v>0</v>
      </c>
      <c r="AX39" s="21">
        <f t="shared" ca="1" si="30"/>
        <v>0</v>
      </c>
      <c r="AY39" s="21">
        <f t="shared" ca="1" si="30"/>
        <v>0</v>
      </c>
      <c r="AZ39" s="21">
        <f t="shared" ca="1" si="30"/>
        <v>9.9999999999999645E-2</v>
      </c>
      <c r="BA39" s="21">
        <f t="shared" ca="1" si="30"/>
        <v>45</v>
      </c>
      <c r="BB39" s="21">
        <f t="shared" ca="1" si="30"/>
        <v>165.2</v>
      </c>
      <c r="BC39" s="21">
        <f t="shared" ca="1" si="30"/>
        <v>274</v>
      </c>
      <c r="BD39" s="21">
        <f t="shared" ca="1" si="30"/>
        <v>228.40000000000003</v>
      </c>
      <c r="BE39" s="21">
        <f t="shared" ca="1" si="30"/>
        <v>83.799999999999983</v>
      </c>
      <c r="BF39" s="21">
        <f t="shared" ca="1" si="30"/>
        <v>9.3000000000000007</v>
      </c>
      <c r="BG39" s="21">
        <f t="shared" ca="1" si="30"/>
        <v>0</v>
      </c>
      <c r="BH39" s="21">
        <f t="shared" ca="1" si="30"/>
        <v>0</v>
      </c>
      <c r="BJ39">
        <v>2006</v>
      </c>
      <c r="BK39" s="21">
        <f t="shared" ca="1" si="38"/>
        <v>0</v>
      </c>
      <c r="BL39" s="21">
        <f t="shared" ca="1" si="31"/>
        <v>0</v>
      </c>
      <c r="BM39" s="21">
        <f t="shared" ca="1" si="31"/>
        <v>0</v>
      </c>
      <c r="BN39" s="21">
        <f t="shared" ca="1" si="31"/>
        <v>2.4000000000000004</v>
      </c>
      <c r="BO39" s="21">
        <f t="shared" ca="1" si="31"/>
        <v>71</v>
      </c>
      <c r="BP39" s="21">
        <f t="shared" ca="1" si="31"/>
        <v>224.49999999999997</v>
      </c>
      <c r="BQ39" s="21">
        <f t="shared" ca="1" si="31"/>
        <v>335.99999999999994</v>
      </c>
      <c r="BR39" s="21">
        <f t="shared" ca="1" si="31"/>
        <v>290.40000000000003</v>
      </c>
      <c r="BS39" s="21">
        <f t="shared" ca="1" si="31"/>
        <v>135.99999999999997</v>
      </c>
      <c r="BT39" s="21">
        <f t="shared" ca="1" si="31"/>
        <v>26.3</v>
      </c>
      <c r="BU39" s="21">
        <f t="shared" ca="1" si="31"/>
        <v>0</v>
      </c>
      <c r="BV39" s="21">
        <f t="shared" ca="1" si="31"/>
        <v>0</v>
      </c>
      <c r="BX39">
        <v>2006</v>
      </c>
      <c r="BY39" s="21">
        <f t="shared" ca="1" si="39"/>
        <v>0</v>
      </c>
      <c r="BZ39" s="21">
        <f t="shared" ca="1" si="32"/>
        <v>0</v>
      </c>
      <c r="CA39" s="21">
        <f t="shared" ca="1" si="32"/>
        <v>2</v>
      </c>
      <c r="CB39" s="21">
        <f t="shared" ca="1" si="32"/>
        <v>10.8</v>
      </c>
      <c r="CC39" s="21">
        <f t="shared" ca="1" si="32"/>
        <v>113.49999999999999</v>
      </c>
      <c r="CD39" s="21">
        <f t="shared" ca="1" si="32"/>
        <v>284.49999999999994</v>
      </c>
      <c r="CE39" s="21">
        <f t="shared" ca="1" si="32"/>
        <v>397.99999999999994</v>
      </c>
      <c r="CF39" s="21">
        <f t="shared" ca="1" si="32"/>
        <v>352.40000000000003</v>
      </c>
      <c r="CG39" s="21">
        <f t="shared" ca="1" si="32"/>
        <v>194.49999999999997</v>
      </c>
      <c r="CH39" s="21">
        <f t="shared" ca="1" si="32"/>
        <v>50.000000000000014</v>
      </c>
      <c r="CI39" s="21">
        <f t="shared" ca="1" si="32"/>
        <v>3</v>
      </c>
      <c r="CJ39" s="21">
        <f t="shared" ca="1" si="32"/>
        <v>0</v>
      </c>
      <c r="CL39">
        <v>2006</v>
      </c>
      <c r="CM39" s="21">
        <f t="shared" ca="1" si="40"/>
        <v>0</v>
      </c>
      <c r="CN39" s="21">
        <f t="shared" ca="1" si="33"/>
        <v>0</v>
      </c>
      <c r="CO39" s="21">
        <f t="shared" ca="1" si="33"/>
        <v>7</v>
      </c>
      <c r="CP39" s="21">
        <f t="shared" ca="1" si="33"/>
        <v>28.299999999999997</v>
      </c>
      <c r="CQ39" s="21">
        <f t="shared" ca="1" si="33"/>
        <v>170.30000000000004</v>
      </c>
      <c r="CR39" s="21">
        <f t="shared" ca="1" si="33"/>
        <v>344.49999999999994</v>
      </c>
      <c r="CS39" s="21">
        <f t="shared" ca="1" si="33"/>
        <v>459.99999999999994</v>
      </c>
      <c r="CT39" s="21">
        <f t="shared" ca="1" si="33"/>
        <v>414.4</v>
      </c>
      <c r="CU39" s="21">
        <f t="shared" ca="1" si="33"/>
        <v>254.5</v>
      </c>
      <c r="CV39" s="21">
        <f t="shared" ca="1" si="33"/>
        <v>82.6</v>
      </c>
      <c r="CW39" s="21">
        <f t="shared" ca="1" si="33"/>
        <v>14.899999999999999</v>
      </c>
      <c r="CX39" s="21">
        <f t="shared" ca="1" si="33"/>
        <v>1.4999999999999982</v>
      </c>
      <c r="CZ39">
        <v>2006</v>
      </c>
      <c r="DA39" s="21">
        <f t="shared" ca="1" si="41"/>
        <v>0</v>
      </c>
      <c r="DB39" s="21">
        <f t="shared" ca="1" si="34"/>
        <v>0</v>
      </c>
      <c r="DC39" s="21">
        <f t="shared" ca="1" si="34"/>
        <v>0</v>
      </c>
      <c r="DD39" s="21">
        <f t="shared" ca="1" si="34"/>
        <v>0</v>
      </c>
      <c r="DE39" s="21">
        <f t="shared" ca="1" si="34"/>
        <v>13</v>
      </c>
      <c r="DF39" s="21">
        <f t="shared" ca="1" si="34"/>
        <v>32.9</v>
      </c>
      <c r="DG39" s="21">
        <f t="shared" ca="1" si="34"/>
        <v>97.6</v>
      </c>
      <c r="DH39" s="21">
        <f t="shared" ca="1" si="34"/>
        <v>56.8</v>
      </c>
      <c r="DI39" s="21">
        <f t="shared" ca="1" si="34"/>
        <v>2.5</v>
      </c>
      <c r="DJ39" s="21">
        <f t="shared" ca="1" si="34"/>
        <v>0</v>
      </c>
      <c r="DK39" s="21">
        <f t="shared" ca="1" si="34"/>
        <v>0</v>
      </c>
      <c r="DL39" s="21">
        <f t="shared" ca="1" si="34"/>
        <v>0</v>
      </c>
    </row>
    <row r="40" spans="1:116" x14ac:dyDescent="0.2">
      <c r="A40" s="13">
        <v>37316</v>
      </c>
      <c r="B40">
        <v>2002</v>
      </c>
      <c r="C40">
        <v>3</v>
      </c>
      <c r="D40" s="21">
        <v>1.5096774193548386</v>
      </c>
      <c r="E40" s="21">
        <v>573.20000000000005</v>
      </c>
      <c r="F40" s="21">
        <v>0</v>
      </c>
      <c r="G40" s="21">
        <v>511.2</v>
      </c>
      <c r="H40" s="21">
        <v>0</v>
      </c>
      <c r="I40" s="21">
        <v>449.2</v>
      </c>
      <c r="J40" s="21">
        <v>0</v>
      </c>
      <c r="K40" s="21">
        <v>387.20000000000005</v>
      </c>
      <c r="L40" s="21">
        <v>0</v>
      </c>
      <c r="M40" s="21">
        <v>325.20000000000005</v>
      </c>
      <c r="N40" s="21">
        <v>0</v>
      </c>
      <c r="O40" s="21">
        <v>263.2</v>
      </c>
      <c r="P40" s="21">
        <v>0</v>
      </c>
      <c r="Q40" s="21">
        <v>201.19999999999996</v>
      </c>
      <c r="R40" s="21">
        <v>0</v>
      </c>
      <c r="T40">
        <v>2007</v>
      </c>
      <c r="U40" s="21">
        <f t="shared" ca="1" si="35"/>
        <v>0</v>
      </c>
      <c r="V40" s="21">
        <f t="shared" ca="1" si="28"/>
        <v>0</v>
      </c>
      <c r="W40" s="21">
        <f t="shared" ca="1" si="28"/>
        <v>0</v>
      </c>
      <c r="X40" s="21">
        <f t="shared" ca="1" si="28"/>
        <v>0</v>
      </c>
      <c r="Y40" s="21">
        <f t="shared" ca="1" si="28"/>
        <v>14.599999999999998</v>
      </c>
      <c r="Z40" s="21">
        <f t="shared" ca="1" si="28"/>
        <v>94.1</v>
      </c>
      <c r="AA40" s="21">
        <f t="shared" ca="1" si="28"/>
        <v>85.700000000000017</v>
      </c>
      <c r="AB40" s="21">
        <f t="shared" ca="1" si="28"/>
        <v>132.1</v>
      </c>
      <c r="AC40" s="21">
        <f t="shared" ca="1" si="28"/>
        <v>53.000000000000007</v>
      </c>
      <c r="AD40" s="21">
        <f t="shared" ca="1" si="28"/>
        <v>22.1</v>
      </c>
      <c r="AE40" s="21">
        <f t="shared" ca="1" si="28"/>
        <v>0</v>
      </c>
      <c r="AF40" s="21">
        <f t="shared" ca="1" si="28"/>
        <v>0</v>
      </c>
      <c r="AH40">
        <v>2007</v>
      </c>
      <c r="AI40" s="21">
        <f t="shared" ca="1" si="36"/>
        <v>0</v>
      </c>
      <c r="AJ40" s="21">
        <f t="shared" ca="1" si="29"/>
        <v>0</v>
      </c>
      <c r="AK40" s="21">
        <f t="shared" ca="1" si="29"/>
        <v>0</v>
      </c>
      <c r="AL40" s="21">
        <f t="shared" ca="1" si="29"/>
        <v>1.6000000000000014</v>
      </c>
      <c r="AM40" s="21">
        <f t="shared" ca="1" si="29"/>
        <v>27.9</v>
      </c>
      <c r="AN40" s="21">
        <f t="shared" ca="1" si="29"/>
        <v>144</v>
      </c>
      <c r="AO40" s="21">
        <f t="shared" ca="1" si="29"/>
        <v>146.1</v>
      </c>
      <c r="AP40" s="21">
        <f t="shared" ca="1" si="29"/>
        <v>191.50000000000003</v>
      </c>
      <c r="AQ40" s="21">
        <f t="shared" ca="1" si="29"/>
        <v>94.199999999999989</v>
      </c>
      <c r="AR40" s="21">
        <f t="shared" ca="1" si="29"/>
        <v>43.100000000000009</v>
      </c>
      <c r="AS40" s="21">
        <f t="shared" ca="1" si="29"/>
        <v>0</v>
      </c>
      <c r="AT40" s="21">
        <f t="shared" ca="1" si="29"/>
        <v>0</v>
      </c>
      <c r="AV40">
        <v>2007</v>
      </c>
      <c r="AW40" s="21">
        <f t="shared" ca="1" si="37"/>
        <v>0</v>
      </c>
      <c r="AX40" s="21">
        <f t="shared" ca="1" si="30"/>
        <v>0</v>
      </c>
      <c r="AY40" s="21">
        <f t="shared" ca="1" si="30"/>
        <v>0</v>
      </c>
      <c r="AZ40" s="21">
        <f t="shared" ca="1" si="30"/>
        <v>5.9000000000000021</v>
      </c>
      <c r="BA40" s="21">
        <f t="shared" ca="1" si="30"/>
        <v>49.29999999999999</v>
      </c>
      <c r="BB40" s="21">
        <f t="shared" ca="1" si="30"/>
        <v>200.50000000000003</v>
      </c>
      <c r="BC40" s="21">
        <f t="shared" ca="1" si="30"/>
        <v>208.09999999999997</v>
      </c>
      <c r="BD40" s="21">
        <f t="shared" ca="1" si="30"/>
        <v>253.50000000000006</v>
      </c>
      <c r="BE40" s="21">
        <f t="shared" ca="1" si="30"/>
        <v>147.19999999999999</v>
      </c>
      <c r="BF40" s="21">
        <f t="shared" ca="1" si="30"/>
        <v>68.900000000000006</v>
      </c>
      <c r="BG40" s="21">
        <f t="shared" ca="1" si="30"/>
        <v>0</v>
      </c>
      <c r="BH40" s="21">
        <f t="shared" ca="1" si="30"/>
        <v>0</v>
      </c>
      <c r="BJ40">
        <v>2007</v>
      </c>
      <c r="BK40" s="21">
        <f t="shared" ca="1" si="38"/>
        <v>0</v>
      </c>
      <c r="BL40" s="21">
        <f t="shared" ca="1" si="31"/>
        <v>0</v>
      </c>
      <c r="BM40" s="21">
        <f t="shared" ca="1" si="31"/>
        <v>0</v>
      </c>
      <c r="BN40" s="21">
        <f t="shared" ca="1" si="31"/>
        <v>13.700000000000003</v>
      </c>
      <c r="BO40" s="21">
        <f t="shared" ca="1" si="31"/>
        <v>77.800000000000011</v>
      </c>
      <c r="BP40" s="21">
        <f t="shared" ca="1" si="31"/>
        <v>260.5</v>
      </c>
      <c r="BQ40" s="21">
        <f t="shared" ca="1" si="31"/>
        <v>270.09999999999997</v>
      </c>
      <c r="BR40" s="21">
        <f t="shared" ca="1" si="31"/>
        <v>315.50000000000011</v>
      </c>
      <c r="BS40" s="21">
        <f t="shared" ca="1" si="31"/>
        <v>204.6</v>
      </c>
      <c r="BT40" s="21">
        <f t="shared" ca="1" si="31"/>
        <v>106.19999999999999</v>
      </c>
      <c r="BU40" s="21">
        <f t="shared" ca="1" si="31"/>
        <v>1.4000000000000004</v>
      </c>
      <c r="BV40" s="21">
        <f t="shared" ca="1" si="31"/>
        <v>0</v>
      </c>
      <c r="BX40">
        <v>2007</v>
      </c>
      <c r="BY40" s="21">
        <f t="shared" ca="1" si="39"/>
        <v>0</v>
      </c>
      <c r="BZ40" s="21">
        <f t="shared" ca="1" si="32"/>
        <v>0</v>
      </c>
      <c r="CA40" s="21">
        <f t="shared" ca="1" si="32"/>
        <v>1.3000000000000007</v>
      </c>
      <c r="CB40" s="21">
        <f t="shared" ca="1" si="32"/>
        <v>26.200000000000003</v>
      </c>
      <c r="CC40" s="21">
        <f t="shared" ca="1" si="32"/>
        <v>115.30000000000001</v>
      </c>
      <c r="CD40" s="21">
        <f t="shared" ca="1" si="32"/>
        <v>320.5</v>
      </c>
      <c r="CE40" s="21">
        <f t="shared" ca="1" si="32"/>
        <v>332.09999999999997</v>
      </c>
      <c r="CF40" s="21">
        <f t="shared" ca="1" si="32"/>
        <v>377.5</v>
      </c>
      <c r="CG40" s="21">
        <f t="shared" ca="1" si="32"/>
        <v>263.89999999999998</v>
      </c>
      <c r="CH40" s="21">
        <f t="shared" ca="1" si="32"/>
        <v>156.39999999999995</v>
      </c>
      <c r="CI40" s="21">
        <f t="shared" ca="1" si="32"/>
        <v>3.6999999999999993</v>
      </c>
      <c r="CJ40" s="21">
        <f t="shared" ca="1" si="32"/>
        <v>0</v>
      </c>
      <c r="CL40">
        <v>2007</v>
      </c>
      <c r="CM40" s="21">
        <f t="shared" ca="1" si="40"/>
        <v>1.2999999999999989</v>
      </c>
      <c r="CN40" s="21">
        <f t="shared" ca="1" si="33"/>
        <v>0</v>
      </c>
      <c r="CO40" s="21">
        <f t="shared" ca="1" si="33"/>
        <v>6.5000000000000018</v>
      </c>
      <c r="CP40" s="21">
        <f t="shared" ca="1" si="33"/>
        <v>44.599999999999994</v>
      </c>
      <c r="CQ40" s="21">
        <f t="shared" ca="1" si="33"/>
        <v>166.89999999999998</v>
      </c>
      <c r="CR40" s="21">
        <f t="shared" ca="1" si="33"/>
        <v>380.49999999999994</v>
      </c>
      <c r="CS40" s="21">
        <f t="shared" ca="1" si="33"/>
        <v>394.09999999999997</v>
      </c>
      <c r="CT40" s="21">
        <f t="shared" ca="1" si="33"/>
        <v>439.5</v>
      </c>
      <c r="CU40" s="21">
        <f t="shared" ca="1" si="33"/>
        <v>323.89999999999998</v>
      </c>
      <c r="CV40" s="21">
        <f t="shared" ca="1" si="33"/>
        <v>214.79999999999995</v>
      </c>
      <c r="CW40" s="21">
        <f t="shared" ca="1" si="33"/>
        <v>12.299999999999999</v>
      </c>
      <c r="CX40" s="21">
        <f t="shared" ca="1" si="33"/>
        <v>0</v>
      </c>
      <c r="CZ40">
        <v>2007</v>
      </c>
      <c r="DA40" s="21">
        <f t="shared" ca="1" si="41"/>
        <v>0</v>
      </c>
      <c r="DB40" s="21">
        <f t="shared" ca="1" si="34"/>
        <v>0</v>
      </c>
      <c r="DC40" s="21">
        <f t="shared" ca="1" si="34"/>
        <v>0</v>
      </c>
      <c r="DD40" s="21">
        <f t="shared" ca="1" si="34"/>
        <v>0</v>
      </c>
      <c r="DE40" s="21">
        <f t="shared" ca="1" si="34"/>
        <v>6.1999999999999993</v>
      </c>
      <c r="DF40" s="21">
        <f t="shared" ca="1" si="34"/>
        <v>53.7</v>
      </c>
      <c r="DG40" s="21">
        <f t="shared" ca="1" si="34"/>
        <v>40</v>
      </c>
      <c r="DH40" s="21">
        <f t="shared" ca="1" si="34"/>
        <v>81.3</v>
      </c>
      <c r="DI40" s="21">
        <f t="shared" ca="1" si="34"/>
        <v>25.700000000000003</v>
      </c>
      <c r="DJ40" s="21">
        <f t="shared" ca="1" si="34"/>
        <v>7.4999999999999964</v>
      </c>
      <c r="DK40" s="21">
        <f t="shared" ca="1" si="34"/>
        <v>0</v>
      </c>
      <c r="DL40" s="21">
        <f t="shared" ca="1" si="34"/>
        <v>0</v>
      </c>
    </row>
    <row r="41" spans="1:116" x14ac:dyDescent="0.2">
      <c r="A41" s="13">
        <v>37347</v>
      </c>
      <c r="B41">
        <v>2002</v>
      </c>
      <c r="C41">
        <v>4</v>
      </c>
      <c r="D41" s="21">
        <v>7.2500000000000009</v>
      </c>
      <c r="E41" s="21">
        <v>383.8</v>
      </c>
      <c r="F41" s="21">
        <v>1.3000000000000007</v>
      </c>
      <c r="G41" s="21">
        <v>325.8</v>
      </c>
      <c r="H41" s="21">
        <v>3.3000000000000007</v>
      </c>
      <c r="I41" s="21">
        <v>268.39999999999998</v>
      </c>
      <c r="J41" s="21">
        <v>5.9000000000000021</v>
      </c>
      <c r="K41" s="21">
        <v>216</v>
      </c>
      <c r="L41" s="21">
        <v>13.500000000000002</v>
      </c>
      <c r="M41" s="21">
        <v>168.00000000000003</v>
      </c>
      <c r="N41" s="21">
        <v>25.5</v>
      </c>
      <c r="O41" s="21">
        <v>120.10000000000001</v>
      </c>
      <c r="P41" s="21">
        <v>37.6</v>
      </c>
      <c r="Q41" s="21">
        <v>77.800000000000011</v>
      </c>
      <c r="R41" s="21">
        <v>55.3</v>
      </c>
      <c r="T41">
        <v>2008</v>
      </c>
      <c r="U41" s="21">
        <f t="shared" ca="1" si="35"/>
        <v>0</v>
      </c>
      <c r="V41" s="21">
        <f t="shared" ca="1" si="28"/>
        <v>0</v>
      </c>
      <c r="W41" s="21">
        <f t="shared" ca="1" si="28"/>
        <v>0</v>
      </c>
      <c r="X41" s="21">
        <f t="shared" ca="1" si="28"/>
        <v>0</v>
      </c>
      <c r="Y41" s="21">
        <f t="shared" ca="1" si="28"/>
        <v>2.5</v>
      </c>
      <c r="Z41" s="21">
        <f t="shared" ca="1" si="28"/>
        <v>67.7</v>
      </c>
      <c r="AA41" s="21">
        <f t="shared" ca="1" si="28"/>
        <v>114.70000000000002</v>
      </c>
      <c r="AB41" s="21">
        <f t="shared" ca="1" si="28"/>
        <v>71.3</v>
      </c>
      <c r="AC41" s="21">
        <f t="shared" ca="1" si="28"/>
        <v>34.6</v>
      </c>
      <c r="AD41" s="21">
        <f t="shared" ca="1" si="28"/>
        <v>1.1000000000000014</v>
      </c>
      <c r="AE41" s="21">
        <f t="shared" ca="1" si="28"/>
        <v>0</v>
      </c>
      <c r="AF41" s="21">
        <f t="shared" ca="1" si="28"/>
        <v>0</v>
      </c>
      <c r="AH41">
        <v>2008</v>
      </c>
      <c r="AI41" s="21">
        <f t="shared" ca="1" si="36"/>
        <v>0</v>
      </c>
      <c r="AJ41" s="21">
        <f t="shared" ca="1" si="29"/>
        <v>0</v>
      </c>
      <c r="AK41" s="21">
        <f t="shared" ca="1" si="29"/>
        <v>0</v>
      </c>
      <c r="AL41" s="21">
        <f t="shared" ca="1" si="29"/>
        <v>0</v>
      </c>
      <c r="AM41" s="21">
        <f t="shared" ca="1" si="29"/>
        <v>7</v>
      </c>
      <c r="AN41" s="21">
        <f t="shared" ca="1" si="29"/>
        <v>109.80000000000001</v>
      </c>
      <c r="AO41" s="21">
        <f t="shared" ca="1" si="29"/>
        <v>174.4</v>
      </c>
      <c r="AP41" s="21">
        <f t="shared" ca="1" si="29"/>
        <v>126.19999999999997</v>
      </c>
      <c r="AQ41" s="21">
        <f t="shared" ca="1" si="29"/>
        <v>66.7</v>
      </c>
      <c r="AR41" s="21">
        <f t="shared" ca="1" si="29"/>
        <v>3.2000000000000028</v>
      </c>
      <c r="AS41" s="21">
        <f t="shared" ca="1" si="29"/>
        <v>0</v>
      </c>
      <c r="AT41" s="21">
        <f t="shared" ca="1" si="29"/>
        <v>0</v>
      </c>
      <c r="AV41">
        <v>2008</v>
      </c>
      <c r="AW41" s="21">
        <f t="shared" ca="1" si="37"/>
        <v>0</v>
      </c>
      <c r="AX41" s="21">
        <f t="shared" ca="1" si="30"/>
        <v>0</v>
      </c>
      <c r="AY41" s="21">
        <f t="shared" ca="1" si="30"/>
        <v>0</v>
      </c>
      <c r="AZ41" s="21">
        <f t="shared" ca="1" si="30"/>
        <v>0</v>
      </c>
      <c r="BA41" s="21">
        <f t="shared" ca="1" si="30"/>
        <v>16.200000000000003</v>
      </c>
      <c r="BB41" s="21">
        <f t="shared" ca="1" si="30"/>
        <v>157.69999999999999</v>
      </c>
      <c r="BC41" s="21">
        <f t="shared" ca="1" si="30"/>
        <v>236.4</v>
      </c>
      <c r="BD41" s="21">
        <f t="shared" ca="1" si="30"/>
        <v>187.2</v>
      </c>
      <c r="BE41" s="21">
        <f t="shared" ca="1" si="30"/>
        <v>117.99999999999996</v>
      </c>
      <c r="BF41" s="21">
        <f t="shared" ca="1" si="30"/>
        <v>8.5000000000000036</v>
      </c>
      <c r="BG41" s="21">
        <f t="shared" ca="1" si="30"/>
        <v>1.3000000000000007</v>
      </c>
      <c r="BH41" s="21">
        <f t="shared" ca="1" si="30"/>
        <v>0</v>
      </c>
      <c r="BJ41">
        <v>2008</v>
      </c>
      <c r="BK41" s="21">
        <f t="shared" ca="1" si="38"/>
        <v>2.8000000000000007</v>
      </c>
      <c r="BL41" s="21">
        <f t="shared" ca="1" si="31"/>
        <v>0</v>
      </c>
      <c r="BM41" s="21">
        <f t="shared" ca="1" si="31"/>
        <v>0</v>
      </c>
      <c r="BN41" s="21">
        <f t="shared" ca="1" si="31"/>
        <v>4.5</v>
      </c>
      <c r="BO41" s="21">
        <f t="shared" ca="1" si="31"/>
        <v>38.299999999999997</v>
      </c>
      <c r="BP41" s="21">
        <f t="shared" ca="1" si="31"/>
        <v>215.5</v>
      </c>
      <c r="BQ41" s="21">
        <f t="shared" ca="1" si="31"/>
        <v>298.40000000000003</v>
      </c>
      <c r="BR41" s="21">
        <f t="shared" ca="1" si="31"/>
        <v>249.2</v>
      </c>
      <c r="BS41" s="21">
        <f t="shared" ca="1" si="31"/>
        <v>178</v>
      </c>
      <c r="BT41" s="21">
        <f t="shared" ca="1" si="31"/>
        <v>23.800000000000004</v>
      </c>
      <c r="BU41" s="21">
        <f t="shared" ca="1" si="31"/>
        <v>3.3000000000000007</v>
      </c>
      <c r="BV41" s="21">
        <f t="shared" ca="1" si="31"/>
        <v>0</v>
      </c>
      <c r="BX41">
        <v>2008</v>
      </c>
      <c r="BY41" s="21">
        <f t="shared" ca="1" si="39"/>
        <v>6.8000000000000007</v>
      </c>
      <c r="BZ41" s="21">
        <f t="shared" ca="1" si="32"/>
        <v>0</v>
      </c>
      <c r="CA41" s="21">
        <f t="shared" ca="1" si="32"/>
        <v>0</v>
      </c>
      <c r="CB41" s="21">
        <f t="shared" ca="1" si="32"/>
        <v>17.100000000000001</v>
      </c>
      <c r="CC41" s="21">
        <f t="shared" ca="1" si="32"/>
        <v>74.7</v>
      </c>
      <c r="CD41" s="21">
        <f t="shared" ca="1" si="32"/>
        <v>275.5</v>
      </c>
      <c r="CE41" s="21">
        <f t="shared" ca="1" si="32"/>
        <v>360.40000000000003</v>
      </c>
      <c r="CF41" s="21">
        <f t="shared" ca="1" si="32"/>
        <v>311.20000000000005</v>
      </c>
      <c r="CG41" s="21">
        <f t="shared" ca="1" si="32"/>
        <v>238.00000000000003</v>
      </c>
      <c r="CH41" s="21">
        <f t="shared" ca="1" si="32"/>
        <v>52.70000000000001</v>
      </c>
      <c r="CI41" s="21">
        <f t="shared" ca="1" si="32"/>
        <v>10.9</v>
      </c>
      <c r="CJ41" s="21">
        <f t="shared" ca="1" si="32"/>
        <v>0</v>
      </c>
      <c r="CL41">
        <v>2008</v>
      </c>
      <c r="CM41" s="21">
        <f t="shared" ca="1" si="40"/>
        <v>10.8</v>
      </c>
      <c r="CN41" s="21">
        <f t="shared" ca="1" si="33"/>
        <v>0</v>
      </c>
      <c r="CO41" s="21">
        <f t="shared" ca="1" si="33"/>
        <v>0</v>
      </c>
      <c r="CP41" s="21">
        <f t="shared" ca="1" si="33"/>
        <v>40.499999999999993</v>
      </c>
      <c r="CQ41" s="21">
        <f t="shared" ca="1" si="33"/>
        <v>126.69999999999999</v>
      </c>
      <c r="CR41" s="21">
        <f t="shared" ca="1" si="33"/>
        <v>335.5</v>
      </c>
      <c r="CS41" s="21">
        <f t="shared" ca="1" si="33"/>
        <v>422.40000000000003</v>
      </c>
      <c r="CT41" s="21">
        <f t="shared" ca="1" si="33"/>
        <v>373.2</v>
      </c>
      <c r="CU41" s="21">
        <f t="shared" ca="1" si="33"/>
        <v>298</v>
      </c>
      <c r="CV41" s="21">
        <f t="shared" ca="1" si="33"/>
        <v>96.799999999999983</v>
      </c>
      <c r="CW41" s="21">
        <f t="shared" ca="1" si="33"/>
        <v>22.699999999999996</v>
      </c>
      <c r="CX41" s="21">
        <f t="shared" ca="1" si="33"/>
        <v>1.5</v>
      </c>
      <c r="CZ41">
        <v>2008</v>
      </c>
      <c r="DA41" s="21">
        <f t="shared" ca="1" si="41"/>
        <v>0</v>
      </c>
      <c r="DB41" s="21">
        <f t="shared" ca="1" si="34"/>
        <v>0</v>
      </c>
      <c r="DC41" s="21">
        <f t="shared" ca="1" si="34"/>
        <v>0</v>
      </c>
      <c r="DD41" s="21">
        <f t="shared" ca="1" si="34"/>
        <v>0</v>
      </c>
      <c r="DE41" s="21">
        <f t="shared" ca="1" si="34"/>
        <v>0</v>
      </c>
      <c r="DF41" s="21">
        <f t="shared" ca="1" si="34"/>
        <v>32.700000000000003</v>
      </c>
      <c r="DG41" s="21">
        <f t="shared" ca="1" si="34"/>
        <v>63.599999999999994</v>
      </c>
      <c r="DH41" s="21">
        <f t="shared" ca="1" si="34"/>
        <v>32.099999999999994</v>
      </c>
      <c r="DI41" s="21">
        <f t="shared" ca="1" si="34"/>
        <v>15.800000000000004</v>
      </c>
      <c r="DJ41" s="21">
        <f t="shared" ca="1" si="34"/>
        <v>0</v>
      </c>
      <c r="DK41" s="21">
        <f t="shared" ca="1" si="34"/>
        <v>0</v>
      </c>
      <c r="DL41" s="21">
        <f t="shared" ca="1" si="34"/>
        <v>0</v>
      </c>
    </row>
    <row r="42" spans="1:116" x14ac:dyDescent="0.2">
      <c r="A42" s="13">
        <v>37377</v>
      </c>
      <c r="B42">
        <v>2002</v>
      </c>
      <c r="C42">
        <v>5</v>
      </c>
      <c r="D42" s="21">
        <v>10.848387096774193</v>
      </c>
      <c r="E42" s="21">
        <v>285.59999999999997</v>
      </c>
      <c r="F42" s="21">
        <v>1.8999999999999986</v>
      </c>
      <c r="G42" s="21">
        <v>227.70000000000005</v>
      </c>
      <c r="H42" s="21">
        <v>6</v>
      </c>
      <c r="I42" s="21">
        <v>171.70000000000007</v>
      </c>
      <c r="J42" s="21">
        <v>12</v>
      </c>
      <c r="K42" s="21">
        <v>117.00000000000001</v>
      </c>
      <c r="L42" s="21">
        <v>19.299999999999997</v>
      </c>
      <c r="M42" s="21">
        <v>74.200000000000017</v>
      </c>
      <c r="N42" s="21">
        <v>38.5</v>
      </c>
      <c r="O42" s="21">
        <v>40.599999999999994</v>
      </c>
      <c r="P42" s="21">
        <v>66.900000000000006</v>
      </c>
      <c r="Q42" s="21">
        <v>13.5</v>
      </c>
      <c r="R42" s="21">
        <v>101.80000000000001</v>
      </c>
      <c r="T42">
        <v>2009</v>
      </c>
      <c r="U42" s="21">
        <f t="shared" ca="1" si="35"/>
        <v>0</v>
      </c>
      <c r="V42" s="21">
        <f t="shared" ca="1" si="28"/>
        <v>0</v>
      </c>
      <c r="W42" s="21">
        <f t="shared" ca="1" si="28"/>
        <v>0</v>
      </c>
      <c r="X42" s="21">
        <f t="shared" ca="1" si="28"/>
        <v>0</v>
      </c>
      <c r="Y42" s="21">
        <f t="shared" ca="1" si="28"/>
        <v>5.4000000000000021</v>
      </c>
      <c r="Z42" s="21">
        <f t="shared" ca="1" si="28"/>
        <v>42.5</v>
      </c>
      <c r="AA42" s="21">
        <f t="shared" ca="1" si="28"/>
        <v>47.8</v>
      </c>
      <c r="AB42" s="21">
        <f t="shared" ca="1" si="28"/>
        <v>107</v>
      </c>
      <c r="AC42" s="21">
        <f t="shared" ca="1" si="28"/>
        <v>25.9</v>
      </c>
      <c r="AD42" s="21">
        <f t="shared" ca="1" si="28"/>
        <v>0</v>
      </c>
      <c r="AE42" s="21">
        <f t="shared" ca="1" si="28"/>
        <v>0</v>
      </c>
      <c r="AF42" s="21">
        <f t="shared" ca="1" si="28"/>
        <v>0</v>
      </c>
      <c r="AH42">
        <v>2009</v>
      </c>
      <c r="AI42" s="21">
        <f t="shared" ca="1" si="36"/>
        <v>0</v>
      </c>
      <c r="AJ42" s="21">
        <f t="shared" ca="1" si="29"/>
        <v>0</v>
      </c>
      <c r="AK42" s="21">
        <f t="shared" ca="1" si="29"/>
        <v>0</v>
      </c>
      <c r="AL42" s="21">
        <f t="shared" ca="1" si="29"/>
        <v>1.1000000000000014</v>
      </c>
      <c r="AM42" s="21">
        <f t="shared" ca="1" si="29"/>
        <v>12.700000000000003</v>
      </c>
      <c r="AN42" s="21">
        <f t="shared" ca="1" si="29"/>
        <v>72.800000000000011</v>
      </c>
      <c r="AO42" s="21">
        <f t="shared" ca="1" si="29"/>
        <v>100.39999999999998</v>
      </c>
      <c r="AP42" s="21">
        <f t="shared" ca="1" si="29"/>
        <v>164.2</v>
      </c>
      <c r="AQ42" s="21">
        <f t="shared" ca="1" si="29"/>
        <v>62.400000000000006</v>
      </c>
      <c r="AR42" s="21">
        <f t="shared" ca="1" si="29"/>
        <v>0</v>
      </c>
      <c r="AS42" s="21">
        <f t="shared" ca="1" si="29"/>
        <v>0</v>
      </c>
      <c r="AT42" s="21">
        <f t="shared" ca="1" si="29"/>
        <v>0</v>
      </c>
      <c r="AV42">
        <v>2009</v>
      </c>
      <c r="AW42" s="21">
        <f t="shared" ca="1" si="37"/>
        <v>0</v>
      </c>
      <c r="AX42" s="21">
        <f t="shared" ca="1" si="30"/>
        <v>0</v>
      </c>
      <c r="AY42" s="21">
        <f t="shared" ca="1" si="30"/>
        <v>0</v>
      </c>
      <c r="AZ42" s="21">
        <f t="shared" ca="1" si="30"/>
        <v>5.0000000000000018</v>
      </c>
      <c r="BA42" s="21">
        <f t="shared" ca="1" si="30"/>
        <v>26.000000000000004</v>
      </c>
      <c r="BB42" s="21">
        <f t="shared" ca="1" si="30"/>
        <v>112.60000000000002</v>
      </c>
      <c r="BC42" s="21">
        <f t="shared" ca="1" si="30"/>
        <v>162.30000000000004</v>
      </c>
      <c r="BD42" s="21">
        <f t="shared" ca="1" si="30"/>
        <v>226.19999999999996</v>
      </c>
      <c r="BE42" s="21">
        <f t="shared" ca="1" si="30"/>
        <v>111.20000000000003</v>
      </c>
      <c r="BF42" s="21">
        <f t="shared" ca="1" si="30"/>
        <v>0.89999999999999858</v>
      </c>
      <c r="BG42" s="21">
        <f t="shared" ca="1" si="30"/>
        <v>0</v>
      </c>
      <c r="BH42" s="21">
        <f t="shared" ca="1" si="30"/>
        <v>0</v>
      </c>
      <c r="BJ42">
        <v>2009</v>
      </c>
      <c r="BK42" s="21">
        <f t="shared" ca="1" si="38"/>
        <v>0</v>
      </c>
      <c r="BL42" s="21">
        <f t="shared" ca="1" si="31"/>
        <v>0</v>
      </c>
      <c r="BM42" s="21">
        <f t="shared" ca="1" si="31"/>
        <v>0</v>
      </c>
      <c r="BN42" s="21">
        <f t="shared" ca="1" si="31"/>
        <v>11.9</v>
      </c>
      <c r="BO42" s="21">
        <f t="shared" ca="1" si="31"/>
        <v>53.7</v>
      </c>
      <c r="BP42" s="21">
        <f t="shared" ca="1" si="31"/>
        <v>164.20000000000002</v>
      </c>
      <c r="BQ42" s="21">
        <f t="shared" ca="1" si="31"/>
        <v>224.3</v>
      </c>
      <c r="BR42" s="21">
        <f t="shared" ca="1" si="31"/>
        <v>288.2</v>
      </c>
      <c r="BS42" s="21">
        <f t="shared" ca="1" si="31"/>
        <v>167.79999999999995</v>
      </c>
      <c r="BT42" s="21">
        <f t="shared" ca="1" si="31"/>
        <v>9.5999999999999979</v>
      </c>
      <c r="BU42" s="21">
        <f t="shared" ca="1" si="31"/>
        <v>1.5</v>
      </c>
      <c r="BV42" s="21">
        <f t="shared" ca="1" si="31"/>
        <v>0</v>
      </c>
      <c r="BX42">
        <v>2009</v>
      </c>
      <c r="BY42" s="21">
        <f t="shared" ca="1" si="39"/>
        <v>0</v>
      </c>
      <c r="BZ42" s="21">
        <f t="shared" ca="1" si="32"/>
        <v>0</v>
      </c>
      <c r="CA42" s="21">
        <f t="shared" ca="1" si="32"/>
        <v>0.90000000000000036</v>
      </c>
      <c r="CB42" s="21">
        <f t="shared" ca="1" si="32"/>
        <v>24.700000000000003</v>
      </c>
      <c r="CC42" s="21">
        <f t="shared" ca="1" si="32"/>
        <v>92.499999999999986</v>
      </c>
      <c r="CD42" s="21">
        <f t="shared" ca="1" si="32"/>
        <v>223.3</v>
      </c>
      <c r="CE42" s="21">
        <f t="shared" ca="1" si="32"/>
        <v>286.3</v>
      </c>
      <c r="CF42" s="21">
        <f t="shared" ca="1" si="32"/>
        <v>350.20000000000005</v>
      </c>
      <c r="CG42" s="21">
        <f t="shared" ca="1" si="32"/>
        <v>225.79999999999995</v>
      </c>
      <c r="CH42" s="21">
        <f t="shared" ca="1" si="32"/>
        <v>35.600000000000009</v>
      </c>
      <c r="CI42" s="21">
        <f t="shared" ca="1" si="32"/>
        <v>5.4</v>
      </c>
      <c r="CJ42" s="21">
        <f t="shared" ca="1" si="32"/>
        <v>0</v>
      </c>
      <c r="CL42">
        <v>2009</v>
      </c>
      <c r="CM42" s="21">
        <f t="shared" ca="1" si="40"/>
        <v>0</v>
      </c>
      <c r="CN42" s="21">
        <f t="shared" ca="1" si="33"/>
        <v>0</v>
      </c>
      <c r="CO42" s="21">
        <f t="shared" ca="1" si="33"/>
        <v>4.5</v>
      </c>
      <c r="CP42" s="21">
        <f t="shared" ca="1" si="33"/>
        <v>39.5</v>
      </c>
      <c r="CQ42" s="21">
        <f t="shared" ca="1" si="33"/>
        <v>147.39999999999995</v>
      </c>
      <c r="CR42" s="21">
        <f t="shared" ca="1" si="33"/>
        <v>283.29999999999995</v>
      </c>
      <c r="CS42" s="21">
        <f t="shared" ca="1" si="33"/>
        <v>348.3</v>
      </c>
      <c r="CT42" s="21">
        <f t="shared" ca="1" si="33"/>
        <v>412.20000000000005</v>
      </c>
      <c r="CU42" s="21">
        <f t="shared" ca="1" si="33"/>
        <v>285.39999999999998</v>
      </c>
      <c r="CV42" s="21">
        <f t="shared" ca="1" si="33"/>
        <v>76.8</v>
      </c>
      <c r="CW42" s="21">
        <f t="shared" ca="1" si="33"/>
        <v>16.399999999999999</v>
      </c>
      <c r="CX42" s="21">
        <f t="shared" ca="1" si="33"/>
        <v>0.30000000000000071</v>
      </c>
      <c r="CZ42">
        <v>2009</v>
      </c>
      <c r="DA42" s="21">
        <f t="shared" ca="1" si="41"/>
        <v>0</v>
      </c>
      <c r="DB42" s="21">
        <f t="shared" ca="1" si="34"/>
        <v>0</v>
      </c>
      <c r="DC42" s="21">
        <f t="shared" ca="1" si="34"/>
        <v>0</v>
      </c>
      <c r="DD42" s="21">
        <f t="shared" ca="1" si="34"/>
        <v>0</v>
      </c>
      <c r="DE42" s="21">
        <f t="shared" ca="1" si="34"/>
        <v>1.3000000000000007</v>
      </c>
      <c r="DF42" s="21">
        <f t="shared" ca="1" si="34"/>
        <v>19.599999999999994</v>
      </c>
      <c r="DG42" s="21">
        <f t="shared" ca="1" si="34"/>
        <v>16.600000000000001</v>
      </c>
      <c r="DH42" s="21">
        <f t="shared" ca="1" si="34"/>
        <v>59.500000000000007</v>
      </c>
      <c r="DI42" s="21">
        <f t="shared" ca="1" si="34"/>
        <v>6.4999999999999964</v>
      </c>
      <c r="DJ42" s="21">
        <f t="shared" ca="1" si="34"/>
        <v>0</v>
      </c>
      <c r="DK42" s="21">
        <f t="shared" ca="1" si="34"/>
        <v>0</v>
      </c>
      <c r="DL42" s="21">
        <f t="shared" ca="1" si="34"/>
        <v>0</v>
      </c>
    </row>
    <row r="43" spans="1:116" x14ac:dyDescent="0.2">
      <c r="A43" s="13">
        <v>37408</v>
      </c>
      <c r="B43">
        <v>2002</v>
      </c>
      <c r="C43">
        <v>6</v>
      </c>
      <c r="D43" s="21">
        <v>18.54333333333334</v>
      </c>
      <c r="E43" s="21">
        <v>81.000000000000014</v>
      </c>
      <c r="F43" s="21">
        <v>37.300000000000004</v>
      </c>
      <c r="G43" s="21">
        <v>47.499999999999993</v>
      </c>
      <c r="H43" s="21">
        <v>63.800000000000004</v>
      </c>
      <c r="I43" s="21">
        <v>22.1</v>
      </c>
      <c r="J43" s="21">
        <v>98.4</v>
      </c>
      <c r="K43" s="21">
        <v>9.8999999999999986</v>
      </c>
      <c r="L43" s="21">
        <v>146.19999999999999</v>
      </c>
      <c r="M43" s="21">
        <v>3.6999999999999993</v>
      </c>
      <c r="N43" s="21">
        <v>199.99999999999997</v>
      </c>
      <c r="O43" s="21">
        <v>0.19999999999999929</v>
      </c>
      <c r="P43" s="21">
        <v>256.49999999999994</v>
      </c>
      <c r="Q43" s="21">
        <v>0</v>
      </c>
      <c r="R43" s="21">
        <v>316.3</v>
      </c>
      <c r="T43">
        <v>2010</v>
      </c>
      <c r="U43" s="21">
        <f t="shared" ca="1" si="35"/>
        <v>0</v>
      </c>
      <c r="V43" s="21">
        <f t="shared" ca="1" si="28"/>
        <v>0</v>
      </c>
      <c r="W43" s="21">
        <f t="shared" ca="1" si="28"/>
        <v>0</v>
      </c>
      <c r="X43" s="21">
        <f t="shared" ca="1" si="28"/>
        <v>0</v>
      </c>
      <c r="Y43" s="21">
        <f t="shared" ca="1" si="28"/>
        <v>24.800000000000004</v>
      </c>
      <c r="Z43" s="21">
        <f t="shared" ca="1" si="28"/>
        <v>61.399999999999991</v>
      </c>
      <c r="AA43" s="21">
        <f t="shared" ca="1" si="28"/>
        <v>168.40000000000003</v>
      </c>
      <c r="AB43" s="21">
        <f t="shared" ca="1" si="28"/>
        <v>145.69999999999996</v>
      </c>
      <c r="AC43" s="21">
        <f t="shared" ca="1" si="28"/>
        <v>36.1</v>
      </c>
      <c r="AD43" s="21">
        <f t="shared" ca="1" si="28"/>
        <v>0.19999999999999929</v>
      </c>
      <c r="AE43" s="21">
        <f t="shared" ca="1" si="28"/>
        <v>0</v>
      </c>
      <c r="AF43" s="21">
        <f t="shared" ca="1" si="28"/>
        <v>0</v>
      </c>
      <c r="AH43">
        <v>2010</v>
      </c>
      <c r="AI43" s="21">
        <f t="shared" ca="1" si="36"/>
        <v>0</v>
      </c>
      <c r="AJ43" s="21">
        <f t="shared" ca="1" si="29"/>
        <v>0</v>
      </c>
      <c r="AK43" s="21">
        <f t="shared" ca="1" si="29"/>
        <v>0</v>
      </c>
      <c r="AL43" s="21">
        <f t="shared" ca="1" si="29"/>
        <v>0</v>
      </c>
      <c r="AM43" s="21">
        <f t="shared" ca="1" si="29"/>
        <v>46.8</v>
      </c>
      <c r="AN43" s="21">
        <f t="shared" ca="1" si="29"/>
        <v>105</v>
      </c>
      <c r="AO43" s="21">
        <f t="shared" ca="1" si="29"/>
        <v>229.8</v>
      </c>
      <c r="AP43" s="21">
        <f t="shared" ca="1" si="29"/>
        <v>207.7</v>
      </c>
      <c r="AQ43" s="21">
        <f t="shared" ca="1" si="29"/>
        <v>56.8</v>
      </c>
      <c r="AR43" s="21">
        <f t="shared" ca="1" si="29"/>
        <v>3.4000000000000021</v>
      </c>
      <c r="AS43" s="21">
        <f t="shared" ca="1" si="29"/>
        <v>0</v>
      </c>
      <c r="AT43" s="21">
        <f t="shared" ca="1" si="29"/>
        <v>0</v>
      </c>
      <c r="AV43">
        <v>2010</v>
      </c>
      <c r="AW43" s="21">
        <f t="shared" ca="1" si="37"/>
        <v>0</v>
      </c>
      <c r="AX43" s="21">
        <f t="shared" ca="1" si="30"/>
        <v>0</v>
      </c>
      <c r="AY43" s="21">
        <f t="shared" ca="1" si="30"/>
        <v>0</v>
      </c>
      <c r="AZ43" s="21">
        <f t="shared" ca="1" si="30"/>
        <v>1.4000000000000004</v>
      </c>
      <c r="BA43" s="21">
        <f t="shared" ca="1" si="30"/>
        <v>76.900000000000006</v>
      </c>
      <c r="BB43" s="21">
        <f t="shared" ca="1" si="30"/>
        <v>161.1</v>
      </c>
      <c r="BC43" s="21">
        <f t="shared" ca="1" si="30"/>
        <v>291.7999999999999</v>
      </c>
      <c r="BD43" s="21">
        <f t="shared" ca="1" si="30"/>
        <v>269.7</v>
      </c>
      <c r="BE43" s="21">
        <f t="shared" ca="1" si="30"/>
        <v>94.4</v>
      </c>
      <c r="BF43" s="21">
        <f t="shared" ca="1" si="30"/>
        <v>13.500000000000002</v>
      </c>
      <c r="BG43" s="21">
        <f t="shared" ca="1" si="30"/>
        <v>0</v>
      </c>
      <c r="BH43" s="21">
        <f t="shared" ca="1" si="30"/>
        <v>0</v>
      </c>
      <c r="BJ43">
        <v>2010</v>
      </c>
      <c r="BK43" s="21">
        <f t="shared" ca="1" si="38"/>
        <v>0</v>
      </c>
      <c r="BL43" s="21">
        <f t="shared" ca="1" si="31"/>
        <v>0</v>
      </c>
      <c r="BM43" s="21">
        <f t="shared" ca="1" si="31"/>
        <v>0</v>
      </c>
      <c r="BN43" s="21">
        <f t="shared" ca="1" si="31"/>
        <v>9.6</v>
      </c>
      <c r="BO43" s="21">
        <f t="shared" ca="1" si="31"/>
        <v>115.5</v>
      </c>
      <c r="BP43" s="21">
        <f t="shared" ca="1" si="31"/>
        <v>221.10000000000002</v>
      </c>
      <c r="BQ43" s="21">
        <f t="shared" ca="1" si="31"/>
        <v>353.7999999999999</v>
      </c>
      <c r="BR43" s="21">
        <f t="shared" ca="1" si="31"/>
        <v>331.7</v>
      </c>
      <c r="BS43" s="21">
        <f t="shared" ca="1" si="31"/>
        <v>148.70000000000002</v>
      </c>
      <c r="BT43" s="21">
        <f t="shared" ca="1" si="31"/>
        <v>30.5</v>
      </c>
      <c r="BU43" s="21">
        <f t="shared" ca="1" si="31"/>
        <v>0.59999999999999964</v>
      </c>
      <c r="BV43" s="21">
        <f t="shared" ca="1" si="31"/>
        <v>0</v>
      </c>
      <c r="BX43">
        <v>2010</v>
      </c>
      <c r="BY43" s="21">
        <f t="shared" ca="1" si="39"/>
        <v>0</v>
      </c>
      <c r="BZ43" s="21">
        <f t="shared" ca="1" si="32"/>
        <v>0</v>
      </c>
      <c r="CA43" s="21">
        <f t="shared" ca="1" si="32"/>
        <v>2.3000000000000007</v>
      </c>
      <c r="CB43" s="21">
        <f t="shared" ca="1" si="32"/>
        <v>30.900000000000006</v>
      </c>
      <c r="CC43" s="21">
        <f t="shared" ca="1" si="32"/>
        <v>161</v>
      </c>
      <c r="CD43" s="21">
        <f t="shared" ca="1" si="32"/>
        <v>281.09999999999997</v>
      </c>
      <c r="CE43" s="21">
        <f t="shared" ca="1" si="32"/>
        <v>415.7999999999999</v>
      </c>
      <c r="CF43" s="21">
        <f t="shared" ca="1" si="32"/>
        <v>393.70000000000005</v>
      </c>
      <c r="CG43" s="21">
        <f t="shared" ca="1" si="32"/>
        <v>208.60000000000002</v>
      </c>
      <c r="CH43" s="21">
        <f t="shared" ca="1" si="32"/>
        <v>64.3</v>
      </c>
      <c r="CI43" s="21">
        <f t="shared" ca="1" si="32"/>
        <v>2.9000000000000004</v>
      </c>
      <c r="CJ43" s="21">
        <f t="shared" ca="1" si="32"/>
        <v>0</v>
      </c>
      <c r="CL43">
        <v>2010</v>
      </c>
      <c r="CM43" s="21">
        <f t="shared" ca="1" si="40"/>
        <v>0</v>
      </c>
      <c r="CN43" s="21">
        <f t="shared" ca="1" si="33"/>
        <v>0</v>
      </c>
      <c r="CO43" s="21">
        <f t="shared" ca="1" si="33"/>
        <v>10.5</v>
      </c>
      <c r="CP43" s="21">
        <f t="shared" ca="1" si="33"/>
        <v>62.500000000000007</v>
      </c>
      <c r="CQ43" s="21">
        <f t="shared" ca="1" si="33"/>
        <v>209</v>
      </c>
      <c r="CR43" s="21">
        <f t="shared" ca="1" si="33"/>
        <v>341.09999999999997</v>
      </c>
      <c r="CS43" s="21">
        <f t="shared" ca="1" si="33"/>
        <v>477.7999999999999</v>
      </c>
      <c r="CT43" s="21">
        <f t="shared" ca="1" si="33"/>
        <v>455.7</v>
      </c>
      <c r="CU43" s="21">
        <f t="shared" ca="1" si="33"/>
        <v>268.59999999999997</v>
      </c>
      <c r="CV43" s="21">
        <f t="shared" ca="1" si="33"/>
        <v>116.20000000000002</v>
      </c>
      <c r="CW43" s="21">
        <f t="shared" ca="1" si="33"/>
        <v>8.9</v>
      </c>
      <c r="CX43" s="21">
        <f t="shared" ca="1" si="33"/>
        <v>0.30000000000000071</v>
      </c>
      <c r="CZ43">
        <v>2010</v>
      </c>
      <c r="DA43" s="21">
        <f t="shared" ca="1" si="41"/>
        <v>0</v>
      </c>
      <c r="DB43" s="21">
        <f t="shared" ca="1" si="34"/>
        <v>0</v>
      </c>
      <c r="DC43" s="21">
        <f t="shared" ca="1" si="34"/>
        <v>0</v>
      </c>
      <c r="DD43" s="21">
        <f t="shared" ca="1" si="34"/>
        <v>0</v>
      </c>
      <c r="DE43" s="21">
        <f t="shared" ca="1" si="34"/>
        <v>9.600000000000005</v>
      </c>
      <c r="DF43" s="21">
        <f t="shared" ca="1" si="34"/>
        <v>28.699999999999996</v>
      </c>
      <c r="DG43" s="21">
        <f t="shared" ca="1" si="34"/>
        <v>112</v>
      </c>
      <c r="DH43" s="21">
        <f t="shared" ca="1" si="34"/>
        <v>89.800000000000011</v>
      </c>
      <c r="DI43" s="21">
        <f t="shared" ca="1" si="34"/>
        <v>22.5</v>
      </c>
      <c r="DJ43" s="21">
        <f t="shared" ca="1" si="34"/>
        <v>0</v>
      </c>
      <c r="DK43" s="21">
        <f t="shared" ca="1" si="34"/>
        <v>0</v>
      </c>
      <c r="DL43" s="21">
        <f t="shared" ca="1" si="34"/>
        <v>0</v>
      </c>
    </row>
    <row r="44" spans="1:116" x14ac:dyDescent="0.2">
      <c r="A44" s="13">
        <v>37438</v>
      </c>
      <c r="B44">
        <v>2002</v>
      </c>
      <c r="C44">
        <v>7</v>
      </c>
      <c r="D44" s="21">
        <v>23.748387096774191</v>
      </c>
      <c r="E44" s="21">
        <v>6.1000000000000014</v>
      </c>
      <c r="F44" s="21">
        <v>122.29999999999998</v>
      </c>
      <c r="G44" s="21">
        <v>1</v>
      </c>
      <c r="H44" s="21">
        <v>179.20000000000005</v>
      </c>
      <c r="I44" s="21">
        <v>0</v>
      </c>
      <c r="J44" s="21">
        <v>240.20000000000005</v>
      </c>
      <c r="K44" s="21">
        <v>0</v>
      </c>
      <c r="L44" s="21">
        <v>302.20000000000005</v>
      </c>
      <c r="M44" s="21">
        <v>0</v>
      </c>
      <c r="N44" s="21">
        <v>364.19999999999993</v>
      </c>
      <c r="O44" s="21">
        <v>0</v>
      </c>
      <c r="P44" s="21">
        <v>426.2</v>
      </c>
      <c r="Q44" s="21">
        <v>0</v>
      </c>
      <c r="R44" s="21">
        <v>488.20000000000005</v>
      </c>
      <c r="T44">
        <v>2011</v>
      </c>
      <c r="U44" s="21">
        <f t="shared" ca="1" si="35"/>
        <v>0</v>
      </c>
      <c r="V44" s="21">
        <f t="shared" ca="1" si="28"/>
        <v>0</v>
      </c>
      <c r="W44" s="21">
        <f t="shared" ca="1" si="28"/>
        <v>0</v>
      </c>
      <c r="X44" s="21">
        <f t="shared" ca="1" si="28"/>
        <v>0</v>
      </c>
      <c r="Y44" s="21">
        <f t="shared" ca="1" si="28"/>
        <v>4.6999999999999993</v>
      </c>
      <c r="Z44" s="21">
        <f t="shared" ca="1" si="28"/>
        <v>42</v>
      </c>
      <c r="AA44" s="21">
        <f t="shared" ca="1" si="28"/>
        <v>189.90000000000003</v>
      </c>
      <c r="AB44" s="21">
        <f t="shared" ca="1" si="28"/>
        <v>118.4</v>
      </c>
      <c r="AC44" s="21">
        <f t="shared" ca="1" si="28"/>
        <v>30.1</v>
      </c>
      <c r="AD44" s="21">
        <f t="shared" ca="1" si="28"/>
        <v>4.6999999999999993</v>
      </c>
      <c r="AE44" s="21">
        <f t="shared" ca="1" si="28"/>
        <v>0</v>
      </c>
      <c r="AF44" s="21">
        <f t="shared" ca="1" si="28"/>
        <v>0</v>
      </c>
      <c r="AH44">
        <v>2011</v>
      </c>
      <c r="AI44" s="21">
        <f t="shared" ca="1" si="36"/>
        <v>0</v>
      </c>
      <c r="AJ44" s="21">
        <f t="shared" ca="1" si="29"/>
        <v>0</v>
      </c>
      <c r="AK44" s="21">
        <f t="shared" ca="1" si="29"/>
        <v>0</v>
      </c>
      <c r="AL44" s="21">
        <f t="shared" ca="1" si="29"/>
        <v>0</v>
      </c>
      <c r="AM44" s="21">
        <f t="shared" ca="1" si="29"/>
        <v>9.8000000000000007</v>
      </c>
      <c r="AN44" s="21">
        <f t="shared" ca="1" si="29"/>
        <v>86.4</v>
      </c>
      <c r="AO44" s="21">
        <f t="shared" ca="1" si="29"/>
        <v>251.9</v>
      </c>
      <c r="AP44" s="21">
        <f t="shared" ca="1" si="29"/>
        <v>180.40000000000003</v>
      </c>
      <c r="AQ44" s="21">
        <f t="shared" ca="1" si="29"/>
        <v>65</v>
      </c>
      <c r="AR44" s="21">
        <f t="shared" ca="1" si="29"/>
        <v>11.599999999999998</v>
      </c>
      <c r="AS44" s="21">
        <f t="shared" ca="1" si="29"/>
        <v>0</v>
      </c>
      <c r="AT44" s="21">
        <f t="shared" ca="1" si="29"/>
        <v>0</v>
      </c>
      <c r="AV44">
        <v>2011</v>
      </c>
      <c r="AW44" s="21">
        <f t="shared" ca="1" si="37"/>
        <v>0</v>
      </c>
      <c r="AX44" s="21">
        <f t="shared" ca="1" si="30"/>
        <v>0</v>
      </c>
      <c r="AY44" s="21">
        <f t="shared" ca="1" si="30"/>
        <v>0</v>
      </c>
      <c r="AZ44" s="21">
        <f t="shared" ca="1" si="30"/>
        <v>0</v>
      </c>
      <c r="BA44" s="21">
        <f t="shared" ca="1" si="30"/>
        <v>22.700000000000003</v>
      </c>
      <c r="BB44" s="21">
        <f t="shared" ca="1" si="30"/>
        <v>139.9</v>
      </c>
      <c r="BC44" s="21">
        <f t="shared" ca="1" si="30"/>
        <v>313.90000000000003</v>
      </c>
      <c r="BD44" s="21">
        <f t="shared" ca="1" si="30"/>
        <v>242.40000000000003</v>
      </c>
      <c r="BE44" s="21">
        <f t="shared" ca="1" si="30"/>
        <v>114.19999999999996</v>
      </c>
      <c r="BF44" s="21">
        <f t="shared" ca="1" si="30"/>
        <v>27.4</v>
      </c>
      <c r="BG44" s="21">
        <f t="shared" ca="1" si="30"/>
        <v>0.99999999999999822</v>
      </c>
      <c r="BH44" s="21">
        <f t="shared" ca="1" si="30"/>
        <v>0</v>
      </c>
      <c r="BJ44">
        <v>2011</v>
      </c>
      <c r="BK44" s="21">
        <f t="shared" ca="1" si="38"/>
        <v>0</v>
      </c>
      <c r="BL44" s="21">
        <f t="shared" ca="1" si="31"/>
        <v>0</v>
      </c>
      <c r="BM44" s="21">
        <f t="shared" ca="1" si="31"/>
        <v>0</v>
      </c>
      <c r="BN44" s="21">
        <f t="shared" ca="1" si="31"/>
        <v>1.8000000000000007</v>
      </c>
      <c r="BO44" s="21">
        <f t="shared" ca="1" si="31"/>
        <v>41.399999999999991</v>
      </c>
      <c r="BP44" s="21">
        <f t="shared" ca="1" si="31"/>
        <v>199.60000000000002</v>
      </c>
      <c r="BQ44" s="21">
        <f t="shared" ca="1" si="31"/>
        <v>375.90000000000003</v>
      </c>
      <c r="BR44" s="21">
        <f t="shared" ca="1" si="31"/>
        <v>304.39999999999998</v>
      </c>
      <c r="BS44" s="21">
        <f t="shared" ca="1" si="31"/>
        <v>168.9</v>
      </c>
      <c r="BT44" s="21">
        <f t="shared" ca="1" si="31"/>
        <v>48.300000000000004</v>
      </c>
      <c r="BU44" s="21">
        <f t="shared" ca="1" si="31"/>
        <v>8.6999999999999975</v>
      </c>
      <c r="BV44" s="21">
        <f t="shared" ca="1" si="31"/>
        <v>0</v>
      </c>
      <c r="BX44">
        <v>2011</v>
      </c>
      <c r="BY44" s="21">
        <f t="shared" ca="1" si="39"/>
        <v>0</v>
      </c>
      <c r="BZ44" s="21">
        <f t="shared" ca="1" si="32"/>
        <v>0</v>
      </c>
      <c r="CA44" s="21">
        <f t="shared" ca="1" si="32"/>
        <v>0</v>
      </c>
      <c r="CB44" s="21">
        <f t="shared" ca="1" si="32"/>
        <v>10.100000000000001</v>
      </c>
      <c r="CC44" s="21">
        <f t="shared" ca="1" si="32"/>
        <v>73.8</v>
      </c>
      <c r="CD44" s="21">
        <f t="shared" ca="1" si="32"/>
        <v>259.60000000000002</v>
      </c>
      <c r="CE44" s="21">
        <f t="shared" ca="1" si="32"/>
        <v>437.90000000000003</v>
      </c>
      <c r="CF44" s="21">
        <f t="shared" ca="1" si="32"/>
        <v>366.40000000000003</v>
      </c>
      <c r="CG44" s="21">
        <f t="shared" ca="1" si="32"/>
        <v>228.5</v>
      </c>
      <c r="CH44" s="21">
        <f t="shared" ca="1" si="32"/>
        <v>79.800000000000011</v>
      </c>
      <c r="CI44" s="21">
        <f t="shared" ca="1" si="32"/>
        <v>23.599999999999998</v>
      </c>
      <c r="CJ44" s="21">
        <f t="shared" ca="1" si="32"/>
        <v>9.9999999999999645E-2</v>
      </c>
      <c r="CL44">
        <v>2011</v>
      </c>
      <c r="CM44" s="21">
        <f t="shared" ca="1" si="40"/>
        <v>0</v>
      </c>
      <c r="CN44" s="21">
        <f t="shared" ca="1" si="33"/>
        <v>0</v>
      </c>
      <c r="CO44" s="21">
        <f t="shared" ca="1" si="33"/>
        <v>2.2999999999999989</v>
      </c>
      <c r="CP44" s="21">
        <f t="shared" ca="1" si="33"/>
        <v>20.100000000000001</v>
      </c>
      <c r="CQ44" s="21">
        <f t="shared" ca="1" si="33"/>
        <v>126.30000000000001</v>
      </c>
      <c r="CR44" s="21">
        <f t="shared" ca="1" si="33"/>
        <v>319.60000000000002</v>
      </c>
      <c r="CS44" s="21">
        <f t="shared" ca="1" si="33"/>
        <v>499.90000000000003</v>
      </c>
      <c r="CT44" s="21">
        <f t="shared" ca="1" si="33"/>
        <v>428.4</v>
      </c>
      <c r="CU44" s="21">
        <f t="shared" ca="1" si="33"/>
        <v>288.5</v>
      </c>
      <c r="CV44" s="21">
        <f t="shared" ca="1" si="33"/>
        <v>124.40000000000002</v>
      </c>
      <c r="CW44" s="21">
        <f t="shared" ca="1" si="33"/>
        <v>51.599999999999994</v>
      </c>
      <c r="CX44" s="21">
        <f t="shared" ca="1" si="33"/>
        <v>2.5999999999999996</v>
      </c>
      <c r="CZ44">
        <v>2011</v>
      </c>
      <c r="DA44" s="21">
        <f t="shared" ca="1" si="41"/>
        <v>0</v>
      </c>
      <c r="DB44" s="21">
        <f t="shared" ca="1" si="34"/>
        <v>0</v>
      </c>
      <c r="DC44" s="21">
        <f t="shared" ca="1" si="34"/>
        <v>0</v>
      </c>
      <c r="DD44" s="21">
        <f t="shared" ca="1" si="34"/>
        <v>0</v>
      </c>
      <c r="DE44" s="21">
        <f t="shared" ca="1" si="34"/>
        <v>2.6999999999999993</v>
      </c>
      <c r="DF44" s="21">
        <f t="shared" ca="1" si="34"/>
        <v>12.799999999999997</v>
      </c>
      <c r="DG44" s="21">
        <f t="shared" ca="1" si="34"/>
        <v>130.49999999999997</v>
      </c>
      <c r="DH44" s="21">
        <f t="shared" ca="1" si="34"/>
        <v>63.5</v>
      </c>
      <c r="DI44" s="21">
        <f t="shared" ca="1" si="34"/>
        <v>11.600000000000001</v>
      </c>
      <c r="DJ44" s="21">
        <f t="shared" ca="1" si="34"/>
        <v>0.89999999999999858</v>
      </c>
      <c r="DK44" s="21">
        <f t="shared" ca="1" si="34"/>
        <v>0</v>
      </c>
      <c r="DL44" s="21">
        <f t="shared" ca="1" si="34"/>
        <v>0</v>
      </c>
    </row>
    <row r="45" spans="1:116" x14ac:dyDescent="0.2">
      <c r="A45" s="13">
        <v>37469</v>
      </c>
      <c r="B45">
        <v>2002</v>
      </c>
      <c r="C45">
        <v>8</v>
      </c>
      <c r="D45" s="21">
        <v>22.351612903225806</v>
      </c>
      <c r="E45" s="21">
        <v>10.199999999999999</v>
      </c>
      <c r="F45" s="21">
        <v>83.1</v>
      </c>
      <c r="G45" s="21">
        <v>0</v>
      </c>
      <c r="H45" s="21">
        <v>134.89999999999998</v>
      </c>
      <c r="I45" s="21">
        <v>0</v>
      </c>
      <c r="J45" s="21">
        <v>196.90000000000003</v>
      </c>
      <c r="K45" s="21">
        <v>0</v>
      </c>
      <c r="L45" s="21">
        <v>258.89999999999998</v>
      </c>
      <c r="M45" s="21">
        <v>0</v>
      </c>
      <c r="N45" s="21">
        <v>320.90000000000003</v>
      </c>
      <c r="O45" s="21">
        <v>0</v>
      </c>
      <c r="P45" s="21">
        <v>382.90000000000003</v>
      </c>
      <c r="Q45" s="21">
        <v>0</v>
      </c>
      <c r="R45" s="21">
        <v>444.90000000000009</v>
      </c>
      <c r="T45">
        <v>2012</v>
      </c>
      <c r="U45" s="21">
        <f t="shared" ca="1" si="35"/>
        <v>0</v>
      </c>
      <c r="V45" s="21">
        <f t="shared" ca="1" si="28"/>
        <v>0</v>
      </c>
      <c r="W45" s="21">
        <f t="shared" ca="1" si="28"/>
        <v>0</v>
      </c>
      <c r="X45" s="21">
        <f t="shared" ca="1" si="28"/>
        <v>0</v>
      </c>
      <c r="Y45" s="21">
        <f t="shared" ca="1" si="28"/>
        <v>23.2</v>
      </c>
      <c r="Z45" s="21">
        <f t="shared" ca="1" si="28"/>
        <v>101.69999999999999</v>
      </c>
      <c r="AA45" s="21">
        <f t="shared" ca="1" si="28"/>
        <v>193</v>
      </c>
      <c r="AB45" s="21">
        <f t="shared" ca="1" si="28"/>
        <v>130.80000000000001</v>
      </c>
      <c r="AC45" s="21">
        <f t="shared" ca="1" si="28"/>
        <v>40</v>
      </c>
      <c r="AD45" s="21">
        <f t="shared" ca="1" si="28"/>
        <v>0.5</v>
      </c>
      <c r="AE45" s="21">
        <f t="shared" ca="1" si="28"/>
        <v>0</v>
      </c>
      <c r="AF45" s="21">
        <f t="shared" ca="1" si="28"/>
        <v>0</v>
      </c>
      <c r="AH45">
        <v>2012</v>
      </c>
      <c r="AI45" s="21">
        <f t="shared" ca="1" si="36"/>
        <v>0</v>
      </c>
      <c r="AJ45" s="21">
        <f t="shared" ca="1" si="29"/>
        <v>0</v>
      </c>
      <c r="AK45" s="21">
        <f t="shared" ca="1" si="29"/>
        <v>0</v>
      </c>
      <c r="AL45" s="21">
        <f t="shared" ca="1" si="29"/>
        <v>0</v>
      </c>
      <c r="AM45" s="21">
        <f t="shared" ca="1" si="29"/>
        <v>46.2</v>
      </c>
      <c r="AN45" s="21">
        <f t="shared" ca="1" si="29"/>
        <v>147</v>
      </c>
      <c r="AO45" s="21">
        <f t="shared" ca="1" si="29"/>
        <v>255</v>
      </c>
      <c r="AP45" s="21">
        <f t="shared" ca="1" si="29"/>
        <v>192.8</v>
      </c>
      <c r="AQ45" s="21">
        <f t="shared" ca="1" si="29"/>
        <v>69.900000000000006</v>
      </c>
      <c r="AR45" s="21">
        <f t="shared" ca="1" si="29"/>
        <v>3.8000000000000007</v>
      </c>
      <c r="AS45" s="21">
        <f t="shared" ca="1" si="29"/>
        <v>0</v>
      </c>
      <c r="AT45" s="21">
        <f t="shared" ca="1" si="29"/>
        <v>0</v>
      </c>
      <c r="AV45">
        <v>2012</v>
      </c>
      <c r="AW45" s="21">
        <f t="shared" ca="1" si="37"/>
        <v>0</v>
      </c>
      <c r="AX45" s="21">
        <f t="shared" ca="1" si="30"/>
        <v>0</v>
      </c>
      <c r="AY45" s="21">
        <f t="shared" ca="1" si="30"/>
        <v>0.30000000000000071</v>
      </c>
      <c r="AZ45" s="21">
        <f t="shared" ca="1" si="30"/>
        <v>2.4000000000000004</v>
      </c>
      <c r="BA45" s="21">
        <f t="shared" ca="1" si="30"/>
        <v>77.3</v>
      </c>
      <c r="BB45" s="21">
        <f t="shared" ca="1" si="30"/>
        <v>200.09999999999997</v>
      </c>
      <c r="BC45" s="21">
        <f t="shared" ca="1" si="30"/>
        <v>317</v>
      </c>
      <c r="BD45" s="21">
        <f t="shared" ca="1" si="30"/>
        <v>254.8</v>
      </c>
      <c r="BE45" s="21">
        <f t="shared" ca="1" si="30"/>
        <v>112.89999999999999</v>
      </c>
      <c r="BF45" s="21">
        <f t="shared" ca="1" si="30"/>
        <v>11.9</v>
      </c>
      <c r="BG45" s="21">
        <f t="shared" ca="1" si="30"/>
        <v>0</v>
      </c>
      <c r="BH45" s="21">
        <f t="shared" ca="1" si="30"/>
        <v>0</v>
      </c>
      <c r="BJ45">
        <v>2012</v>
      </c>
      <c r="BK45" s="21">
        <f t="shared" ca="1" si="38"/>
        <v>0</v>
      </c>
      <c r="BL45" s="21">
        <f t="shared" ca="1" si="31"/>
        <v>0</v>
      </c>
      <c r="BM45" s="21">
        <f t="shared" ca="1" si="31"/>
        <v>2.4000000000000004</v>
      </c>
      <c r="BN45" s="21">
        <f t="shared" ca="1" si="31"/>
        <v>10</v>
      </c>
      <c r="BO45" s="21">
        <f t="shared" ca="1" si="31"/>
        <v>119.6</v>
      </c>
      <c r="BP45" s="21">
        <f t="shared" ca="1" si="31"/>
        <v>259</v>
      </c>
      <c r="BQ45" s="21">
        <f t="shared" ca="1" si="31"/>
        <v>379</v>
      </c>
      <c r="BR45" s="21">
        <f t="shared" ca="1" si="31"/>
        <v>316.8</v>
      </c>
      <c r="BS45" s="21">
        <f t="shared" ca="1" si="31"/>
        <v>162.5</v>
      </c>
      <c r="BT45" s="21">
        <f t="shared" ca="1" si="31"/>
        <v>29.900000000000006</v>
      </c>
      <c r="BU45" s="21">
        <f t="shared" ca="1" si="31"/>
        <v>1.9000000000000004</v>
      </c>
      <c r="BV45" s="21">
        <f t="shared" ca="1" si="31"/>
        <v>0</v>
      </c>
      <c r="BX45">
        <v>2012</v>
      </c>
      <c r="BY45" s="21">
        <f t="shared" ca="1" si="39"/>
        <v>0</v>
      </c>
      <c r="BZ45" s="21">
        <f t="shared" ca="1" si="32"/>
        <v>0</v>
      </c>
      <c r="CA45" s="21">
        <f t="shared" ca="1" si="32"/>
        <v>12.4</v>
      </c>
      <c r="CB45" s="21">
        <f t="shared" ca="1" si="32"/>
        <v>19.3</v>
      </c>
      <c r="CC45" s="21">
        <f t="shared" ca="1" si="32"/>
        <v>172.10000000000002</v>
      </c>
      <c r="CD45" s="21">
        <f t="shared" ca="1" si="32"/>
        <v>319</v>
      </c>
      <c r="CE45" s="21">
        <f t="shared" ca="1" si="32"/>
        <v>441</v>
      </c>
      <c r="CF45" s="21">
        <f t="shared" ca="1" si="32"/>
        <v>378.8</v>
      </c>
      <c r="CG45" s="21">
        <f t="shared" ca="1" si="32"/>
        <v>221.6</v>
      </c>
      <c r="CH45" s="21">
        <f t="shared" ca="1" si="32"/>
        <v>55</v>
      </c>
      <c r="CI45" s="21">
        <f t="shared" ca="1" si="32"/>
        <v>6.1</v>
      </c>
      <c r="CJ45" s="21">
        <f t="shared" ca="1" si="32"/>
        <v>1.9000000000000004</v>
      </c>
      <c r="CL45">
        <v>2012</v>
      </c>
      <c r="CM45" s="21">
        <f t="shared" ca="1" si="40"/>
        <v>0</v>
      </c>
      <c r="CN45" s="21">
        <f t="shared" ca="1" si="33"/>
        <v>0</v>
      </c>
      <c r="CO45" s="21">
        <f t="shared" ca="1" si="33"/>
        <v>34.6</v>
      </c>
      <c r="CP45" s="21">
        <f t="shared" ca="1" si="33"/>
        <v>33.799999999999997</v>
      </c>
      <c r="CQ45" s="21">
        <f t="shared" ca="1" si="33"/>
        <v>232.2</v>
      </c>
      <c r="CR45" s="21">
        <f t="shared" ca="1" si="33"/>
        <v>379</v>
      </c>
      <c r="CS45" s="21">
        <f t="shared" ca="1" si="33"/>
        <v>503</v>
      </c>
      <c r="CT45" s="21">
        <f t="shared" ca="1" si="33"/>
        <v>440.80000000000007</v>
      </c>
      <c r="CU45" s="21">
        <f t="shared" ca="1" si="33"/>
        <v>281.59999999999997</v>
      </c>
      <c r="CV45" s="21">
        <f t="shared" ca="1" si="33"/>
        <v>96.5</v>
      </c>
      <c r="CW45" s="21">
        <f t="shared" ca="1" si="33"/>
        <v>12.1</v>
      </c>
      <c r="CX45" s="21">
        <f t="shared" ca="1" si="33"/>
        <v>4.4000000000000004</v>
      </c>
      <c r="CZ45">
        <v>2012</v>
      </c>
      <c r="DA45" s="21">
        <f t="shared" ca="1" si="41"/>
        <v>0</v>
      </c>
      <c r="DB45" s="21">
        <f t="shared" ca="1" si="34"/>
        <v>0</v>
      </c>
      <c r="DC45" s="21">
        <f t="shared" ca="1" si="34"/>
        <v>0</v>
      </c>
      <c r="DD45" s="21">
        <f t="shared" ca="1" si="34"/>
        <v>0</v>
      </c>
      <c r="DE45" s="21">
        <f t="shared" ca="1" si="34"/>
        <v>12.2</v>
      </c>
      <c r="DF45" s="21">
        <f t="shared" ca="1" si="34"/>
        <v>63.20000000000001</v>
      </c>
      <c r="DG45" s="21">
        <f t="shared" ca="1" si="34"/>
        <v>131</v>
      </c>
      <c r="DH45" s="21">
        <f t="shared" ca="1" si="34"/>
        <v>71.5</v>
      </c>
      <c r="DI45" s="21">
        <f t="shared" ca="1" si="34"/>
        <v>18.900000000000002</v>
      </c>
      <c r="DJ45" s="21">
        <f t="shared" ca="1" si="34"/>
        <v>0</v>
      </c>
      <c r="DK45" s="21">
        <f t="shared" ca="1" si="34"/>
        <v>0</v>
      </c>
      <c r="DL45" s="21">
        <f t="shared" ca="1" si="34"/>
        <v>0</v>
      </c>
    </row>
    <row r="46" spans="1:116" x14ac:dyDescent="0.2">
      <c r="A46" s="13">
        <v>37500</v>
      </c>
      <c r="B46">
        <v>2002</v>
      </c>
      <c r="C46">
        <v>9</v>
      </c>
      <c r="D46" s="21">
        <v>20.413333333333338</v>
      </c>
      <c r="E46" s="21">
        <v>34.300000000000004</v>
      </c>
      <c r="F46" s="21">
        <v>46.7</v>
      </c>
      <c r="G46" s="21">
        <v>13.799999999999999</v>
      </c>
      <c r="H46" s="21">
        <v>86.199999999999989</v>
      </c>
      <c r="I46" s="21">
        <v>2.4000000000000004</v>
      </c>
      <c r="J46" s="21">
        <v>134.79999999999998</v>
      </c>
      <c r="K46" s="21">
        <v>0</v>
      </c>
      <c r="L46" s="21">
        <v>192.4</v>
      </c>
      <c r="M46" s="21">
        <v>0</v>
      </c>
      <c r="N46" s="21">
        <v>252.40000000000003</v>
      </c>
      <c r="O46" s="21">
        <v>0</v>
      </c>
      <c r="P46" s="21">
        <v>312.40000000000003</v>
      </c>
      <c r="Q46" s="21">
        <v>0</v>
      </c>
      <c r="R46" s="21">
        <v>372.40000000000009</v>
      </c>
      <c r="T46">
        <v>2013</v>
      </c>
      <c r="U46" s="21">
        <f t="shared" ca="1" si="35"/>
        <v>0</v>
      </c>
      <c r="V46" s="21">
        <f t="shared" ca="1" si="28"/>
        <v>0</v>
      </c>
      <c r="W46" s="21">
        <f t="shared" ca="1" si="28"/>
        <v>0</v>
      </c>
      <c r="X46" s="21">
        <f t="shared" ca="1" si="28"/>
        <v>0</v>
      </c>
      <c r="Y46" s="21">
        <f t="shared" ca="1" si="28"/>
        <v>16.2</v>
      </c>
      <c r="Z46" s="21">
        <f t="shared" ca="1" si="28"/>
        <v>55.6</v>
      </c>
      <c r="AA46" s="21">
        <f t="shared" ca="1" si="28"/>
        <v>131.6</v>
      </c>
      <c r="AB46" s="21">
        <f t="shared" ca="1" si="28"/>
        <v>91.600000000000009</v>
      </c>
      <c r="AC46" s="21">
        <f t="shared" ca="1" si="28"/>
        <v>29.999999999999996</v>
      </c>
      <c r="AD46" s="21">
        <f t="shared" ca="1" si="28"/>
        <v>3.0999999999999979</v>
      </c>
      <c r="AE46" s="21">
        <f t="shared" ca="1" si="28"/>
        <v>0</v>
      </c>
      <c r="AF46" s="21">
        <f t="shared" ca="1" si="28"/>
        <v>0</v>
      </c>
      <c r="AH46">
        <v>2013</v>
      </c>
      <c r="AI46" s="21">
        <f t="shared" ca="1" si="36"/>
        <v>0</v>
      </c>
      <c r="AJ46" s="21">
        <f t="shared" ca="1" si="29"/>
        <v>0</v>
      </c>
      <c r="AK46" s="21">
        <f t="shared" ca="1" si="29"/>
        <v>0</v>
      </c>
      <c r="AL46" s="21">
        <f t="shared" ca="1" si="29"/>
        <v>0</v>
      </c>
      <c r="AM46" s="21">
        <f t="shared" ca="1" si="29"/>
        <v>26.599999999999998</v>
      </c>
      <c r="AN46" s="21">
        <f t="shared" ca="1" si="29"/>
        <v>89.800000000000011</v>
      </c>
      <c r="AO46" s="21">
        <f t="shared" ca="1" si="29"/>
        <v>192.90000000000003</v>
      </c>
      <c r="AP46" s="21">
        <f t="shared" ca="1" si="29"/>
        <v>151</v>
      </c>
      <c r="AQ46" s="21">
        <f t="shared" ca="1" si="29"/>
        <v>57.099999999999994</v>
      </c>
      <c r="AR46" s="21">
        <f t="shared" ca="1" si="29"/>
        <v>9.6999999999999993</v>
      </c>
      <c r="AS46" s="21">
        <f t="shared" ca="1" si="29"/>
        <v>0</v>
      </c>
      <c r="AT46" s="21">
        <f t="shared" ca="1" si="29"/>
        <v>0</v>
      </c>
      <c r="AV46">
        <v>2013</v>
      </c>
      <c r="AW46" s="21">
        <f t="shared" ca="1" si="37"/>
        <v>0</v>
      </c>
      <c r="AX46" s="21">
        <f t="shared" ca="1" si="30"/>
        <v>0</v>
      </c>
      <c r="AY46" s="21">
        <f t="shared" ca="1" si="30"/>
        <v>0</v>
      </c>
      <c r="AZ46" s="21">
        <f t="shared" ca="1" si="30"/>
        <v>1.5999999999999996</v>
      </c>
      <c r="BA46" s="21">
        <f t="shared" ca="1" si="30"/>
        <v>43.3</v>
      </c>
      <c r="BB46" s="21">
        <f t="shared" ca="1" si="30"/>
        <v>137.6</v>
      </c>
      <c r="BC46" s="21">
        <f t="shared" ca="1" si="30"/>
        <v>254.90000000000003</v>
      </c>
      <c r="BD46" s="21">
        <f t="shared" ca="1" si="30"/>
        <v>213</v>
      </c>
      <c r="BE46" s="21">
        <f t="shared" ca="1" si="30"/>
        <v>95.4</v>
      </c>
      <c r="BF46" s="21">
        <f t="shared" ca="1" si="30"/>
        <v>26.6</v>
      </c>
      <c r="BG46" s="21">
        <f t="shared" ca="1" si="30"/>
        <v>0</v>
      </c>
      <c r="BH46" s="21">
        <f t="shared" ca="1" si="30"/>
        <v>0</v>
      </c>
      <c r="BJ46">
        <v>2013</v>
      </c>
      <c r="BK46" s="21">
        <f t="shared" ca="1" si="38"/>
        <v>0</v>
      </c>
      <c r="BL46" s="21">
        <f t="shared" ca="1" si="31"/>
        <v>0</v>
      </c>
      <c r="BM46" s="21">
        <f t="shared" ca="1" si="31"/>
        <v>0</v>
      </c>
      <c r="BN46" s="21">
        <f t="shared" ca="1" si="31"/>
        <v>4.4000000000000004</v>
      </c>
      <c r="BO46" s="21">
        <f t="shared" ca="1" si="31"/>
        <v>68.899999999999991</v>
      </c>
      <c r="BP46" s="21">
        <f t="shared" ca="1" si="31"/>
        <v>192.10000000000002</v>
      </c>
      <c r="BQ46" s="21">
        <f t="shared" ca="1" si="31"/>
        <v>316.89999999999998</v>
      </c>
      <c r="BR46" s="21">
        <f t="shared" ca="1" si="31"/>
        <v>275</v>
      </c>
      <c r="BS46" s="21">
        <f t="shared" ca="1" si="31"/>
        <v>144.9</v>
      </c>
      <c r="BT46" s="21">
        <f t="shared" ca="1" si="31"/>
        <v>57.90000000000002</v>
      </c>
      <c r="BU46" s="21">
        <f t="shared" ca="1" si="31"/>
        <v>2.9000000000000004</v>
      </c>
      <c r="BV46" s="21">
        <f t="shared" ca="1" si="31"/>
        <v>0</v>
      </c>
      <c r="BX46">
        <v>2013</v>
      </c>
      <c r="BY46" s="21">
        <f t="shared" ca="1" si="39"/>
        <v>1.0999999999999996</v>
      </c>
      <c r="BZ46" s="21">
        <f t="shared" ca="1" si="32"/>
        <v>0</v>
      </c>
      <c r="CA46" s="21">
        <f t="shared" ca="1" si="32"/>
        <v>0</v>
      </c>
      <c r="CB46" s="21">
        <f t="shared" ca="1" si="32"/>
        <v>10.8</v>
      </c>
      <c r="CC46" s="21">
        <f t="shared" ca="1" si="32"/>
        <v>113.39999999999999</v>
      </c>
      <c r="CD46" s="21">
        <f t="shared" ca="1" si="32"/>
        <v>252.00000000000003</v>
      </c>
      <c r="CE46" s="21">
        <f t="shared" ca="1" si="32"/>
        <v>378.9</v>
      </c>
      <c r="CF46" s="21">
        <f t="shared" ca="1" si="32"/>
        <v>336.99999999999994</v>
      </c>
      <c r="CG46" s="21">
        <f t="shared" ca="1" si="32"/>
        <v>203</v>
      </c>
      <c r="CH46" s="21">
        <f t="shared" ca="1" si="32"/>
        <v>97.899999999999991</v>
      </c>
      <c r="CI46" s="21">
        <f t="shared" ca="1" si="32"/>
        <v>8.9</v>
      </c>
      <c r="CJ46" s="21">
        <f t="shared" ca="1" si="32"/>
        <v>0</v>
      </c>
      <c r="CL46">
        <v>2013</v>
      </c>
      <c r="CM46" s="21">
        <f t="shared" ca="1" si="40"/>
        <v>6.4</v>
      </c>
      <c r="CN46" s="21">
        <f t="shared" ca="1" si="33"/>
        <v>0</v>
      </c>
      <c r="CO46" s="21">
        <f t="shared" ca="1" si="33"/>
        <v>1.4000000000000004</v>
      </c>
      <c r="CP46" s="21">
        <f t="shared" ca="1" si="33"/>
        <v>25.600000000000005</v>
      </c>
      <c r="CQ46" s="21">
        <f t="shared" ca="1" si="33"/>
        <v>168.2</v>
      </c>
      <c r="CR46" s="21">
        <f t="shared" ca="1" si="33"/>
        <v>312</v>
      </c>
      <c r="CS46" s="21">
        <f t="shared" ca="1" si="33"/>
        <v>440.9</v>
      </c>
      <c r="CT46" s="21">
        <f t="shared" ca="1" si="33"/>
        <v>399</v>
      </c>
      <c r="CU46" s="21">
        <f t="shared" ca="1" si="33"/>
        <v>263</v>
      </c>
      <c r="CV46" s="21">
        <f t="shared" ca="1" si="33"/>
        <v>141.19999999999999</v>
      </c>
      <c r="CW46" s="21">
        <f t="shared" ca="1" si="33"/>
        <v>18.3</v>
      </c>
      <c r="CX46" s="21">
        <f t="shared" ca="1" si="33"/>
        <v>0</v>
      </c>
      <c r="CZ46">
        <v>2013</v>
      </c>
      <c r="DA46" s="21">
        <f t="shared" ca="1" si="41"/>
        <v>0</v>
      </c>
      <c r="DB46" s="21">
        <f t="shared" ca="1" si="34"/>
        <v>0</v>
      </c>
      <c r="DC46" s="21">
        <f t="shared" ca="1" si="34"/>
        <v>0</v>
      </c>
      <c r="DD46" s="21">
        <f t="shared" ca="1" si="34"/>
        <v>0</v>
      </c>
      <c r="DE46" s="21">
        <f t="shared" ca="1" si="34"/>
        <v>8.6999999999999993</v>
      </c>
      <c r="DF46" s="21">
        <f t="shared" ca="1" si="34"/>
        <v>31.400000000000002</v>
      </c>
      <c r="DG46" s="21">
        <f t="shared" ca="1" si="34"/>
        <v>83.399999999999977</v>
      </c>
      <c r="DH46" s="21">
        <f t="shared" ca="1" si="34"/>
        <v>43.7</v>
      </c>
      <c r="DI46" s="21">
        <f t="shared" ca="1" si="34"/>
        <v>13.799999999999997</v>
      </c>
      <c r="DJ46" s="21">
        <f t="shared" ca="1" si="34"/>
        <v>0</v>
      </c>
      <c r="DK46" s="21">
        <f t="shared" ca="1" si="34"/>
        <v>0</v>
      </c>
      <c r="DL46" s="21">
        <f t="shared" ca="1" si="34"/>
        <v>0</v>
      </c>
    </row>
    <row r="47" spans="1:116" x14ac:dyDescent="0.2">
      <c r="A47" s="13">
        <v>37530</v>
      </c>
      <c r="B47">
        <v>2002</v>
      </c>
      <c r="C47">
        <v>10</v>
      </c>
      <c r="D47" s="21">
        <v>10.429032258064519</v>
      </c>
      <c r="E47" s="21">
        <v>302.3</v>
      </c>
      <c r="F47" s="21">
        <v>5.6000000000000014</v>
      </c>
      <c r="G47" s="21">
        <v>246.29999999999998</v>
      </c>
      <c r="H47" s="21">
        <v>11.600000000000001</v>
      </c>
      <c r="I47" s="21">
        <v>190.3</v>
      </c>
      <c r="J47" s="21">
        <v>17.600000000000001</v>
      </c>
      <c r="K47" s="21">
        <v>140.5</v>
      </c>
      <c r="L47" s="21">
        <v>29.800000000000004</v>
      </c>
      <c r="M47" s="21">
        <v>98.100000000000009</v>
      </c>
      <c r="N47" s="21">
        <v>49.400000000000013</v>
      </c>
      <c r="O47" s="21">
        <v>62</v>
      </c>
      <c r="P47" s="21">
        <v>75.300000000000011</v>
      </c>
      <c r="Q47" s="21">
        <v>31.999999999999996</v>
      </c>
      <c r="R47" s="21">
        <v>107.3</v>
      </c>
      <c r="T47">
        <v>2014</v>
      </c>
      <c r="U47" s="21">
        <f t="shared" ca="1" si="35"/>
        <v>0</v>
      </c>
      <c r="V47" s="21">
        <f t="shared" ca="1" si="28"/>
        <v>0</v>
      </c>
      <c r="W47" s="21">
        <f t="shared" ca="1" si="28"/>
        <v>0</v>
      </c>
      <c r="X47" s="21">
        <f t="shared" ca="1" si="28"/>
        <v>0</v>
      </c>
      <c r="Y47" s="21">
        <f t="shared" ca="1" si="28"/>
        <v>10.000000000000004</v>
      </c>
      <c r="Z47" s="21">
        <f t="shared" ca="1" si="28"/>
        <v>46.6</v>
      </c>
      <c r="AA47" s="21">
        <f t="shared" ca="1" si="28"/>
        <v>66.000000000000014</v>
      </c>
      <c r="AB47" s="21">
        <f t="shared" ca="1" si="28"/>
        <v>72.500000000000028</v>
      </c>
      <c r="AC47" s="21">
        <f t="shared" ca="1" si="28"/>
        <v>34.5</v>
      </c>
      <c r="AD47" s="21">
        <f t="shared" ca="1" si="28"/>
        <v>2.1999999999999993</v>
      </c>
      <c r="AE47" s="21">
        <f t="shared" ca="1" si="28"/>
        <v>0</v>
      </c>
      <c r="AF47" s="21">
        <f t="shared" ca="1" si="28"/>
        <v>0</v>
      </c>
      <c r="AH47">
        <v>2014</v>
      </c>
      <c r="AI47" s="21">
        <f t="shared" ca="1" si="36"/>
        <v>0</v>
      </c>
      <c r="AJ47" s="21">
        <f t="shared" ca="1" si="29"/>
        <v>0</v>
      </c>
      <c r="AK47" s="21">
        <f t="shared" ca="1" si="29"/>
        <v>0</v>
      </c>
      <c r="AL47" s="21">
        <f t="shared" ca="1" si="29"/>
        <v>0</v>
      </c>
      <c r="AM47" s="21">
        <f t="shared" ca="1" si="29"/>
        <v>18.200000000000003</v>
      </c>
      <c r="AN47" s="21">
        <f t="shared" ca="1" si="29"/>
        <v>86.1</v>
      </c>
      <c r="AO47" s="21">
        <f t="shared" ca="1" si="29"/>
        <v>119.49999999999999</v>
      </c>
      <c r="AP47" s="21">
        <f t="shared" ca="1" si="29"/>
        <v>126.70000000000002</v>
      </c>
      <c r="AQ47" s="21">
        <f t="shared" ca="1" si="29"/>
        <v>64.600000000000009</v>
      </c>
      <c r="AR47" s="21">
        <f t="shared" ca="1" si="29"/>
        <v>6.3999999999999986</v>
      </c>
      <c r="AS47" s="21">
        <f t="shared" ca="1" si="29"/>
        <v>0</v>
      </c>
      <c r="AT47" s="21">
        <f t="shared" ca="1" si="29"/>
        <v>0</v>
      </c>
      <c r="AV47">
        <v>2014</v>
      </c>
      <c r="AW47" s="21">
        <f t="shared" ca="1" si="37"/>
        <v>0</v>
      </c>
      <c r="AX47" s="21">
        <f t="shared" ca="1" si="30"/>
        <v>0</v>
      </c>
      <c r="AY47" s="21">
        <f t="shared" ca="1" si="30"/>
        <v>0</v>
      </c>
      <c r="AZ47" s="21">
        <f t="shared" ca="1" si="30"/>
        <v>0</v>
      </c>
      <c r="BA47" s="21">
        <f t="shared" ca="1" si="30"/>
        <v>35.799999999999997</v>
      </c>
      <c r="BB47" s="21">
        <f t="shared" ca="1" si="30"/>
        <v>137.30000000000001</v>
      </c>
      <c r="BC47" s="21">
        <f t="shared" ca="1" si="30"/>
        <v>180.6</v>
      </c>
      <c r="BD47" s="21">
        <f t="shared" ca="1" si="30"/>
        <v>188.19999999999996</v>
      </c>
      <c r="BE47" s="21">
        <f t="shared" ca="1" si="30"/>
        <v>108.9</v>
      </c>
      <c r="BF47" s="21">
        <f t="shared" ca="1" si="30"/>
        <v>19.899999999999999</v>
      </c>
      <c r="BG47" s="21">
        <f t="shared" ca="1" si="30"/>
        <v>0</v>
      </c>
      <c r="BH47" s="21">
        <f t="shared" ca="1" si="30"/>
        <v>0</v>
      </c>
      <c r="BJ47">
        <v>2014</v>
      </c>
      <c r="BK47" s="21">
        <f t="shared" ca="1" si="38"/>
        <v>0</v>
      </c>
      <c r="BL47" s="21">
        <f t="shared" ca="1" si="31"/>
        <v>0</v>
      </c>
      <c r="BM47" s="21">
        <f t="shared" ca="1" si="31"/>
        <v>0</v>
      </c>
      <c r="BN47" s="21">
        <f t="shared" ca="1" si="31"/>
        <v>1.5999999999999996</v>
      </c>
      <c r="BO47" s="21">
        <f t="shared" ca="1" si="31"/>
        <v>60.6</v>
      </c>
      <c r="BP47" s="21">
        <f t="shared" ca="1" si="31"/>
        <v>195.40000000000003</v>
      </c>
      <c r="BQ47" s="21">
        <f t="shared" ca="1" si="31"/>
        <v>242.6</v>
      </c>
      <c r="BR47" s="21">
        <f t="shared" ca="1" si="31"/>
        <v>250.19999999999996</v>
      </c>
      <c r="BS47" s="21">
        <f t="shared" ca="1" si="31"/>
        <v>159.19999999999996</v>
      </c>
      <c r="BT47" s="21">
        <f t="shared" ca="1" si="31"/>
        <v>41.699999999999996</v>
      </c>
      <c r="BU47" s="21">
        <f t="shared" ca="1" si="31"/>
        <v>9.9999999999999645E-2</v>
      </c>
      <c r="BV47" s="21">
        <f t="shared" ca="1" si="31"/>
        <v>0</v>
      </c>
      <c r="BX47">
        <v>2014</v>
      </c>
      <c r="BY47" s="21">
        <f t="shared" ca="1" si="39"/>
        <v>0</v>
      </c>
      <c r="BZ47" s="21">
        <f t="shared" ca="1" si="32"/>
        <v>0</v>
      </c>
      <c r="CA47" s="21">
        <f t="shared" ca="1" si="32"/>
        <v>0</v>
      </c>
      <c r="CB47" s="21">
        <f t="shared" ca="1" si="32"/>
        <v>7.6</v>
      </c>
      <c r="CC47" s="21">
        <f t="shared" ca="1" si="32"/>
        <v>98.300000000000011</v>
      </c>
      <c r="CD47" s="21">
        <f t="shared" ca="1" si="32"/>
        <v>255.40000000000003</v>
      </c>
      <c r="CE47" s="21">
        <f t="shared" ca="1" si="32"/>
        <v>304.59999999999991</v>
      </c>
      <c r="CF47" s="21">
        <f t="shared" ca="1" si="32"/>
        <v>312.2</v>
      </c>
      <c r="CG47" s="21">
        <f t="shared" ca="1" si="32"/>
        <v>218.59999999999994</v>
      </c>
      <c r="CH47" s="21">
        <f t="shared" ca="1" si="32"/>
        <v>71.199999999999989</v>
      </c>
      <c r="CI47" s="21">
        <f t="shared" ca="1" si="32"/>
        <v>5.6</v>
      </c>
      <c r="CJ47" s="21">
        <f t="shared" ca="1" si="32"/>
        <v>0</v>
      </c>
      <c r="CL47">
        <v>2014</v>
      </c>
      <c r="CM47" s="21">
        <f t="shared" ca="1" si="40"/>
        <v>0</v>
      </c>
      <c r="CN47" s="21">
        <f t="shared" ca="1" si="33"/>
        <v>0</v>
      </c>
      <c r="CO47" s="21">
        <f t="shared" ca="1" si="33"/>
        <v>0</v>
      </c>
      <c r="CP47" s="21">
        <f t="shared" ca="1" si="33"/>
        <v>18</v>
      </c>
      <c r="CQ47" s="21">
        <f t="shared" ca="1" si="33"/>
        <v>152</v>
      </c>
      <c r="CR47" s="21">
        <f t="shared" ca="1" si="33"/>
        <v>315.39999999999998</v>
      </c>
      <c r="CS47" s="21">
        <f t="shared" ca="1" si="33"/>
        <v>366.59999999999991</v>
      </c>
      <c r="CT47" s="21">
        <f t="shared" ca="1" si="33"/>
        <v>374.2</v>
      </c>
      <c r="CU47" s="21">
        <f t="shared" ca="1" si="33"/>
        <v>278.59999999999997</v>
      </c>
      <c r="CV47" s="21">
        <f t="shared" ca="1" si="33"/>
        <v>118.90000000000002</v>
      </c>
      <c r="CW47" s="21">
        <f t="shared" ca="1" si="33"/>
        <v>14.899999999999999</v>
      </c>
      <c r="CX47" s="21">
        <f t="shared" ca="1" si="33"/>
        <v>0</v>
      </c>
      <c r="CZ47">
        <v>2014</v>
      </c>
      <c r="DA47" s="21">
        <f t="shared" ca="1" si="41"/>
        <v>0</v>
      </c>
      <c r="DB47" s="21">
        <f t="shared" ca="1" si="34"/>
        <v>0</v>
      </c>
      <c r="DC47" s="21">
        <f t="shared" ca="1" si="34"/>
        <v>0</v>
      </c>
      <c r="DD47" s="21">
        <f t="shared" ca="1" si="34"/>
        <v>0</v>
      </c>
      <c r="DE47" s="21">
        <f t="shared" ca="1" si="34"/>
        <v>4.0000000000000036</v>
      </c>
      <c r="DF47" s="21">
        <f t="shared" ca="1" si="34"/>
        <v>20.799999999999997</v>
      </c>
      <c r="DG47" s="21">
        <f t="shared" ca="1" si="34"/>
        <v>31.2</v>
      </c>
      <c r="DH47" s="21">
        <f t="shared" ca="1" si="34"/>
        <v>31.500000000000007</v>
      </c>
      <c r="DI47" s="21">
        <f t="shared" ca="1" si="34"/>
        <v>18.399999999999999</v>
      </c>
      <c r="DJ47" s="21">
        <f t="shared" ca="1" si="34"/>
        <v>0</v>
      </c>
      <c r="DK47" s="21">
        <f t="shared" ca="1" si="34"/>
        <v>0</v>
      </c>
      <c r="DL47" s="21">
        <f t="shared" ca="1" si="34"/>
        <v>0</v>
      </c>
    </row>
    <row r="48" spans="1:116" x14ac:dyDescent="0.2">
      <c r="A48" s="13">
        <v>37561</v>
      </c>
      <c r="B48">
        <v>2002</v>
      </c>
      <c r="C48">
        <v>11</v>
      </c>
      <c r="D48" s="21">
        <v>4.6800000000000006</v>
      </c>
      <c r="E48" s="21">
        <v>459.6</v>
      </c>
      <c r="F48" s="21">
        <v>0</v>
      </c>
      <c r="G48" s="21">
        <v>399.6</v>
      </c>
      <c r="H48" s="21">
        <v>0</v>
      </c>
      <c r="I48" s="21">
        <v>339.60000000000008</v>
      </c>
      <c r="J48" s="21">
        <v>0</v>
      </c>
      <c r="K48" s="21">
        <v>280.70000000000005</v>
      </c>
      <c r="L48" s="21">
        <v>1.0999999999999996</v>
      </c>
      <c r="M48" s="21">
        <v>225.1</v>
      </c>
      <c r="N48" s="21">
        <v>5.5</v>
      </c>
      <c r="O48" s="21">
        <v>172.39999999999998</v>
      </c>
      <c r="P48" s="21">
        <v>12.8</v>
      </c>
      <c r="Q48" s="21">
        <v>122</v>
      </c>
      <c r="R48" s="21">
        <v>22.4</v>
      </c>
      <c r="T48">
        <v>2015</v>
      </c>
      <c r="U48" s="21">
        <f t="shared" ca="1" si="35"/>
        <v>0</v>
      </c>
      <c r="V48" s="21">
        <f t="shared" ca="1" si="35"/>
        <v>0</v>
      </c>
      <c r="W48" s="21">
        <f t="shared" ca="1" si="35"/>
        <v>0</v>
      </c>
      <c r="X48" s="21">
        <f t="shared" ca="1" si="35"/>
        <v>0</v>
      </c>
      <c r="Y48" s="21">
        <f t="shared" ca="1" si="35"/>
        <v>16.5</v>
      </c>
      <c r="Z48" s="21">
        <f t="shared" ca="1" si="35"/>
        <v>27.9</v>
      </c>
      <c r="AA48" s="21">
        <f t="shared" ca="1" si="35"/>
        <v>125.30000000000001</v>
      </c>
      <c r="AB48" s="21">
        <f t="shared" ca="1" si="35"/>
        <v>88.499999999999986</v>
      </c>
      <c r="AC48" s="21">
        <f t="shared" ca="1" si="35"/>
        <v>83.5</v>
      </c>
      <c r="AD48" s="21">
        <f t="shared" ca="1" si="35"/>
        <v>1.1999999999999993</v>
      </c>
      <c r="AE48" s="21">
        <f t="shared" ca="1" si="35"/>
        <v>0</v>
      </c>
      <c r="AF48" s="21">
        <f t="shared" ca="1" si="35"/>
        <v>0</v>
      </c>
      <c r="AH48">
        <v>2015</v>
      </c>
      <c r="AI48" s="21">
        <f t="shared" ca="1" si="36"/>
        <v>0</v>
      </c>
      <c r="AJ48" s="21">
        <f t="shared" ca="1" si="36"/>
        <v>0</v>
      </c>
      <c r="AK48" s="21">
        <f t="shared" ca="1" si="36"/>
        <v>0</v>
      </c>
      <c r="AL48" s="21">
        <f t="shared" ca="1" si="36"/>
        <v>0</v>
      </c>
      <c r="AM48" s="21">
        <f t="shared" ca="1" si="36"/>
        <v>35.1</v>
      </c>
      <c r="AN48" s="21">
        <f t="shared" ca="1" si="36"/>
        <v>56.3</v>
      </c>
      <c r="AO48" s="21">
        <f t="shared" ca="1" si="36"/>
        <v>182.9</v>
      </c>
      <c r="AP48" s="21">
        <f t="shared" ca="1" si="36"/>
        <v>148.70000000000002</v>
      </c>
      <c r="AQ48" s="21">
        <f t="shared" ca="1" si="36"/>
        <v>128.10000000000002</v>
      </c>
      <c r="AR48" s="21">
        <f t="shared" ca="1" si="36"/>
        <v>4.2999999999999972</v>
      </c>
      <c r="AS48" s="21">
        <f t="shared" ca="1" si="36"/>
        <v>0.10000000000000142</v>
      </c>
      <c r="AT48" s="21">
        <f t="shared" ca="1" si="36"/>
        <v>0</v>
      </c>
      <c r="AV48">
        <v>2015</v>
      </c>
      <c r="AW48" s="21">
        <f t="shared" ca="1" si="37"/>
        <v>0</v>
      </c>
      <c r="AX48" s="21">
        <f t="shared" ca="1" si="37"/>
        <v>0</v>
      </c>
      <c r="AY48" s="21">
        <f t="shared" ca="1" si="37"/>
        <v>0</v>
      </c>
      <c r="AZ48" s="21">
        <f t="shared" ca="1" si="37"/>
        <v>1.5999999999999996</v>
      </c>
      <c r="BA48" s="21">
        <f t="shared" ca="1" si="37"/>
        <v>60.8</v>
      </c>
      <c r="BB48" s="21">
        <f t="shared" ca="1" si="37"/>
        <v>98.000000000000028</v>
      </c>
      <c r="BC48" s="21">
        <f t="shared" ca="1" si="37"/>
        <v>244.9</v>
      </c>
      <c r="BD48" s="21">
        <f t="shared" ca="1" si="37"/>
        <v>210.70000000000002</v>
      </c>
      <c r="BE48" s="21">
        <f t="shared" ca="1" si="37"/>
        <v>181</v>
      </c>
      <c r="BF48" s="21">
        <f t="shared" ca="1" si="37"/>
        <v>14.399999999999997</v>
      </c>
      <c r="BG48" s="21">
        <f t="shared" ca="1" si="37"/>
        <v>4.0000000000000018</v>
      </c>
      <c r="BH48" s="21">
        <f t="shared" ca="1" si="37"/>
        <v>0</v>
      </c>
      <c r="BJ48">
        <v>2015</v>
      </c>
      <c r="BK48" s="21">
        <f t="shared" ca="1" si="38"/>
        <v>0</v>
      </c>
      <c r="BL48" s="21">
        <f t="shared" ca="1" si="38"/>
        <v>0</v>
      </c>
      <c r="BM48" s="21">
        <f t="shared" ca="1" si="38"/>
        <v>0</v>
      </c>
      <c r="BN48" s="21">
        <f t="shared" ca="1" si="38"/>
        <v>7.8000000000000007</v>
      </c>
      <c r="BO48" s="21">
        <f t="shared" ca="1" si="38"/>
        <v>96.90000000000002</v>
      </c>
      <c r="BP48" s="21">
        <f t="shared" ca="1" si="38"/>
        <v>150.10000000000005</v>
      </c>
      <c r="BQ48" s="21">
        <f t="shared" ca="1" si="38"/>
        <v>306.90000000000003</v>
      </c>
      <c r="BR48" s="21">
        <f t="shared" ca="1" si="38"/>
        <v>272.70000000000005</v>
      </c>
      <c r="BS48" s="21">
        <f t="shared" ca="1" si="38"/>
        <v>240.9</v>
      </c>
      <c r="BT48" s="21">
        <f t="shared" ca="1" si="38"/>
        <v>38.999999999999993</v>
      </c>
      <c r="BU48" s="21">
        <f t="shared" ca="1" si="38"/>
        <v>11.9</v>
      </c>
      <c r="BV48" s="21">
        <f t="shared" ca="1" si="38"/>
        <v>0</v>
      </c>
      <c r="BX48">
        <v>2015</v>
      </c>
      <c r="BY48" s="21">
        <f t="shared" ca="1" si="39"/>
        <v>0</v>
      </c>
      <c r="BZ48" s="21">
        <f t="shared" ca="1" si="39"/>
        <v>0</v>
      </c>
      <c r="CA48" s="21">
        <f t="shared" ca="1" si="39"/>
        <v>0</v>
      </c>
      <c r="CB48" s="21">
        <f t="shared" ca="1" si="39"/>
        <v>20.6</v>
      </c>
      <c r="CC48" s="21">
        <f t="shared" ca="1" si="39"/>
        <v>145.20000000000002</v>
      </c>
      <c r="CD48" s="21">
        <f t="shared" ca="1" si="39"/>
        <v>206.60000000000002</v>
      </c>
      <c r="CE48" s="21">
        <f t="shared" ca="1" si="39"/>
        <v>368.90000000000003</v>
      </c>
      <c r="CF48" s="21">
        <f t="shared" ca="1" si="39"/>
        <v>334.7000000000001</v>
      </c>
      <c r="CG48" s="21">
        <f t="shared" ca="1" si="39"/>
        <v>300.90000000000003</v>
      </c>
      <c r="CH48" s="21">
        <f t="shared" ca="1" si="39"/>
        <v>76.100000000000023</v>
      </c>
      <c r="CI48" s="21">
        <f t="shared" ca="1" si="39"/>
        <v>29.1</v>
      </c>
      <c r="CJ48" s="21">
        <f t="shared" ca="1" si="39"/>
        <v>1.5</v>
      </c>
      <c r="CL48">
        <v>2015</v>
      </c>
      <c r="CM48" s="21">
        <f t="shared" ca="1" si="40"/>
        <v>0</v>
      </c>
      <c r="CN48" s="21">
        <f t="shared" ca="1" si="40"/>
        <v>0</v>
      </c>
      <c r="CO48" s="21">
        <f t="shared" ca="1" si="40"/>
        <v>0</v>
      </c>
      <c r="CP48" s="21">
        <f t="shared" ca="1" si="40"/>
        <v>39.799999999999997</v>
      </c>
      <c r="CQ48" s="21">
        <f t="shared" ca="1" si="40"/>
        <v>203.09999999999997</v>
      </c>
      <c r="CR48" s="21">
        <f t="shared" ca="1" si="40"/>
        <v>266.60000000000002</v>
      </c>
      <c r="CS48" s="21">
        <f t="shared" ca="1" si="40"/>
        <v>430.90000000000003</v>
      </c>
      <c r="CT48" s="21">
        <f t="shared" ca="1" si="40"/>
        <v>396.7000000000001</v>
      </c>
      <c r="CU48" s="21">
        <f t="shared" ca="1" si="40"/>
        <v>360.90000000000009</v>
      </c>
      <c r="CV48" s="21">
        <f t="shared" ca="1" si="40"/>
        <v>122.50000000000003</v>
      </c>
      <c r="CW48" s="21">
        <f t="shared" ca="1" si="40"/>
        <v>55.70000000000001</v>
      </c>
      <c r="CX48" s="21">
        <f t="shared" ca="1" si="40"/>
        <v>12.400000000000002</v>
      </c>
      <c r="CZ48">
        <v>2015</v>
      </c>
      <c r="DA48" s="21">
        <f t="shared" ca="1" si="41"/>
        <v>0</v>
      </c>
      <c r="DB48" s="21">
        <f t="shared" ca="1" si="41"/>
        <v>0</v>
      </c>
      <c r="DC48" s="21">
        <f t="shared" ca="1" si="41"/>
        <v>0</v>
      </c>
      <c r="DD48" s="21">
        <f t="shared" ca="1" si="41"/>
        <v>0</v>
      </c>
      <c r="DE48" s="21">
        <f t="shared" ca="1" si="41"/>
        <v>6.1000000000000014</v>
      </c>
      <c r="DF48" s="21">
        <f t="shared" ca="1" si="41"/>
        <v>8</v>
      </c>
      <c r="DG48" s="21">
        <f t="shared" ca="1" si="41"/>
        <v>76.5</v>
      </c>
      <c r="DH48" s="21">
        <f t="shared" ca="1" si="41"/>
        <v>45.100000000000009</v>
      </c>
      <c r="DI48" s="21">
        <f t="shared" ca="1" si="41"/>
        <v>51.000000000000014</v>
      </c>
      <c r="DJ48" s="21">
        <f t="shared" ca="1" si="41"/>
        <v>0</v>
      </c>
      <c r="DK48" s="21">
        <f t="shared" ca="1" si="41"/>
        <v>0</v>
      </c>
      <c r="DL48" s="21">
        <f t="shared" ca="1" si="41"/>
        <v>0</v>
      </c>
    </row>
    <row r="49" spans="1:116" x14ac:dyDescent="0.2">
      <c r="A49" s="13">
        <v>37591</v>
      </c>
      <c r="B49">
        <v>2002</v>
      </c>
      <c r="C49">
        <v>12</v>
      </c>
      <c r="D49" s="21">
        <v>-0.36774193548387102</v>
      </c>
      <c r="E49" s="21">
        <v>631.4</v>
      </c>
      <c r="F49" s="21">
        <v>0</v>
      </c>
      <c r="G49" s="21">
        <v>569.39999999999986</v>
      </c>
      <c r="H49" s="21">
        <v>0</v>
      </c>
      <c r="I49" s="21">
        <v>507.39999999999992</v>
      </c>
      <c r="J49" s="21">
        <v>0</v>
      </c>
      <c r="K49" s="21">
        <v>445.4</v>
      </c>
      <c r="L49" s="21">
        <v>0</v>
      </c>
      <c r="M49" s="21">
        <v>383.39999999999992</v>
      </c>
      <c r="N49" s="21">
        <v>0</v>
      </c>
      <c r="O49" s="21">
        <v>321.39999999999998</v>
      </c>
      <c r="P49" s="21">
        <v>0</v>
      </c>
      <c r="Q49" s="21">
        <v>259.39999999999998</v>
      </c>
      <c r="R49" s="21">
        <v>0</v>
      </c>
      <c r="T49">
        <v>2016</v>
      </c>
      <c r="U49" s="21">
        <f t="shared" ca="1" si="35"/>
        <v>0</v>
      </c>
      <c r="V49" s="21">
        <f t="shared" ca="1" si="35"/>
        <v>0</v>
      </c>
      <c r="W49" s="21">
        <f t="shared" ca="1" si="35"/>
        <v>0</v>
      </c>
      <c r="X49" s="21">
        <f t="shared" ca="1" si="35"/>
        <v>0</v>
      </c>
      <c r="Y49" s="21">
        <f t="shared" ca="1" si="35"/>
        <v>28.099999999999998</v>
      </c>
      <c r="Z49" s="21">
        <f t="shared" ca="1" si="35"/>
        <v>68.099999999999994</v>
      </c>
      <c r="AA49" s="21">
        <f t="shared" ca="1" si="35"/>
        <v>152.60000000000002</v>
      </c>
      <c r="AB49" s="21">
        <f t="shared" ca="1" si="35"/>
        <v>177.79999999999998</v>
      </c>
      <c r="AC49" s="21">
        <f t="shared" ca="1" si="35"/>
        <v>76.40000000000002</v>
      </c>
      <c r="AD49" s="21">
        <f t="shared" ca="1" si="35"/>
        <v>8.1000000000000014</v>
      </c>
      <c r="AE49" s="21">
        <f t="shared" ca="1" si="35"/>
        <v>0</v>
      </c>
      <c r="AF49" s="21">
        <f t="shared" ca="1" si="35"/>
        <v>0</v>
      </c>
      <c r="AH49">
        <v>2016</v>
      </c>
      <c r="AI49" s="21">
        <f t="shared" ca="1" si="36"/>
        <v>0</v>
      </c>
      <c r="AJ49" s="21">
        <f t="shared" ca="1" si="36"/>
        <v>0</v>
      </c>
      <c r="AK49" s="21">
        <f t="shared" ca="1" si="36"/>
        <v>0</v>
      </c>
      <c r="AL49" s="21">
        <f t="shared" ca="1" si="36"/>
        <v>0.80000000000000071</v>
      </c>
      <c r="AM49" s="21">
        <f t="shared" ca="1" si="36"/>
        <v>47.699999999999989</v>
      </c>
      <c r="AN49" s="21">
        <f t="shared" ca="1" si="36"/>
        <v>110.1</v>
      </c>
      <c r="AO49" s="21">
        <f t="shared" ca="1" si="36"/>
        <v>214.50000000000003</v>
      </c>
      <c r="AP49" s="21">
        <f t="shared" ca="1" si="36"/>
        <v>239.79999999999998</v>
      </c>
      <c r="AQ49" s="21">
        <f t="shared" ca="1" si="36"/>
        <v>124.7</v>
      </c>
      <c r="AR49" s="21">
        <f t="shared" ca="1" si="36"/>
        <v>24.799999999999997</v>
      </c>
      <c r="AS49" s="21">
        <f t="shared" ca="1" si="36"/>
        <v>0</v>
      </c>
      <c r="AT49" s="21">
        <f t="shared" ca="1" si="36"/>
        <v>0</v>
      </c>
      <c r="AV49">
        <v>2016</v>
      </c>
      <c r="AW49" s="21">
        <f t="shared" ca="1" si="37"/>
        <v>0</v>
      </c>
      <c r="AX49" s="21">
        <f t="shared" ca="1" si="37"/>
        <v>0</v>
      </c>
      <c r="AY49" s="21">
        <f t="shared" ca="1" si="37"/>
        <v>0</v>
      </c>
      <c r="AZ49" s="21">
        <f t="shared" ca="1" si="37"/>
        <v>2.8000000000000007</v>
      </c>
      <c r="BA49" s="21">
        <f t="shared" ca="1" si="37"/>
        <v>70.599999999999994</v>
      </c>
      <c r="BB49" s="21">
        <f t="shared" ca="1" si="37"/>
        <v>163.6</v>
      </c>
      <c r="BC49" s="21">
        <f t="shared" ca="1" si="37"/>
        <v>276.5</v>
      </c>
      <c r="BD49" s="21">
        <f t="shared" ca="1" si="37"/>
        <v>301.80000000000007</v>
      </c>
      <c r="BE49" s="21">
        <f t="shared" ca="1" si="37"/>
        <v>181</v>
      </c>
      <c r="BF49" s="21">
        <f t="shared" ca="1" si="37"/>
        <v>52.699999999999989</v>
      </c>
      <c r="BG49" s="21">
        <f t="shared" ca="1" si="37"/>
        <v>1.9000000000000004</v>
      </c>
      <c r="BH49" s="21">
        <f t="shared" ca="1" si="37"/>
        <v>0</v>
      </c>
      <c r="BJ49">
        <v>2016</v>
      </c>
      <c r="BK49" s="21">
        <f t="shared" ca="1" si="38"/>
        <v>0</v>
      </c>
      <c r="BL49" s="21">
        <f t="shared" ca="1" si="38"/>
        <v>0</v>
      </c>
      <c r="BM49" s="21">
        <f t="shared" ca="1" si="38"/>
        <v>1.8000000000000007</v>
      </c>
      <c r="BN49" s="21">
        <f t="shared" ca="1" si="38"/>
        <v>5.9</v>
      </c>
      <c r="BO49" s="21">
        <f t="shared" ca="1" si="38"/>
        <v>99.899999999999991</v>
      </c>
      <c r="BP49" s="21">
        <f t="shared" ca="1" si="38"/>
        <v>221.60000000000002</v>
      </c>
      <c r="BQ49" s="21">
        <f t="shared" ca="1" si="38"/>
        <v>338.49999999999994</v>
      </c>
      <c r="BR49" s="21">
        <f t="shared" ca="1" si="38"/>
        <v>363.80000000000007</v>
      </c>
      <c r="BS49" s="21">
        <f t="shared" ca="1" si="38"/>
        <v>240.9</v>
      </c>
      <c r="BT49" s="21">
        <f t="shared" ca="1" si="38"/>
        <v>87.600000000000009</v>
      </c>
      <c r="BU49" s="21">
        <f t="shared" ca="1" si="38"/>
        <v>8.3999999999999986</v>
      </c>
      <c r="BV49" s="21">
        <f t="shared" ca="1" si="38"/>
        <v>0</v>
      </c>
      <c r="BX49">
        <v>2016</v>
      </c>
      <c r="BY49" s="21">
        <f t="shared" ca="1" si="39"/>
        <v>0</v>
      </c>
      <c r="BZ49" s="21">
        <f t="shared" ca="1" si="39"/>
        <v>0.19999999999999929</v>
      </c>
      <c r="CA49" s="21">
        <f t="shared" ca="1" si="39"/>
        <v>5.3000000000000007</v>
      </c>
      <c r="CB49" s="21">
        <f t="shared" ca="1" si="39"/>
        <v>11.700000000000001</v>
      </c>
      <c r="CC49" s="21">
        <f t="shared" ca="1" si="39"/>
        <v>137.30000000000001</v>
      </c>
      <c r="CD49" s="21">
        <f t="shared" ca="1" si="39"/>
        <v>281.60000000000008</v>
      </c>
      <c r="CE49" s="21">
        <f t="shared" ca="1" si="39"/>
        <v>400.49999999999983</v>
      </c>
      <c r="CF49" s="21">
        <f t="shared" ca="1" si="39"/>
        <v>425.80000000000007</v>
      </c>
      <c r="CG49" s="21">
        <f t="shared" ca="1" si="39"/>
        <v>300.89999999999992</v>
      </c>
      <c r="CH49" s="21">
        <f t="shared" ca="1" si="39"/>
        <v>126.10000000000001</v>
      </c>
      <c r="CI49" s="21">
        <f t="shared" ca="1" si="39"/>
        <v>23.099999999999998</v>
      </c>
      <c r="CJ49" s="21">
        <f t="shared" ca="1" si="39"/>
        <v>0</v>
      </c>
      <c r="CL49">
        <v>2016</v>
      </c>
      <c r="CM49" s="21">
        <f t="shared" ca="1" si="40"/>
        <v>0</v>
      </c>
      <c r="CN49" s="21">
        <f t="shared" ca="1" si="40"/>
        <v>2.8999999999999986</v>
      </c>
      <c r="CO49" s="21">
        <f t="shared" ca="1" si="40"/>
        <v>13.100000000000001</v>
      </c>
      <c r="CP49" s="21">
        <f t="shared" ca="1" si="40"/>
        <v>22.700000000000003</v>
      </c>
      <c r="CQ49" s="21">
        <f t="shared" ca="1" si="40"/>
        <v>186.50000000000003</v>
      </c>
      <c r="CR49" s="21">
        <f t="shared" ca="1" si="40"/>
        <v>341.6</v>
      </c>
      <c r="CS49" s="21">
        <f t="shared" ca="1" si="40"/>
        <v>462.49999999999989</v>
      </c>
      <c r="CT49" s="21">
        <f t="shared" ca="1" si="40"/>
        <v>487.80000000000007</v>
      </c>
      <c r="CU49" s="21">
        <f t="shared" ca="1" si="40"/>
        <v>360.89999999999992</v>
      </c>
      <c r="CV49" s="21">
        <f t="shared" ca="1" si="40"/>
        <v>172.3</v>
      </c>
      <c r="CW49" s="21">
        <f t="shared" ca="1" si="40"/>
        <v>52.900000000000006</v>
      </c>
      <c r="CX49" s="21">
        <f t="shared" ca="1" si="40"/>
        <v>0</v>
      </c>
      <c r="CZ49">
        <v>2016</v>
      </c>
      <c r="DA49" s="21">
        <f t="shared" ca="1" si="41"/>
        <v>0</v>
      </c>
      <c r="DB49" s="21">
        <f t="shared" ca="1" si="41"/>
        <v>0</v>
      </c>
      <c r="DC49" s="21">
        <f t="shared" ca="1" si="41"/>
        <v>0</v>
      </c>
      <c r="DD49" s="21">
        <f t="shared" ca="1" si="41"/>
        <v>0</v>
      </c>
      <c r="DE49" s="21">
        <f t="shared" ca="1" si="41"/>
        <v>13.599999999999998</v>
      </c>
      <c r="DF49" s="21">
        <f t="shared" ca="1" si="41"/>
        <v>34.6</v>
      </c>
      <c r="DG49" s="21">
        <f t="shared" ca="1" si="41"/>
        <v>95.800000000000026</v>
      </c>
      <c r="DH49" s="21">
        <f t="shared" ca="1" si="41"/>
        <v>115.89999999999998</v>
      </c>
      <c r="DI49" s="21">
        <f t="shared" ca="1" si="41"/>
        <v>42.800000000000011</v>
      </c>
      <c r="DJ49" s="21">
        <f t="shared" ca="1" si="41"/>
        <v>1.7999999999999972</v>
      </c>
      <c r="DK49" s="21">
        <f t="shared" ca="1" si="41"/>
        <v>0</v>
      </c>
      <c r="DL49" s="21">
        <f t="shared" ca="1" si="41"/>
        <v>0</v>
      </c>
    </row>
    <row r="50" spans="1:116" x14ac:dyDescent="0.2">
      <c r="A50" s="13">
        <v>37622</v>
      </c>
      <c r="B50">
        <v>2003</v>
      </c>
      <c r="C50">
        <v>1</v>
      </c>
      <c r="D50" s="21">
        <v>-6.5483870967741939</v>
      </c>
      <c r="E50" s="21">
        <v>823</v>
      </c>
      <c r="F50" s="21">
        <v>0</v>
      </c>
      <c r="G50" s="21">
        <v>761</v>
      </c>
      <c r="H50" s="21">
        <v>0</v>
      </c>
      <c r="I50" s="21">
        <v>699.00000000000011</v>
      </c>
      <c r="J50" s="21">
        <v>0</v>
      </c>
      <c r="K50" s="21">
        <v>637</v>
      </c>
      <c r="L50" s="21">
        <v>0</v>
      </c>
      <c r="M50" s="21">
        <v>575</v>
      </c>
      <c r="N50" s="21">
        <v>0</v>
      </c>
      <c r="O50" s="21">
        <v>513</v>
      </c>
      <c r="P50" s="21">
        <v>0</v>
      </c>
      <c r="Q50" s="21">
        <v>451</v>
      </c>
      <c r="R50" s="21">
        <v>0</v>
      </c>
      <c r="T50">
        <v>2017</v>
      </c>
      <c r="U50" s="21">
        <f t="shared" ca="1" si="35"/>
        <v>0</v>
      </c>
      <c r="V50" s="21">
        <f t="shared" ca="1" si="35"/>
        <v>0</v>
      </c>
      <c r="W50" s="21">
        <f t="shared" ca="1" si="35"/>
        <v>0</v>
      </c>
      <c r="X50" s="21">
        <f t="shared" ca="1" si="35"/>
        <v>0</v>
      </c>
      <c r="Y50" s="21">
        <f t="shared" ca="1" si="35"/>
        <v>7.7999999999999972</v>
      </c>
      <c r="Z50" s="21">
        <f t="shared" ca="1" si="35"/>
        <v>68.399999999999991</v>
      </c>
      <c r="AA50" s="21">
        <f t="shared" ca="1" si="35"/>
        <v>113.49999999999997</v>
      </c>
      <c r="AB50" s="21">
        <f t="shared" ca="1" si="35"/>
        <v>85.4</v>
      </c>
      <c r="AC50" s="21">
        <f t="shared" ca="1" si="35"/>
        <v>60</v>
      </c>
      <c r="AD50" s="21">
        <f t="shared" ca="1" si="35"/>
        <v>9.6999999999999993</v>
      </c>
      <c r="AE50" s="21">
        <f t="shared" ca="1" si="35"/>
        <v>0</v>
      </c>
      <c r="AF50" s="21">
        <f t="shared" ca="1" si="35"/>
        <v>0</v>
      </c>
      <c r="AH50">
        <v>2017</v>
      </c>
      <c r="AI50" s="21">
        <f t="shared" ca="1" si="36"/>
        <v>0</v>
      </c>
      <c r="AJ50" s="21">
        <f t="shared" ca="1" si="36"/>
        <v>0</v>
      </c>
      <c r="AK50" s="21">
        <f t="shared" ca="1" si="36"/>
        <v>0</v>
      </c>
      <c r="AL50" s="21">
        <f t="shared" ca="1" si="36"/>
        <v>0.89999999999999858</v>
      </c>
      <c r="AM50" s="21">
        <f t="shared" ca="1" si="36"/>
        <v>17.299999999999997</v>
      </c>
      <c r="AN50" s="21">
        <f t="shared" ca="1" si="36"/>
        <v>107.99999999999999</v>
      </c>
      <c r="AO50" s="21">
        <f t="shared" ca="1" si="36"/>
        <v>175.5</v>
      </c>
      <c r="AP50" s="21">
        <f t="shared" ca="1" si="36"/>
        <v>140.19999999999999</v>
      </c>
      <c r="AQ50" s="21">
        <f t="shared" ca="1" si="36"/>
        <v>96.9</v>
      </c>
      <c r="AR50" s="21">
        <f t="shared" ca="1" si="36"/>
        <v>33.599999999999994</v>
      </c>
      <c r="AS50" s="21">
        <f t="shared" ca="1" si="36"/>
        <v>0</v>
      </c>
      <c r="AT50" s="21">
        <f t="shared" ca="1" si="36"/>
        <v>0</v>
      </c>
      <c r="AV50">
        <v>2017</v>
      </c>
      <c r="AW50" s="21">
        <f t="shared" ca="1" si="37"/>
        <v>0</v>
      </c>
      <c r="AX50" s="21">
        <f t="shared" ca="1" si="37"/>
        <v>0</v>
      </c>
      <c r="AY50" s="21">
        <f t="shared" ca="1" si="37"/>
        <v>0</v>
      </c>
      <c r="AZ50" s="21">
        <f t="shared" ca="1" si="37"/>
        <v>4.6999999999999993</v>
      </c>
      <c r="BA50" s="21">
        <f t="shared" ca="1" si="37"/>
        <v>29.9</v>
      </c>
      <c r="BB50" s="21">
        <f t="shared" ca="1" si="37"/>
        <v>159.10000000000002</v>
      </c>
      <c r="BC50" s="21">
        <f t="shared" ca="1" si="37"/>
        <v>237.5</v>
      </c>
      <c r="BD50" s="21">
        <f t="shared" ca="1" si="37"/>
        <v>202.19999999999996</v>
      </c>
      <c r="BE50" s="21">
        <f t="shared" ca="1" si="37"/>
        <v>142.4</v>
      </c>
      <c r="BF50" s="21">
        <f t="shared" ca="1" si="37"/>
        <v>67.900000000000006</v>
      </c>
      <c r="BG50" s="21">
        <f t="shared" ca="1" si="37"/>
        <v>0</v>
      </c>
      <c r="BH50" s="21">
        <f t="shared" ca="1" si="37"/>
        <v>0</v>
      </c>
      <c r="BJ50">
        <v>2017</v>
      </c>
      <c r="BK50" s="21">
        <f t="shared" ca="1" si="38"/>
        <v>0</v>
      </c>
      <c r="BL50" s="21">
        <f t="shared" ca="1" si="38"/>
        <v>0</v>
      </c>
      <c r="BM50" s="21">
        <f t="shared" ca="1" si="38"/>
        <v>0</v>
      </c>
      <c r="BN50" s="21">
        <f t="shared" ca="1" si="38"/>
        <v>15</v>
      </c>
      <c r="BO50" s="21">
        <f t="shared" ca="1" si="38"/>
        <v>51.199999999999996</v>
      </c>
      <c r="BP50" s="21">
        <f t="shared" ca="1" si="38"/>
        <v>219.10000000000002</v>
      </c>
      <c r="BQ50" s="21">
        <f t="shared" ca="1" si="38"/>
        <v>299.50000000000006</v>
      </c>
      <c r="BR50" s="21">
        <f t="shared" ca="1" si="38"/>
        <v>264.2</v>
      </c>
      <c r="BS50" s="21">
        <f t="shared" ca="1" si="38"/>
        <v>199.29999999999998</v>
      </c>
      <c r="BT50" s="21">
        <f t="shared" ca="1" si="38"/>
        <v>108.7</v>
      </c>
      <c r="BU50" s="21">
        <f t="shared" ca="1" si="38"/>
        <v>0.19999999999999929</v>
      </c>
      <c r="BV50" s="21">
        <f t="shared" ca="1" si="38"/>
        <v>0</v>
      </c>
      <c r="BX50">
        <v>2017</v>
      </c>
      <c r="BY50" s="21">
        <f t="shared" ca="1" si="39"/>
        <v>0</v>
      </c>
      <c r="BZ50" s="21">
        <f t="shared" ca="1" si="39"/>
        <v>0.5</v>
      </c>
      <c r="CA50" s="21">
        <f t="shared" ca="1" si="39"/>
        <v>0.19999999999999929</v>
      </c>
      <c r="CB50" s="21">
        <f t="shared" ca="1" si="39"/>
        <v>33.700000000000003</v>
      </c>
      <c r="CC50" s="21">
        <f t="shared" ca="1" si="39"/>
        <v>81</v>
      </c>
      <c r="CD50" s="21">
        <f t="shared" ca="1" si="39"/>
        <v>279.10000000000002</v>
      </c>
      <c r="CE50" s="21">
        <f t="shared" ca="1" si="39"/>
        <v>361.50000000000011</v>
      </c>
      <c r="CF50" s="21">
        <f t="shared" ca="1" si="39"/>
        <v>326.2</v>
      </c>
      <c r="CG50" s="21">
        <f t="shared" ca="1" si="39"/>
        <v>258.29999999999995</v>
      </c>
      <c r="CH50" s="21">
        <f t="shared" ca="1" si="39"/>
        <v>156.69999999999996</v>
      </c>
      <c r="CI50" s="21">
        <f t="shared" ca="1" si="39"/>
        <v>3.8999999999999986</v>
      </c>
      <c r="CJ50" s="21">
        <f t="shared" ca="1" si="39"/>
        <v>0</v>
      </c>
      <c r="CL50">
        <v>2017</v>
      </c>
      <c r="CM50" s="21">
        <f t="shared" ca="1" si="40"/>
        <v>0</v>
      </c>
      <c r="CN50" s="21">
        <f t="shared" ca="1" si="40"/>
        <v>2.5999999999999996</v>
      </c>
      <c r="CO50" s="21">
        <f t="shared" ca="1" si="40"/>
        <v>3.4999999999999982</v>
      </c>
      <c r="CP50" s="21">
        <f t="shared" ca="1" si="40"/>
        <v>57.4</v>
      </c>
      <c r="CQ50" s="21">
        <f t="shared" ca="1" si="40"/>
        <v>124.1</v>
      </c>
      <c r="CR50" s="21">
        <f t="shared" ca="1" si="40"/>
        <v>339.09999999999997</v>
      </c>
      <c r="CS50" s="21">
        <f t="shared" ca="1" si="40"/>
        <v>423.50000000000011</v>
      </c>
      <c r="CT50" s="21">
        <f t="shared" ca="1" si="40"/>
        <v>388.2</v>
      </c>
      <c r="CU50" s="21">
        <f t="shared" ca="1" si="40"/>
        <v>318.3</v>
      </c>
      <c r="CV50" s="21">
        <f t="shared" ca="1" si="40"/>
        <v>208.49999999999994</v>
      </c>
      <c r="CW50" s="21">
        <f t="shared" ca="1" si="40"/>
        <v>11.099999999999998</v>
      </c>
      <c r="CX50" s="21">
        <f t="shared" ca="1" si="40"/>
        <v>0</v>
      </c>
      <c r="CZ50">
        <v>2017</v>
      </c>
      <c r="DA50" s="21">
        <f t="shared" ca="1" si="41"/>
        <v>0</v>
      </c>
      <c r="DB50" s="21">
        <f t="shared" ca="1" si="41"/>
        <v>0</v>
      </c>
      <c r="DC50" s="21">
        <f t="shared" ca="1" si="41"/>
        <v>0</v>
      </c>
      <c r="DD50" s="21">
        <f t="shared" ca="1" si="41"/>
        <v>0</v>
      </c>
      <c r="DE50" s="21">
        <f t="shared" ca="1" si="41"/>
        <v>3.8999999999999986</v>
      </c>
      <c r="DF50" s="21">
        <f t="shared" ca="1" si="41"/>
        <v>36.5</v>
      </c>
      <c r="DG50" s="21">
        <f t="shared" ca="1" si="41"/>
        <v>56.9</v>
      </c>
      <c r="DH50" s="21">
        <f t="shared" ca="1" si="41"/>
        <v>42.8</v>
      </c>
      <c r="DI50" s="21">
        <f t="shared" ca="1" si="41"/>
        <v>30.500000000000004</v>
      </c>
      <c r="DJ50" s="21">
        <f t="shared" ca="1" si="41"/>
        <v>2.1999999999999993</v>
      </c>
      <c r="DK50" s="21">
        <f t="shared" ca="1" si="41"/>
        <v>0</v>
      </c>
      <c r="DL50" s="21">
        <f t="shared" ca="1" si="41"/>
        <v>0</v>
      </c>
    </row>
    <row r="51" spans="1:116" x14ac:dyDescent="0.2">
      <c r="A51" s="13">
        <v>37653</v>
      </c>
      <c r="B51">
        <v>2003</v>
      </c>
      <c r="C51">
        <v>2</v>
      </c>
      <c r="D51" s="21">
        <v>-5.2142857142857153</v>
      </c>
      <c r="E51" s="21">
        <v>705.99999999999989</v>
      </c>
      <c r="F51" s="21">
        <v>0</v>
      </c>
      <c r="G51" s="21">
        <v>649.99999999999989</v>
      </c>
      <c r="H51" s="21">
        <v>0</v>
      </c>
      <c r="I51" s="21">
        <v>594</v>
      </c>
      <c r="J51" s="21">
        <v>0</v>
      </c>
      <c r="K51" s="21">
        <v>538</v>
      </c>
      <c r="L51" s="21">
        <v>0</v>
      </c>
      <c r="M51" s="21">
        <v>482</v>
      </c>
      <c r="N51" s="21">
        <v>0</v>
      </c>
      <c r="O51" s="21">
        <v>426</v>
      </c>
      <c r="P51" s="21">
        <v>0</v>
      </c>
      <c r="Q51" s="21">
        <v>370</v>
      </c>
      <c r="R51" s="21">
        <v>0</v>
      </c>
      <c r="T51">
        <v>2018</v>
      </c>
      <c r="U51" s="21">
        <f t="shared" ca="1" si="35"/>
        <v>0</v>
      </c>
      <c r="V51" s="21">
        <f t="shared" ca="1" si="35"/>
        <v>0</v>
      </c>
      <c r="W51" s="21">
        <f t="shared" ca="1" si="35"/>
        <v>0</v>
      </c>
      <c r="X51" s="21">
        <f t="shared" ca="1" si="35"/>
        <v>0</v>
      </c>
      <c r="Y51" s="21">
        <f t="shared" ca="1" si="35"/>
        <v>28.2</v>
      </c>
      <c r="Z51" s="21">
        <f t="shared" ca="1" si="35"/>
        <v>57.800000000000004</v>
      </c>
      <c r="AA51" s="21">
        <f t="shared" ca="1" si="35"/>
        <v>164.19999999999996</v>
      </c>
      <c r="AB51" s="21">
        <f t="shared" ca="1" si="35"/>
        <v>165.10000000000002</v>
      </c>
      <c r="AC51" s="21">
        <f t="shared" ca="1" si="35"/>
        <v>71.199999999999989</v>
      </c>
      <c r="AD51" s="21">
        <f t="shared" ca="1" si="35"/>
        <v>9.5</v>
      </c>
      <c r="AE51" s="21">
        <f t="shared" ca="1" si="35"/>
        <v>0</v>
      </c>
      <c r="AF51" s="21">
        <f t="shared" ca="1" si="35"/>
        <v>0</v>
      </c>
      <c r="AH51">
        <v>2018</v>
      </c>
      <c r="AI51" s="21">
        <f t="shared" ca="1" si="36"/>
        <v>0</v>
      </c>
      <c r="AJ51" s="21">
        <f t="shared" ca="1" si="36"/>
        <v>0</v>
      </c>
      <c r="AK51" s="21">
        <f t="shared" ca="1" si="36"/>
        <v>0</v>
      </c>
      <c r="AL51" s="21">
        <f t="shared" ca="1" si="36"/>
        <v>0</v>
      </c>
      <c r="AM51" s="21">
        <f t="shared" ca="1" si="36"/>
        <v>48.5</v>
      </c>
      <c r="AN51" s="21">
        <f t="shared" ca="1" si="36"/>
        <v>95.899999999999977</v>
      </c>
      <c r="AO51" s="21">
        <f t="shared" ca="1" si="36"/>
        <v>226.19999999999996</v>
      </c>
      <c r="AP51" s="21">
        <f t="shared" ca="1" si="36"/>
        <v>225.8</v>
      </c>
      <c r="AQ51" s="21">
        <f t="shared" ca="1" si="36"/>
        <v>114.70000000000003</v>
      </c>
      <c r="AR51" s="21">
        <f t="shared" ca="1" si="36"/>
        <v>16.2</v>
      </c>
      <c r="AS51" s="21">
        <f t="shared" ca="1" si="36"/>
        <v>0</v>
      </c>
      <c r="AT51" s="21">
        <f t="shared" ca="1" si="36"/>
        <v>0</v>
      </c>
      <c r="AV51">
        <v>2018</v>
      </c>
      <c r="AW51" s="21">
        <f t="shared" ca="1" si="37"/>
        <v>0</v>
      </c>
      <c r="AX51" s="21">
        <f t="shared" ca="1" si="37"/>
        <v>0</v>
      </c>
      <c r="AY51" s="21">
        <f t="shared" ca="1" si="37"/>
        <v>0</v>
      </c>
      <c r="AZ51" s="21">
        <f t="shared" ca="1" si="37"/>
        <v>0</v>
      </c>
      <c r="BA51" s="21">
        <f t="shared" ca="1" si="37"/>
        <v>74.999999999999986</v>
      </c>
      <c r="BB51" s="21">
        <f t="shared" ca="1" si="37"/>
        <v>151.49999999999997</v>
      </c>
      <c r="BC51" s="21">
        <f t="shared" ca="1" si="37"/>
        <v>288.2</v>
      </c>
      <c r="BD51" s="21">
        <f t="shared" ca="1" si="37"/>
        <v>287.79999999999995</v>
      </c>
      <c r="BE51" s="21">
        <f t="shared" ca="1" si="37"/>
        <v>165.40000000000003</v>
      </c>
      <c r="BF51" s="21">
        <f t="shared" ca="1" si="37"/>
        <v>28.7</v>
      </c>
      <c r="BG51" s="21">
        <f t="shared" ca="1" si="37"/>
        <v>0</v>
      </c>
      <c r="BH51" s="21">
        <f t="shared" ca="1" si="37"/>
        <v>0</v>
      </c>
      <c r="BJ51">
        <v>2018</v>
      </c>
      <c r="BK51" s="21">
        <f t="shared" ca="1" si="38"/>
        <v>0</v>
      </c>
      <c r="BL51" s="21">
        <f t="shared" ca="1" si="38"/>
        <v>0</v>
      </c>
      <c r="BM51" s="21">
        <f t="shared" ca="1" si="38"/>
        <v>0</v>
      </c>
      <c r="BN51" s="21">
        <f t="shared" ca="1" si="38"/>
        <v>0</v>
      </c>
      <c r="BO51" s="21">
        <f t="shared" ca="1" si="38"/>
        <v>111.69999999999997</v>
      </c>
      <c r="BP51" s="21">
        <f t="shared" ca="1" si="38"/>
        <v>210.90000000000006</v>
      </c>
      <c r="BQ51" s="21">
        <f t="shared" ca="1" si="38"/>
        <v>350.2</v>
      </c>
      <c r="BR51" s="21">
        <f t="shared" ca="1" si="38"/>
        <v>349.79999999999995</v>
      </c>
      <c r="BS51" s="21">
        <f t="shared" ca="1" si="38"/>
        <v>223.39999999999998</v>
      </c>
      <c r="BT51" s="21">
        <f t="shared" ca="1" si="38"/>
        <v>46.2</v>
      </c>
      <c r="BU51" s="21">
        <f t="shared" ca="1" si="38"/>
        <v>0</v>
      </c>
      <c r="BV51" s="21">
        <f t="shared" ca="1" si="38"/>
        <v>0</v>
      </c>
      <c r="BX51">
        <v>2018</v>
      </c>
      <c r="BY51" s="21">
        <f t="shared" ca="1" si="39"/>
        <v>0.19999999999999929</v>
      </c>
      <c r="BZ51" s="21">
        <f t="shared" ca="1" si="39"/>
        <v>0.40000000000000036</v>
      </c>
      <c r="CA51" s="21">
        <f t="shared" ca="1" si="39"/>
        <v>0</v>
      </c>
      <c r="CB51" s="21">
        <f t="shared" ca="1" si="39"/>
        <v>1.5</v>
      </c>
      <c r="CC51" s="21">
        <f t="shared" ca="1" si="39"/>
        <v>155.39999999999998</v>
      </c>
      <c r="CD51" s="21">
        <f t="shared" ca="1" si="39"/>
        <v>270.90000000000009</v>
      </c>
      <c r="CE51" s="21">
        <f t="shared" ca="1" si="39"/>
        <v>412.20000000000005</v>
      </c>
      <c r="CF51" s="21">
        <f t="shared" ca="1" si="39"/>
        <v>411.7999999999999</v>
      </c>
      <c r="CG51" s="21">
        <f t="shared" ca="1" si="39"/>
        <v>283.39999999999998</v>
      </c>
      <c r="CH51" s="21">
        <f t="shared" ca="1" si="39"/>
        <v>70.2</v>
      </c>
      <c r="CI51" s="21">
        <f t="shared" ca="1" si="39"/>
        <v>1.6999999999999993</v>
      </c>
      <c r="CJ51" s="21">
        <f t="shared" ca="1" si="39"/>
        <v>0</v>
      </c>
      <c r="CL51">
        <v>2018</v>
      </c>
      <c r="CM51" s="21">
        <f t="shared" ca="1" si="40"/>
        <v>2.1999999999999993</v>
      </c>
      <c r="CN51" s="21">
        <f t="shared" ca="1" si="40"/>
        <v>3.4000000000000004</v>
      </c>
      <c r="CO51" s="21">
        <f t="shared" ca="1" si="40"/>
        <v>0</v>
      </c>
      <c r="CP51" s="21">
        <f t="shared" ca="1" si="40"/>
        <v>8.1999999999999993</v>
      </c>
      <c r="CQ51" s="21">
        <f t="shared" ca="1" si="40"/>
        <v>211.20000000000002</v>
      </c>
      <c r="CR51" s="21">
        <f t="shared" ca="1" si="40"/>
        <v>330.90000000000009</v>
      </c>
      <c r="CS51" s="21">
        <f t="shared" ca="1" si="40"/>
        <v>474.2000000000001</v>
      </c>
      <c r="CT51" s="21">
        <f t="shared" ca="1" si="40"/>
        <v>473.7999999999999</v>
      </c>
      <c r="CU51" s="21">
        <f t="shared" ca="1" si="40"/>
        <v>343.39999999999992</v>
      </c>
      <c r="CV51" s="21">
        <f t="shared" ca="1" si="40"/>
        <v>102.60000000000001</v>
      </c>
      <c r="CW51" s="21">
        <f t="shared" ca="1" si="40"/>
        <v>5.5</v>
      </c>
      <c r="CX51" s="21">
        <f t="shared" ca="1" si="40"/>
        <v>0</v>
      </c>
      <c r="CZ51">
        <v>2018</v>
      </c>
      <c r="DA51" s="21">
        <f t="shared" ca="1" si="41"/>
        <v>0</v>
      </c>
      <c r="DB51" s="21">
        <f t="shared" ca="1" si="41"/>
        <v>0</v>
      </c>
      <c r="DC51" s="21">
        <f t="shared" ca="1" si="41"/>
        <v>0</v>
      </c>
      <c r="DD51" s="21">
        <f t="shared" ca="1" si="41"/>
        <v>0</v>
      </c>
      <c r="DE51" s="21">
        <f t="shared" ca="1" si="41"/>
        <v>12.3</v>
      </c>
      <c r="DF51" s="21">
        <f t="shared" ca="1" si="41"/>
        <v>35.5</v>
      </c>
      <c r="DG51" s="21">
        <f t="shared" ca="1" si="41"/>
        <v>102.69999999999999</v>
      </c>
      <c r="DH51" s="21">
        <f t="shared" ca="1" si="41"/>
        <v>107.60000000000002</v>
      </c>
      <c r="DI51" s="21">
        <f t="shared" ca="1" si="41"/>
        <v>40.599999999999994</v>
      </c>
      <c r="DJ51" s="21">
        <f t="shared" ca="1" si="41"/>
        <v>5.5</v>
      </c>
      <c r="DK51" s="21">
        <f t="shared" ca="1" si="41"/>
        <v>0</v>
      </c>
      <c r="DL51" s="21">
        <f t="shared" ca="1" si="41"/>
        <v>0</v>
      </c>
    </row>
    <row r="52" spans="1:116" x14ac:dyDescent="0.2">
      <c r="A52" s="13">
        <v>37681</v>
      </c>
      <c r="B52">
        <v>2003</v>
      </c>
      <c r="C52">
        <v>3</v>
      </c>
      <c r="D52" s="21">
        <v>-0.20322580645161345</v>
      </c>
      <c r="E52" s="21">
        <v>626.29999999999973</v>
      </c>
      <c r="F52" s="21">
        <v>0</v>
      </c>
      <c r="G52" s="21">
        <v>564.29999999999995</v>
      </c>
      <c r="H52" s="21">
        <v>0</v>
      </c>
      <c r="I52" s="21">
        <v>502.29999999999984</v>
      </c>
      <c r="J52" s="21">
        <v>0</v>
      </c>
      <c r="K52" s="21">
        <v>440.29999999999984</v>
      </c>
      <c r="L52" s="21">
        <v>0</v>
      </c>
      <c r="M52" s="21">
        <v>378.29999999999984</v>
      </c>
      <c r="N52" s="21">
        <v>0</v>
      </c>
      <c r="O52" s="21">
        <v>316.29999999999984</v>
      </c>
      <c r="P52" s="21">
        <v>0</v>
      </c>
      <c r="Q52" s="21">
        <v>258.09999999999991</v>
      </c>
      <c r="R52" s="21">
        <v>3.7999999999999989</v>
      </c>
      <c r="T52">
        <v>2019</v>
      </c>
      <c r="U52" s="21">
        <f t="shared" ca="1" si="35"/>
        <v>0</v>
      </c>
      <c r="V52" s="21">
        <f t="shared" ca="1" si="35"/>
        <v>0</v>
      </c>
      <c r="W52" s="21">
        <f t="shared" ca="1" si="35"/>
        <v>0</v>
      </c>
      <c r="X52" s="21">
        <f t="shared" ca="1" si="35"/>
        <v>0</v>
      </c>
      <c r="Y52" s="21">
        <f t="shared" ca="1" si="35"/>
        <v>0.39999999999999858</v>
      </c>
      <c r="Z52" s="21">
        <f t="shared" ca="1" si="35"/>
        <v>34.1</v>
      </c>
      <c r="AA52" s="21">
        <f t="shared" ca="1" si="35"/>
        <v>152.6</v>
      </c>
      <c r="AB52" s="21">
        <f t="shared" ca="1" si="35"/>
        <v>102.69999999999999</v>
      </c>
      <c r="AC52" s="21">
        <f t="shared" ca="1" si="35"/>
        <v>35.4</v>
      </c>
      <c r="AD52" s="21">
        <f t="shared" ca="1" si="35"/>
        <v>4.8999999999999986</v>
      </c>
      <c r="AE52" s="21">
        <f t="shared" ca="1" si="35"/>
        <v>0</v>
      </c>
      <c r="AF52" s="21">
        <f t="shared" ca="1" si="35"/>
        <v>0</v>
      </c>
      <c r="AH52">
        <v>2019</v>
      </c>
      <c r="AI52" s="21">
        <f t="shared" ca="1" si="36"/>
        <v>0</v>
      </c>
      <c r="AJ52" s="21">
        <f t="shared" ca="1" si="36"/>
        <v>0</v>
      </c>
      <c r="AK52" s="21">
        <f t="shared" ca="1" si="36"/>
        <v>0</v>
      </c>
      <c r="AL52" s="21">
        <f t="shared" ca="1" si="36"/>
        <v>0</v>
      </c>
      <c r="AM52" s="21">
        <f t="shared" ca="1" si="36"/>
        <v>4.5999999999999979</v>
      </c>
      <c r="AN52" s="21">
        <f t="shared" ca="1" si="36"/>
        <v>61.2</v>
      </c>
      <c r="AO52" s="21">
        <f t="shared" ca="1" si="36"/>
        <v>214.60000000000002</v>
      </c>
      <c r="AP52" s="21">
        <f t="shared" ca="1" si="36"/>
        <v>163.29999999999998</v>
      </c>
      <c r="AQ52" s="21">
        <f t="shared" ca="1" si="36"/>
        <v>78.7</v>
      </c>
      <c r="AR52" s="21">
        <f t="shared" ca="1" si="36"/>
        <v>8.3999999999999986</v>
      </c>
      <c r="AS52" s="21">
        <f t="shared" ca="1" si="36"/>
        <v>0</v>
      </c>
      <c r="AT52" s="21">
        <f t="shared" ca="1" si="36"/>
        <v>0</v>
      </c>
      <c r="AV52">
        <v>2019</v>
      </c>
      <c r="AW52" s="21">
        <f t="shared" ca="1" si="37"/>
        <v>0</v>
      </c>
      <c r="AX52" s="21">
        <f t="shared" ca="1" si="37"/>
        <v>0</v>
      </c>
      <c r="AY52" s="21">
        <f t="shared" ca="1" si="37"/>
        <v>0</v>
      </c>
      <c r="AZ52" s="21">
        <f t="shared" ca="1" si="37"/>
        <v>0</v>
      </c>
      <c r="BA52" s="21">
        <f t="shared" ca="1" si="37"/>
        <v>14.6</v>
      </c>
      <c r="BB52" s="21">
        <f t="shared" ca="1" si="37"/>
        <v>103.60000000000002</v>
      </c>
      <c r="BC52" s="21">
        <f t="shared" ca="1" si="37"/>
        <v>276.59999999999997</v>
      </c>
      <c r="BD52" s="21">
        <f t="shared" ca="1" si="37"/>
        <v>225.29999999999998</v>
      </c>
      <c r="BE52" s="21">
        <f t="shared" ca="1" si="37"/>
        <v>133.90000000000003</v>
      </c>
      <c r="BF52" s="21">
        <f t="shared" ca="1" si="37"/>
        <v>15.999999999999998</v>
      </c>
      <c r="BG52" s="21">
        <f t="shared" ca="1" si="37"/>
        <v>0</v>
      </c>
      <c r="BH52" s="21">
        <f t="shared" ca="1" si="37"/>
        <v>0</v>
      </c>
      <c r="BJ52">
        <v>2019</v>
      </c>
      <c r="BK52" s="21">
        <f t="shared" ca="1" si="38"/>
        <v>0</v>
      </c>
      <c r="BL52" s="21">
        <f t="shared" ca="1" si="38"/>
        <v>0</v>
      </c>
      <c r="BM52" s="21">
        <f t="shared" ca="1" si="38"/>
        <v>0</v>
      </c>
      <c r="BN52" s="21">
        <f t="shared" ca="1" si="38"/>
        <v>1.4000000000000004</v>
      </c>
      <c r="BO52" s="21">
        <f t="shared" ca="1" si="38"/>
        <v>34.299999999999997</v>
      </c>
      <c r="BP52" s="21">
        <f t="shared" ca="1" si="38"/>
        <v>159.4</v>
      </c>
      <c r="BQ52" s="21">
        <f t="shared" ca="1" si="38"/>
        <v>338.59999999999997</v>
      </c>
      <c r="BR52" s="21">
        <f t="shared" ca="1" si="38"/>
        <v>287.3</v>
      </c>
      <c r="BS52" s="21">
        <f t="shared" ca="1" si="38"/>
        <v>193.6</v>
      </c>
      <c r="BT52" s="21">
        <f t="shared" ca="1" si="38"/>
        <v>35.9</v>
      </c>
      <c r="BU52" s="21">
        <f t="shared" ca="1" si="38"/>
        <v>0</v>
      </c>
      <c r="BV52" s="21">
        <f t="shared" ca="1" si="38"/>
        <v>0</v>
      </c>
      <c r="BX52">
        <v>2019</v>
      </c>
      <c r="BY52" s="21">
        <f t="shared" ca="1" si="39"/>
        <v>0</v>
      </c>
      <c r="BZ52" s="21">
        <f t="shared" ca="1" si="39"/>
        <v>0</v>
      </c>
      <c r="CA52" s="21">
        <f t="shared" ca="1" si="39"/>
        <v>0</v>
      </c>
      <c r="CB52" s="21">
        <f t="shared" ca="1" si="39"/>
        <v>4.8000000000000007</v>
      </c>
      <c r="CC52" s="21">
        <f t="shared" ca="1" si="39"/>
        <v>65.899999999999991</v>
      </c>
      <c r="CD52" s="21">
        <f t="shared" ca="1" si="39"/>
        <v>219.2</v>
      </c>
      <c r="CE52" s="21">
        <f t="shared" ca="1" si="39"/>
        <v>400.59999999999997</v>
      </c>
      <c r="CF52" s="21">
        <f t="shared" ca="1" si="39"/>
        <v>349.3</v>
      </c>
      <c r="CG52" s="21">
        <f t="shared" ca="1" si="39"/>
        <v>253.59999999999997</v>
      </c>
      <c r="CH52" s="21">
        <f t="shared" ca="1" si="39"/>
        <v>76.299999999999983</v>
      </c>
      <c r="CI52" s="21">
        <f t="shared" ca="1" si="39"/>
        <v>0</v>
      </c>
      <c r="CJ52" s="21">
        <f t="shared" ca="1" si="39"/>
        <v>0</v>
      </c>
      <c r="CL52">
        <v>2019</v>
      </c>
      <c r="CM52" s="21">
        <f t="shared" ca="1" si="40"/>
        <v>0</v>
      </c>
      <c r="CN52" s="21">
        <f t="shared" ca="1" si="40"/>
        <v>2</v>
      </c>
      <c r="CO52" s="21">
        <f t="shared" ca="1" si="40"/>
        <v>9.9999999999999645E-2</v>
      </c>
      <c r="CP52" s="21">
        <f t="shared" ca="1" si="40"/>
        <v>19.5</v>
      </c>
      <c r="CQ52" s="21">
        <f t="shared" ca="1" si="40"/>
        <v>108.19999999999997</v>
      </c>
      <c r="CR52" s="21">
        <f t="shared" ca="1" si="40"/>
        <v>279.2</v>
      </c>
      <c r="CS52" s="21">
        <f t="shared" ca="1" si="40"/>
        <v>462.59999999999997</v>
      </c>
      <c r="CT52" s="21">
        <f t="shared" ca="1" si="40"/>
        <v>411.29999999999995</v>
      </c>
      <c r="CU52" s="21">
        <f t="shared" ca="1" si="40"/>
        <v>313.59999999999997</v>
      </c>
      <c r="CV52" s="21">
        <f t="shared" ca="1" si="40"/>
        <v>128.19999999999999</v>
      </c>
      <c r="CW52" s="21">
        <f t="shared" ca="1" si="40"/>
        <v>1.8000000000000007</v>
      </c>
      <c r="CX52" s="21">
        <f t="shared" ca="1" si="40"/>
        <v>0</v>
      </c>
      <c r="CZ52">
        <v>2019</v>
      </c>
      <c r="DA52" s="21">
        <f t="shared" ca="1" si="41"/>
        <v>0</v>
      </c>
      <c r="DB52" s="21">
        <f t="shared" ca="1" si="41"/>
        <v>0</v>
      </c>
      <c r="DC52" s="21">
        <f t="shared" ca="1" si="41"/>
        <v>0</v>
      </c>
      <c r="DD52" s="21">
        <f t="shared" ca="1" si="41"/>
        <v>0</v>
      </c>
      <c r="DE52" s="21">
        <f t="shared" ca="1" si="41"/>
        <v>0</v>
      </c>
      <c r="DF52" s="21">
        <f t="shared" ca="1" si="41"/>
        <v>16.100000000000001</v>
      </c>
      <c r="DG52" s="21">
        <f t="shared" ca="1" si="41"/>
        <v>92</v>
      </c>
      <c r="DH52" s="21">
        <f t="shared" ca="1" si="41"/>
        <v>50</v>
      </c>
      <c r="DI52" s="21">
        <f t="shared" ca="1" si="41"/>
        <v>11.599999999999994</v>
      </c>
      <c r="DJ52" s="21">
        <f t="shared" ca="1" si="41"/>
        <v>2.8999999999999986</v>
      </c>
      <c r="DK52" s="21">
        <f t="shared" ca="1" si="41"/>
        <v>0</v>
      </c>
      <c r="DL52" s="21">
        <f t="shared" ca="1" si="41"/>
        <v>0</v>
      </c>
    </row>
    <row r="53" spans="1:116" ht="15" x14ac:dyDescent="0.25">
      <c r="A53" s="13">
        <v>37712</v>
      </c>
      <c r="B53">
        <v>2003</v>
      </c>
      <c r="C53">
        <v>4</v>
      </c>
      <c r="D53" s="21">
        <v>5.2900000000000009</v>
      </c>
      <c r="E53" s="21">
        <v>441.29999999999995</v>
      </c>
      <c r="F53" s="21">
        <v>0</v>
      </c>
      <c r="G53" s="21">
        <v>382.8</v>
      </c>
      <c r="H53" s="21">
        <v>1.5</v>
      </c>
      <c r="I53" s="21">
        <v>326.2</v>
      </c>
      <c r="J53" s="21">
        <v>4.8999999999999986</v>
      </c>
      <c r="K53" s="21">
        <v>270.70000000000005</v>
      </c>
      <c r="L53" s="21">
        <v>9.3999999999999986</v>
      </c>
      <c r="M53" s="21">
        <v>216.7</v>
      </c>
      <c r="N53" s="21">
        <v>15.399999999999999</v>
      </c>
      <c r="O53" s="21">
        <v>163.89999999999998</v>
      </c>
      <c r="P53" s="21">
        <v>22.599999999999994</v>
      </c>
      <c r="Q53" s="21">
        <v>118.2</v>
      </c>
      <c r="R53" s="21">
        <v>36.9</v>
      </c>
      <c r="T53" s="59">
        <v>2020</v>
      </c>
      <c r="U53" s="59">
        <f ca="1">MAX(TREND(U$33:U$52,$T$33:$T$52,$T53),0)</f>
        <v>0</v>
      </c>
      <c r="V53" s="59">
        <f t="shared" ref="V53:AF54" ca="1" si="42">MAX(TREND(V$33:V$52,$T$33:$T$52,$T53),0)</f>
        <v>0</v>
      </c>
      <c r="W53" s="59">
        <f t="shared" ca="1" si="42"/>
        <v>0</v>
      </c>
      <c r="X53" s="59">
        <f t="shared" ca="1" si="42"/>
        <v>0</v>
      </c>
      <c r="Y53" s="59">
        <f t="shared" ca="1" si="42"/>
        <v>16.925263157894733</v>
      </c>
      <c r="Z53" s="59">
        <f t="shared" ca="1" si="42"/>
        <v>54.3321052631577</v>
      </c>
      <c r="AA53" s="59">
        <f t="shared" ca="1" si="42"/>
        <v>152.00105263157911</v>
      </c>
      <c r="AB53" s="59">
        <f t="shared" ca="1" si="42"/>
        <v>115.81684210526316</v>
      </c>
      <c r="AC53" s="59">
        <f t="shared" ca="1" si="42"/>
        <v>54.006315789473774</v>
      </c>
      <c r="AD53" s="59">
        <f t="shared" ca="1" si="42"/>
        <v>5.5389473684210486</v>
      </c>
      <c r="AE53" s="59">
        <f t="shared" ca="1" si="42"/>
        <v>0</v>
      </c>
      <c r="AF53" s="59">
        <f t="shared" ca="1" si="42"/>
        <v>0</v>
      </c>
      <c r="AH53" s="59">
        <v>2020</v>
      </c>
      <c r="AI53" s="59">
        <f ca="1">MAX(TREND(AI$33:AI$52,$AH$33:$AH$52,$AH53),0)</f>
        <v>0</v>
      </c>
      <c r="AJ53" s="59">
        <f t="shared" ref="AJ53:AT54" ca="1" si="43">MAX(TREND(AJ$33:AJ$52,$AH$33:$AH$52,$AH53),0)</f>
        <v>0</v>
      </c>
      <c r="AK53" s="59">
        <f t="shared" ca="1" si="43"/>
        <v>0</v>
      </c>
      <c r="AL53" s="59">
        <f t="shared" ca="1" si="43"/>
        <v>0</v>
      </c>
      <c r="AM53" s="59">
        <f t="shared" ca="1" si="43"/>
        <v>31.764210526315537</v>
      </c>
      <c r="AN53" s="59">
        <f t="shared" ca="1" si="43"/>
        <v>91.112105263158128</v>
      </c>
      <c r="AO53" s="59">
        <f t="shared" ca="1" si="43"/>
        <v>213.00526315789466</v>
      </c>
      <c r="AP53" s="59">
        <f t="shared" ca="1" si="43"/>
        <v>175.00210526315789</v>
      </c>
      <c r="AQ53" s="59">
        <f t="shared" ca="1" si="43"/>
        <v>92.325263157894824</v>
      </c>
      <c r="AR53" s="59">
        <f t="shared" ca="1" si="43"/>
        <v>14.861578947368457</v>
      </c>
      <c r="AS53" s="59">
        <f t="shared" ca="1" si="43"/>
        <v>1.3684210526315965E-2</v>
      </c>
      <c r="AT53" s="59">
        <f t="shared" ca="1" si="43"/>
        <v>0</v>
      </c>
      <c r="AV53" s="59">
        <v>2020</v>
      </c>
      <c r="AW53" s="59">
        <f ca="1">MAX(TREND(AW$33:AW$52,$AV$33:$AV$52,$AV53),0)</f>
        <v>0</v>
      </c>
      <c r="AX53" s="59">
        <f t="shared" ref="AX53:BH54" ca="1" si="44">MAX(TREND(AX$33:AX$52,$AV$33:$AV$52,$AV53),0)</f>
        <v>0</v>
      </c>
      <c r="AY53" s="59">
        <f t="shared" ca="1" si="44"/>
        <v>2.6842105263158E-2</v>
      </c>
      <c r="AZ53" s="59">
        <f t="shared" ca="1" si="44"/>
        <v>0</v>
      </c>
      <c r="BA53" s="59">
        <f t="shared" ca="1" si="44"/>
        <v>53.264210526315765</v>
      </c>
      <c r="BB53" s="59">
        <f t="shared" ca="1" si="44"/>
        <v>141.64473684210543</v>
      </c>
      <c r="BC53" s="59">
        <f t="shared" ca="1" si="44"/>
        <v>274.96789473684203</v>
      </c>
      <c r="BD53" s="59">
        <f t="shared" ca="1" si="44"/>
        <v>237.02947368421053</v>
      </c>
      <c r="BE53" s="59">
        <f t="shared" ca="1" si="44"/>
        <v>141.84894736842102</v>
      </c>
      <c r="BF53" s="59">
        <f t="shared" ca="1" si="44"/>
        <v>32.161578947368525</v>
      </c>
      <c r="BG53" s="59">
        <f t="shared" ca="1" si="44"/>
        <v>0.7242105263157903</v>
      </c>
      <c r="BH53" s="59">
        <f t="shared" ca="1" si="44"/>
        <v>0</v>
      </c>
      <c r="BJ53" s="59">
        <v>2020</v>
      </c>
      <c r="BK53" s="59">
        <f ca="1">MAX(TREND(BK$33:BK$52,$BJ$33:$BJ$52,$BJ53),0)</f>
        <v>7.3684210526316463E-2</v>
      </c>
      <c r="BL53" s="59">
        <f t="shared" ref="BL53:BV54" ca="1" si="45">MAX(TREND(BL$33:BL$52,$BJ$33:$BJ$52,$BJ53),0)</f>
        <v>0</v>
      </c>
      <c r="BM53" s="59">
        <f t="shared" ca="1" si="45"/>
        <v>0.3857894736842109</v>
      </c>
      <c r="BN53" s="59">
        <f t="shared" ca="1" si="45"/>
        <v>3.2415789473684526</v>
      </c>
      <c r="BO53" s="59">
        <f t="shared" ca="1" si="45"/>
        <v>83.8321052631577</v>
      </c>
      <c r="BP53" s="59">
        <f t="shared" ca="1" si="45"/>
        <v>200.67684210526318</v>
      </c>
      <c r="BQ53" s="59">
        <f t="shared" ca="1" si="45"/>
        <v>336.96789473684203</v>
      </c>
      <c r="BR53" s="59">
        <f t="shared" ca="1" si="45"/>
        <v>299.02947368421047</v>
      </c>
      <c r="BS53" s="59">
        <f t="shared" ca="1" si="45"/>
        <v>199.16684210526296</v>
      </c>
      <c r="BT53" s="59">
        <f t="shared" ca="1" si="45"/>
        <v>58.427894736842063</v>
      </c>
      <c r="BU53" s="59">
        <f t="shared" ca="1" si="45"/>
        <v>2.782105263157888</v>
      </c>
      <c r="BV53" s="59">
        <f t="shared" ca="1" si="45"/>
        <v>0</v>
      </c>
      <c r="BX53" s="59">
        <v>2020</v>
      </c>
      <c r="BY53" s="59">
        <f ca="1">MAX(TREND(BY$33:BY$52,$BJ$33:$BJ$52,$BJ53),0)</f>
        <v>0.33157894736842053</v>
      </c>
      <c r="BZ53" s="59">
        <f t="shared" ref="BZ53:CJ54" ca="1" si="46">MAX(TREND(BZ$33:BZ$52,$BJ$33:$BJ$52,$BJ53),0)</f>
        <v>0.18842105263157904</v>
      </c>
      <c r="CA53" s="59">
        <f t="shared" ca="1" si="46"/>
        <v>1.5200000000000031</v>
      </c>
      <c r="CB53" s="59">
        <f t="shared" ca="1" si="46"/>
        <v>11.311578947368162</v>
      </c>
      <c r="CC53" s="59">
        <f t="shared" ca="1" si="46"/>
        <v>123.45789473684181</v>
      </c>
      <c r="CD53" s="59">
        <f t="shared" ca="1" si="46"/>
        <v>260.80315789473696</v>
      </c>
      <c r="CE53" s="59">
        <f t="shared" ca="1" si="46"/>
        <v>398.96789473684294</v>
      </c>
      <c r="CF53" s="59">
        <f t="shared" ca="1" si="46"/>
        <v>361.02947368421047</v>
      </c>
      <c r="CG53" s="59">
        <f t="shared" ca="1" si="46"/>
        <v>259.7547368421051</v>
      </c>
      <c r="CH53" s="59">
        <f t="shared" ca="1" si="46"/>
        <v>95.673684210526517</v>
      </c>
      <c r="CI53" s="59">
        <f t="shared" ca="1" si="46"/>
        <v>8.8668421052631459</v>
      </c>
      <c r="CJ53" s="59">
        <f t="shared" ca="1" si="46"/>
        <v>0</v>
      </c>
      <c r="CL53" s="59">
        <v>2020</v>
      </c>
      <c r="CM53" s="59">
        <f ca="1">MAX(TREND(CM$33:CM$52,$BJ$33:$BJ$52,$BJ53),0)</f>
        <v>1.2894736842105274</v>
      </c>
      <c r="CN53" s="59">
        <f t="shared" ref="CN53:CX54" ca="1" si="47">MAX(TREND(CN$33:CN$52,$BJ$33:$BJ$52,$BJ53),0)</f>
        <v>1.5873684210526164</v>
      </c>
      <c r="CO53" s="59">
        <f t="shared" ca="1" si="47"/>
        <v>5.0557894736842144</v>
      </c>
      <c r="CP53" s="59">
        <f t="shared" ca="1" si="47"/>
        <v>25.896315789473647</v>
      </c>
      <c r="CQ53" s="59">
        <f t="shared" ca="1" si="47"/>
        <v>175.10052631578901</v>
      </c>
      <c r="CR53" s="59">
        <f t="shared" ca="1" si="47"/>
        <v>320.85894736842101</v>
      </c>
      <c r="CS53" s="59">
        <f t="shared" ca="1" si="47"/>
        <v>460.96789473684294</v>
      </c>
      <c r="CT53" s="59">
        <f t="shared" ca="1" si="47"/>
        <v>423.02947368421047</v>
      </c>
      <c r="CU53" s="59">
        <f t="shared" ca="1" si="47"/>
        <v>320.1889473684214</v>
      </c>
      <c r="CV53" s="59">
        <f t="shared" ca="1" si="47"/>
        <v>143.89526315789408</v>
      </c>
      <c r="CW53" s="59">
        <f t="shared" ca="1" si="47"/>
        <v>19.727894736842018</v>
      </c>
      <c r="CX53" s="59">
        <f t="shared" ca="1" si="47"/>
        <v>1.1936842105263139</v>
      </c>
      <c r="CZ53" s="59">
        <v>2020</v>
      </c>
      <c r="DA53" s="59">
        <f ca="1">MAX(TREND(DA$33:DA$52,$BJ$33:$BJ$52,$BJ53),0)</f>
        <v>0</v>
      </c>
      <c r="DB53" s="59">
        <f t="shared" ref="DB53:DL54" ca="1" si="48">MAX(TREND(DB$33:DB$52,$BJ$33:$BJ$52,$BJ53),0)</f>
        <v>0</v>
      </c>
      <c r="DC53" s="59">
        <f t="shared" ca="1" si="48"/>
        <v>0</v>
      </c>
      <c r="DD53" s="59">
        <f t="shared" ca="1" si="48"/>
        <v>0</v>
      </c>
      <c r="DE53" s="59">
        <f t="shared" ca="1" si="48"/>
        <v>7.5521052631578982</v>
      </c>
      <c r="DF53" s="59">
        <f t="shared" ca="1" si="48"/>
        <v>27.449473684210488</v>
      </c>
      <c r="DG53" s="59">
        <f t="shared" ca="1" si="48"/>
        <v>94.803157894736614</v>
      </c>
      <c r="DH53" s="59">
        <f t="shared" ca="1" si="48"/>
        <v>64.775263157894742</v>
      </c>
      <c r="DI53" s="59">
        <f t="shared" ca="1" si="48"/>
        <v>28.493157894736896</v>
      </c>
      <c r="DJ53" s="59">
        <f t="shared" ca="1" si="48"/>
        <v>1.9336842105263088</v>
      </c>
      <c r="DK53" s="59">
        <f t="shared" ca="1" si="48"/>
        <v>0</v>
      </c>
      <c r="DL53" s="59">
        <f t="shared" ca="1" si="48"/>
        <v>0</v>
      </c>
    </row>
    <row r="54" spans="1:116" ht="15" x14ac:dyDescent="0.25">
      <c r="A54" s="13">
        <v>37742</v>
      </c>
      <c r="B54">
        <v>2003</v>
      </c>
      <c r="C54">
        <v>5</v>
      </c>
      <c r="D54" s="21">
        <v>10.567741935483873</v>
      </c>
      <c r="E54" s="21">
        <v>292.39999999999992</v>
      </c>
      <c r="F54" s="21">
        <v>0</v>
      </c>
      <c r="G54" s="21">
        <v>230.39999999999998</v>
      </c>
      <c r="H54" s="21">
        <v>0</v>
      </c>
      <c r="I54" s="21">
        <v>169.39999999999995</v>
      </c>
      <c r="J54" s="21">
        <v>1</v>
      </c>
      <c r="K54" s="21">
        <v>110.4</v>
      </c>
      <c r="L54" s="21">
        <v>4</v>
      </c>
      <c r="M54" s="21">
        <v>61.2</v>
      </c>
      <c r="N54" s="21">
        <v>16.8</v>
      </c>
      <c r="O54" s="21">
        <v>24.099999999999994</v>
      </c>
      <c r="P54" s="21">
        <v>41.7</v>
      </c>
      <c r="Q54" s="21">
        <v>6.2999999999999989</v>
      </c>
      <c r="R54" s="21">
        <v>85.9</v>
      </c>
      <c r="T54" s="59">
        <v>2021</v>
      </c>
      <c r="U54" s="59">
        <f ca="1">MAX(TREND(U$33:U$52,$T$33:$T$52,$T54),0)</f>
        <v>0</v>
      </c>
      <c r="V54" s="59">
        <f t="shared" ca="1" si="42"/>
        <v>0</v>
      </c>
      <c r="W54" s="59">
        <f t="shared" ca="1" si="42"/>
        <v>0</v>
      </c>
      <c r="X54" s="59">
        <f t="shared" ca="1" si="42"/>
        <v>0</v>
      </c>
      <c r="Y54" s="59">
        <f t="shared" ca="1" si="42"/>
        <v>17.400526315789421</v>
      </c>
      <c r="Z54" s="59">
        <f t="shared" ca="1" si="42"/>
        <v>53.785639097744252</v>
      </c>
      <c r="AA54" s="59">
        <f t="shared" ca="1" si="42"/>
        <v>154.51639097744373</v>
      </c>
      <c r="AB54" s="59">
        <f t="shared" ca="1" si="42"/>
        <v>115.83796992481203</v>
      </c>
      <c r="AC54" s="59">
        <f t="shared" ca="1" si="42"/>
        <v>54.7269172932331</v>
      </c>
      <c r="AD54" s="59">
        <f t="shared" ca="1" si="42"/>
        <v>5.6378947368420995</v>
      </c>
      <c r="AE54" s="59">
        <f t="shared" ca="1" si="42"/>
        <v>0</v>
      </c>
      <c r="AF54" s="59">
        <f t="shared" ca="1" si="42"/>
        <v>0</v>
      </c>
      <c r="AH54" s="59">
        <v>2021</v>
      </c>
      <c r="AI54" s="59">
        <f ca="1">MAX(TREND(AI$33:AI$52,$AH$33:$AH$52,$AH54),0)</f>
        <v>0</v>
      </c>
      <c r="AJ54" s="59">
        <f t="shared" ca="1" si="43"/>
        <v>0</v>
      </c>
      <c r="AK54" s="59">
        <f t="shared" ca="1" si="43"/>
        <v>0</v>
      </c>
      <c r="AL54" s="59">
        <f t="shared" ca="1" si="43"/>
        <v>0</v>
      </c>
      <c r="AM54" s="59">
        <f t="shared" ca="1" si="43"/>
        <v>32.624135338345695</v>
      </c>
      <c r="AN54" s="59">
        <f t="shared" ca="1" si="43"/>
        <v>90.368496240601644</v>
      </c>
      <c r="AO54" s="59">
        <f t="shared" ca="1" si="43"/>
        <v>215.65052631578965</v>
      </c>
      <c r="AP54" s="59">
        <f t="shared" ca="1" si="43"/>
        <v>174.99421052631578</v>
      </c>
      <c r="AQ54" s="59">
        <f t="shared" ca="1" si="43"/>
        <v>93.160526315789411</v>
      </c>
      <c r="AR54" s="59">
        <f t="shared" ca="1" si="43"/>
        <v>15.201729323308314</v>
      </c>
      <c r="AS54" s="59">
        <f t="shared" ca="1" si="43"/>
        <v>1.451127819548903E-2</v>
      </c>
      <c r="AT54" s="59">
        <f t="shared" ca="1" si="43"/>
        <v>0</v>
      </c>
      <c r="AV54" s="59">
        <v>2021</v>
      </c>
      <c r="AW54" s="59">
        <f ca="1">MAX(TREND(AW$33:AW$52,$AV$33:$AV$52,$AV54),0)</f>
        <v>0</v>
      </c>
      <c r="AX54" s="59">
        <f t="shared" ca="1" si="44"/>
        <v>0</v>
      </c>
      <c r="AY54" s="59">
        <f t="shared" ca="1" si="44"/>
        <v>2.79699248120302E-2</v>
      </c>
      <c r="AZ54" s="59">
        <f t="shared" ca="1" si="44"/>
        <v>0</v>
      </c>
      <c r="BA54" s="59">
        <f t="shared" ca="1" si="44"/>
        <v>54.539849624060025</v>
      </c>
      <c r="BB54" s="59">
        <f t="shared" ca="1" si="44"/>
        <v>140.98947368421068</v>
      </c>
      <c r="BC54" s="59">
        <f t="shared" ca="1" si="44"/>
        <v>277.61864661654181</v>
      </c>
      <c r="BD54" s="59">
        <f t="shared" ca="1" si="44"/>
        <v>237.04037593984961</v>
      </c>
      <c r="BE54" s="59">
        <f t="shared" ca="1" si="44"/>
        <v>142.7893233082707</v>
      </c>
      <c r="BF54" s="59">
        <f t="shared" ca="1" si="44"/>
        <v>32.903157894736978</v>
      </c>
      <c r="BG54" s="59">
        <f t="shared" ca="1" si="44"/>
        <v>0.73984962406014887</v>
      </c>
      <c r="BH54" s="59">
        <f t="shared" ca="1" si="44"/>
        <v>0</v>
      </c>
      <c r="BJ54" s="59">
        <v>2021</v>
      </c>
      <c r="BK54" s="59">
        <f ca="1">MAX(TREND(BK$33:BK$52,$BJ$33:$BJ$52,$BJ54),0)</f>
        <v>6.7368421052631078E-2</v>
      </c>
      <c r="BL54" s="59">
        <f t="shared" ca="1" si="45"/>
        <v>0</v>
      </c>
      <c r="BM54" s="59">
        <f t="shared" ca="1" si="45"/>
        <v>0.39157894736842103</v>
      </c>
      <c r="BN54" s="59">
        <f t="shared" ca="1" si="45"/>
        <v>2.7674436090226209</v>
      </c>
      <c r="BO54" s="59">
        <f t="shared" ca="1" si="45"/>
        <v>85.501353383458536</v>
      </c>
      <c r="BP54" s="59">
        <f t="shared" ca="1" si="45"/>
        <v>200.2822556390978</v>
      </c>
      <c r="BQ54" s="59">
        <f t="shared" ca="1" si="45"/>
        <v>339.61864661654181</v>
      </c>
      <c r="BR54" s="59">
        <f t="shared" ca="1" si="45"/>
        <v>299.04037593984958</v>
      </c>
      <c r="BS54" s="59">
        <f t="shared" ca="1" si="45"/>
        <v>200.27511278195493</v>
      </c>
      <c r="BT54" s="59">
        <f t="shared" ca="1" si="45"/>
        <v>59.565789473684163</v>
      </c>
      <c r="BU54" s="59">
        <f t="shared" ca="1" si="45"/>
        <v>2.7356390977443539</v>
      </c>
      <c r="BV54" s="59">
        <f t="shared" ca="1" si="45"/>
        <v>0</v>
      </c>
      <c r="BX54" s="59">
        <v>2021</v>
      </c>
      <c r="BY54" s="59">
        <f ca="1">MAX(TREND(BY$33:BY$52,$BJ$33:$BJ$52,$BJ54),0)</f>
        <v>0.32458646616541209</v>
      </c>
      <c r="BZ54" s="59">
        <f t="shared" ca="1" si="46"/>
        <v>0.20112781954887282</v>
      </c>
      <c r="CA54" s="59">
        <f t="shared" ca="1" si="46"/>
        <v>1.5028571428571453</v>
      </c>
      <c r="CB54" s="59">
        <f t="shared" ca="1" si="46"/>
        <v>10.64601503759377</v>
      </c>
      <c r="CC54" s="59">
        <f t="shared" ca="1" si="46"/>
        <v>125.20578947368404</v>
      </c>
      <c r="CD54" s="59">
        <f t="shared" ca="1" si="46"/>
        <v>260.49345864661666</v>
      </c>
      <c r="CE54" s="59">
        <f t="shared" ca="1" si="46"/>
        <v>401.61864661654181</v>
      </c>
      <c r="CF54" s="59">
        <f t="shared" ca="1" si="46"/>
        <v>361.04037593984958</v>
      </c>
      <c r="CG54" s="59">
        <f t="shared" ca="1" si="46"/>
        <v>261.02804511278191</v>
      </c>
      <c r="CH54" s="59">
        <f t="shared" ca="1" si="46"/>
        <v>97.254511278195423</v>
      </c>
      <c r="CI54" s="59">
        <f t="shared" ca="1" si="46"/>
        <v>8.7593984962406068</v>
      </c>
      <c r="CJ54" s="59">
        <f t="shared" ca="1" si="46"/>
        <v>0</v>
      </c>
      <c r="CL54" s="59">
        <v>2021</v>
      </c>
      <c r="CM54" s="59">
        <f ca="1">MAX(TREND(CM$33:CM$52,$BJ$33:$BJ$52,$BJ54),0)</f>
        <v>1.2989473684210537</v>
      </c>
      <c r="CN54" s="59">
        <f t="shared" ca="1" si="47"/>
        <v>1.6690225563909564</v>
      </c>
      <c r="CO54" s="59">
        <f t="shared" ca="1" si="47"/>
        <v>5.0044360902255676</v>
      </c>
      <c r="CP54" s="59">
        <f t="shared" ca="1" si="47"/>
        <v>25.068345864661524</v>
      </c>
      <c r="CQ54" s="59">
        <f t="shared" ca="1" si="47"/>
        <v>176.90248120300703</v>
      </c>
      <c r="CR54" s="59">
        <f t="shared" ca="1" si="47"/>
        <v>320.55932330827068</v>
      </c>
      <c r="CS54" s="59">
        <f t="shared" ca="1" si="47"/>
        <v>463.61864661654181</v>
      </c>
      <c r="CT54" s="59">
        <f t="shared" ca="1" si="47"/>
        <v>423.04037593984958</v>
      </c>
      <c r="CU54" s="59">
        <f t="shared" ca="1" si="47"/>
        <v>321.52789473684243</v>
      </c>
      <c r="CV54" s="59">
        <f t="shared" ca="1" si="47"/>
        <v>145.95766917293167</v>
      </c>
      <c r="CW54" s="59">
        <f t="shared" ca="1" si="47"/>
        <v>19.380075187969851</v>
      </c>
      <c r="CX54" s="59">
        <f t="shared" ca="1" si="47"/>
        <v>1.1316541353383371</v>
      </c>
      <c r="CZ54" s="59">
        <v>2021</v>
      </c>
      <c r="DA54" s="59">
        <f ca="1">MAX(TREND(DA$33:DA$52,$BJ$33:$BJ$52,$BJ54),0)</f>
        <v>0</v>
      </c>
      <c r="DB54" s="59">
        <f t="shared" ca="1" si="48"/>
        <v>0</v>
      </c>
      <c r="DC54" s="59">
        <f t="shared" ca="1" si="48"/>
        <v>0</v>
      </c>
      <c r="DD54" s="59">
        <f t="shared" ca="1" si="48"/>
        <v>0</v>
      </c>
      <c r="DE54" s="59">
        <f t="shared" ca="1" si="48"/>
        <v>7.7442105263157828</v>
      </c>
      <c r="DF54" s="59">
        <f t="shared" ca="1" si="48"/>
        <v>27.030375939849591</v>
      </c>
      <c r="DG54" s="59">
        <f t="shared" ca="1" si="48"/>
        <v>96.670601503759372</v>
      </c>
      <c r="DH54" s="59">
        <f t="shared" ca="1" si="48"/>
        <v>64.741954887218057</v>
      </c>
      <c r="DI54" s="59">
        <f t="shared" ca="1" si="48"/>
        <v>29.034887218045242</v>
      </c>
      <c r="DJ54" s="59">
        <f t="shared" ca="1" si="48"/>
        <v>1.9845112781954839</v>
      </c>
      <c r="DK54" s="59">
        <f t="shared" ca="1" si="48"/>
        <v>0</v>
      </c>
      <c r="DL54" s="59">
        <f t="shared" ca="1" si="48"/>
        <v>0</v>
      </c>
    </row>
    <row r="55" spans="1:116" x14ac:dyDescent="0.2">
      <c r="A55" s="13">
        <v>37773</v>
      </c>
      <c r="B55">
        <v>2003</v>
      </c>
      <c r="C55">
        <v>6</v>
      </c>
      <c r="D55" s="21">
        <v>17.506666666666668</v>
      </c>
      <c r="E55" s="21">
        <v>106.30000000000001</v>
      </c>
      <c r="F55" s="21">
        <v>31.500000000000004</v>
      </c>
      <c r="G55" s="21">
        <v>68.099999999999994</v>
      </c>
      <c r="H55" s="21">
        <v>53.300000000000004</v>
      </c>
      <c r="I55" s="21">
        <v>37.799999999999997</v>
      </c>
      <c r="J55" s="21">
        <v>83</v>
      </c>
      <c r="K55" s="21">
        <v>18.799999999999997</v>
      </c>
      <c r="L55" s="21">
        <v>124</v>
      </c>
      <c r="M55" s="21">
        <v>4.9000000000000004</v>
      </c>
      <c r="N55" s="21">
        <v>170.09999999999997</v>
      </c>
      <c r="O55" s="21">
        <v>0.80000000000000071</v>
      </c>
      <c r="P55" s="21">
        <v>225.99999999999994</v>
      </c>
      <c r="Q55" s="21">
        <v>0</v>
      </c>
      <c r="R55" s="21">
        <v>285.20000000000005</v>
      </c>
    </row>
    <row r="56" spans="1:116" x14ac:dyDescent="0.2">
      <c r="A56" s="13">
        <v>37803</v>
      </c>
      <c r="B56">
        <v>2003</v>
      </c>
      <c r="C56">
        <v>7</v>
      </c>
      <c r="D56" s="21">
        <v>20.709677419354836</v>
      </c>
      <c r="E56" s="21">
        <v>20.6</v>
      </c>
      <c r="F56" s="21">
        <v>42.599999999999994</v>
      </c>
      <c r="G56" s="21">
        <v>3.4000000000000021</v>
      </c>
      <c r="H56" s="21">
        <v>87.4</v>
      </c>
      <c r="I56" s="21">
        <v>0</v>
      </c>
      <c r="J56" s="21">
        <v>146.00000000000003</v>
      </c>
      <c r="K56" s="21">
        <v>0</v>
      </c>
      <c r="L56" s="21">
        <v>208</v>
      </c>
      <c r="M56" s="21">
        <v>0</v>
      </c>
      <c r="N56" s="21">
        <v>270</v>
      </c>
      <c r="O56" s="21">
        <v>0</v>
      </c>
      <c r="P56" s="21">
        <v>332</v>
      </c>
      <c r="Q56" s="21">
        <v>0</v>
      </c>
      <c r="R56" s="21">
        <v>394</v>
      </c>
      <c r="T56" s="1" t="s">
        <v>100</v>
      </c>
      <c r="U56" s="21">
        <f ca="1">AVERAGE(U43:U52)</f>
        <v>0</v>
      </c>
      <c r="V56" s="21">
        <f t="shared" ref="V56:AF56" ca="1" si="49">AVERAGE(V43:V52)</f>
        <v>0</v>
      </c>
      <c r="W56" s="21">
        <f t="shared" ca="1" si="49"/>
        <v>0</v>
      </c>
      <c r="X56" s="21">
        <f t="shared" ca="1" si="49"/>
        <v>0</v>
      </c>
      <c r="Y56" s="21">
        <f t="shared" ca="1" si="49"/>
        <v>15.99</v>
      </c>
      <c r="Z56" s="21">
        <f t="shared" ca="1" si="49"/>
        <v>56.359999999999992</v>
      </c>
      <c r="AA56" s="21">
        <f t="shared" ca="1" si="49"/>
        <v>145.71</v>
      </c>
      <c r="AB56" s="21">
        <f t="shared" ca="1" si="49"/>
        <v>117.85</v>
      </c>
      <c r="AC56" s="21">
        <f t="shared" ca="1" si="49"/>
        <v>49.72</v>
      </c>
      <c r="AD56" s="21">
        <f t="shared" ca="1" si="49"/>
        <v>4.4099999999999993</v>
      </c>
      <c r="AE56" s="21">
        <f t="shared" ca="1" si="49"/>
        <v>0</v>
      </c>
      <c r="AF56" s="21">
        <f t="shared" ca="1" si="49"/>
        <v>0</v>
      </c>
      <c r="AH56" s="1" t="s">
        <v>100</v>
      </c>
      <c r="AI56" s="21">
        <f ca="1">AVERAGE(AI43:AI52)</f>
        <v>0</v>
      </c>
      <c r="AJ56" s="21">
        <f t="shared" ref="AJ56:AT56" ca="1" si="50">AVERAGE(AJ43:AJ52)</f>
        <v>0</v>
      </c>
      <c r="AK56" s="21">
        <f t="shared" ca="1" si="50"/>
        <v>0</v>
      </c>
      <c r="AL56" s="21">
        <f t="shared" ca="1" si="50"/>
        <v>0.16999999999999993</v>
      </c>
      <c r="AM56" s="21">
        <f t="shared" ca="1" si="50"/>
        <v>30.080000000000002</v>
      </c>
      <c r="AN56" s="21">
        <f t="shared" ca="1" si="50"/>
        <v>94.58</v>
      </c>
      <c r="AO56" s="21">
        <f t="shared" ca="1" si="50"/>
        <v>206.28000000000003</v>
      </c>
      <c r="AP56" s="21">
        <f t="shared" ca="1" si="50"/>
        <v>177.64000000000001</v>
      </c>
      <c r="AQ56" s="21">
        <f t="shared" ca="1" si="50"/>
        <v>85.65</v>
      </c>
      <c r="AR56" s="21">
        <f t="shared" ca="1" si="50"/>
        <v>12.219999999999999</v>
      </c>
      <c r="AS56" s="21">
        <f t="shared" ca="1" si="50"/>
        <v>1.0000000000000142E-2</v>
      </c>
      <c r="AT56" s="21">
        <f t="shared" ca="1" si="50"/>
        <v>0</v>
      </c>
      <c r="AV56" s="1" t="s">
        <v>100</v>
      </c>
      <c r="AW56" s="21">
        <f ca="1">AVERAGE(AW43:AW52)</f>
        <v>0</v>
      </c>
      <c r="AX56" s="21">
        <f t="shared" ref="AX56:BH56" ca="1" si="51">AVERAGE(AX43:AX52)</f>
        <v>0</v>
      </c>
      <c r="AY56" s="21">
        <f t="shared" ca="1" si="51"/>
        <v>3.0000000000000072E-2</v>
      </c>
      <c r="AZ56" s="21">
        <f t="shared" ca="1" si="51"/>
        <v>1.45</v>
      </c>
      <c r="BA56" s="21">
        <f t="shared" ca="1" si="51"/>
        <v>50.69</v>
      </c>
      <c r="BB56" s="21">
        <f t="shared" ca="1" si="51"/>
        <v>145.17999999999998</v>
      </c>
      <c r="BC56" s="21">
        <f t="shared" ca="1" si="51"/>
        <v>268.18999999999994</v>
      </c>
      <c r="BD56" s="21">
        <f t="shared" ca="1" si="51"/>
        <v>239.59000000000006</v>
      </c>
      <c r="BE56" s="21">
        <f t="shared" ca="1" si="51"/>
        <v>132.95000000000002</v>
      </c>
      <c r="BF56" s="21">
        <f t="shared" ca="1" si="51"/>
        <v>27.9</v>
      </c>
      <c r="BG56" s="21">
        <f t="shared" ca="1" si="51"/>
        <v>0.69000000000000006</v>
      </c>
      <c r="BH56" s="21">
        <f t="shared" ca="1" si="51"/>
        <v>0</v>
      </c>
      <c r="BJ56" s="1" t="s">
        <v>100</v>
      </c>
      <c r="BK56" s="21">
        <f ca="1">AVERAGE(BK43:BK52)</f>
        <v>0</v>
      </c>
      <c r="BL56" s="21">
        <f t="shared" ref="BL56:BV56" ca="1" si="52">AVERAGE(BL43:BL52)</f>
        <v>0</v>
      </c>
      <c r="BM56" s="21">
        <f t="shared" ca="1" si="52"/>
        <v>0.4200000000000001</v>
      </c>
      <c r="BN56" s="21">
        <f t="shared" ca="1" si="52"/>
        <v>5.75</v>
      </c>
      <c r="BO56" s="21">
        <f t="shared" ca="1" si="52"/>
        <v>80</v>
      </c>
      <c r="BP56" s="21">
        <f t="shared" ca="1" si="52"/>
        <v>202.83</v>
      </c>
      <c r="BQ56" s="21">
        <f t="shared" ca="1" si="52"/>
        <v>330.18999999999994</v>
      </c>
      <c r="BR56" s="21">
        <f t="shared" ca="1" si="52"/>
        <v>301.58999999999997</v>
      </c>
      <c r="BS56" s="21">
        <f t="shared" ca="1" si="52"/>
        <v>188.22999999999996</v>
      </c>
      <c r="BT56" s="21">
        <f t="shared" ca="1" si="52"/>
        <v>52.570000000000007</v>
      </c>
      <c r="BU56" s="21">
        <f t="shared" ca="1" si="52"/>
        <v>3.47</v>
      </c>
      <c r="BV56" s="21">
        <f t="shared" ca="1" si="52"/>
        <v>0</v>
      </c>
      <c r="BX56" s="1" t="s">
        <v>100</v>
      </c>
      <c r="BY56" s="21">
        <f ca="1">AVERAGE(BY43:BY52)</f>
        <v>0.12999999999999989</v>
      </c>
      <c r="BZ56" s="21">
        <f t="shared" ref="BZ56:CJ56" ca="1" si="53">AVERAGE(BZ43:BZ52)</f>
        <v>0.10999999999999996</v>
      </c>
      <c r="CA56" s="21">
        <f t="shared" ca="1" si="53"/>
        <v>2.02</v>
      </c>
      <c r="CB56" s="21">
        <f t="shared" ca="1" si="53"/>
        <v>15.100000000000003</v>
      </c>
      <c r="CC56" s="21">
        <f t="shared" ca="1" si="53"/>
        <v>120.34</v>
      </c>
      <c r="CD56" s="21">
        <f t="shared" ca="1" si="53"/>
        <v>262.45000000000005</v>
      </c>
      <c r="CE56" s="21">
        <f t="shared" ca="1" si="53"/>
        <v>392.19</v>
      </c>
      <c r="CF56" s="21">
        <f t="shared" ca="1" si="53"/>
        <v>363.59000000000003</v>
      </c>
      <c r="CG56" s="21">
        <f t="shared" ca="1" si="53"/>
        <v>247.73999999999995</v>
      </c>
      <c r="CH56" s="21">
        <f t="shared" ca="1" si="53"/>
        <v>87.359999999999985</v>
      </c>
      <c r="CI56" s="21">
        <f t="shared" ca="1" si="53"/>
        <v>10.489999999999998</v>
      </c>
      <c r="CJ56" s="21">
        <f t="shared" ca="1" si="53"/>
        <v>0.35</v>
      </c>
      <c r="CL56" s="1" t="s">
        <v>100</v>
      </c>
      <c r="CM56" s="21">
        <f ca="1">AVERAGE(CM43:CM52)</f>
        <v>0.86</v>
      </c>
      <c r="CN56" s="21">
        <f t="shared" ref="CN56:CX56" ca="1" si="54">AVERAGE(CN43:CN52)</f>
        <v>1.0899999999999999</v>
      </c>
      <c r="CO56" s="21">
        <f t="shared" ca="1" si="54"/>
        <v>6.5499999999999989</v>
      </c>
      <c r="CP56" s="21">
        <f t="shared" ca="1" si="54"/>
        <v>30.759999999999998</v>
      </c>
      <c r="CQ56" s="21">
        <f t="shared" ca="1" si="54"/>
        <v>172.07999999999998</v>
      </c>
      <c r="CR56" s="21">
        <f t="shared" ca="1" si="54"/>
        <v>322.44999999999993</v>
      </c>
      <c r="CS56" s="21">
        <f t="shared" ca="1" si="54"/>
        <v>454.19000000000005</v>
      </c>
      <c r="CT56" s="21">
        <f t="shared" ca="1" si="54"/>
        <v>425.59</v>
      </c>
      <c r="CU56" s="21">
        <f t="shared" ca="1" si="54"/>
        <v>307.74</v>
      </c>
      <c r="CV56" s="21">
        <f t="shared" ca="1" si="54"/>
        <v>133.13</v>
      </c>
      <c r="CW56" s="21">
        <f t="shared" ca="1" si="54"/>
        <v>23.28</v>
      </c>
      <c r="CX56" s="21">
        <f t="shared" ca="1" si="54"/>
        <v>1.9700000000000002</v>
      </c>
      <c r="CZ56" s="1" t="s">
        <v>100</v>
      </c>
      <c r="DA56" s="21">
        <f ca="1">AVERAGE(DA43:DA52)</f>
        <v>0</v>
      </c>
      <c r="DB56" s="21">
        <f t="shared" ref="DB56:DL56" ca="1" si="55">AVERAGE(DB43:DB52)</f>
        <v>0</v>
      </c>
      <c r="DC56" s="21">
        <f t="shared" ca="1" si="55"/>
        <v>0</v>
      </c>
      <c r="DD56" s="21">
        <f t="shared" ca="1" si="55"/>
        <v>0</v>
      </c>
      <c r="DE56" s="21">
        <f t="shared" ca="1" si="55"/>
        <v>7.3100000000000005</v>
      </c>
      <c r="DF56" s="21">
        <f t="shared" ca="1" si="55"/>
        <v>28.76</v>
      </c>
      <c r="DG56" s="21">
        <f t="shared" ca="1" si="55"/>
        <v>91.2</v>
      </c>
      <c r="DH56" s="21">
        <f t="shared" ca="1" si="55"/>
        <v>66.140000000000015</v>
      </c>
      <c r="DI56" s="21">
        <f t="shared" ca="1" si="55"/>
        <v>26.169999999999998</v>
      </c>
      <c r="DJ56" s="21">
        <f t="shared" ca="1" si="55"/>
        <v>1.3299999999999994</v>
      </c>
      <c r="DK56" s="21">
        <f t="shared" ca="1" si="55"/>
        <v>0</v>
      </c>
      <c r="DL56" s="21">
        <f t="shared" ca="1" si="55"/>
        <v>0</v>
      </c>
    </row>
    <row r="57" spans="1:116" x14ac:dyDescent="0.2">
      <c r="A57" s="13">
        <v>37834</v>
      </c>
      <c r="B57">
        <v>2003</v>
      </c>
      <c r="C57">
        <v>8</v>
      </c>
      <c r="D57" s="21">
        <v>21.793548387096774</v>
      </c>
      <c r="E57" s="21">
        <v>13.200000000000003</v>
      </c>
      <c r="F57" s="21">
        <v>68.800000000000011</v>
      </c>
      <c r="G57" s="21">
        <v>1.4000000000000021</v>
      </c>
      <c r="H57" s="21">
        <v>119.00000000000003</v>
      </c>
      <c r="I57" s="21">
        <v>0</v>
      </c>
      <c r="J57" s="21">
        <v>179.60000000000005</v>
      </c>
      <c r="K57" s="21">
        <v>0</v>
      </c>
      <c r="L57" s="21">
        <v>241.60000000000002</v>
      </c>
      <c r="M57" s="21">
        <v>0</v>
      </c>
      <c r="N57" s="21">
        <v>303.60000000000002</v>
      </c>
      <c r="O57" s="21">
        <v>0</v>
      </c>
      <c r="P57" s="21">
        <v>365.59999999999997</v>
      </c>
      <c r="Q57" s="21">
        <v>0</v>
      </c>
      <c r="R57" s="21">
        <v>427.59999999999997</v>
      </c>
      <c r="T57"/>
      <c r="U57"/>
    </row>
    <row r="58" spans="1:116" x14ac:dyDescent="0.2">
      <c r="A58" s="13">
        <v>37865</v>
      </c>
      <c r="B58">
        <v>2003</v>
      </c>
      <c r="C58">
        <v>9</v>
      </c>
      <c r="D58" s="21">
        <v>17.27333333333333</v>
      </c>
      <c r="E58" s="21">
        <v>84.9</v>
      </c>
      <c r="F58" s="21">
        <v>3.1000000000000014</v>
      </c>
      <c r="G58" s="21">
        <v>36.300000000000011</v>
      </c>
      <c r="H58" s="21">
        <v>14.500000000000007</v>
      </c>
      <c r="I58" s="21">
        <v>15.099999999999998</v>
      </c>
      <c r="J58" s="21">
        <v>53.300000000000004</v>
      </c>
      <c r="K58" s="21">
        <v>6.3999999999999986</v>
      </c>
      <c r="L58" s="21">
        <v>104.6</v>
      </c>
      <c r="M58" s="21">
        <v>1.7999999999999989</v>
      </c>
      <c r="N58" s="21">
        <v>160.00000000000003</v>
      </c>
      <c r="O58" s="21">
        <v>0</v>
      </c>
      <c r="P58" s="21">
        <v>218.20000000000007</v>
      </c>
      <c r="Q58" s="21">
        <v>0</v>
      </c>
      <c r="R58" s="21">
        <v>278.2</v>
      </c>
      <c r="T58"/>
      <c r="U58"/>
    </row>
    <row r="59" spans="1:116" ht="15" x14ac:dyDescent="0.25">
      <c r="A59" s="13">
        <v>37895</v>
      </c>
      <c r="B59">
        <v>2003</v>
      </c>
      <c r="C59">
        <v>10</v>
      </c>
      <c r="D59" s="21">
        <v>9.1032258064516132</v>
      </c>
      <c r="E59" s="21">
        <v>337.80000000000007</v>
      </c>
      <c r="F59" s="21">
        <v>0</v>
      </c>
      <c r="G59" s="21">
        <v>275.8</v>
      </c>
      <c r="H59" s="21">
        <v>0</v>
      </c>
      <c r="I59" s="21">
        <v>213.8</v>
      </c>
      <c r="J59" s="21">
        <v>0</v>
      </c>
      <c r="K59" s="21">
        <v>152.99999999999997</v>
      </c>
      <c r="L59" s="21">
        <v>1.1999999999999993</v>
      </c>
      <c r="M59" s="21">
        <v>99.199999999999989</v>
      </c>
      <c r="N59" s="21">
        <v>9.3999999999999986</v>
      </c>
      <c r="O59" s="21">
        <v>54</v>
      </c>
      <c r="P59" s="21">
        <v>26.199999999999996</v>
      </c>
      <c r="Q59" s="21">
        <v>20.6</v>
      </c>
      <c r="R59" s="21">
        <v>54.800000000000004</v>
      </c>
      <c r="T59" s="60" t="s">
        <v>101</v>
      </c>
      <c r="U59"/>
      <c r="Y59" s="60" t="s">
        <v>182</v>
      </c>
      <c r="AH59" s="60" t="s">
        <v>101</v>
      </c>
      <c r="AM59" s="60" t="s">
        <v>182</v>
      </c>
      <c r="AV59" s="60" t="s">
        <v>101</v>
      </c>
      <c r="BA59" s="60" t="s">
        <v>182</v>
      </c>
      <c r="BJ59" s="60" t="s">
        <v>101</v>
      </c>
      <c r="BO59" s="60" t="s">
        <v>182</v>
      </c>
      <c r="BX59" s="60" t="s">
        <v>101</v>
      </c>
      <c r="CC59" s="60" t="s">
        <v>182</v>
      </c>
      <c r="CL59" s="60" t="s">
        <v>101</v>
      </c>
      <c r="CQ59" s="60" t="s">
        <v>182</v>
      </c>
      <c r="CZ59" s="60" t="s">
        <v>101</v>
      </c>
      <c r="DE59" s="60" t="s">
        <v>182</v>
      </c>
    </row>
    <row r="60" spans="1:116" x14ac:dyDescent="0.2">
      <c r="A60" s="13">
        <v>37926</v>
      </c>
      <c r="B60">
        <v>2003</v>
      </c>
      <c r="C60">
        <v>11</v>
      </c>
      <c r="D60" s="21">
        <v>6.1</v>
      </c>
      <c r="E60" s="21">
        <v>417</v>
      </c>
      <c r="F60" s="21">
        <v>0</v>
      </c>
      <c r="G60" s="21">
        <v>357.00000000000006</v>
      </c>
      <c r="H60" s="21">
        <v>0</v>
      </c>
      <c r="I60" s="21">
        <v>297</v>
      </c>
      <c r="J60" s="21">
        <v>0</v>
      </c>
      <c r="K60" s="21">
        <v>237</v>
      </c>
      <c r="L60" s="21">
        <v>0</v>
      </c>
      <c r="M60" s="21">
        <v>178.20000000000002</v>
      </c>
      <c r="N60" s="21">
        <v>1.1999999999999993</v>
      </c>
      <c r="O60" s="21">
        <v>121.49999999999999</v>
      </c>
      <c r="P60" s="21">
        <v>4.4999999999999982</v>
      </c>
      <c r="Q60" s="21">
        <v>72.7</v>
      </c>
      <c r="R60" s="21">
        <v>15.699999999999998</v>
      </c>
      <c r="T60"/>
      <c r="U60"/>
      <c r="V60" s="61" t="s">
        <v>35</v>
      </c>
      <c r="W60" s="61" t="s">
        <v>36</v>
      </c>
      <c r="AA60" t="s">
        <v>35</v>
      </c>
      <c r="AB60" t="s">
        <v>36</v>
      </c>
      <c r="AJ60" s="61" t="str">
        <f>AH4</f>
        <v>HDD16</v>
      </c>
      <c r="AK60" s="61" t="str">
        <f>AH31</f>
        <v>CDD16</v>
      </c>
      <c r="AO60" t="str">
        <f>AH4</f>
        <v>HDD16</v>
      </c>
      <c r="AP60" t="str">
        <f>AH31</f>
        <v>CDD16</v>
      </c>
      <c r="AX60" s="61" t="str">
        <f>AV4</f>
        <v>HDD14</v>
      </c>
      <c r="AY60" s="61" t="str">
        <f>AV31</f>
        <v>CDD14</v>
      </c>
      <c r="BC60" t="str">
        <f>AV4</f>
        <v>HDD14</v>
      </c>
      <c r="BD60" t="str">
        <f>AV31</f>
        <v>CDD14</v>
      </c>
      <c r="BL60" s="61" t="str">
        <f>BJ4</f>
        <v>HDD12</v>
      </c>
      <c r="BM60" s="61" t="str">
        <f>BJ31</f>
        <v>CDD12</v>
      </c>
      <c r="BQ60" t="str">
        <f>BJ4</f>
        <v>HDD12</v>
      </c>
      <c r="BR60" t="str">
        <f>BJ31</f>
        <v>CDD12</v>
      </c>
      <c r="BZ60" s="79" t="str">
        <f>BX4</f>
        <v>HDD10</v>
      </c>
      <c r="CA60" s="79" t="str">
        <f>BX31</f>
        <v>CDD10</v>
      </c>
      <c r="CE60" t="str">
        <f>BX4</f>
        <v>HDD10</v>
      </c>
      <c r="CF60" t="str">
        <f>BX31</f>
        <v>CDD10</v>
      </c>
      <c r="CN60" s="79" t="str">
        <f>CL4</f>
        <v>HDD8</v>
      </c>
      <c r="CO60" s="79" t="str">
        <f>CL31</f>
        <v>CDD8</v>
      </c>
      <c r="CS60" t="str">
        <f>CL4</f>
        <v>HDD8</v>
      </c>
      <c r="CT60" t="str">
        <f>CL31</f>
        <v>CDD8</v>
      </c>
      <c r="DB60" s="79" t="str">
        <f>CZ4</f>
        <v>HDD20</v>
      </c>
      <c r="DC60" s="79" t="str">
        <f>CZ31</f>
        <v>CDD20</v>
      </c>
      <c r="DG60" t="str">
        <f>CZ4</f>
        <v>HDD20</v>
      </c>
      <c r="DH60" t="str">
        <f>CZ31</f>
        <v>CDD20</v>
      </c>
    </row>
    <row r="61" spans="1:116" x14ac:dyDescent="0.2">
      <c r="A61" s="13">
        <v>37956</v>
      </c>
      <c r="B61">
        <v>2003</v>
      </c>
      <c r="C61">
        <v>12</v>
      </c>
      <c r="D61" s="21">
        <v>1.3612903225806452</v>
      </c>
      <c r="E61" s="21">
        <v>577.79999999999995</v>
      </c>
      <c r="F61" s="21">
        <v>0</v>
      </c>
      <c r="G61" s="21">
        <v>515.79999999999995</v>
      </c>
      <c r="H61" s="21">
        <v>0</v>
      </c>
      <c r="I61" s="21">
        <v>453.8</v>
      </c>
      <c r="J61" s="21">
        <v>0</v>
      </c>
      <c r="K61" s="21">
        <v>391.8</v>
      </c>
      <c r="L61" s="21">
        <v>0</v>
      </c>
      <c r="M61" s="21">
        <v>329.8</v>
      </c>
      <c r="N61" s="21">
        <v>0</v>
      </c>
      <c r="O61" s="21">
        <v>267.8</v>
      </c>
      <c r="P61" s="21">
        <v>0</v>
      </c>
      <c r="Q61" s="21">
        <v>206.00000000000006</v>
      </c>
      <c r="R61" s="21">
        <v>0.19999999999999929</v>
      </c>
      <c r="T61" t="s">
        <v>110</v>
      </c>
      <c r="U61" t="s">
        <v>102</v>
      </c>
      <c r="V61" s="20">
        <f t="shared" ref="V61:V72" ca="1" si="56">OFFSET($U$29,0,(ROW()-ROW(V$61)))</f>
        <v>663.1400000000001</v>
      </c>
      <c r="W61" s="20">
        <f t="shared" ref="W61:W72" ca="1" si="57">OFFSET($U$56,0,(ROW()-ROW(W$61)))</f>
        <v>0</v>
      </c>
      <c r="Y61" t="s">
        <v>110</v>
      </c>
      <c r="Z61" t="s">
        <v>102</v>
      </c>
      <c r="AA61" s="20">
        <f ca="1">OFFSET($U$27,0,(ROW()-ROW(AA$61)))</f>
        <v>665.46541353383486</v>
      </c>
      <c r="AB61" s="20">
        <f ca="1">OFFSET($U$54,0,(ROW()-ROW(AB$61)))</f>
        <v>0</v>
      </c>
      <c r="AH61" t="s">
        <v>110</v>
      </c>
      <c r="AI61" t="s">
        <v>102</v>
      </c>
      <c r="AJ61" s="20">
        <f t="shared" ref="AJ61:AJ72" ca="1" si="58">OFFSET(AI$29,0,(ROW()-ROW(AJ$61)))</f>
        <v>601.1400000000001</v>
      </c>
      <c r="AK61" s="20">
        <f t="shared" ref="AK61:AK72" ca="1" si="59">OFFSET(AI$56,0,(ROW()-ROW(AK$61)))</f>
        <v>0</v>
      </c>
      <c r="AM61" t="s">
        <v>110</v>
      </c>
      <c r="AN61" t="s">
        <v>102</v>
      </c>
      <c r="AO61" s="20">
        <f ca="1">OFFSET(AI$27,0,(ROW()-ROW(AO$61)))</f>
        <v>603.46541353383452</v>
      </c>
      <c r="AP61" s="20">
        <f ca="1">OFFSET(AI$54,0,(ROW()-ROW(AP$61)))</f>
        <v>0</v>
      </c>
      <c r="AV61" t="s">
        <v>110</v>
      </c>
      <c r="AW61" t="s">
        <v>102</v>
      </c>
      <c r="AX61" s="20">
        <f t="shared" ref="AX61:AX72" ca="1" si="60">OFFSET(AW$29,0,(ROW()-ROW(AX$61)))</f>
        <v>539.1400000000001</v>
      </c>
      <c r="AY61" s="20">
        <f t="shared" ref="AY61:AY72" ca="1" si="61">OFFSET(AW$56,0,(ROW()-ROW(AY$61)))</f>
        <v>0</v>
      </c>
      <c r="BA61" t="s">
        <v>110</v>
      </c>
      <c r="BB61" t="s">
        <v>102</v>
      </c>
      <c r="BC61" s="20">
        <f ca="1">OFFSET(AW$27,0,(ROW()-ROW(BC$61)))</f>
        <v>541.46541353383441</v>
      </c>
      <c r="BD61" s="20">
        <f ca="1">OFFSET(AW$54,0,(ROW()-ROW(BD$61)))</f>
        <v>0</v>
      </c>
      <c r="BJ61" t="s">
        <v>110</v>
      </c>
      <c r="BK61" t="s">
        <v>102</v>
      </c>
      <c r="BL61" s="20">
        <f t="shared" ref="BL61:BL72" ca="1" si="62">OFFSET(BK$29,0,(ROW()-ROW(BL$61)))</f>
        <v>477.14</v>
      </c>
      <c r="BM61" s="20">
        <f t="shared" ref="BM61:BM72" ca="1" si="63">OFFSET(BK$56,0,(ROW()-ROW(BM$61)))</f>
        <v>0</v>
      </c>
      <c r="BO61" t="s">
        <v>110</v>
      </c>
      <c r="BP61" t="s">
        <v>102</v>
      </c>
      <c r="BQ61" s="20">
        <f ca="1">OFFSET(BK$27,0,(ROW()-ROW(BQ$61)))</f>
        <v>479.53278195488724</v>
      </c>
      <c r="BR61" s="20">
        <f ca="1">OFFSET(BK$54,0,(ROW()-ROW(BR$61)))</f>
        <v>6.7368421052631078E-2</v>
      </c>
      <c r="BX61" t="s">
        <v>110</v>
      </c>
      <c r="BY61" t="s">
        <v>102</v>
      </c>
      <c r="BZ61" s="20">
        <f t="shared" ref="BZ61:BZ72" ca="1" si="64">OFFSET(BY$29,0,(ROW()-ROW(BZ$61)))</f>
        <v>415.27</v>
      </c>
      <c r="CA61" s="20">
        <f t="shared" ref="CA61:CA72" ca="1" si="65">OFFSET(BY$56,0,(ROW()-ROW(CA$61)))</f>
        <v>0.12999999999999989</v>
      </c>
      <c r="CC61" t="s">
        <v>110</v>
      </c>
      <c r="CD61" t="s">
        <v>102</v>
      </c>
      <c r="CE61" s="20">
        <f ca="1">OFFSET(BY$27,0,(ROW()-ROW(CE$61)))</f>
        <v>417.79000000000008</v>
      </c>
      <c r="CF61" s="20">
        <f ca="1">OFFSET(BY$54,0,(ROW()-ROW(CF$61)))</f>
        <v>0.32458646616541209</v>
      </c>
      <c r="CL61" t="s">
        <v>110</v>
      </c>
      <c r="CM61" t="s">
        <v>102</v>
      </c>
      <c r="CN61" s="20">
        <f t="shared" ref="CN61:CN72" ca="1" si="66">OFFSET(CM$29,0,(ROW()-ROW(CN$61)))</f>
        <v>353.99999999999994</v>
      </c>
      <c r="CO61" s="20">
        <f t="shared" ref="CO61:CO72" ca="1" si="67">OFFSET(CM$56,0,(ROW()-ROW(CO$61)))</f>
        <v>0.86</v>
      </c>
      <c r="CQ61" t="s">
        <v>110</v>
      </c>
      <c r="CR61" t="s">
        <v>102</v>
      </c>
      <c r="CS61" s="20">
        <f ca="1">OFFSET(CM$27,0,(ROW()-ROW(CS$61)))</f>
        <v>356.76436090225582</v>
      </c>
      <c r="CT61" s="20">
        <f ca="1">OFFSET(CM$54,0,(ROW()-ROW(CT$61)))</f>
        <v>1.2989473684210537</v>
      </c>
      <c r="CZ61" t="s">
        <v>110</v>
      </c>
      <c r="DA61" t="s">
        <v>102</v>
      </c>
      <c r="DB61" s="20">
        <f t="shared" ref="DB61:DB72" ca="1" si="68">OFFSET(DA$29,0,(ROW()-ROW(DB$61)))</f>
        <v>725.1400000000001</v>
      </c>
      <c r="DC61" s="20">
        <f t="shared" ref="DC61:DC72" ca="1" si="69">OFFSET(DA$56,0,(ROW()-ROW(DC$61)))</f>
        <v>0</v>
      </c>
      <c r="DE61" t="s">
        <v>110</v>
      </c>
      <c r="DF61" t="s">
        <v>102</v>
      </c>
      <c r="DG61" s="20">
        <f ca="1">OFFSET(DA$27,0,(ROW()-ROW(DG$61)))</f>
        <v>727.46541353383464</v>
      </c>
      <c r="DH61" s="20">
        <f ca="1">OFFSET(DA$54,0,(ROW()-ROW(DH$61)))</f>
        <v>0</v>
      </c>
    </row>
    <row r="62" spans="1:116" x14ac:dyDescent="0.2">
      <c r="A62" s="13">
        <v>37987</v>
      </c>
      <c r="B62">
        <v>2004</v>
      </c>
      <c r="C62">
        <v>1</v>
      </c>
      <c r="D62" s="21">
        <v>-7.2935483870967754</v>
      </c>
      <c r="E62" s="21">
        <v>846.09999999999991</v>
      </c>
      <c r="F62" s="21">
        <v>0</v>
      </c>
      <c r="G62" s="21">
        <v>784.09999999999991</v>
      </c>
      <c r="H62" s="21">
        <v>0</v>
      </c>
      <c r="I62" s="21">
        <v>722.09999999999991</v>
      </c>
      <c r="J62" s="21">
        <v>0</v>
      </c>
      <c r="K62" s="21">
        <v>660.09999999999991</v>
      </c>
      <c r="L62" s="21">
        <v>0</v>
      </c>
      <c r="M62" s="21">
        <v>598.09999999999991</v>
      </c>
      <c r="N62" s="21">
        <v>0</v>
      </c>
      <c r="O62" s="21">
        <v>536.1</v>
      </c>
      <c r="P62" s="21">
        <v>0</v>
      </c>
      <c r="Q62" s="21">
        <v>475.5</v>
      </c>
      <c r="R62" s="21">
        <v>1.4000000000000004</v>
      </c>
      <c r="T62" t="s">
        <v>110</v>
      </c>
      <c r="U62" t="s">
        <v>103</v>
      </c>
      <c r="V62" s="20">
        <f t="shared" ca="1" si="56"/>
        <v>586.24999999999989</v>
      </c>
      <c r="W62" s="20">
        <f t="shared" ca="1" si="57"/>
        <v>0</v>
      </c>
      <c r="Y62" t="s">
        <v>110</v>
      </c>
      <c r="Z62" t="s">
        <v>103</v>
      </c>
      <c r="AA62" s="20">
        <f t="shared" ref="AA62:AA72" ca="1" si="70">OFFSET($U$27,0,(ROW()-ROW(AA$61)))</f>
        <v>590.40586466165405</v>
      </c>
      <c r="AB62" s="20">
        <f t="shared" ref="AB62:AB72" ca="1" si="71">OFFSET($U$54,0,(ROW()-ROW(AB$61)))</f>
        <v>0</v>
      </c>
      <c r="AH62" t="s">
        <v>110</v>
      </c>
      <c r="AI62" t="s">
        <v>103</v>
      </c>
      <c r="AJ62" s="20">
        <f t="shared" ca="1" si="58"/>
        <v>529.85</v>
      </c>
      <c r="AK62" s="20">
        <f t="shared" ca="1" si="59"/>
        <v>0</v>
      </c>
      <c r="AM62" t="s">
        <v>110</v>
      </c>
      <c r="AN62" t="s">
        <v>103</v>
      </c>
      <c r="AO62" s="20">
        <f t="shared" ref="AO62:AO72" ca="1" si="72">OFFSET(AI$27,0,(ROW()-ROW(AO$61)))</f>
        <v>534.16526315789474</v>
      </c>
      <c r="AP62" s="20">
        <f t="shared" ref="AP62:AP72" ca="1" si="73">OFFSET(AI$54,0,(ROW()-ROW(AP$61)))</f>
        <v>0</v>
      </c>
      <c r="AV62" t="s">
        <v>110</v>
      </c>
      <c r="AW62" t="s">
        <v>103</v>
      </c>
      <c r="AX62" s="20">
        <f t="shared" ca="1" si="60"/>
        <v>473.45</v>
      </c>
      <c r="AY62" s="20">
        <f t="shared" ca="1" si="61"/>
        <v>0</v>
      </c>
      <c r="BA62" t="s">
        <v>110</v>
      </c>
      <c r="BB62" t="s">
        <v>103</v>
      </c>
      <c r="BC62" s="20">
        <f t="shared" ref="BC62:BC72" ca="1" si="74">OFFSET(AW$27,0,(ROW()-ROW(BC$61)))</f>
        <v>477.92466165413532</v>
      </c>
      <c r="BD62" s="20">
        <f t="shared" ref="BD62:BD72" ca="1" si="75">OFFSET(AW$54,0,(ROW()-ROW(BD$61)))</f>
        <v>0</v>
      </c>
      <c r="BJ62" t="s">
        <v>110</v>
      </c>
      <c r="BK62" t="s">
        <v>103</v>
      </c>
      <c r="BL62" s="20">
        <f t="shared" ca="1" si="62"/>
        <v>417.05</v>
      </c>
      <c r="BM62" s="20">
        <f t="shared" ca="1" si="63"/>
        <v>0</v>
      </c>
      <c r="BO62" t="s">
        <v>110</v>
      </c>
      <c r="BP62" t="s">
        <v>103</v>
      </c>
      <c r="BQ62" s="20">
        <f t="shared" ref="BQ62:BQ72" ca="1" si="76">OFFSET(BK$27,0,(ROW()-ROW(BQ$61)))</f>
        <v>421.68406015037601</v>
      </c>
      <c r="BR62" s="20">
        <f t="shared" ref="BR62:BR72" ca="1" si="77">OFFSET(BK$54,0,(ROW()-ROW(BR$61)))</f>
        <v>0</v>
      </c>
      <c r="BX62" t="s">
        <v>110</v>
      </c>
      <c r="BY62" t="s">
        <v>103</v>
      </c>
      <c r="BZ62" s="20">
        <f t="shared" ca="1" si="64"/>
        <v>360.76000000000005</v>
      </c>
      <c r="CA62" s="20">
        <f t="shared" ca="1" si="65"/>
        <v>0.10999999999999996</v>
      </c>
      <c r="CC62" t="s">
        <v>110</v>
      </c>
      <c r="CD62" t="s">
        <v>103</v>
      </c>
      <c r="CE62" s="20">
        <f t="shared" ref="CE62:CE72" ca="1" si="78">OFFSET(BY$27,0,(ROW()-ROW(CE$61)))</f>
        <v>365.64458646616526</v>
      </c>
      <c r="CF62" s="20">
        <f t="shared" ref="CF62:CF72" ca="1" si="79">OFFSET(BY$54,0,(ROW()-ROW(CF$61)))</f>
        <v>0.20112781954887282</v>
      </c>
      <c r="CL62" t="s">
        <v>110</v>
      </c>
      <c r="CM62" t="s">
        <v>103</v>
      </c>
      <c r="CN62" s="20">
        <f t="shared" ca="1" si="66"/>
        <v>305.34000000000003</v>
      </c>
      <c r="CO62" s="20">
        <f t="shared" ca="1" si="67"/>
        <v>1.0899999999999999</v>
      </c>
      <c r="CQ62" t="s">
        <v>110</v>
      </c>
      <c r="CR62" t="s">
        <v>103</v>
      </c>
      <c r="CS62" s="20">
        <f t="shared" ref="CS62:CS72" ca="1" si="80">OFFSET(CM$27,0,(ROW()-ROW(CS$61)))</f>
        <v>310.8718796992481</v>
      </c>
      <c r="CT62" s="20">
        <f t="shared" ref="CT62:CT72" ca="1" si="81">OFFSET(CM$54,0,(ROW()-ROW(CT$61)))</f>
        <v>1.6690225563909564</v>
      </c>
      <c r="CZ62" t="s">
        <v>110</v>
      </c>
      <c r="DA62" t="s">
        <v>103</v>
      </c>
      <c r="DB62" s="20">
        <f t="shared" ca="1" si="68"/>
        <v>642.65</v>
      </c>
      <c r="DC62" s="20">
        <f t="shared" ca="1" si="69"/>
        <v>0</v>
      </c>
      <c r="DE62" t="s">
        <v>110</v>
      </c>
      <c r="DF62" t="s">
        <v>103</v>
      </c>
      <c r="DG62" s="20">
        <f t="shared" ref="DG62:DG72" ca="1" si="82">OFFSET(DA$27,0,(ROW()-ROW(DG$61)))</f>
        <v>646.64646616541359</v>
      </c>
      <c r="DH62" s="20">
        <f t="shared" ref="DH62:DH72" ca="1" si="83">OFFSET(DA$54,0,(ROW()-ROW(DH$61)))</f>
        <v>0</v>
      </c>
    </row>
    <row r="63" spans="1:116" x14ac:dyDescent="0.2">
      <c r="A63" s="13">
        <v>38018</v>
      </c>
      <c r="B63">
        <v>2004</v>
      </c>
      <c r="C63">
        <v>2</v>
      </c>
      <c r="D63" s="21">
        <v>-1.824137931034483</v>
      </c>
      <c r="E63" s="21">
        <v>632.90000000000009</v>
      </c>
      <c r="F63" s="21">
        <v>0</v>
      </c>
      <c r="G63" s="21">
        <v>574.9</v>
      </c>
      <c r="H63" s="21">
        <v>0</v>
      </c>
      <c r="I63" s="21">
        <v>516.90000000000009</v>
      </c>
      <c r="J63" s="21">
        <v>0</v>
      </c>
      <c r="K63" s="21">
        <v>458.90000000000003</v>
      </c>
      <c r="L63" s="21">
        <v>0</v>
      </c>
      <c r="M63" s="21">
        <v>400.90000000000003</v>
      </c>
      <c r="N63" s="21">
        <v>0</v>
      </c>
      <c r="O63" s="21">
        <v>342.90000000000003</v>
      </c>
      <c r="P63" s="21">
        <v>0</v>
      </c>
      <c r="Q63" s="21">
        <v>284.89999999999998</v>
      </c>
      <c r="R63" s="21">
        <v>0</v>
      </c>
      <c r="T63" t="s">
        <v>110</v>
      </c>
      <c r="U63" t="s">
        <v>104</v>
      </c>
      <c r="V63" s="20">
        <f t="shared" ca="1" si="56"/>
        <v>518.29</v>
      </c>
      <c r="W63" s="20">
        <f t="shared" ca="1" si="57"/>
        <v>0</v>
      </c>
      <c r="Y63" t="s">
        <v>110</v>
      </c>
      <c r="Z63" t="s">
        <v>104</v>
      </c>
      <c r="AA63" s="20">
        <f t="shared" ca="1" si="70"/>
        <v>542.09601503759404</v>
      </c>
      <c r="AB63" s="20">
        <f t="shared" ca="1" si="71"/>
        <v>0</v>
      </c>
      <c r="AH63" t="s">
        <v>110</v>
      </c>
      <c r="AI63" t="s">
        <v>104</v>
      </c>
      <c r="AJ63" s="20">
        <f t="shared" ca="1" si="58"/>
        <v>456.28999999999996</v>
      </c>
      <c r="AK63" s="20">
        <f t="shared" ca="1" si="59"/>
        <v>0</v>
      </c>
      <c r="AM63" t="s">
        <v>110</v>
      </c>
      <c r="AN63" t="s">
        <v>104</v>
      </c>
      <c r="AO63" s="20">
        <f t="shared" ca="1" si="72"/>
        <v>480.09601503759404</v>
      </c>
      <c r="AP63" s="20">
        <f t="shared" ca="1" si="73"/>
        <v>0</v>
      </c>
      <c r="AV63" t="s">
        <v>110</v>
      </c>
      <c r="AW63" t="s">
        <v>104</v>
      </c>
      <c r="AX63" s="20">
        <f t="shared" ca="1" si="60"/>
        <v>394.31999999999988</v>
      </c>
      <c r="AY63" s="20">
        <f t="shared" ca="1" si="61"/>
        <v>3.0000000000000072E-2</v>
      </c>
      <c r="BA63" t="s">
        <v>110</v>
      </c>
      <c r="BB63" t="s">
        <v>104</v>
      </c>
      <c r="BC63" s="20">
        <f t="shared" ca="1" si="74"/>
        <v>418.1239849624053</v>
      </c>
      <c r="BD63" s="20">
        <f t="shared" ca="1" si="75"/>
        <v>2.79699248120302E-2</v>
      </c>
      <c r="BJ63" t="s">
        <v>110</v>
      </c>
      <c r="BK63" t="s">
        <v>104</v>
      </c>
      <c r="BL63" s="20">
        <f t="shared" ca="1" si="62"/>
        <v>332.70999999999992</v>
      </c>
      <c r="BM63" s="20">
        <f t="shared" ca="1" si="63"/>
        <v>0.4200000000000001</v>
      </c>
      <c r="BO63" t="s">
        <v>110</v>
      </c>
      <c r="BP63" t="s">
        <v>104</v>
      </c>
      <c r="BQ63" s="20">
        <f t="shared" ca="1" si="76"/>
        <v>356.48759398496304</v>
      </c>
      <c r="BR63" s="20">
        <f t="shared" ca="1" si="77"/>
        <v>0.39157894736842103</v>
      </c>
      <c r="BX63" t="s">
        <v>110</v>
      </c>
      <c r="BY63" t="s">
        <v>104</v>
      </c>
      <c r="BZ63" s="20">
        <f t="shared" ca="1" si="64"/>
        <v>272.31</v>
      </c>
      <c r="CA63" s="20">
        <f t="shared" ca="1" si="65"/>
        <v>2.02</v>
      </c>
      <c r="CC63" t="s">
        <v>110</v>
      </c>
      <c r="CD63" t="s">
        <v>104</v>
      </c>
      <c r="CE63" s="20">
        <f t="shared" ca="1" si="78"/>
        <v>295.59887218045105</v>
      </c>
      <c r="CF63" s="20">
        <f t="shared" ca="1" si="79"/>
        <v>1.5028571428571453</v>
      </c>
      <c r="CL63" t="s">
        <v>110</v>
      </c>
      <c r="CM63" t="s">
        <v>104</v>
      </c>
      <c r="CN63" s="20">
        <f t="shared" ca="1" si="66"/>
        <v>214.84</v>
      </c>
      <c r="CO63" s="20">
        <f t="shared" ca="1" si="67"/>
        <v>6.5499999999999989</v>
      </c>
      <c r="CQ63" t="s">
        <v>110</v>
      </c>
      <c r="CR63" t="s">
        <v>104</v>
      </c>
      <c r="CS63" s="20">
        <f t="shared" ca="1" si="80"/>
        <v>237.10045112781927</v>
      </c>
      <c r="CT63" s="20">
        <f t="shared" ca="1" si="81"/>
        <v>5.0044360902255676</v>
      </c>
      <c r="CZ63" t="s">
        <v>110</v>
      </c>
      <c r="DA63" t="s">
        <v>104</v>
      </c>
      <c r="DB63" s="20">
        <f t="shared" ca="1" si="68"/>
        <v>580.29</v>
      </c>
      <c r="DC63" s="20">
        <f t="shared" ca="1" si="69"/>
        <v>0</v>
      </c>
      <c r="DE63" t="s">
        <v>110</v>
      </c>
      <c r="DF63" t="s">
        <v>104</v>
      </c>
      <c r="DG63" s="20">
        <f t="shared" ca="1" si="82"/>
        <v>604.09601503759404</v>
      </c>
      <c r="DH63" s="20">
        <f t="shared" ca="1" si="83"/>
        <v>0</v>
      </c>
    </row>
    <row r="64" spans="1:116" x14ac:dyDescent="0.2">
      <c r="A64" s="13">
        <v>38047</v>
      </c>
      <c r="B64">
        <v>2004</v>
      </c>
      <c r="C64">
        <v>3</v>
      </c>
      <c r="D64" s="21">
        <v>2.6419354838709674</v>
      </c>
      <c r="E64" s="21">
        <v>538.1</v>
      </c>
      <c r="F64" s="21">
        <v>0</v>
      </c>
      <c r="G64" s="21">
        <v>476.09999999999997</v>
      </c>
      <c r="H64" s="21">
        <v>0</v>
      </c>
      <c r="I64" s="21">
        <v>414.09999999999997</v>
      </c>
      <c r="J64" s="21">
        <v>0</v>
      </c>
      <c r="K64" s="21">
        <v>352.09999999999991</v>
      </c>
      <c r="L64" s="21">
        <v>0</v>
      </c>
      <c r="M64" s="21">
        <v>292.09999999999991</v>
      </c>
      <c r="N64" s="21">
        <v>2</v>
      </c>
      <c r="O64" s="21">
        <v>233.7</v>
      </c>
      <c r="P64" s="21">
        <v>5.6</v>
      </c>
      <c r="Q64" s="21">
        <v>177.8</v>
      </c>
      <c r="R64" s="21">
        <v>11.7</v>
      </c>
      <c r="T64" t="s">
        <v>110</v>
      </c>
      <c r="U64" t="s">
        <v>105</v>
      </c>
      <c r="V64" s="20">
        <f t="shared" ca="1" si="56"/>
        <v>338.79</v>
      </c>
      <c r="W64" s="20">
        <f t="shared" ca="1" si="57"/>
        <v>0</v>
      </c>
      <c r="Y64" t="s">
        <v>110</v>
      </c>
      <c r="Z64" t="s">
        <v>105</v>
      </c>
      <c r="AA64" s="20">
        <f t="shared" ca="1" si="70"/>
        <v>348.6190225563912</v>
      </c>
      <c r="AB64" s="20">
        <f t="shared" ca="1" si="71"/>
        <v>0</v>
      </c>
      <c r="AH64" t="s">
        <v>110</v>
      </c>
      <c r="AI64" t="s">
        <v>105</v>
      </c>
      <c r="AJ64" s="20">
        <f t="shared" ca="1" si="58"/>
        <v>278.95999999999998</v>
      </c>
      <c r="AK64" s="20">
        <f t="shared" ca="1" si="59"/>
        <v>0.16999999999999993</v>
      </c>
      <c r="AM64" t="s">
        <v>110</v>
      </c>
      <c r="AN64" t="s">
        <v>105</v>
      </c>
      <c r="AO64" s="20">
        <f t="shared" ca="1" si="72"/>
        <v>288.37075187969913</v>
      </c>
      <c r="AP64" s="20">
        <f t="shared" ca="1" si="73"/>
        <v>0</v>
      </c>
      <c r="AV64" t="s">
        <v>110</v>
      </c>
      <c r="AW64" t="s">
        <v>105</v>
      </c>
      <c r="AX64" s="20">
        <f t="shared" ca="1" si="60"/>
        <v>220.23999999999995</v>
      </c>
      <c r="AY64" s="20">
        <f t="shared" ca="1" si="61"/>
        <v>1.45</v>
      </c>
      <c r="BA64" t="s">
        <v>110</v>
      </c>
      <c r="BB64" t="s">
        <v>105</v>
      </c>
      <c r="BC64" s="20">
        <f t="shared" ca="1" si="74"/>
        <v>228.66751879699223</v>
      </c>
      <c r="BD64" s="20">
        <f t="shared" ca="1" si="75"/>
        <v>0</v>
      </c>
      <c r="BJ64" t="s">
        <v>110</v>
      </c>
      <c r="BK64" t="s">
        <v>105</v>
      </c>
      <c r="BL64" s="20">
        <f t="shared" ca="1" si="62"/>
        <v>164.53999999999996</v>
      </c>
      <c r="BM64" s="20">
        <f t="shared" ca="1" si="63"/>
        <v>5.75</v>
      </c>
      <c r="BO64" t="s">
        <v>110</v>
      </c>
      <c r="BP64" t="s">
        <v>105</v>
      </c>
      <c r="BQ64" s="20">
        <f t="shared" ca="1" si="76"/>
        <v>171.77466165413534</v>
      </c>
      <c r="BR64" s="20">
        <f t="shared" ca="1" si="77"/>
        <v>2.7674436090226209</v>
      </c>
      <c r="BX64" t="s">
        <v>110</v>
      </c>
      <c r="BY64" t="s">
        <v>105</v>
      </c>
      <c r="BZ64" s="20">
        <f t="shared" ca="1" si="64"/>
        <v>113.89000000000001</v>
      </c>
      <c r="CA64" s="20">
        <f t="shared" ca="1" si="65"/>
        <v>15.100000000000003</v>
      </c>
      <c r="CC64" t="s">
        <v>110</v>
      </c>
      <c r="CD64" t="s">
        <v>105</v>
      </c>
      <c r="CE64" s="20">
        <f t="shared" ca="1" si="78"/>
        <v>119.65323308270661</v>
      </c>
      <c r="CF64" s="20">
        <f t="shared" ca="1" si="79"/>
        <v>10.64601503759377</v>
      </c>
      <c r="CL64" t="s">
        <v>110</v>
      </c>
      <c r="CM64" t="s">
        <v>105</v>
      </c>
      <c r="CN64" s="20">
        <f t="shared" ca="1" si="66"/>
        <v>69.55</v>
      </c>
      <c r="CO64" s="20">
        <f t="shared" ca="1" si="67"/>
        <v>30.759999999999998</v>
      </c>
      <c r="CQ64" t="s">
        <v>110</v>
      </c>
      <c r="CR64" t="s">
        <v>105</v>
      </c>
      <c r="CS64" s="20">
        <f t="shared" ca="1" si="80"/>
        <v>74.075563909774473</v>
      </c>
      <c r="CT64" s="20">
        <f t="shared" ca="1" si="81"/>
        <v>25.068345864661524</v>
      </c>
      <c r="CZ64" t="s">
        <v>110</v>
      </c>
      <c r="DA64" t="s">
        <v>105</v>
      </c>
      <c r="DB64" s="20">
        <f t="shared" ca="1" si="68"/>
        <v>398.79</v>
      </c>
      <c r="DC64" s="20">
        <f t="shared" ca="1" si="69"/>
        <v>0</v>
      </c>
      <c r="DE64" t="s">
        <v>110</v>
      </c>
      <c r="DF64" t="s">
        <v>105</v>
      </c>
      <c r="DG64" s="20">
        <f t="shared" ca="1" si="82"/>
        <v>408.90360902255634</v>
      </c>
      <c r="DH64" s="20">
        <f t="shared" ca="1" si="83"/>
        <v>0</v>
      </c>
    </row>
    <row r="65" spans="1:112" x14ac:dyDescent="0.2">
      <c r="A65" s="13">
        <v>38078</v>
      </c>
      <c r="B65">
        <v>2004</v>
      </c>
      <c r="C65">
        <v>4</v>
      </c>
      <c r="D65" s="21">
        <v>6.9366666666666665</v>
      </c>
      <c r="E65" s="21">
        <v>391.90000000000015</v>
      </c>
      <c r="F65" s="21">
        <v>0</v>
      </c>
      <c r="G65" s="21">
        <v>332.60000000000008</v>
      </c>
      <c r="H65" s="21">
        <v>0.69999999999999929</v>
      </c>
      <c r="I65" s="21">
        <v>275.00000000000006</v>
      </c>
      <c r="J65" s="21">
        <v>3.0999999999999979</v>
      </c>
      <c r="K65" s="21">
        <v>219.20000000000005</v>
      </c>
      <c r="L65" s="21">
        <v>7.2999999999999972</v>
      </c>
      <c r="M65" s="21">
        <v>166.10000000000002</v>
      </c>
      <c r="N65" s="21">
        <v>14.199999999999996</v>
      </c>
      <c r="O65" s="21">
        <v>119.79999999999998</v>
      </c>
      <c r="P65" s="21">
        <v>27.899999999999995</v>
      </c>
      <c r="Q65" s="21">
        <v>75.999999999999986</v>
      </c>
      <c r="R65" s="21">
        <v>44.099999999999994</v>
      </c>
      <c r="T65" t="s">
        <v>110</v>
      </c>
      <c r="U65" t="s">
        <v>58</v>
      </c>
      <c r="V65" s="20">
        <f t="shared" ca="1" si="56"/>
        <v>157.91</v>
      </c>
      <c r="W65" s="20">
        <f t="shared" ca="1" si="57"/>
        <v>15.99</v>
      </c>
      <c r="Y65" t="s">
        <v>110</v>
      </c>
      <c r="Z65" t="s">
        <v>58</v>
      </c>
      <c r="AA65" s="20">
        <f t="shared" ca="1" si="70"/>
        <v>154.47390977443592</v>
      </c>
      <c r="AB65" s="20">
        <f t="shared" ca="1" si="71"/>
        <v>17.400526315789421</v>
      </c>
      <c r="AH65" t="s">
        <v>110</v>
      </c>
      <c r="AI65" t="s">
        <v>58</v>
      </c>
      <c r="AJ65" s="20">
        <f t="shared" ca="1" si="58"/>
        <v>110</v>
      </c>
      <c r="AK65" s="20">
        <f t="shared" ca="1" si="59"/>
        <v>30.080000000000002</v>
      </c>
      <c r="AM65" t="s">
        <v>110</v>
      </c>
      <c r="AN65" t="s">
        <v>58</v>
      </c>
      <c r="AO65" s="20">
        <f t="shared" ca="1" si="72"/>
        <v>107.69751879699265</v>
      </c>
      <c r="AP65" s="20">
        <f t="shared" ca="1" si="73"/>
        <v>32.624135338345695</v>
      </c>
      <c r="AV65" t="s">
        <v>110</v>
      </c>
      <c r="AW65" t="s">
        <v>58</v>
      </c>
      <c r="AX65" s="20">
        <f t="shared" ca="1" si="60"/>
        <v>68.61</v>
      </c>
      <c r="AY65" s="20">
        <f t="shared" ca="1" si="61"/>
        <v>50.69</v>
      </c>
      <c r="BA65" t="s">
        <v>110</v>
      </c>
      <c r="BB65" t="s">
        <v>58</v>
      </c>
      <c r="BC65" s="20">
        <f t="shared" ca="1" si="74"/>
        <v>67.613233082706756</v>
      </c>
      <c r="BD65" s="20">
        <f t="shared" ca="1" si="75"/>
        <v>54.539849624060025</v>
      </c>
      <c r="BJ65" t="s">
        <v>110</v>
      </c>
      <c r="BK65" t="s">
        <v>58</v>
      </c>
      <c r="BL65" s="20">
        <f t="shared" ca="1" si="62"/>
        <v>35.92</v>
      </c>
      <c r="BM65" s="20">
        <f t="shared" ca="1" si="63"/>
        <v>80</v>
      </c>
      <c r="BO65" t="s">
        <v>110</v>
      </c>
      <c r="BP65" t="s">
        <v>58</v>
      </c>
      <c r="BQ65" s="20">
        <f t="shared" ca="1" si="76"/>
        <v>36.57473684210521</v>
      </c>
      <c r="BR65" s="20">
        <f t="shared" ca="1" si="77"/>
        <v>85.501353383458536</v>
      </c>
      <c r="BX65" t="s">
        <v>110</v>
      </c>
      <c r="BY65" t="s">
        <v>58</v>
      </c>
      <c r="BZ65" s="20">
        <f t="shared" ca="1" si="64"/>
        <v>14.26</v>
      </c>
      <c r="CA65" s="20">
        <f t="shared" ca="1" si="65"/>
        <v>120.34</v>
      </c>
      <c r="CC65" t="s">
        <v>110</v>
      </c>
      <c r="CD65" t="s">
        <v>58</v>
      </c>
      <c r="CE65" s="20">
        <f t="shared" ca="1" si="78"/>
        <v>14.279172932330852</v>
      </c>
      <c r="CF65" s="20">
        <f t="shared" ca="1" si="79"/>
        <v>125.20578947368404</v>
      </c>
      <c r="CL65" t="s">
        <v>110</v>
      </c>
      <c r="CM65" t="s">
        <v>58</v>
      </c>
      <c r="CN65" s="20">
        <f t="shared" ca="1" si="66"/>
        <v>4</v>
      </c>
      <c r="CO65" s="20">
        <f t="shared" ca="1" si="67"/>
        <v>172.07999999999998</v>
      </c>
      <c r="CQ65" t="s">
        <v>110</v>
      </c>
      <c r="CR65" t="s">
        <v>58</v>
      </c>
      <c r="CS65" s="20">
        <f t="shared" ca="1" si="80"/>
        <v>3.9758646616541284</v>
      </c>
      <c r="CT65" s="20">
        <f t="shared" ca="1" si="81"/>
        <v>176.90248120300703</v>
      </c>
      <c r="CZ65" t="s">
        <v>110</v>
      </c>
      <c r="DA65" t="s">
        <v>58</v>
      </c>
      <c r="DB65" s="20">
        <f t="shared" ca="1" si="68"/>
        <v>211.22999999999996</v>
      </c>
      <c r="DC65" s="20">
        <f t="shared" ca="1" si="69"/>
        <v>7.3100000000000005</v>
      </c>
      <c r="DE65" t="s">
        <v>110</v>
      </c>
      <c r="DF65" t="s">
        <v>58</v>
      </c>
      <c r="DG65" s="20">
        <f t="shared" ca="1" si="82"/>
        <v>206.81759398496206</v>
      </c>
      <c r="DH65" s="20">
        <f t="shared" ca="1" si="83"/>
        <v>7.7442105263157828</v>
      </c>
    </row>
    <row r="66" spans="1:112" x14ac:dyDescent="0.2">
      <c r="A66" s="13">
        <v>38108</v>
      </c>
      <c r="B66">
        <v>2004</v>
      </c>
      <c r="C66">
        <v>5</v>
      </c>
      <c r="D66" s="21">
        <v>12.43225806451613</v>
      </c>
      <c r="E66" s="21">
        <v>234.59999999999997</v>
      </c>
      <c r="F66" s="21">
        <v>0</v>
      </c>
      <c r="G66" s="21">
        <v>173.50000000000003</v>
      </c>
      <c r="H66" s="21">
        <v>0.89999999999999858</v>
      </c>
      <c r="I66" s="21">
        <v>115.69999999999999</v>
      </c>
      <c r="J66" s="21">
        <v>5.0999999999999979</v>
      </c>
      <c r="K66" s="21">
        <v>68.999999999999986</v>
      </c>
      <c r="L66" s="21">
        <v>20.399999999999999</v>
      </c>
      <c r="M66" s="21">
        <v>34.800000000000004</v>
      </c>
      <c r="N66" s="21">
        <v>48.200000000000017</v>
      </c>
      <c r="O66" s="21">
        <v>16</v>
      </c>
      <c r="P66" s="21">
        <v>91.399999999999991</v>
      </c>
      <c r="Q66" s="21">
        <v>5.6</v>
      </c>
      <c r="R66" s="21">
        <v>142.99999999999994</v>
      </c>
      <c r="T66" t="s">
        <v>110</v>
      </c>
      <c r="U66" t="s">
        <v>97</v>
      </c>
      <c r="V66" s="20">
        <f t="shared" ca="1" si="56"/>
        <v>33.909999999999997</v>
      </c>
      <c r="W66" s="20">
        <f t="shared" ca="1" si="57"/>
        <v>56.359999999999992</v>
      </c>
      <c r="Y66" t="s">
        <v>110</v>
      </c>
      <c r="Z66" t="s">
        <v>97</v>
      </c>
      <c r="AA66" s="20">
        <f t="shared" ca="1" si="70"/>
        <v>33.226315789473631</v>
      </c>
      <c r="AB66" s="20">
        <f t="shared" ca="1" si="71"/>
        <v>53.785639097744252</v>
      </c>
      <c r="AH66" t="s">
        <v>110</v>
      </c>
      <c r="AI66" t="s">
        <v>97</v>
      </c>
      <c r="AJ66" s="20">
        <f t="shared" ca="1" si="58"/>
        <v>12.13</v>
      </c>
      <c r="AK66" s="20">
        <f t="shared" ca="1" si="59"/>
        <v>94.58</v>
      </c>
      <c r="AM66" t="s">
        <v>110</v>
      </c>
      <c r="AN66" t="s">
        <v>97</v>
      </c>
      <c r="AO66" s="20">
        <f t="shared" ca="1" si="72"/>
        <v>9.8091729323307391</v>
      </c>
      <c r="AP66" s="20">
        <f t="shared" ca="1" si="73"/>
        <v>90.368496240601644</v>
      </c>
      <c r="AV66" t="s">
        <v>110</v>
      </c>
      <c r="AW66" t="s">
        <v>97</v>
      </c>
      <c r="AX66" s="20">
        <f t="shared" ca="1" si="60"/>
        <v>2.7299999999999995</v>
      </c>
      <c r="AY66" s="20">
        <f t="shared" ca="1" si="61"/>
        <v>145.17999999999998</v>
      </c>
      <c r="BA66" t="s">
        <v>110</v>
      </c>
      <c r="BB66" t="s">
        <v>97</v>
      </c>
      <c r="BC66" s="20">
        <f t="shared" ca="1" si="74"/>
        <v>0.43015037593977468</v>
      </c>
      <c r="BD66" s="20">
        <f t="shared" ca="1" si="75"/>
        <v>140.98947368421068</v>
      </c>
      <c r="BJ66" t="s">
        <v>110</v>
      </c>
      <c r="BK66" t="s">
        <v>97</v>
      </c>
      <c r="BL66" s="20">
        <f t="shared" ca="1" si="62"/>
        <v>0.37999999999999989</v>
      </c>
      <c r="BM66" s="20">
        <f t="shared" ca="1" si="63"/>
        <v>202.83</v>
      </c>
      <c r="BO66" t="s">
        <v>110</v>
      </c>
      <c r="BP66" t="s">
        <v>97</v>
      </c>
      <c r="BQ66" s="20">
        <f t="shared" ca="1" si="76"/>
        <v>0</v>
      </c>
      <c r="BR66" s="20">
        <f t="shared" ca="1" si="77"/>
        <v>200.2822556390978</v>
      </c>
      <c r="BX66" t="s">
        <v>110</v>
      </c>
      <c r="BY66" t="s">
        <v>97</v>
      </c>
      <c r="BZ66" s="20">
        <f t="shared" ca="1" si="64"/>
        <v>0</v>
      </c>
      <c r="CA66" s="20">
        <f t="shared" ca="1" si="65"/>
        <v>262.45000000000005</v>
      </c>
      <c r="CC66" t="s">
        <v>110</v>
      </c>
      <c r="CD66" t="s">
        <v>97</v>
      </c>
      <c r="CE66" s="20">
        <f t="shared" ca="1" si="78"/>
        <v>0</v>
      </c>
      <c r="CF66" s="20">
        <f t="shared" ca="1" si="79"/>
        <v>260.49345864661666</v>
      </c>
      <c r="CL66" t="s">
        <v>110</v>
      </c>
      <c r="CM66" t="s">
        <v>97</v>
      </c>
      <c r="CN66" s="20">
        <f t="shared" ca="1" si="66"/>
        <v>0</v>
      </c>
      <c r="CO66" s="20">
        <f t="shared" ca="1" si="67"/>
        <v>322.44999999999993</v>
      </c>
      <c r="CQ66" t="s">
        <v>110</v>
      </c>
      <c r="CR66" t="s">
        <v>97</v>
      </c>
      <c r="CS66" s="20">
        <f t="shared" ca="1" si="80"/>
        <v>0</v>
      </c>
      <c r="CT66" s="20">
        <f t="shared" ca="1" si="81"/>
        <v>320.55932330827068</v>
      </c>
      <c r="CZ66" t="s">
        <v>110</v>
      </c>
      <c r="DA66" t="s">
        <v>97</v>
      </c>
      <c r="DB66" s="20">
        <f t="shared" ca="1" si="68"/>
        <v>66.309999999999988</v>
      </c>
      <c r="DC66" s="20">
        <f t="shared" ca="1" si="69"/>
        <v>28.76</v>
      </c>
      <c r="DE66" t="s">
        <v>110</v>
      </c>
      <c r="DF66" t="s">
        <v>97</v>
      </c>
      <c r="DG66" s="20">
        <f t="shared" ca="1" si="82"/>
        <v>66.471052631578942</v>
      </c>
      <c r="DH66" s="20">
        <f t="shared" ca="1" si="83"/>
        <v>27.030375939849591</v>
      </c>
    </row>
    <row r="67" spans="1:112" x14ac:dyDescent="0.2">
      <c r="A67" s="13">
        <v>38139</v>
      </c>
      <c r="B67">
        <v>2004</v>
      </c>
      <c r="C67">
        <v>6</v>
      </c>
      <c r="D67" s="21">
        <v>17.466666666666665</v>
      </c>
      <c r="E67" s="21">
        <v>90.699999999999989</v>
      </c>
      <c r="F67" s="21">
        <v>14.699999999999996</v>
      </c>
      <c r="G67" s="21">
        <v>47.599999999999994</v>
      </c>
      <c r="H67" s="21">
        <v>31.599999999999998</v>
      </c>
      <c r="I67" s="21">
        <v>20</v>
      </c>
      <c r="J67" s="21">
        <v>64.000000000000014</v>
      </c>
      <c r="K67" s="21">
        <v>5.4</v>
      </c>
      <c r="L67" s="21">
        <v>109.39999999999998</v>
      </c>
      <c r="M67" s="21">
        <v>0.80000000000000071</v>
      </c>
      <c r="N67" s="21">
        <v>164.79999999999998</v>
      </c>
      <c r="O67" s="21">
        <v>0</v>
      </c>
      <c r="P67" s="21">
        <v>224</v>
      </c>
      <c r="Q67" s="21">
        <v>0</v>
      </c>
      <c r="R67" s="21">
        <v>284</v>
      </c>
      <c r="T67" t="s">
        <v>110</v>
      </c>
      <c r="U67" t="s">
        <v>98</v>
      </c>
      <c r="V67" s="20">
        <f t="shared" ca="1" si="56"/>
        <v>1.5200000000000005</v>
      </c>
      <c r="W67" s="20">
        <f t="shared" ca="1" si="57"/>
        <v>145.71</v>
      </c>
      <c r="Y67" t="s">
        <v>110</v>
      </c>
      <c r="Z67" t="s">
        <v>98</v>
      </c>
      <c r="AA67" s="20">
        <f t="shared" ca="1" si="70"/>
        <v>0.89774436090220888</v>
      </c>
      <c r="AB67" s="20">
        <f t="shared" ca="1" si="71"/>
        <v>154.51639097744373</v>
      </c>
      <c r="AH67" t="s">
        <v>110</v>
      </c>
      <c r="AI67" t="s">
        <v>98</v>
      </c>
      <c r="AJ67" s="20">
        <f t="shared" ca="1" si="58"/>
        <v>9.0000000000000038E-2</v>
      </c>
      <c r="AK67" s="20">
        <f t="shared" ca="1" si="59"/>
        <v>206.28000000000003</v>
      </c>
      <c r="AM67" t="s">
        <v>110</v>
      </c>
      <c r="AN67" t="s">
        <v>98</v>
      </c>
      <c r="AO67" s="20">
        <f t="shared" ca="1" si="72"/>
        <v>3.1879699248122506E-2</v>
      </c>
      <c r="AP67" s="20">
        <f t="shared" ca="1" si="73"/>
        <v>215.65052631578965</v>
      </c>
      <c r="AV67" t="s">
        <v>110</v>
      </c>
      <c r="AW67" t="s">
        <v>98</v>
      </c>
      <c r="AX67" s="20">
        <f t="shared" ca="1" si="60"/>
        <v>0</v>
      </c>
      <c r="AY67" s="20">
        <f t="shared" ca="1" si="61"/>
        <v>268.18999999999994</v>
      </c>
      <c r="BA67" t="s">
        <v>110</v>
      </c>
      <c r="BB67" t="s">
        <v>98</v>
      </c>
      <c r="BC67" s="20">
        <f t="shared" ca="1" si="74"/>
        <v>0</v>
      </c>
      <c r="BD67" s="20">
        <f t="shared" ca="1" si="75"/>
        <v>277.61864661654181</v>
      </c>
      <c r="BJ67" t="s">
        <v>110</v>
      </c>
      <c r="BK67" t="s">
        <v>98</v>
      </c>
      <c r="BL67" s="20">
        <f t="shared" ca="1" si="62"/>
        <v>0</v>
      </c>
      <c r="BM67" s="20">
        <f t="shared" ca="1" si="63"/>
        <v>330.18999999999994</v>
      </c>
      <c r="BO67" t="s">
        <v>110</v>
      </c>
      <c r="BP67" t="s">
        <v>98</v>
      </c>
      <c r="BQ67" s="20">
        <f t="shared" ca="1" si="76"/>
        <v>0</v>
      </c>
      <c r="BR67" s="20">
        <f t="shared" ca="1" si="77"/>
        <v>339.61864661654181</v>
      </c>
      <c r="BX67" t="s">
        <v>110</v>
      </c>
      <c r="BY67" t="s">
        <v>98</v>
      </c>
      <c r="BZ67" s="20">
        <f t="shared" ca="1" si="64"/>
        <v>0</v>
      </c>
      <c r="CA67" s="20">
        <f t="shared" ca="1" si="65"/>
        <v>392.19</v>
      </c>
      <c r="CC67" t="s">
        <v>110</v>
      </c>
      <c r="CD67" t="s">
        <v>98</v>
      </c>
      <c r="CE67" s="20">
        <f t="shared" ca="1" si="78"/>
        <v>0</v>
      </c>
      <c r="CF67" s="20">
        <f t="shared" ca="1" si="79"/>
        <v>401.61864661654181</v>
      </c>
      <c r="CL67" t="s">
        <v>110</v>
      </c>
      <c r="CM67" t="s">
        <v>98</v>
      </c>
      <c r="CN67" s="20">
        <f t="shared" ca="1" si="66"/>
        <v>0</v>
      </c>
      <c r="CO67" s="20">
        <f t="shared" ca="1" si="67"/>
        <v>454.19000000000005</v>
      </c>
      <c r="CQ67" t="s">
        <v>110</v>
      </c>
      <c r="CR67" t="s">
        <v>98</v>
      </c>
      <c r="CS67" s="20">
        <f t="shared" ca="1" si="80"/>
        <v>0</v>
      </c>
      <c r="CT67" s="20">
        <f t="shared" ca="1" si="81"/>
        <v>463.61864661654181</v>
      </c>
      <c r="CZ67" t="s">
        <v>110</v>
      </c>
      <c r="DA67" t="s">
        <v>98</v>
      </c>
      <c r="DB67" s="20">
        <f t="shared" ca="1" si="68"/>
        <v>9.01</v>
      </c>
      <c r="DC67" s="20">
        <f t="shared" ca="1" si="69"/>
        <v>91.2</v>
      </c>
      <c r="DE67" t="s">
        <v>110</v>
      </c>
      <c r="DF67" t="s">
        <v>98</v>
      </c>
      <c r="DG67" s="20">
        <f t="shared" ca="1" si="82"/>
        <v>5.0519548872177893</v>
      </c>
      <c r="DH67" s="20">
        <f t="shared" ca="1" si="83"/>
        <v>96.670601503759372</v>
      </c>
    </row>
    <row r="68" spans="1:112" x14ac:dyDescent="0.2">
      <c r="A68" s="13">
        <v>38169</v>
      </c>
      <c r="B68">
        <v>2004</v>
      </c>
      <c r="C68">
        <v>7</v>
      </c>
      <c r="D68" s="21">
        <v>20.29032258064516</v>
      </c>
      <c r="E68" s="21">
        <v>24.400000000000002</v>
      </c>
      <c r="F68" s="21">
        <v>33.400000000000006</v>
      </c>
      <c r="G68" s="21">
        <v>4</v>
      </c>
      <c r="H68" s="21">
        <v>75</v>
      </c>
      <c r="I68" s="21">
        <v>0</v>
      </c>
      <c r="J68" s="21">
        <v>133.00000000000003</v>
      </c>
      <c r="K68" s="21">
        <v>0</v>
      </c>
      <c r="L68" s="21">
        <v>194.99999999999997</v>
      </c>
      <c r="M68" s="21">
        <v>0</v>
      </c>
      <c r="N68" s="21">
        <v>257</v>
      </c>
      <c r="O68" s="21">
        <v>0</v>
      </c>
      <c r="P68" s="21">
        <v>319</v>
      </c>
      <c r="Q68" s="21">
        <v>0</v>
      </c>
      <c r="R68" s="21">
        <v>381</v>
      </c>
      <c r="T68" t="s">
        <v>110</v>
      </c>
      <c r="U68" t="s">
        <v>99</v>
      </c>
      <c r="V68" s="20">
        <f t="shared" ca="1" si="56"/>
        <v>2.2600000000000002</v>
      </c>
      <c r="W68" s="20">
        <f t="shared" ca="1" si="57"/>
        <v>117.85</v>
      </c>
      <c r="Y68" t="s">
        <v>110</v>
      </c>
      <c r="Z68" t="s">
        <v>99</v>
      </c>
      <c r="AA68" s="20">
        <f t="shared" ca="1" si="70"/>
        <v>2.7975939849624041</v>
      </c>
      <c r="AB68" s="20">
        <f t="shared" ca="1" si="71"/>
        <v>115.83796992481203</v>
      </c>
      <c r="AH68" t="s">
        <v>110</v>
      </c>
      <c r="AI68" t="s">
        <v>99</v>
      </c>
      <c r="AJ68" s="20">
        <f t="shared" ca="1" si="58"/>
        <v>0.05</v>
      </c>
      <c r="AK68" s="20">
        <f t="shared" ca="1" si="59"/>
        <v>177.64000000000001</v>
      </c>
      <c r="AM68" t="s">
        <v>110</v>
      </c>
      <c r="AN68" t="s">
        <v>99</v>
      </c>
      <c r="AO68" s="20">
        <f t="shared" ca="1" si="72"/>
        <v>0</v>
      </c>
      <c r="AP68" s="20">
        <f t="shared" ca="1" si="73"/>
        <v>174.99421052631578</v>
      </c>
      <c r="AV68" t="s">
        <v>110</v>
      </c>
      <c r="AW68" t="s">
        <v>99</v>
      </c>
      <c r="AX68" s="20">
        <f t="shared" ca="1" si="60"/>
        <v>0</v>
      </c>
      <c r="AY68" s="20">
        <f t="shared" ca="1" si="61"/>
        <v>239.59000000000006</v>
      </c>
      <c r="BA68" t="s">
        <v>110</v>
      </c>
      <c r="BB68" t="s">
        <v>99</v>
      </c>
      <c r="BC68" s="20">
        <f t="shared" ca="1" si="74"/>
        <v>0</v>
      </c>
      <c r="BD68" s="20">
        <f t="shared" ca="1" si="75"/>
        <v>237.04037593984961</v>
      </c>
      <c r="BJ68" t="s">
        <v>110</v>
      </c>
      <c r="BK68" t="s">
        <v>99</v>
      </c>
      <c r="BL68" s="20">
        <f t="shared" ca="1" si="62"/>
        <v>0</v>
      </c>
      <c r="BM68" s="20">
        <f t="shared" ca="1" si="63"/>
        <v>301.58999999999997</v>
      </c>
      <c r="BO68" t="s">
        <v>110</v>
      </c>
      <c r="BP68" t="s">
        <v>99</v>
      </c>
      <c r="BQ68" s="20">
        <f t="shared" ca="1" si="76"/>
        <v>0</v>
      </c>
      <c r="BR68" s="20">
        <f t="shared" ca="1" si="77"/>
        <v>299.04037593984958</v>
      </c>
      <c r="BX68" t="s">
        <v>110</v>
      </c>
      <c r="BY68" t="s">
        <v>99</v>
      </c>
      <c r="BZ68" s="20">
        <f t="shared" ca="1" si="64"/>
        <v>0</v>
      </c>
      <c r="CA68" s="20">
        <f t="shared" ca="1" si="65"/>
        <v>363.59000000000003</v>
      </c>
      <c r="CC68" t="s">
        <v>110</v>
      </c>
      <c r="CD68" t="s">
        <v>99</v>
      </c>
      <c r="CE68" s="20">
        <f t="shared" ca="1" si="78"/>
        <v>0</v>
      </c>
      <c r="CF68" s="20">
        <f t="shared" ca="1" si="79"/>
        <v>361.04037593984958</v>
      </c>
      <c r="CL68" t="s">
        <v>110</v>
      </c>
      <c r="CM68" t="s">
        <v>99</v>
      </c>
      <c r="CN68" s="20">
        <f t="shared" ca="1" si="66"/>
        <v>0</v>
      </c>
      <c r="CO68" s="20">
        <f t="shared" ca="1" si="67"/>
        <v>425.59</v>
      </c>
      <c r="CQ68" t="s">
        <v>110</v>
      </c>
      <c r="CR68" t="s">
        <v>99</v>
      </c>
      <c r="CS68" s="20">
        <f t="shared" ca="1" si="80"/>
        <v>0</v>
      </c>
      <c r="CT68" s="20">
        <f t="shared" ca="1" si="81"/>
        <v>423.04037593984958</v>
      </c>
      <c r="CZ68" t="s">
        <v>110</v>
      </c>
      <c r="DA68" t="s">
        <v>99</v>
      </c>
      <c r="DB68" s="20">
        <f t="shared" ca="1" si="68"/>
        <v>12.549999999999997</v>
      </c>
      <c r="DC68" s="20">
        <f t="shared" ca="1" si="69"/>
        <v>66.140000000000015</v>
      </c>
      <c r="DE68" t="s">
        <v>110</v>
      </c>
      <c r="DF68" t="s">
        <v>99</v>
      </c>
      <c r="DG68" s="20">
        <f t="shared" ca="1" si="82"/>
        <v>13.701578947368418</v>
      </c>
      <c r="DH68" s="20">
        <f t="shared" ca="1" si="83"/>
        <v>64.741954887218057</v>
      </c>
    </row>
    <row r="69" spans="1:112" x14ac:dyDescent="0.2">
      <c r="A69" s="13">
        <v>38200</v>
      </c>
      <c r="B69">
        <v>2004</v>
      </c>
      <c r="C69">
        <v>8</v>
      </c>
      <c r="D69" s="21">
        <v>19.929032258064517</v>
      </c>
      <c r="E69" s="21">
        <v>30.3</v>
      </c>
      <c r="F69" s="21">
        <v>28.1</v>
      </c>
      <c r="G69" s="21">
        <v>6.1999999999999957</v>
      </c>
      <c r="H69" s="21">
        <v>66</v>
      </c>
      <c r="I69" s="21">
        <v>1.1999999999999993</v>
      </c>
      <c r="J69" s="21">
        <v>123.00000000000001</v>
      </c>
      <c r="K69" s="21">
        <v>0</v>
      </c>
      <c r="L69" s="21">
        <v>183.79999999999998</v>
      </c>
      <c r="M69" s="21">
        <v>0</v>
      </c>
      <c r="N69" s="21">
        <v>245.79999999999998</v>
      </c>
      <c r="O69" s="21">
        <v>0</v>
      </c>
      <c r="P69" s="21">
        <v>307.8</v>
      </c>
      <c r="Q69" s="21">
        <v>0</v>
      </c>
      <c r="R69" s="21">
        <v>369.8</v>
      </c>
      <c r="T69" t="s">
        <v>110</v>
      </c>
      <c r="U69" t="s">
        <v>106</v>
      </c>
      <c r="V69" s="20">
        <f t="shared" ca="1" si="56"/>
        <v>41.980000000000004</v>
      </c>
      <c r="W69" s="20">
        <f t="shared" ca="1" si="57"/>
        <v>49.72</v>
      </c>
      <c r="Y69" t="s">
        <v>110</v>
      </c>
      <c r="Z69" t="s">
        <v>106</v>
      </c>
      <c r="AA69" s="20">
        <f t="shared" ca="1" si="70"/>
        <v>32.993308270676835</v>
      </c>
      <c r="AB69" s="20">
        <f t="shared" ca="1" si="71"/>
        <v>54.7269172932331</v>
      </c>
      <c r="AH69" t="s">
        <v>110</v>
      </c>
      <c r="AI69" t="s">
        <v>106</v>
      </c>
      <c r="AJ69" s="20">
        <f t="shared" ca="1" si="58"/>
        <v>17.91</v>
      </c>
      <c r="AK69" s="20">
        <f t="shared" ca="1" si="59"/>
        <v>85.65</v>
      </c>
      <c r="AM69" t="s">
        <v>110</v>
      </c>
      <c r="AN69" t="s">
        <v>106</v>
      </c>
      <c r="AO69" s="20">
        <f t="shared" ca="1" si="72"/>
        <v>11.426917293233146</v>
      </c>
      <c r="AP69" s="20">
        <f t="shared" ca="1" si="73"/>
        <v>93.160526315789411</v>
      </c>
      <c r="AV69" t="s">
        <v>110</v>
      </c>
      <c r="AW69" t="s">
        <v>106</v>
      </c>
      <c r="AX69" s="20">
        <f t="shared" ca="1" si="60"/>
        <v>5.2099999999999991</v>
      </c>
      <c r="AY69" s="20">
        <f t="shared" ca="1" si="61"/>
        <v>132.95000000000002</v>
      </c>
      <c r="BA69" t="s">
        <v>110</v>
      </c>
      <c r="BB69" t="s">
        <v>106</v>
      </c>
      <c r="BC69" s="20">
        <f t="shared" ca="1" si="74"/>
        <v>1.0557142857142026</v>
      </c>
      <c r="BD69" s="20">
        <f t="shared" ca="1" si="75"/>
        <v>142.7893233082707</v>
      </c>
      <c r="BJ69" t="s">
        <v>110</v>
      </c>
      <c r="BK69" t="s">
        <v>106</v>
      </c>
      <c r="BL69" s="20">
        <f t="shared" ca="1" si="62"/>
        <v>0.49000000000000005</v>
      </c>
      <c r="BM69" s="20">
        <f t="shared" ca="1" si="63"/>
        <v>188.22999999999996</v>
      </c>
      <c r="BO69" t="s">
        <v>110</v>
      </c>
      <c r="BP69" t="s">
        <v>106</v>
      </c>
      <c r="BQ69" s="20">
        <f t="shared" ca="1" si="76"/>
        <v>0</v>
      </c>
      <c r="BR69" s="20">
        <f t="shared" ca="1" si="77"/>
        <v>200.27511278195493</v>
      </c>
      <c r="BX69" t="s">
        <v>110</v>
      </c>
      <c r="BY69" t="s">
        <v>106</v>
      </c>
      <c r="BZ69" s="20">
        <f t="shared" ca="1" si="64"/>
        <v>0</v>
      </c>
      <c r="CA69" s="20">
        <f t="shared" ca="1" si="65"/>
        <v>247.73999999999995</v>
      </c>
      <c r="CC69" t="s">
        <v>110</v>
      </c>
      <c r="CD69" t="s">
        <v>106</v>
      </c>
      <c r="CE69" s="20">
        <f t="shared" ca="1" si="78"/>
        <v>0</v>
      </c>
      <c r="CF69" s="20">
        <f t="shared" ca="1" si="79"/>
        <v>261.02804511278191</v>
      </c>
      <c r="CL69" t="s">
        <v>110</v>
      </c>
      <c r="CM69" t="s">
        <v>106</v>
      </c>
      <c r="CN69" s="20">
        <f t="shared" ca="1" si="66"/>
        <v>0</v>
      </c>
      <c r="CO69" s="20">
        <f t="shared" ca="1" si="67"/>
        <v>307.74</v>
      </c>
      <c r="CQ69" t="s">
        <v>110</v>
      </c>
      <c r="CR69" t="s">
        <v>106</v>
      </c>
      <c r="CS69" s="20">
        <f t="shared" ca="1" si="80"/>
        <v>0</v>
      </c>
      <c r="CT69" s="20">
        <f t="shared" ca="1" si="81"/>
        <v>321.52789473684243</v>
      </c>
      <c r="CZ69" t="s">
        <v>110</v>
      </c>
      <c r="DA69" t="s">
        <v>106</v>
      </c>
      <c r="DB69" s="20">
        <f t="shared" ca="1" si="68"/>
        <v>78.429999999999993</v>
      </c>
      <c r="DC69" s="20">
        <f t="shared" ca="1" si="69"/>
        <v>26.169999999999998</v>
      </c>
      <c r="DE69" t="s">
        <v>110</v>
      </c>
      <c r="DF69" t="s">
        <v>106</v>
      </c>
      <c r="DG69" s="20">
        <f t="shared" ca="1" si="82"/>
        <v>67.301278195488749</v>
      </c>
      <c r="DH69" s="20">
        <f t="shared" ca="1" si="83"/>
        <v>29.034887218045242</v>
      </c>
    </row>
    <row r="70" spans="1:112" x14ac:dyDescent="0.2">
      <c r="A70" s="13">
        <v>38231</v>
      </c>
      <c r="B70">
        <v>2004</v>
      </c>
      <c r="C70">
        <v>9</v>
      </c>
      <c r="D70" s="21">
        <v>19.080000000000002</v>
      </c>
      <c r="E70" s="21">
        <v>50.1</v>
      </c>
      <c r="F70" s="21">
        <v>22.5</v>
      </c>
      <c r="G70" s="21">
        <v>22.799999999999997</v>
      </c>
      <c r="H70" s="21">
        <v>55.199999999999989</v>
      </c>
      <c r="I70" s="21">
        <v>9</v>
      </c>
      <c r="J70" s="21">
        <v>101.4</v>
      </c>
      <c r="K70" s="21">
        <v>1.4000000000000004</v>
      </c>
      <c r="L70" s="21">
        <v>153.79999999999995</v>
      </c>
      <c r="M70" s="21">
        <v>0</v>
      </c>
      <c r="N70" s="21">
        <v>212.39999999999998</v>
      </c>
      <c r="O70" s="21">
        <v>0</v>
      </c>
      <c r="P70" s="21">
        <v>272.40000000000003</v>
      </c>
      <c r="Q70" s="21">
        <v>0</v>
      </c>
      <c r="R70" s="21">
        <v>332.40000000000003</v>
      </c>
      <c r="T70" t="s">
        <v>110</v>
      </c>
      <c r="U70" t="s">
        <v>107</v>
      </c>
      <c r="V70" s="20">
        <f t="shared" ca="1" si="56"/>
        <v>191.17000000000002</v>
      </c>
      <c r="W70" s="20">
        <f t="shared" ca="1" si="57"/>
        <v>4.4099999999999993</v>
      </c>
      <c r="Y70" t="s">
        <v>110</v>
      </c>
      <c r="Z70" t="s">
        <v>107</v>
      </c>
      <c r="AA70" s="20">
        <f t="shared" ca="1" si="70"/>
        <v>176.8975187969927</v>
      </c>
      <c r="AB70" s="20">
        <f t="shared" ca="1" si="71"/>
        <v>5.6378947368420995</v>
      </c>
      <c r="AH70" t="s">
        <v>110</v>
      </c>
      <c r="AI70" t="s">
        <v>107</v>
      </c>
      <c r="AJ70" s="20">
        <f t="shared" ca="1" si="58"/>
        <v>136.97999999999999</v>
      </c>
      <c r="AK70" s="20">
        <f t="shared" ca="1" si="59"/>
        <v>12.219999999999999</v>
      </c>
      <c r="AM70" t="s">
        <v>110</v>
      </c>
      <c r="AN70" t="s">
        <v>107</v>
      </c>
      <c r="AO70" s="20">
        <f t="shared" ca="1" si="72"/>
        <v>124.46135338345903</v>
      </c>
      <c r="AP70" s="20">
        <f t="shared" ca="1" si="73"/>
        <v>15.201729323308314</v>
      </c>
      <c r="AV70" t="s">
        <v>110</v>
      </c>
      <c r="AW70" t="s">
        <v>107</v>
      </c>
      <c r="AX70" s="20">
        <f t="shared" ca="1" si="60"/>
        <v>90.66</v>
      </c>
      <c r="AY70" s="20">
        <f t="shared" ca="1" si="61"/>
        <v>27.9</v>
      </c>
      <c r="BA70" t="s">
        <v>110</v>
      </c>
      <c r="BB70" t="s">
        <v>107</v>
      </c>
      <c r="BC70" s="20">
        <f t="shared" ca="1" si="74"/>
        <v>80.162781954887123</v>
      </c>
      <c r="BD70" s="20">
        <f t="shared" ca="1" si="75"/>
        <v>32.903157894736978</v>
      </c>
      <c r="BJ70" t="s">
        <v>110</v>
      </c>
      <c r="BK70" t="s">
        <v>107</v>
      </c>
      <c r="BL70" s="20">
        <f t="shared" ca="1" si="62"/>
        <v>53.33000000000002</v>
      </c>
      <c r="BM70" s="20">
        <f t="shared" ca="1" si="63"/>
        <v>52.570000000000007</v>
      </c>
      <c r="BO70" t="s">
        <v>110</v>
      </c>
      <c r="BP70" t="s">
        <v>107</v>
      </c>
      <c r="BQ70" s="20">
        <f t="shared" ca="1" si="76"/>
        <v>44.825413533834308</v>
      </c>
      <c r="BR70" s="20">
        <f t="shared" ca="1" si="77"/>
        <v>59.565789473684163</v>
      </c>
      <c r="BX70" t="s">
        <v>110</v>
      </c>
      <c r="BY70" t="s">
        <v>107</v>
      </c>
      <c r="BZ70" s="20">
        <f t="shared" ca="1" si="64"/>
        <v>26.119999999999997</v>
      </c>
      <c r="CA70" s="20">
        <f t="shared" ca="1" si="65"/>
        <v>87.359999999999985</v>
      </c>
      <c r="CC70" t="s">
        <v>110</v>
      </c>
      <c r="CD70" t="s">
        <v>107</v>
      </c>
      <c r="CE70" s="20">
        <f t="shared" ca="1" si="78"/>
        <v>20.514135338346023</v>
      </c>
      <c r="CF70" s="20">
        <f t="shared" ca="1" si="79"/>
        <v>97.254511278195423</v>
      </c>
      <c r="CL70" t="s">
        <v>110</v>
      </c>
      <c r="CM70" t="s">
        <v>107</v>
      </c>
      <c r="CN70" s="20">
        <f t="shared" ca="1" si="66"/>
        <v>9.889999999999997</v>
      </c>
      <c r="CO70" s="20">
        <f t="shared" ca="1" si="67"/>
        <v>133.13</v>
      </c>
      <c r="CQ70" t="s">
        <v>110</v>
      </c>
      <c r="CR70" t="s">
        <v>107</v>
      </c>
      <c r="CS70" s="20">
        <f t="shared" ca="1" si="80"/>
        <v>7.217293233082728</v>
      </c>
      <c r="CT70" s="20">
        <f t="shared" ca="1" si="81"/>
        <v>145.95766917293167</v>
      </c>
      <c r="CZ70" t="s">
        <v>110</v>
      </c>
      <c r="DA70" t="s">
        <v>107</v>
      </c>
      <c r="DB70" s="20">
        <f t="shared" ca="1" si="68"/>
        <v>250.08999999999997</v>
      </c>
      <c r="DC70" s="20">
        <f t="shared" ca="1" si="69"/>
        <v>1.3299999999999994</v>
      </c>
      <c r="DE70" t="s">
        <v>110</v>
      </c>
      <c r="DF70" t="s">
        <v>107</v>
      </c>
      <c r="DG70" s="20">
        <f t="shared" ca="1" si="82"/>
        <v>235.24413533834559</v>
      </c>
      <c r="DH70" s="20">
        <f t="shared" ca="1" si="83"/>
        <v>1.9845112781954839</v>
      </c>
    </row>
    <row r="71" spans="1:112" x14ac:dyDescent="0.2">
      <c r="A71" s="13">
        <v>38261</v>
      </c>
      <c r="B71">
        <v>2004</v>
      </c>
      <c r="C71">
        <v>10</v>
      </c>
      <c r="D71" s="21">
        <v>10.993548387096773</v>
      </c>
      <c r="E71" s="21">
        <v>279.20000000000005</v>
      </c>
      <c r="F71" s="21">
        <v>0</v>
      </c>
      <c r="G71" s="21">
        <v>218.40000000000003</v>
      </c>
      <c r="H71" s="21">
        <v>1.1999999999999993</v>
      </c>
      <c r="I71" s="21">
        <v>161.10000000000002</v>
      </c>
      <c r="J71" s="21">
        <v>5.8999999999999986</v>
      </c>
      <c r="K71" s="21">
        <v>111.3</v>
      </c>
      <c r="L71" s="21">
        <v>18.100000000000001</v>
      </c>
      <c r="M71" s="21">
        <v>66.399999999999991</v>
      </c>
      <c r="N71" s="21">
        <v>35.200000000000003</v>
      </c>
      <c r="O71" s="21">
        <v>29.6</v>
      </c>
      <c r="P71" s="21">
        <v>60.399999999999991</v>
      </c>
      <c r="Q71" s="21">
        <v>7.6999999999999993</v>
      </c>
      <c r="R71" s="21">
        <v>100.5</v>
      </c>
      <c r="T71" t="s">
        <v>110</v>
      </c>
      <c r="U71" t="s">
        <v>108</v>
      </c>
      <c r="V71" s="20">
        <f t="shared" ca="1" si="56"/>
        <v>384.19000000000005</v>
      </c>
      <c r="W71" s="20">
        <f t="shared" ca="1" si="57"/>
        <v>0</v>
      </c>
      <c r="Y71" t="s">
        <v>110</v>
      </c>
      <c r="Z71" t="s">
        <v>108</v>
      </c>
      <c r="AA71" s="20">
        <f t="shared" ca="1" si="70"/>
        <v>405.66030075188064</v>
      </c>
      <c r="AB71" s="20">
        <f t="shared" ca="1" si="71"/>
        <v>0</v>
      </c>
      <c r="AH71" t="s">
        <v>110</v>
      </c>
      <c r="AI71" t="s">
        <v>108</v>
      </c>
      <c r="AJ71" s="20">
        <f t="shared" ca="1" si="58"/>
        <v>324.2</v>
      </c>
      <c r="AK71" s="20">
        <f t="shared" ca="1" si="59"/>
        <v>1.0000000000000142E-2</v>
      </c>
      <c r="AM71" t="s">
        <v>110</v>
      </c>
      <c r="AN71" t="s">
        <v>108</v>
      </c>
      <c r="AO71" s="20">
        <f t="shared" ca="1" si="72"/>
        <v>345.67481203007446</v>
      </c>
      <c r="AP71" s="20">
        <f t="shared" ca="1" si="73"/>
        <v>1.451127819548903E-2</v>
      </c>
      <c r="AV71" t="s">
        <v>110</v>
      </c>
      <c r="AW71" t="s">
        <v>108</v>
      </c>
      <c r="AX71" s="20">
        <f t="shared" ca="1" si="60"/>
        <v>264.88</v>
      </c>
      <c r="AY71" s="20">
        <f t="shared" ca="1" si="61"/>
        <v>0.69000000000000006</v>
      </c>
      <c r="BA71" t="s">
        <v>110</v>
      </c>
      <c r="BB71" t="s">
        <v>108</v>
      </c>
      <c r="BC71" s="20">
        <f t="shared" ca="1" si="74"/>
        <v>286.40015037594003</v>
      </c>
      <c r="BD71" s="20">
        <f t="shared" ca="1" si="75"/>
        <v>0.73984962406014887</v>
      </c>
      <c r="BJ71" t="s">
        <v>110</v>
      </c>
      <c r="BK71" t="s">
        <v>108</v>
      </c>
      <c r="BL71" s="20">
        <f t="shared" ca="1" si="62"/>
        <v>207.66000000000003</v>
      </c>
      <c r="BM71" s="20">
        <f t="shared" ca="1" si="63"/>
        <v>3.47</v>
      </c>
      <c r="BO71" t="s">
        <v>110</v>
      </c>
      <c r="BP71" t="s">
        <v>108</v>
      </c>
      <c r="BQ71" s="20">
        <f t="shared" ca="1" si="76"/>
        <v>228.39593984962357</v>
      </c>
      <c r="BR71" s="20">
        <f t="shared" ca="1" si="77"/>
        <v>2.7356390977443539</v>
      </c>
      <c r="BX71" t="s">
        <v>110</v>
      </c>
      <c r="BY71" t="s">
        <v>108</v>
      </c>
      <c r="BZ71" s="20">
        <f t="shared" ca="1" si="64"/>
        <v>154.68</v>
      </c>
      <c r="CA71" s="20">
        <f t="shared" ca="1" si="65"/>
        <v>10.489999999999998</v>
      </c>
      <c r="CC71" t="s">
        <v>110</v>
      </c>
      <c r="CD71" t="s">
        <v>108</v>
      </c>
      <c r="CE71" s="20">
        <f t="shared" ca="1" si="78"/>
        <v>174.41969924812111</v>
      </c>
      <c r="CF71" s="20">
        <f t="shared" ca="1" si="79"/>
        <v>8.7593984962406068</v>
      </c>
      <c r="CL71" t="s">
        <v>110</v>
      </c>
      <c r="CM71" t="s">
        <v>108</v>
      </c>
      <c r="CN71" s="20">
        <f t="shared" ca="1" si="66"/>
        <v>107.46999999999998</v>
      </c>
      <c r="CO71" s="20">
        <f t="shared" ca="1" si="67"/>
        <v>23.28</v>
      </c>
      <c r="CQ71" t="s">
        <v>110</v>
      </c>
      <c r="CR71" t="s">
        <v>108</v>
      </c>
      <c r="CS71" s="20">
        <f t="shared" ca="1" si="80"/>
        <v>125.04037593984958</v>
      </c>
      <c r="CT71" s="20">
        <f t="shared" ca="1" si="81"/>
        <v>19.380075187969851</v>
      </c>
      <c r="CZ71" t="s">
        <v>110</v>
      </c>
      <c r="DA71" t="s">
        <v>108</v>
      </c>
      <c r="DB71" s="20">
        <f t="shared" ca="1" si="68"/>
        <v>444.18999999999994</v>
      </c>
      <c r="DC71" s="20">
        <f t="shared" ca="1" si="69"/>
        <v>0</v>
      </c>
      <c r="DE71" t="s">
        <v>110</v>
      </c>
      <c r="DF71" t="s">
        <v>108</v>
      </c>
      <c r="DG71" s="20">
        <f t="shared" ca="1" si="82"/>
        <v>465.66030075188064</v>
      </c>
      <c r="DH71" s="20">
        <f t="shared" ca="1" si="83"/>
        <v>0</v>
      </c>
    </row>
    <row r="72" spans="1:112" x14ac:dyDescent="0.2">
      <c r="A72" s="13">
        <v>38292</v>
      </c>
      <c r="B72">
        <v>2004</v>
      </c>
      <c r="C72">
        <v>11</v>
      </c>
      <c r="D72" s="21">
        <v>6.5666666666666664</v>
      </c>
      <c r="E72" s="21">
        <v>403</v>
      </c>
      <c r="F72" s="21">
        <v>0</v>
      </c>
      <c r="G72" s="21">
        <v>343</v>
      </c>
      <c r="H72" s="21">
        <v>0</v>
      </c>
      <c r="I72" s="21">
        <v>283.00000000000006</v>
      </c>
      <c r="J72" s="21">
        <v>0</v>
      </c>
      <c r="K72" s="21">
        <v>223</v>
      </c>
      <c r="L72" s="21">
        <v>0</v>
      </c>
      <c r="M72" s="21">
        <v>163.00000000000003</v>
      </c>
      <c r="N72" s="21">
        <v>0</v>
      </c>
      <c r="O72" s="21">
        <v>106.10000000000001</v>
      </c>
      <c r="P72" s="21">
        <v>3.0999999999999996</v>
      </c>
      <c r="Q72" s="21">
        <v>58.7</v>
      </c>
      <c r="R72" s="21">
        <v>15.7</v>
      </c>
      <c r="T72" t="s">
        <v>110</v>
      </c>
      <c r="U72" t="s">
        <v>109</v>
      </c>
      <c r="V72" s="20">
        <f t="shared" ca="1" si="56"/>
        <v>537.64999999999986</v>
      </c>
      <c r="W72" s="20">
        <f t="shared" ca="1" si="57"/>
        <v>0</v>
      </c>
      <c r="Y72" t="s">
        <v>110</v>
      </c>
      <c r="Z72" t="s">
        <v>109</v>
      </c>
      <c r="AA72" s="20">
        <f t="shared" ca="1" si="70"/>
        <v>520.62609022556444</v>
      </c>
      <c r="AB72" s="20">
        <f t="shared" ca="1" si="71"/>
        <v>0</v>
      </c>
      <c r="AH72" t="s">
        <v>110</v>
      </c>
      <c r="AI72" t="s">
        <v>109</v>
      </c>
      <c r="AJ72" s="20">
        <f t="shared" ca="1" si="58"/>
        <v>475.65</v>
      </c>
      <c r="AK72" s="20">
        <f t="shared" ca="1" si="59"/>
        <v>0</v>
      </c>
      <c r="AM72" t="s">
        <v>110</v>
      </c>
      <c r="AN72" t="s">
        <v>109</v>
      </c>
      <c r="AO72" s="20">
        <f t="shared" ca="1" si="72"/>
        <v>458.62609022556353</v>
      </c>
      <c r="AP72" s="20">
        <f t="shared" ca="1" si="73"/>
        <v>0</v>
      </c>
      <c r="AV72" t="s">
        <v>110</v>
      </c>
      <c r="AW72" t="s">
        <v>109</v>
      </c>
      <c r="AX72" s="20">
        <f t="shared" ca="1" si="60"/>
        <v>413.65</v>
      </c>
      <c r="AY72" s="20">
        <f t="shared" ca="1" si="61"/>
        <v>0</v>
      </c>
      <c r="BA72" t="s">
        <v>110</v>
      </c>
      <c r="BB72" t="s">
        <v>109</v>
      </c>
      <c r="BC72" s="20">
        <f t="shared" ca="1" si="74"/>
        <v>396.52909774436102</v>
      </c>
      <c r="BD72" s="20">
        <f t="shared" ca="1" si="75"/>
        <v>0</v>
      </c>
      <c r="BJ72" t="s">
        <v>110</v>
      </c>
      <c r="BK72" t="s">
        <v>109</v>
      </c>
      <c r="BL72" s="20">
        <f t="shared" ca="1" si="62"/>
        <v>351.65000000000003</v>
      </c>
      <c r="BM72" s="20">
        <f t="shared" ca="1" si="63"/>
        <v>0</v>
      </c>
      <c r="BO72" t="s">
        <v>110</v>
      </c>
      <c r="BP72" t="s">
        <v>109</v>
      </c>
      <c r="BQ72" s="20">
        <f t="shared" ca="1" si="76"/>
        <v>334.3351127819551</v>
      </c>
      <c r="BR72" s="20">
        <f t="shared" ca="1" si="77"/>
        <v>0</v>
      </c>
      <c r="BX72" t="s">
        <v>110</v>
      </c>
      <c r="BY72" t="s">
        <v>109</v>
      </c>
      <c r="BZ72" s="20">
        <f t="shared" ca="1" si="64"/>
        <v>290.00000000000006</v>
      </c>
      <c r="CA72" s="20">
        <f t="shared" ca="1" si="65"/>
        <v>0.35</v>
      </c>
      <c r="CC72" t="s">
        <v>110</v>
      </c>
      <c r="CD72" t="s">
        <v>109</v>
      </c>
      <c r="CE72" s="20">
        <f t="shared" ca="1" si="78"/>
        <v>272.41744360902248</v>
      </c>
      <c r="CF72" s="20">
        <f t="shared" ca="1" si="79"/>
        <v>0</v>
      </c>
      <c r="CL72" t="s">
        <v>110</v>
      </c>
      <c r="CM72" t="s">
        <v>109</v>
      </c>
      <c r="CN72" s="20">
        <f t="shared" ca="1" si="66"/>
        <v>229.61999999999998</v>
      </c>
      <c r="CO72" s="20">
        <f t="shared" ca="1" si="67"/>
        <v>1.9700000000000002</v>
      </c>
      <c r="CQ72" t="s">
        <v>110</v>
      </c>
      <c r="CR72" t="s">
        <v>109</v>
      </c>
      <c r="CS72" s="20">
        <f t="shared" ca="1" si="80"/>
        <v>211.7577443609016</v>
      </c>
      <c r="CT72" s="20">
        <f t="shared" ca="1" si="81"/>
        <v>1.1316541353383371</v>
      </c>
      <c r="CZ72" t="s">
        <v>110</v>
      </c>
      <c r="DA72" t="s">
        <v>109</v>
      </c>
      <c r="DB72" s="20">
        <f t="shared" ca="1" si="68"/>
        <v>599.64999999999986</v>
      </c>
      <c r="DC72" s="20">
        <f t="shared" ca="1" si="69"/>
        <v>0</v>
      </c>
      <c r="DE72" t="s">
        <v>110</v>
      </c>
      <c r="DF72" t="s">
        <v>109</v>
      </c>
      <c r="DG72" s="20">
        <f t="shared" ca="1" si="82"/>
        <v>582.62609022556444</v>
      </c>
      <c r="DH72" s="20">
        <f t="shared" ca="1" si="83"/>
        <v>0</v>
      </c>
    </row>
    <row r="73" spans="1:112" x14ac:dyDescent="0.2">
      <c r="A73" s="13">
        <v>38322</v>
      </c>
      <c r="B73">
        <v>2004</v>
      </c>
      <c r="C73">
        <v>12</v>
      </c>
      <c r="D73" s="21">
        <v>-0.71935483870967787</v>
      </c>
      <c r="E73" s="21">
        <v>642.30000000000007</v>
      </c>
      <c r="F73" s="21">
        <v>0</v>
      </c>
      <c r="G73" s="21">
        <v>580.30000000000007</v>
      </c>
      <c r="H73" s="21">
        <v>0</v>
      </c>
      <c r="I73" s="21">
        <v>518.30000000000007</v>
      </c>
      <c r="J73" s="21">
        <v>0</v>
      </c>
      <c r="K73" s="21">
        <v>456.3</v>
      </c>
      <c r="L73" s="21">
        <v>0</v>
      </c>
      <c r="M73" s="21">
        <v>394.3</v>
      </c>
      <c r="N73" s="21">
        <v>0</v>
      </c>
      <c r="O73" s="21">
        <v>332.3</v>
      </c>
      <c r="P73" s="21">
        <v>0</v>
      </c>
      <c r="Q73" s="21">
        <v>270.59999999999997</v>
      </c>
      <c r="R73" s="21">
        <v>0.30000000000000071</v>
      </c>
    </row>
    <row r="74" spans="1:112" x14ac:dyDescent="0.2">
      <c r="A74" s="13">
        <v>38353</v>
      </c>
      <c r="B74">
        <v>2005</v>
      </c>
      <c r="C74">
        <v>1</v>
      </c>
      <c r="D74" s="21">
        <v>-4.8516129032258046</v>
      </c>
      <c r="E74" s="21">
        <v>770.40000000000009</v>
      </c>
      <c r="F74" s="21">
        <v>0</v>
      </c>
      <c r="G74" s="21">
        <v>708.4000000000002</v>
      </c>
      <c r="H74" s="21">
        <v>0</v>
      </c>
      <c r="I74" s="21">
        <v>646.4000000000002</v>
      </c>
      <c r="J74" s="21">
        <v>0</v>
      </c>
      <c r="K74" s="21">
        <v>584.40000000000009</v>
      </c>
      <c r="L74" s="21">
        <v>0</v>
      </c>
      <c r="M74" s="21">
        <v>522.40000000000009</v>
      </c>
      <c r="N74" s="21">
        <v>0</v>
      </c>
      <c r="O74" s="21">
        <v>460.40000000000003</v>
      </c>
      <c r="P74" s="21">
        <v>0</v>
      </c>
      <c r="Q74" s="21">
        <v>400.1</v>
      </c>
      <c r="R74" s="21">
        <v>1.6999999999999993</v>
      </c>
      <c r="X74" s="231"/>
    </row>
    <row r="75" spans="1:112" x14ac:dyDescent="0.2">
      <c r="A75" s="13">
        <v>38384</v>
      </c>
      <c r="B75">
        <v>2005</v>
      </c>
      <c r="C75">
        <v>2</v>
      </c>
      <c r="D75" s="21">
        <v>-2.7857142857142856</v>
      </c>
      <c r="E75" s="21">
        <v>638</v>
      </c>
      <c r="F75" s="21">
        <v>0</v>
      </c>
      <c r="G75" s="21">
        <v>582</v>
      </c>
      <c r="H75" s="21">
        <v>0</v>
      </c>
      <c r="I75" s="21">
        <v>526</v>
      </c>
      <c r="J75" s="21">
        <v>0</v>
      </c>
      <c r="K75" s="21">
        <v>470.00000000000006</v>
      </c>
      <c r="L75" s="21">
        <v>0</v>
      </c>
      <c r="M75" s="21">
        <v>414.00000000000006</v>
      </c>
      <c r="N75" s="21">
        <v>0</v>
      </c>
      <c r="O75" s="21">
        <v>358</v>
      </c>
      <c r="P75" s="21">
        <v>0</v>
      </c>
      <c r="Q75" s="21">
        <v>302.00000000000006</v>
      </c>
      <c r="R75" s="21">
        <v>0</v>
      </c>
      <c r="W75" s="201"/>
      <c r="X75" s="231"/>
    </row>
    <row r="76" spans="1:112" x14ac:dyDescent="0.2">
      <c r="A76" s="13">
        <v>38412</v>
      </c>
      <c r="B76">
        <v>2005</v>
      </c>
      <c r="C76">
        <v>3</v>
      </c>
      <c r="D76" s="21">
        <v>-0.96129032258064462</v>
      </c>
      <c r="E76" s="21">
        <v>649.79999999999984</v>
      </c>
      <c r="F76" s="21">
        <v>0</v>
      </c>
      <c r="G76" s="21">
        <v>587.79999999999984</v>
      </c>
      <c r="H76" s="21">
        <v>0</v>
      </c>
      <c r="I76" s="21">
        <v>525.79999999999995</v>
      </c>
      <c r="J76" s="21">
        <v>0</v>
      </c>
      <c r="K76" s="21">
        <v>463.8</v>
      </c>
      <c r="L76" s="21">
        <v>0</v>
      </c>
      <c r="M76" s="21">
        <v>401.8</v>
      </c>
      <c r="N76" s="21">
        <v>0</v>
      </c>
      <c r="O76" s="21">
        <v>339.79999999999995</v>
      </c>
      <c r="P76" s="21">
        <v>0</v>
      </c>
      <c r="Q76" s="21">
        <v>279.40000000000009</v>
      </c>
      <c r="R76" s="21">
        <v>1.5999999999999996</v>
      </c>
      <c r="W76" s="201"/>
      <c r="X76" s="231"/>
      <c r="CN76" s="20" t="str">
        <f>CN60</f>
        <v>HDD8</v>
      </c>
      <c r="CO76" s="20" t="str">
        <f>CO60</f>
        <v>CDD8</v>
      </c>
      <c r="CP76" t="str">
        <f>BZ60</f>
        <v>HDD10</v>
      </c>
      <c r="CQ76" s="201" t="str">
        <f>CA60</f>
        <v>CDD10</v>
      </c>
      <c r="CR76" t="str">
        <f>BL60</f>
        <v>HDD12</v>
      </c>
      <c r="CS76" s="201" t="str">
        <f t="shared" ref="CS76" si="84">BM60</f>
        <v>CDD12</v>
      </c>
      <c r="CT76" s="201" t="str">
        <f>AX60</f>
        <v>HDD14</v>
      </c>
      <c r="CU76" s="201" t="str">
        <f>AY60</f>
        <v>CDD14</v>
      </c>
      <c r="CV76" t="str">
        <f>AJ60</f>
        <v>HDD16</v>
      </c>
      <c r="CW76" s="201" t="str">
        <f>AK60</f>
        <v>CDD16</v>
      </c>
      <c r="CX76" s="20" t="str">
        <f>V60</f>
        <v>HDD18</v>
      </c>
      <c r="CY76" s="20" t="str">
        <f>W60</f>
        <v>CDD18</v>
      </c>
      <c r="CZ76" t="str">
        <f>DB60</f>
        <v>HDD20</v>
      </c>
      <c r="DA76" s="201" t="str">
        <f>DC60</f>
        <v>CDD20</v>
      </c>
    </row>
    <row r="77" spans="1:112" x14ac:dyDescent="0.2">
      <c r="A77" s="13">
        <v>38443</v>
      </c>
      <c r="B77">
        <v>2005</v>
      </c>
      <c r="C77">
        <v>4</v>
      </c>
      <c r="D77" s="21">
        <v>7.1566666666666663</v>
      </c>
      <c r="E77" s="21">
        <v>385.29999999999995</v>
      </c>
      <c r="F77" s="21">
        <v>0</v>
      </c>
      <c r="G77" s="21">
        <v>325.3</v>
      </c>
      <c r="H77" s="21">
        <v>0</v>
      </c>
      <c r="I77" s="21">
        <v>265.3</v>
      </c>
      <c r="J77" s="21">
        <v>0</v>
      </c>
      <c r="K77" s="21">
        <v>206.70000000000002</v>
      </c>
      <c r="L77" s="21">
        <v>1.4000000000000004</v>
      </c>
      <c r="M77" s="21">
        <v>149.30000000000004</v>
      </c>
      <c r="N77" s="21">
        <v>4</v>
      </c>
      <c r="O77" s="21">
        <v>97.8</v>
      </c>
      <c r="P77" s="21">
        <v>12.5</v>
      </c>
      <c r="Q77" s="21">
        <v>51.400000000000006</v>
      </c>
      <c r="R77" s="21">
        <v>26.099999999999998</v>
      </c>
      <c r="W77" s="201"/>
      <c r="X77" s="231"/>
      <c r="CM77" s="20" t="str">
        <f>CM61</f>
        <v>January</v>
      </c>
      <c r="CN77" s="231">
        <f ca="1">CN61</f>
        <v>353.99999999999994</v>
      </c>
      <c r="CO77" s="231">
        <f ca="1">CO61</f>
        <v>0.86</v>
      </c>
      <c r="CP77" s="231">
        <f t="shared" ref="CP77:CQ77" ca="1" si="85">BZ61</f>
        <v>415.27</v>
      </c>
      <c r="CQ77" s="231">
        <f t="shared" ca="1" si="85"/>
        <v>0.12999999999999989</v>
      </c>
      <c r="CR77" s="231">
        <f t="shared" ref="CR77:CR88" ca="1" si="86">BL61</f>
        <v>477.14</v>
      </c>
      <c r="CS77" s="231">
        <f t="shared" ref="CS77:CS88" ca="1" si="87">BM61</f>
        <v>0</v>
      </c>
      <c r="CT77" s="231">
        <f t="shared" ref="CT77:CU77" ca="1" si="88">AX61</f>
        <v>539.1400000000001</v>
      </c>
      <c r="CU77" s="231">
        <f t="shared" ca="1" si="88"/>
        <v>0</v>
      </c>
      <c r="CV77" s="231">
        <f t="shared" ref="CV77:CW77" ca="1" si="89">AJ61</f>
        <v>601.1400000000001</v>
      </c>
      <c r="CW77" s="231">
        <f t="shared" ca="1" si="89"/>
        <v>0</v>
      </c>
      <c r="CX77" s="231">
        <f ca="1">V61</f>
        <v>663.1400000000001</v>
      </c>
      <c r="CY77" s="231">
        <f ca="1">W61</f>
        <v>0</v>
      </c>
      <c r="CZ77" s="231">
        <f t="shared" ref="CZ77:DA77" ca="1" si="90">DB61</f>
        <v>725.1400000000001</v>
      </c>
      <c r="DA77" s="231">
        <f t="shared" ca="1" si="90"/>
        <v>0</v>
      </c>
    </row>
    <row r="78" spans="1:112" x14ac:dyDescent="0.2">
      <c r="A78" s="13">
        <v>38473</v>
      </c>
      <c r="B78">
        <v>2005</v>
      </c>
      <c r="C78">
        <v>5</v>
      </c>
      <c r="D78" s="21">
        <v>11.245161290322583</v>
      </c>
      <c r="E78" s="21">
        <v>271.39999999999998</v>
      </c>
      <c r="F78" s="21">
        <v>0</v>
      </c>
      <c r="G78" s="21">
        <v>209.39999999999998</v>
      </c>
      <c r="H78" s="21">
        <v>0</v>
      </c>
      <c r="I78" s="21">
        <v>151.29999999999995</v>
      </c>
      <c r="J78" s="21">
        <v>3.9000000000000021</v>
      </c>
      <c r="K78" s="21">
        <v>102.60000000000001</v>
      </c>
      <c r="L78" s="21">
        <v>17.200000000000003</v>
      </c>
      <c r="M78" s="21">
        <v>61.399999999999991</v>
      </c>
      <c r="N78" s="21">
        <v>38</v>
      </c>
      <c r="O78" s="21">
        <v>29.5</v>
      </c>
      <c r="P78" s="21">
        <v>68.099999999999994</v>
      </c>
      <c r="Q78" s="21">
        <v>11.599999999999998</v>
      </c>
      <c r="R78" s="21">
        <v>112.19999999999999</v>
      </c>
      <c r="W78" s="201"/>
      <c r="X78" s="231"/>
      <c r="CM78" s="20" t="str">
        <f t="shared" ref="CM78" si="91">CM62</f>
        <v>February</v>
      </c>
      <c r="CN78" s="231">
        <f t="shared" ref="CN78:CO78" ca="1" si="92">CN62</f>
        <v>305.34000000000003</v>
      </c>
      <c r="CO78" s="231">
        <f t="shared" ca="1" si="92"/>
        <v>1.0899999999999999</v>
      </c>
      <c r="CP78" s="231">
        <f t="shared" ref="CP78:CQ78" ca="1" si="93">BZ62</f>
        <v>360.76000000000005</v>
      </c>
      <c r="CQ78" s="231">
        <f t="shared" ca="1" si="93"/>
        <v>0.10999999999999996</v>
      </c>
      <c r="CR78" s="231">
        <f t="shared" ca="1" si="86"/>
        <v>417.05</v>
      </c>
      <c r="CS78" s="231">
        <f t="shared" ca="1" si="87"/>
        <v>0</v>
      </c>
      <c r="CT78" s="231">
        <f t="shared" ref="CT78:CU78" ca="1" si="94">AX62</f>
        <v>473.45</v>
      </c>
      <c r="CU78" s="231">
        <f t="shared" ca="1" si="94"/>
        <v>0</v>
      </c>
      <c r="CV78" s="231">
        <f t="shared" ref="CV78:CW78" ca="1" si="95">AJ62</f>
        <v>529.85</v>
      </c>
      <c r="CW78" s="231">
        <f t="shared" ca="1" si="95"/>
        <v>0</v>
      </c>
      <c r="CX78" s="231">
        <f t="shared" ref="CX78:CY78" ca="1" si="96">V62</f>
        <v>586.24999999999989</v>
      </c>
      <c r="CY78" s="231">
        <f t="shared" ca="1" si="96"/>
        <v>0</v>
      </c>
      <c r="CZ78" s="231">
        <f t="shared" ref="CZ78:DA78" ca="1" si="97">DB62</f>
        <v>642.65</v>
      </c>
      <c r="DA78" s="231">
        <f t="shared" ca="1" si="97"/>
        <v>0</v>
      </c>
    </row>
    <row r="79" spans="1:112" x14ac:dyDescent="0.2">
      <c r="A79" s="13">
        <v>38504</v>
      </c>
      <c r="B79">
        <v>2005</v>
      </c>
      <c r="C79">
        <v>6</v>
      </c>
      <c r="D79" s="21">
        <v>21.339999999999993</v>
      </c>
      <c r="E79" s="21">
        <v>33.500000000000007</v>
      </c>
      <c r="F79" s="21">
        <v>73.699999999999989</v>
      </c>
      <c r="G79" s="21">
        <v>13.600000000000001</v>
      </c>
      <c r="H79" s="21">
        <v>113.8</v>
      </c>
      <c r="I79" s="21">
        <v>1.6999999999999993</v>
      </c>
      <c r="J79" s="21">
        <v>161.90000000000003</v>
      </c>
      <c r="K79" s="21">
        <v>0</v>
      </c>
      <c r="L79" s="21">
        <v>220.2</v>
      </c>
      <c r="M79" s="21">
        <v>0</v>
      </c>
      <c r="N79" s="21">
        <v>280.20000000000005</v>
      </c>
      <c r="O79" s="21">
        <v>0</v>
      </c>
      <c r="P79" s="21">
        <v>340.20000000000005</v>
      </c>
      <c r="Q79" s="21">
        <v>0</v>
      </c>
      <c r="R79" s="21">
        <v>400.2</v>
      </c>
      <c r="W79" s="201"/>
      <c r="X79" s="231"/>
      <c r="CM79" s="20" t="str">
        <f t="shared" ref="CM79" si="98">CM63</f>
        <v>March</v>
      </c>
      <c r="CN79" s="231">
        <f t="shared" ref="CN79:CO79" ca="1" si="99">CN63</f>
        <v>214.84</v>
      </c>
      <c r="CO79" s="231">
        <f t="shared" ca="1" si="99"/>
        <v>6.5499999999999989</v>
      </c>
      <c r="CP79" s="231">
        <f t="shared" ref="CP79:CQ79" ca="1" si="100">BZ63</f>
        <v>272.31</v>
      </c>
      <c r="CQ79" s="231">
        <f t="shared" ca="1" si="100"/>
        <v>2.02</v>
      </c>
      <c r="CR79" s="231">
        <f t="shared" ca="1" si="86"/>
        <v>332.70999999999992</v>
      </c>
      <c r="CS79" s="231">
        <f t="shared" ca="1" si="87"/>
        <v>0.4200000000000001</v>
      </c>
      <c r="CT79" s="231">
        <f t="shared" ref="CT79:CU79" ca="1" si="101">AX63</f>
        <v>394.31999999999988</v>
      </c>
      <c r="CU79" s="231">
        <f t="shared" ca="1" si="101"/>
        <v>3.0000000000000072E-2</v>
      </c>
      <c r="CV79" s="231">
        <f t="shared" ref="CV79:CW79" ca="1" si="102">AJ63</f>
        <v>456.28999999999996</v>
      </c>
      <c r="CW79" s="231">
        <f t="shared" ca="1" si="102"/>
        <v>0</v>
      </c>
      <c r="CX79" s="231">
        <f t="shared" ref="CX79:CY79" ca="1" si="103">V63</f>
        <v>518.29</v>
      </c>
      <c r="CY79" s="231">
        <f t="shared" ca="1" si="103"/>
        <v>0</v>
      </c>
      <c r="CZ79" s="231">
        <f t="shared" ref="CZ79:DA79" ca="1" si="104">DB63</f>
        <v>580.29</v>
      </c>
      <c r="DA79" s="231">
        <f t="shared" ca="1" si="104"/>
        <v>0</v>
      </c>
    </row>
    <row r="80" spans="1:112" x14ac:dyDescent="0.2">
      <c r="A80" s="13">
        <v>38534</v>
      </c>
      <c r="B80">
        <v>2005</v>
      </c>
      <c r="C80">
        <v>7</v>
      </c>
      <c r="D80" s="21">
        <v>23.461290322580652</v>
      </c>
      <c r="E80" s="21">
        <v>5.6999999999999993</v>
      </c>
      <c r="F80" s="21">
        <v>113</v>
      </c>
      <c r="G80" s="21">
        <v>1.5</v>
      </c>
      <c r="H80" s="21">
        <v>170.79999999999998</v>
      </c>
      <c r="I80" s="21">
        <v>0</v>
      </c>
      <c r="J80" s="21">
        <v>231.29999999999998</v>
      </c>
      <c r="K80" s="21">
        <v>0</v>
      </c>
      <c r="L80" s="21">
        <v>293.3</v>
      </c>
      <c r="M80" s="21">
        <v>0</v>
      </c>
      <c r="N80" s="21">
        <v>355.3</v>
      </c>
      <c r="O80" s="21">
        <v>0</v>
      </c>
      <c r="P80" s="21">
        <v>417.3</v>
      </c>
      <c r="Q80" s="21">
        <v>0</v>
      </c>
      <c r="R80" s="21">
        <v>479.3</v>
      </c>
      <c r="W80" s="201"/>
      <c r="X80" s="231"/>
      <c r="CM80" s="20" t="str">
        <f t="shared" ref="CM80" si="105">CM64</f>
        <v>April</v>
      </c>
      <c r="CN80" s="231">
        <f t="shared" ref="CN80:CO80" ca="1" si="106">CN64</f>
        <v>69.55</v>
      </c>
      <c r="CO80" s="231">
        <f t="shared" ca="1" si="106"/>
        <v>30.759999999999998</v>
      </c>
      <c r="CP80" s="231">
        <f t="shared" ref="CP80:CQ80" ca="1" si="107">BZ64</f>
        <v>113.89000000000001</v>
      </c>
      <c r="CQ80" s="231">
        <f t="shared" ca="1" si="107"/>
        <v>15.100000000000003</v>
      </c>
      <c r="CR80" s="231">
        <f t="shared" ca="1" si="86"/>
        <v>164.53999999999996</v>
      </c>
      <c r="CS80" s="231">
        <f t="shared" ca="1" si="87"/>
        <v>5.75</v>
      </c>
      <c r="CT80" s="231">
        <f t="shared" ref="CT80:CU80" ca="1" si="108">AX64</f>
        <v>220.23999999999995</v>
      </c>
      <c r="CU80" s="231">
        <f t="shared" ca="1" si="108"/>
        <v>1.45</v>
      </c>
      <c r="CV80" s="231">
        <f t="shared" ref="CV80:CW80" ca="1" si="109">AJ64</f>
        <v>278.95999999999998</v>
      </c>
      <c r="CW80" s="231">
        <f t="shared" ca="1" si="109"/>
        <v>0.16999999999999993</v>
      </c>
      <c r="CX80" s="231">
        <f t="shared" ref="CX80:CY80" ca="1" si="110">V64</f>
        <v>338.79</v>
      </c>
      <c r="CY80" s="231">
        <f t="shared" ca="1" si="110"/>
        <v>0</v>
      </c>
      <c r="CZ80" s="231">
        <f t="shared" ref="CZ80:DA80" ca="1" si="111">DB64</f>
        <v>398.79</v>
      </c>
      <c r="DA80" s="231">
        <f t="shared" ca="1" si="111"/>
        <v>0</v>
      </c>
    </row>
    <row r="81" spans="1:110" x14ac:dyDescent="0.2">
      <c r="A81" s="13">
        <v>38565</v>
      </c>
      <c r="B81">
        <v>2005</v>
      </c>
      <c r="C81">
        <v>8</v>
      </c>
      <c r="D81" s="21">
        <v>22.896774193548392</v>
      </c>
      <c r="E81" s="21">
        <v>3.1000000000000014</v>
      </c>
      <c r="F81" s="21">
        <v>92.899999999999991</v>
      </c>
      <c r="G81" s="21">
        <v>0</v>
      </c>
      <c r="H81" s="21">
        <v>151.79999999999998</v>
      </c>
      <c r="I81" s="21">
        <v>0</v>
      </c>
      <c r="J81" s="21">
        <v>213.79999999999993</v>
      </c>
      <c r="K81" s="21">
        <v>0</v>
      </c>
      <c r="L81" s="21">
        <v>275.79999999999995</v>
      </c>
      <c r="M81" s="21">
        <v>0</v>
      </c>
      <c r="N81" s="21">
        <v>337.8</v>
      </c>
      <c r="O81" s="21">
        <v>0</v>
      </c>
      <c r="P81" s="21">
        <v>399.8</v>
      </c>
      <c r="Q81" s="21">
        <v>0</v>
      </c>
      <c r="R81" s="21">
        <v>461.8</v>
      </c>
      <c r="W81" s="201"/>
      <c r="X81" s="23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CM81" s="20" t="str">
        <f t="shared" ref="CM81" si="112">CM65</f>
        <v>May</v>
      </c>
      <c r="CN81" s="231">
        <f t="shared" ref="CN81:CO81" ca="1" si="113">CN65</f>
        <v>4</v>
      </c>
      <c r="CO81" s="231">
        <f t="shared" ca="1" si="113"/>
        <v>172.07999999999998</v>
      </c>
      <c r="CP81" s="231">
        <f t="shared" ref="CP81:CQ81" ca="1" si="114">BZ65</f>
        <v>14.26</v>
      </c>
      <c r="CQ81" s="231">
        <f t="shared" ca="1" si="114"/>
        <v>120.34</v>
      </c>
      <c r="CR81" s="231">
        <f t="shared" ca="1" si="86"/>
        <v>35.92</v>
      </c>
      <c r="CS81" s="231">
        <f t="shared" ca="1" si="87"/>
        <v>80</v>
      </c>
      <c r="CT81" s="231">
        <f t="shared" ref="CT81:CU81" ca="1" si="115">AX65</f>
        <v>68.61</v>
      </c>
      <c r="CU81" s="231">
        <f t="shared" ca="1" si="115"/>
        <v>50.69</v>
      </c>
      <c r="CV81" s="231">
        <f t="shared" ref="CV81:CW81" ca="1" si="116">AJ65</f>
        <v>110</v>
      </c>
      <c r="CW81" s="231">
        <f t="shared" ca="1" si="116"/>
        <v>30.080000000000002</v>
      </c>
      <c r="CX81" s="231">
        <f t="shared" ref="CX81:CY81" ca="1" si="117">V65</f>
        <v>157.91</v>
      </c>
      <c r="CY81" s="231">
        <f t="shared" ca="1" si="117"/>
        <v>15.99</v>
      </c>
      <c r="CZ81" s="231">
        <f t="shared" ref="CZ81:DA81" ca="1" si="118">DB65</f>
        <v>211.22999999999996</v>
      </c>
      <c r="DA81" s="231">
        <f t="shared" ca="1" si="118"/>
        <v>7.3100000000000005</v>
      </c>
    </row>
    <row r="82" spans="1:110" x14ac:dyDescent="0.2">
      <c r="A82" s="13">
        <v>38596</v>
      </c>
      <c r="B82">
        <v>2005</v>
      </c>
      <c r="C82">
        <v>9</v>
      </c>
      <c r="D82" s="21">
        <v>20.153333333333332</v>
      </c>
      <c r="E82" s="21">
        <v>28.300000000000004</v>
      </c>
      <c r="F82" s="21">
        <v>32.9</v>
      </c>
      <c r="G82" s="21">
        <v>10.000000000000002</v>
      </c>
      <c r="H82" s="21">
        <v>74.599999999999994</v>
      </c>
      <c r="I82" s="21">
        <v>2.0999999999999996</v>
      </c>
      <c r="J82" s="21">
        <v>126.7</v>
      </c>
      <c r="K82" s="21">
        <v>0</v>
      </c>
      <c r="L82" s="21">
        <v>184.6</v>
      </c>
      <c r="M82" s="21">
        <v>0</v>
      </c>
      <c r="N82" s="21">
        <v>244.6</v>
      </c>
      <c r="O82" s="21">
        <v>0</v>
      </c>
      <c r="P82" s="21">
        <v>304.59999999999997</v>
      </c>
      <c r="Q82" s="21">
        <v>0</v>
      </c>
      <c r="R82" s="21">
        <v>364.59999999999991</v>
      </c>
      <c r="W82" s="201"/>
      <c r="X82" s="231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CM82" s="20" t="str">
        <f t="shared" ref="CM82" si="119">CM66</f>
        <v>June</v>
      </c>
      <c r="CN82" s="231">
        <f t="shared" ref="CN82:CO82" ca="1" si="120">CN66</f>
        <v>0</v>
      </c>
      <c r="CO82" s="231">
        <f t="shared" ca="1" si="120"/>
        <v>322.44999999999993</v>
      </c>
      <c r="CP82" s="231">
        <f t="shared" ref="CP82:CQ82" ca="1" si="121">BZ66</f>
        <v>0</v>
      </c>
      <c r="CQ82" s="231">
        <f t="shared" ca="1" si="121"/>
        <v>262.45000000000005</v>
      </c>
      <c r="CR82" s="231">
        <f t="shared" ca="1" si="86"/>
        <v>0.37999999999999989</v>
      </c>
      <c r="CS82" s="231">
        <f t="shared" ca="1" si="87"/>
        <v>202.83</v>
      </c>
      <c r="CT82" s="231">
        <f t="shared" ref="CT82:CU82" ca="1" si="122">AX66</f>
        <v>2.7299999999999995</v>
      </c>
      <c r="CU82" s="231">
        <f t="shared" ca="1" si="122"/>
        <v>145.17999999999998</v>
      </c>
      <c r="CV82" s="231">
        <f t="shared" ref="CV82:CW82" ca="1" si="123">AJ66</f>
        <v>12.13</v>
      </c>
      <c r="CW82" s="231">
        <f t="shared" ca="1" si="123"/>
        <v>94.58</v>
      </c>
      <c r="CX82" s="231">
        <f t="shared" ref="CX82:CY82" ca="1" si="124">V66</f>
        <v>33.909999999999997</v>
      </c>
      <c r="CY82" s="231">
        <f t="shared" ca="1" si="124"/>
        <v>56.359999999999992</v>
      </c>
      <c r="CZ82" s="231">
        <f t="shared" ref="CZ82:DA82" ca="1" si="125">DB66</f>
        <v>66.309999999999988</v>
      </c>
      <c r="DA82" s="231">
        <f t="shared" ca="1" si="125"/>
        <v>28.76</v>
      </c>
    </row>
    <row r="83" spans="1:110" x14ac:dyDescent="0.2">
      <c r="A83" s="13">
        <v>38626</v>
      </c>
      <c r="B83">
        <v>2005</v>
      </c>
      <c r="C83">
        <v>10</v>
      </c>
      <c r="D83" s="21">
        <v>11.67741935483871</v>
      </c>
      <c r="E83" s="21">
        <v>259.10000000000002</v>
      </c>
      <c r="F83" s="21">
        <v>1.1000000000000014</v>
      </c>
      <c r="G83" s="21">
        <v>199.79999999999998</v>
      </c>
      <c r="H83" s="21">
        <v>3.8000000000000007</v>
      </c>
      <c r="I83" s="21">
        <v>145.79999999999998</v>
      </c>
      <c r="J83" s="21">
        <v>11.8</v>
      </c>
      <c r="K83" s="21">
        <v>93.9</v>
      </c>
      <c r="L83" s="21">
        <v>21.900000000000002</v>
      </c>
      <c r="M83" s="21">
        <v>51.999999999999993</v>
      </c>
      <c r="N83" s="21">
        <v>42.000000000000014</v>
      </c>
      <c r="O83" s="21">
        <v>27.099999999999998</v>
      </c>
      <c r="P83" s="21">
        <v>79.100000000000009</v>
      </c>
      <c r="Q83" s="21">
        <v>9.1</v>
      </c>
      <c r="R83" s="21">
        <v>123.09999999999998</v>
      </c>
      <c r="W83" s="201"/>
      <c r="X83" s="231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CM83" s="20" t="str">
        <f t="shared" ref="CM83" si="126">CM67</f>
        <v>July</v>
      </c>
      <c r="CN83" s="231">
        <f t="shared" ref="CN83:CO83" ca="1" si="127">CN67</f>
        <v>0</v>
      </c>
      <c r="CO83" s="231">
        <f t="shared" ca="1" si="127"/>
        <v>454.19000000000005</v>
      </c>
      <c r="CP83" s="231">
        <f t="shared" ref="CP83:CQ83" ca="1" si="128">BZ67</f>
        <v>0</v>
      </c>
      <c r="CQ83" s="231">
        <f t="shared" ca="1" si="128"/>
        <v>392.19</v>
      </c>
      <c r="CR83" s="231">
        <f t="shared" ca="1" si="86"/>
        <v>0</v>
      </c>
      <c r="CS83" s="231">
        <f t="shared" ca="1" si="87"/>
        <v>330.18999999999994</v>
      </c>
      <c r="CT83" s="231">
        <f t="shared" ref="CT83:CU83" ca="1" si="129">AX67</f>
        <v>0</v>
      </c>
      <c r="CU83" s="231">
        <f t="shared" ca="1" si="129"/>
        <v>268.18999999999994</v>
      </c>
      <c r="CV83" s="231">
        <f t="shared" ref="CV83:CW83" ca="1" si="130">AJ67</f>
        <v>9.0000000000000038E-2</v>
      </c>
      <c r="CW83" s="231">
        <f t="shared" ca="1" si="130"/>
        <v>206.28000000000003</v>
      </c>
      <c r="CX83" s="231">
        <f t="shared" ref="CX83:CY83" ca="1" si="131">V67</f>
        <v>1.5200000000000005</v>
      </c>
      <c r="CY83" s="231">
        <f t="shared" ca="1" si="131"/>
        <v>145.71</v>
      </c>
      <c r="CZ83" s="231">
        <f t="shared" ref="CZ83:DA83" ca="1" si="132">DB67</f>
        <v>9.01</v>
      </c>
      <c r="DA83" s="231">
        <f t="shared" ca="1" si="132"/>
        <v>91.2</v>
      </c>
    </row>
    <row r="84" spans="1:110" x14ac:dyDescent="0.2">
      <c r="A84" s="13">
        <v>38657</v>
      </c>
      <c r="B84">
        <v>2005</v>
      </c>
      <c r="C84">
        <v>11</v>
      </c>
      <c r="D84" s="21">
        <v>6.7866666666666653</v>
      </c>
      <c r="E84" s="21">
        <v>396.40000000000003</v>
      </c>
      <c r="F84" s="21">
        <v>0</v>
      </c>
      <c r="G84" s="21">
        <v>336.40000000000003</v>
      </c>
      <c r="H84" s="21">
        <v>0</v>
      </c>
      <c r="I84" s="21">
        <v>276.39999999999998</v>
      </c>
      <c r="J84" s="21">
        <v>0</v>
      </c>
      <c r="K84" s="21">
        <v>216.70000000000002</v>
      </c>
      <c r="L84" s="21">
        <v>0.29999999999999893</v>
      </c>
      <c r="M84" s="21">
        <v>164.1</v>
      </c>
      <c r="N84" s="21">
        <v>7.6999999999999993</v>
      </c>
      <c r="O84" s="21">
        <v>119.90000000000002</v>
      </c>
      <c r="P84" s="21">
        <v>23.5</v>
      </c>
      <c r="Q84" s="21">
        <v>87.3</v>
      </c>
      <c r="R84" s="21">
        <v>50.9</v>
      </c>
      <c r="W84" s="201"/>
      <c r="X84" s="231"/>
      <c r="CM84" s="20" t="str">
        <f t="shared" ref="CM84" si="133">CM68</f>
        <v>August</v>
      </c>
      <c r="CN84" s="231">
        <f t="shared" ref="CN84:CO84" ca="1" si="134">CN68</f>
        <v>0</v>
      </c>
      <c r="CO84" s="231">
        <f t="shared" ca="1" si="134"/>
        <v>425.59</v>
      </c>
      <c r="CP84" s="231">
        <f t="shared" ref="CP84:CQ84" ca="1" si="135">BZ68</f>
        <v>0</v>
      </c>
      <c r="CQ84" s="231">
        <f t="shared" ca="1" si="135"/>
        <v>363.59000000000003</v>
      </c>
      <c r="CR84" s="231">
        <f t="shared" ca="1" si="86"/>
        <v>0</v>
      </c>
      <c r="CS84" s="231">
        <f t="shared" ca="1" si="87"/>
        <v>301.58999999999997</v>
      </c>
      <c r="CT84" s="231">
        <f t="shared" ref="CT84:CU84" ca="1" si="136">AX68</f>
        <v>0</v>
      </c>
      <c r="CU84" s="231">
        <f t="shared" ca="1" si="136"/>
        <v>239.59000000000006</v>
      </c>
      <c r="CV84" s="231">
        <f t="shared" ref="CV84:CW84" ca="1" si="137">AJ68</f>
        <v>0.05</v>
      </c>
      <c r="CW84" s="231">
        <f t="shared" ca="1" si="137"/>
        <v>177.64000000000001</v>
      </c>
      <c r="CX84" s="231">
        <f t="shared" ref="CX84:CY84" ca="1" si="138">V68</f>
        <v>2.2600000000000002</v>
      </c>
      <c r="CY84" s="231">
        <f t="shared" ca="1" si="138"/>
        <v>117.85</v>
      </c>
      <c r="CZ84" s="231">
        <f t="shared" ref="CZ84:DA84" ca="1" si="139">DB68</f>
        <v>12.549999999999997</v>
      </c>
      <c r="DA84" s="231">
        <f t="shared" ca="1" si="139"/>
        <v>66.140000000000015</v>
      </c>
    </row>
    <row r="85" spans="1:110" x14ac:dyDescent="0.2">
      <c r="A85" s="13">
        <v>38687</v>
      </c>
      <c r="B85">
        <v>2005</v>
      </c>
      <c r="C85">
        <v>12</v>
      </c>
      <c r="D85" s="21">
        <v>-1.9741935483870956</v>
      </c>
      <c r="E85" s="21">
        <v>681.20000000000016</v>
      </c>
      <c r="F85" s="21">
        <v>0</v>
      </c>
      <c r="G85" s="21">
        <v>619.20000000000016</v>
      </c>
      <c r="H85" s="21">
        <v>0</v>
      </c>
      <c r="I85" s="21">
        <v>557.20000000000027</v>
      </c>
      <c r="J85" s="21">
        <v>0</v>
      </c>
      <c r="K85" s="21">
        <v>495.20000000000022</v>
      </c>
      <c r="L85" s="21">
        <v>0</v>
      </c>
      <c r="M85" s="21">
        <v>433.20000000000022</v>
      </c>
      <c r="N85" s="21">
        <v>0</v>
      </c>
      <c r="O85" s="21">
        <v>371.20000000000022</v>
      </c>
      <c r="P85" s="21">
        <v>0</v>
      </c>
      <c r="Q85" s="21">
        <v>309.20000000000016</v>
      </c>
      <c r="R85" s="21">
        <v>0</v>
      </c>
      <c r="W85" s="201"/>
      <c r="X85" s="231"/>
      <c r="CM85" s="20" t="str">
        <f t="shared" ref="CM85" si="140">CM69</f>
        <v>September</v>
      </c>
      <c r="CN85" s="231">
        <f t="shared" ref="CN85:CO85" ca="1" si="141">CN69</f>
        <v>0</v>
      </c>
      <c r="CO85" s="231">
        <f t="shared" ca="1" si="141"/>
        <v>307.74</v>
      </c>
      <c r="CP85" s="231">
        <f t="shared" ref="CP85:CQ85" ca="1" si="142">BZ69</f>
        <v>0</v>
      </c>
      <c r="CQ85" s="231">
        <f t="shared" ca="1" si="142"/>
        <v>247.73999999999995</v>
      </c>
      <c r="CR85" s="231">
        <f t="shared" ca="1" si="86"/>
        <v>0.49000000000000005</v>
      </c>
      <c r="CS85" s="231">
        <f t="shared" ca="1" si="87"/>
        <v>188.22999999999996</v>
      </c>
      <c r="CT85" s="231">
        <f t="shared" ref="CT85:CU85" ca="1" si="143">AX69</f>
        <v>5.2099999999999991</v>
      </c>
      <c r="CU85" s="231">
        <f t="shared" ca="1" si="143"/>
        <v>132.95000000000002</v>
      </c>
      <c r="CV85" s="231">
        <f t="shared" ref="CV85:CW85" ca="1" si="144">AJ69</f>
        <v>17.91</v>
      </c>
      <c r="CW85" s="231">
        <f t="shared" ca="1" si="144"/>
        <v>85.65</v>
      </c>
      <c r="CX85" s="231">
        <f t="shared" ref="CX85:CY85" ca="1" si="145">V69</f>
        <v>41.980000000000004</v>
      </c>
      <c r="CY85" s="231">
        <f t="shared" ca="1" si="145"/>
        <v>49.72</v>
      </c>
      <c r="CZ85" s="231">
        <f t="shared" ref="CZ85:DA85" ca="1" si="146">DB69</f>
        <v>78.429999999999993</v>
      </c>
      <c r="DA85" s="231">
        <f t="shared" ca="1" si="146"/>
        <v>26.169999999999998</v>
      </c>
    </row>
    <row r="86" spans="1:110" x14ac:dyDescent="0.2">
      <c r="A86" s="13">
        <v>38718</v>
      </c>
      <c r="B86">
        <v>2006</v>
      </c>
      <c r="C86">
        <v>1</v>
      </c>
      <c r="D86" s="21">
        <v>1.6419354838709674</v>
      </c>
      <c r="E86" s="21">
        <v>569.09999999999991</v>
      </c>
      <c r="F86" s="21">
        <v>0</v>
      </c>
      <c r="G86" s="21">
        <v>507.09999999999997</v>
      </c>
      <c r="H86" s="21">
        <v>0</v>
      </c>
      <c r="I86" s="21">
        <v>445.09999999999991</v>
      </c>
      <c r="J86" s="21">
        <v>0</v>
      </c>
      <c r="K86" s="21">
        <v>383.09999999999991</v>
      </c>
      <c r="L86" s="21">
        <v>0</v>
      </c>
      <c r="M86" s="21">
        <v>321.09999999999997</v>
      </c>
      <c r="N86" s="21">
        <v>0</v>
      </c>
      <c r="O86" s="21">
        <v>259.09999999999991</v>
      </c>
      <c r="P86" s="21">
        <v>0</v>
      </c>
      <c r="Q86" s="21">
        <v>197.09999999999997</v>
      </c>
      <c r="R86" s="21">
        <v>0</v>
      </c>
      <c r="W86" s="201"/>
      <c r="X86" s="231"/>
      <c r="CM86" s="20" t="str">
        <f t="shared" ref="CM86" si="147">CM70</f>
        <v>October</v>
      </c>
      <c r="CN86" s="231">
        <f t="shared" ref="CN86:CO86" ca="1" si="148">CN70</f>
        <v>9.889999999999997</v>
      </c>
      <c r="CO86" s="231">
        <f t="shared" ca="1" si="148"/>
        <v>133.13</v>
      </c>
      <c r="CP86" s="231">
        <f t="shared" ref="CP86:CQ86" ca="1" si="149">BZ70</f>
        <v>26.119999999999997</v>
      </c>
      <c r="CQ86" s="231">
        <f t="shared" ca="1" si="149"/>
        <v>87.359999999999985</v>
      </c>
      <c r="CR86" s="231">
        <f t="shared" ca="1" si="86"/>
        <v>53.33000000000002</v>
      </c>
      <c r="CS86" s="231">
        <f t="shared" ca="1" si="87"/>
        <v>52.570000000000007</v>
      </c>
      <c r="CT86" s="231">
        <f t="shared" ref="CT86:CU86" ca="1" si="150">AX70</f>
        <v>90.66</v>
      </c>
      <c r="CU86" s="231">
        <f t="shared" ca="1" si="150"/>
        <v>27.9</v>
      </c>
      <c r="CV86" s="231">
        <f t="shared" ref="CV86:CW86" ca="1" si="151">AJ70</f>
        <v>136.97999999999999</v>
      </c>
      <c r="CW86" s="231">
        <f t="shared" ca="1" si="151"/>
        <v>12.219999999999999</v>
      </c>
      <c r="CX86" s="231">
        <f t="shared" ref="CX86:CY86" ca="1" si="152">V70</f>
        <v>191.17000000000002</v>
      </c>
      <c r="CY86" s="231">
        <f t="shared" ca="1" si="152"/>
        <v>4.4099999999999993</v>
      </c>
      <c r="CZ86" s="231">
        <f t="shared" ref="CZ86:DA86" ca="1" si="153">DB70</f>
        <v>250.08999999999997</v>
      </c>
      <c r="DA86" s="231">
        <f t="shared" ca="1" si="153"/>
        <v>1.3299999999999994</v>
      </c>
    </row>
    <row r="87" spans="1:110" x14ac:dyDescent="0.2">
      <c r="A87" s="13">
        <v>38749</v>
      </c>
      <c r="B87">
        <v>2006</v>
      </c>
      <c r="C87">
        <v>2</v>
      </c>
      <c r="D87" s="21">
        <v>-1.7714285714285718</v>
      </c>
      <c r="E87" s="21">
        <v>609.59999999999991</v>
      </c>
      <c r="F87" s="21">
        <v>0</v>
      </c>
      <c r="G87" s="21">
        <v>553.6</v>
      </c>
      <c r="H87" s="21">
        <v>0</v>
      </c>
      <c r="I87" s="21">
        <v>497.6</v>
      </c>
      <c r="J87" s="21">
        <v>0</v>
      </c>
      <c r="K87" s="21">
        <v>441.6</v>
      </c>
      <c r="L87" s="21">
        <v>0</v>
      </c>
      <c r="M87" s="21">
        <v>385.6</v>
      </c>
      <c r="N87" s="21">
        <v>0</v>
      </c>
      <c r="O87" s="21">
        <v>329.6</v>
      </c>
      <c r="P87" s="21">
        <v>0</v>
      </c>
      <c r="Q87" s="21">
        <v>273.60000000000002</v>
      </c>
      <c r="R87" s="21">
        <v>0</v>
      </c>
      <c r="W87" s="201"/>
      <c r="X87" s="231"/>
      <c r="CM87" s="20" t="str">
        <f t="shared" ref="CM87" si="154">CM71</f>
        <v>November</v>
      </c>
      <c r="CN87" s="231">
        <f t="shared" ref="CN87:CO87" ca="1" si="155">CN71</f>
        <v>107.46999999999998</v>
      </c>
      <c r="CO87" s="231">
        <f t="shared" ca="1" si="155"/>
        <v>23.28</v>
      </c>
      <c r="CP87" s="231">
        <f t="shared" ref="CP87:CQ87" ca="1" si="156">BZ71</f>
        <v>154.68</v>
      </c>
      <c r="CQ87" s="231">
        <f t="shared" ca="1" si="156"/>
        <v>10.489999999999998</v>
      </c>
      <c r="CR87" s="231">
        <f t="shared" ca="1" si="86"/>
        <v>207.66000000000003</v>
      </c>
      <c r="CS87" s="231">
        <f t="shared" ca="1" si="87"/>
        <v>3.47</v>
      </c>
      <c r="CT87" s="231">
        <f t="shared" ref="CT87:CU87" ca="1" si="157">AX71</f>
        <v>264.88</v>
      </c>
      <c r="CU87" s="231">
        <f t="shared" ca="1" si="157"/>
        <v>0.69000000000000006</v>
      </c>
      <c r="CV87" s="231">
        <f t="shared" ref="CV87:CW87" ca="1" si="158">AJ71</f>
        <v>324.2</v>
      </c>
      <c r="CW87" s="231">
        <f t="shared" ca="1" si="158"/>
        <v>1.0000000000000142E-2</v>
      </c>
      <c r="CX87" s="231">
        <f t="shared" ref="CX87:CY87" ca="1" si="159">V71</f>
        <v>384.19000000000005</v>
      </c>
      <c r="CY87" s="231">
        <f t="shared" ca="1" si="159"/>
        <v>0</v>
      </c>
      <c r="CZ87" s="231">
        <f t="shared" ref="CZ87:DA87" ca="1" si="160">DB71</f>
        <v>444.18999999999994</v>
      </c>
      <c r="DA87" s="231">
        <f t="shared" ca="1" si="160"/>
        <v>0</v>
      </c>
    </row>
    <row r="88" spans="1:110" x14ac:dyDescent="0.2">
      <c r="A88" s="13">
        <v>38777</v>
      </c>
      <c r="B88">
        <v>2006</v>
      </c>
      <c r="C88">
        <v>3</v>
      </c>
      <c r="D88" s="21">
        <v>2.2612903225806451</v>
      </c>
      <c r="E88" s="21">
        <v>549.90000000000009</v>
      </c>
      <c r="F88" s="21">
        <v>0</v>
      </c>
      <c r="G88" s="21">
        <v>487.90000000000003</v>
      </c>
      <c r="H88" s="21">
        <v>0</v>
      </c>
      <c r="I88" s="21">
        <v>425.90000000000003</v>
      </c>
      <c r="J88" s="21">
        <v>0</v>
      </c>
      <c r="K88" s="21">
        <v>363.90000000000003</v>
      </c>
      <c r="L88" s="21">
        <v>0</v>
      </c>
      <c r="M88" s="21">
        <v>301.90000000000003</v>
      </c>
      <c r="N88" s="21">
        <v>0</v>
      </c>
      <c r="O88" s="21">
        <v>241.89999999999998</v>
      </c>
      <c r="P88" s="21">
        <v>2</v>
      </c>
      <c r="Q88" s="21">
        <v>184.89999999999998</v>
      </c>
      <c r="R88" s="21">
        <v>7</v>
      </c>
      <c r="W88" s="201"/>
      <c r="X88" s="231"/>
      <c r="CM88" s="20" t="str">
        <f t="shared" ref="CM88" si="161">CM72</f>
        <v>December</v>
      </c>
      <c r="CN88" s="231">
        <f t="shared" ref="CN88:CO88" ca="1" si="162">CN72</f>
        <v>229.61999999999998</v>
      </c>
      <c r="CO88" s="231">
        <f t="shared" ca="1" si="162"/>
        <v>1.9700000000000002</v>
      </c>
      <c r="CP88" s="231">
        <f t="shared" ref="CP88:CQ88" ca="1" si="163">BZ72</f>
        <v>290.00000000000006</v>
      </c>
      <c r="CQ88" s="231">
        <f t="shared" ca="1" si="163"/>
        <v>0.35</v>
      </c>
      <c r="CR88" s="231">
        <f t="shared" ca="1" si="86"/>
        <v>351.65000000000003</v>
      </c>
      <c r="CS88" s="231">
        <f t="shared" ca="1" si="87"/>
        <v>0</v>
      </c>
      <c r="CT88" s="231">
        <f t="shared" ref="CT88:CU88" ca="1" si="164">AX72</f>
        <v>413.65</v>
      </c>
      <c r="CU88" s="231">
        <f t="shared" ca="1" si="164"/>
        <v>0</v>
      </c>
      <c r="CV88" s="231">
        <f t="shared" ref="CV88:CW88" ca="1" si="165">AJ72</f>
        <v>475.65</v>
      </c>
      <c r="CW88" s="231">
        <f t="shared" ca="1" si="165"/>
        <v>0</v>
      </c>
      <c r="CX88" s="231">
        <f t="shared" ref="CX88:CY88" ca="1" si="166">V72</f>
        <v>537.64999999999986</v>
      </c>
      <c r="CY88" s="231">
        <f t="shared" ca="1" si="166"/>
        <v>0</v>
      </c>
      <c r="CZ88" s="231">
        <f t="shared" ref="CZ88:DA88" ca="1" si="167">DB72</f>
        <v>599.64999999999986</v>
      </c>
      <c r="DA88" s="231">
        <f t="shared" ca="1" si="167"/>
        <v>0</v>
      </c>
    </row>
    <row r="89" spans="1:110" x14ac:dyDescent="0.2">
      <c r="A89" s="13">
        <v>38808</v>
      </c>
      <c r="B89">
        <v>2006</v>
      </c>
      <c r="C89">
        <v>4</v>
      </c>
      <c r="D89" s="21">
        <v>7.61</v>
      </c>
      <c r="E89" s="21">
        <v>371.69999999999993</v>
      </c>
      <c r="F89" s="21">
        <v>0</v>
      </c>
      <c r="G89" s="21">
        <v>311.69999999999993</v>
      </c>
      <c r="H89" s="21">
        <v>0</v>
      </c>
      <c r="I89" s="21">
        <v>251.69999999999996</v>
      </c>
      <c r="J89" s="21">
        <v>0</v>
      </c>
      <c r="K89" s="21">
        <v>191.79999999999998</v>
      </c>
      <c r="L89" s="21">
        <v>9.9999999999999645E-2</v>
      </c>
      <c r="M89" s="21">
        <v>134.10000000000002</v>
      </c>
      <c r="N89" s="21">
        <v>2.4000000000000004</v>
      </c>
      <c r="O89" s="21">
        <v>82.500000000000014</v>
      </c>
      <c r="P89" s="21">
        <v>10.8</v>
      </c>
      <c r="Q89" s="21">
        <v>40.000000000000007</v>
      </c>
      <c r="R89" s="21">
        <v>28.299999999999997</v>
      </c>
      <c r="W89" s="201"/>
      <c r="X89" s="231"/>
      <c r="CN89" s="20"/>
      <c r="CO89" s="20"/>
    </row>
    <row r="90" spans="1:110" x14ac:dyDescent="0.2">
      <c r="A90" s="13">
        <v>38838</v>
      </c>
      <c r="B90">
        <v>2006</v>
      </c>
      <c r="C90">
        <v>5</v>
      </c>
      <c r="D90" s="21">
        <v>13.451612903225806</v>
      </c>
      <c r="E90" s="21">
        <v>216</v>
      </c>
      <c r="F90" s="21">
        <v>13</v>
      </c>
      <c r="G90" s="21">
        <v>160.00000000000003</v>
      </c>
      <c r="H90" s="21">
        <v>19</v>
      </c>
      <c r="I90" s="21">
        <v>105.89999999999999</v>
      </c>
      <c r="J90" s="21">
        <v>26.900000000000002</v>
      </c>
      <c r="K90" s="21">
        <v>62.000000000000007</v>
      </c>
      <c r="L90" s="21">
        <v>45</v>
      </c>
      <c r="M90" s="21">
        <v>26</v>
      </c>
      <c r="N90" s="21">
        <v>71</v>
      </c>
      <c r="O90" s="21">
        <v>6.5000000000000009</v>
      </c>
      <c r="P90" s="21">
        <v>113.49999999999999</v>
      </c>
      <c r="Q90" s="21">
        <v>1.2999999999999998</v>
      </c>
      <c r="R90" s="21">
        <v>170.30000000000004</v>
      </c>
      <c r="W90" s="201"/>
      <c r="X90" s="231"/>
    </row>
    <row r="91" spans="1:110" x14ac:dyDescent="0.2">
      <c r="A91" s="13">
        <v>38869</v>
      </c>
      <c r="B91">
        <v>2006</v>
      </c>
      <c r="C91">
        <v>6</v>
      </c>
      <c r="D91" s="21">
        <v>19.483333333333338</v>
      </c>
      <c r="E91" s="21">
        <v>48.400000000000006</v>
      </c>
      <c r="F91" s="21">
        <v>32.9</v>
      </c>
      <c r="G91" s="21">
        <v>19.199999999999996</v>
      </c>
      <c r="H91" s="21">
        <v>63.699999999999989</v>
      </c>
      <c r="I91" s="21">
        <v>6.6</v>
      </c>
      <c r="J91" s="21">
        <v>111.10000000000001</v>
      </c>
      <c r="K91" s="21">
        <v>0.69999999999999929</v>
      </c>
      <c r="L91" s="21">
        <v>165.2</v>
      </c>
      <c r="M91" s="21">
        <v>0</v>
      </c>
      <c r="N91" s="21">
        <v>224.49999999999997</v>
      </c>
      <c r="O91" s="21">
        <v>0</v>
      </c>
      <c r="P91" s="21">
        <v>284.49999999999994</v>
      </c>
      <c r="Q91" s="21">
        <v>0</v>
      </c>
      <c r="R91" s="21">
        <v>344.49999999999994</v>
      </c>
      <c r="W91" s="201"/>
      <c r="X91" s="231"/>
      <c r="CR91" s="20"/>
      <c r="CS91" s="20" t="str">
        <f>CS60</f>
        <v>HDD8</v>
      </c>
      <c r="CT91" s="20" t="str">
        <f>CT60</f>
        <v>CDD8</v>
      </c>
      <c r="CU91" s="201" t="str">
        <f>CE60</f>
        <v>HDD10</v>
      </c>
      <c r="CV91" s="201" t="str">
        <f>CF60</f>
        <v>CDD10</v>
      </c>
      <c r="CW91" s="201" t="str">
        <f>BQ60</f>
        <v>HDD12</v>
      </c>
      <c r="CX91" s="201" t="str">
        <f>BR60</f>
        <v>CDD12</v>
      </c>
      <c r="CY91" s="201" t="str">
        <f>BC60</f>
        <v>HDD14</v>
      </c>
      <c r="CZ91" s="201" t="str">
        <f>BD60</f>
        <v>CDD14</v>
      </c>
      <c r="DA91" s="201" t="str">
        <f>AO60</f>
        <v>HDD16</v>
      </c>
      <c r="DB91" s="201" t="str">
        <f>AP60</f>
        <v>CDD16</v>
      </c>
      <c r="DC91" s="20" t="str">
        <f>AA60</f>
        <v>HDD18</v>
      </c>
      <c r="DD91" s="20" t="str">
        <f>AB60</f>
        <v>CDD18</v>
      </c>
      <c r="DE91" s="201" t="str">
        <f>DG60</f>
        <v>HDD20</v>
      </c>
      <c r="DF91" s="201" t="str">
        <f>DH60</f>
        <v>CDD20</v>
      </c>
    </row>
    <row r="92" spans="1:110" x14ac:dyDescent="0.2">
      <c r="A92" s="13">
        <v>38899</v>
      </c>
      <c r="B92">
        <v>2006</v>
      </c>
      <c r="C92">
        <v>7</v>
      </c>
      <c r="D92" s="21">
        <v>22.838709677419356</v>
      </c>
      <c r="E92" s="21">
        <v>9.6000000000000014</v>
      </c>
      <c r="F92" s="21">
        <v>97.6</v>
      </c>
      <c r="G92" s="21">
        <v>0.80000000000000071</v>
      </c>
      <c r="H92" s="21">
        <v>150.79999999999998</v>
      </c>
      <c r="I92" s="21">
        <v>0</v>
      </c>
      <c r="J92" s="21">
        <v>212</v>
      </c>
      <c r="K92" s="21">
        <v>0</v>
      </c>
      <c r="L92" s="21">
        <v>274</v>
      </c>
      <c r="M92" s="21">
        <v>0</v>
      </c>
      <c r="N92" s="21">
        <v>335.99999999999994</v>
      </c>
      <c r="O92" s="21">
        <v>0</v>
      </c>
      <c r="P92" s="21">
        <v>397.99999999999994</v>
      </c>
      <c r="Q92" s="21">
        <v>0</v>
      </c>
      <c r="R92" s="21">
        <v>459.99999999999994</v>
      </c>
      <c r="W92" s="201"/>
      <c r="X92" s="231"/>
      <c r="CR92" s="20" t="str">
        <f t="shared" ref="CR92:CT92" si="168">CR61</f>
        <v>January</v>
      </c>
      <c r="CS92" s="231">
        <f t="shared" ca="1" si="168"/>
        <v>356.76436090225582</v>
      </c>
      <c r="CT92" s="231">
        <f t="shared" ca="1" si="168"/>
        <v>1.2989473684210537</v>
      </c>
      <c r="CU92" s="231">
        <f t="shared" ref="CU92:CV92" ca="1" si="169">CE61</f>
        <v>417.79000000000008</v>
      </c>
      <c r="CV92" s="231">
        <f t="shared" ca="1" si="169"/>
        <v>0.32458646616541209</v>
      </c>
      <c r="CW92" s="231">
        <f t="shared" ref="CW92:CX92" ca="1" si="170">BQ61</f>
        <v>479.53278195488724</v>
      </c>
      <c r="CX92" s="231">
        <f t="shared" ca="1" si="170"/>
        <v>6.7368421052631078E-2</v>
      </c>
      <c r="CY92" s="231">
        <f t="shared" ref="CY92:CZ92" ca="1" si="171">BC61</f>
        <v>541.46541353383441</v>
      </c>
      <c r="CZ92" s="231">
        <f t="shared" ca="1" si="171"/>
        <v>0</v>
      </c>
      <c r="DA92" s="231">
        <f t="shared" ref="DA92:DB92" ca="1" si="172">AO61</f>
        <v>603.46541353383452</v>
      </c>
      <c r="DB92" s="231">
        <f t="shared" ca="1" si="172"/>
        <v>0</v>
      </c>
      <c r="DC92" s="231">
        <f t="shared" ref="DC92:DD92" ca="1" si="173">AA61</f>
        <v>665.46541353383486</v>
      </c>
      <c r="DD92" s="231">
        <f t="shared" ca="1" si="173"/>
        <v>0</v>
      </c>
      <c r="DE92" s="231">
        <f t="shared" ref="DE92:DF92" ca="1" si="174">DG61</f>
        <v>727.46541353383464</v>
      </c>
      <c r="DF92" s="231">
        <f t="shared" ca="1" si="174"/>
        <v>0</v>
      </c>
    </row>
    <row r="93" spans="1:110" x14ac:dyDescent="0.2">
      <c r="A93" s="13">
        <v>38930</v>
      </c>
      <c r="B93">
        <v>2006</v>
      </c>
      <c r="C93">
        <v>8</v>
      </c>
      <c r="D93" s="21">
        <v>21.367741935483863</v>
      </c>
      <c r="E93" s="21">
        <v>14.399999999999999</v>
      </c>
      <c r="F93" s="21">
        <v>56.8</v>
      </c>
      <c r="G93" s="21">
        <v>1.8999999999999986</v>
      </c>
      <c r="H93" s="21">
        <v>106.29999999999998</v>
      </c>
      <c r="I93" s="21">
        <v>0</v>
      </c>
      <c r="J93" s="21">
        <v>166.40000000000003</v>
      </c>
      <c r="K93" s="21">
        <v>0</v>
      </c>
      <c r="L93" s="21">
        <v>228.40000000000003</v>
      </c>
      <c r="M93" s="21">
        <v>0</v>
      </c>
      <c r="N93" s="21">
        <v>290.40000000000003</v>
      </c>
      <c r="O93" s="21">
        <v>0</v>
      </c>
      <c r="P93" s="21">
        <v>352.40000000000003</v>
      </c>
      <c r="Q93" s="21">
        <v>0</v>
      </c>
      <c r="R93" s="21">
        <v>414.4</v>
      </c>
      <c r="W93" s="201"/>
      <c r="X93" s="231"/>
      <c r="CR93" s="20" t="str">
        <f t="shared" ref="CR93:CT93" si="175">CR62</f>
        <v>February</v>
      </c>
      <c r="CS93" s="231">
        <f t="shared" ca="1" si="175"/>
        <v>310.8718796992481</v>
      </c>
      <c r="CT93" s="231">
        <f t="shared" ca="1" si="175"/>
        <v>1.6690225563909564</v>
      </c>
      <c r="CU93" s="231">
        <f t="shared" ref="CU93:CV93" ca="1" si="176">CE62</f>
        <v>365.64458646616526</v>
      </c>
      <c r="CV93" s="231">
        <f t="shared" ca="1" si="176"/>
        <v>0.20112781954887282</v>
      </c>
      <c r="CW93" s="231">
        <f t="shared" ref="CW93:CX93" ca="1" si="177">BQ62</f>
        <v>421.68406015037601</v>
      </c>
      <c r="CX93" s="231">
        <f t="shared" ca="1" si="177"/>
        <v>0</v>
      </c>
      <c r="CY93" s="231">
        <f t="shared" ref="CY93:CZ93" ca="1" si="178">BC62</f>
        <v>477.92466165413532</v>
      </c>
      <c r="CZ93" s="231">
        <f t="shared" ca="1" si="178"/>
        <v>0</v>
      </c>
      <c r="DA93" s="231">
        <f t="shared" ref="DA93:DB93" ca="1" si="179">AO62</f>
        <v>534.16526315789474</v>
      </c>
      <c r="DB93" s="231">
        <f t="shared" ca="1" si="179"/>
        <v>0</v>
      </c>
      <c r="DC93" s="231">
        <f t="shared" ref="DC93:DD93" ca="1" si="180">AA62</f>
        <v>590.40586466165405</v>
      </c>
      <c r="DD93" s="231">
        <f t="shared" ca="1" si="180"/>
        <v>0</v>
      </c>
      <c r="DE93" s="231">
        <f t="shared" ref="DE93:DF93" ca="1" si="181">DG62</f>
        <v>646.64646616541359</v>
      </c>
      <c r="DF93" s="231">
        <f t="shared" ca="1" si="181"/>
        <v>0</v>
      </c>
    </row>
    <row r="94" spans="1:110" x14ac:dyDescent="0.2">
      <c r="A94" s="13">
        <v>38961</v>
      </c>
      <c r="B94">
        <v>2006</v>
      </c>
      <c r="C94">
        <v>9</v>
      </c>
      <c r="D94" s="21">
        <v>16.483333333333334</v>
      </c>
      <c r="E94" s="21">
        <v>107.99999999999999</v>
      </c>
      <c r="F94" s="21">
        <v>2.5</v>
      </c>
      <c r="G94" s="21">
        <v>59.099999999999994</v>
      </c>
      <c r="H94" s="21">
        <v>13.600000000000001</v>
      </c>
      <c r="I94" s="21">
        <v>26.400000000000002</v>
      </c>
      <c r="J94" s="21">
        <v>40.900000000000006</v>
      </c>
      <c r="K94" s="21">
        <v>9.3000000000000007</v>
      </c>
      <c r="L94" s="21">
        <v>83.799999999999983</v>
      </c>
      <c r="M94" s="21">
        <v>1.5</v>
      </c>
      <c r="N94" s="21">
        <v>135.99999999999997</v>
      </c>
      <c r="O94" s="21">
        <v>0</v>
      </c>
      <c r="P94" s="21">
        <v>194.49999999999997</v>
      </c>
      <c r="Q94" s="21">
        <v>0</v>
      </c>
      <c r="R94" s="21">
        <v>254.5</v>
      </c>
      <c r="W94" s="201"/>
      <c r="X94" s="231"/>
      <c r="CR94" s="20" t="str">
        <f t="shared" ref="CR94:CT94" si="182">CR63</f>
        <v>March</v>
      </c>
      <c r="CS94" s="231">
        <f t="shared" ca="1" si="182"/>
        <v>237.10045112781927</v>
      </c>
      <c r="CT94" s="231">
        <f t="shared" ca="1" si="182"/>
        <v>5.0044360902255676</v>
      </c>
      <c r="CU94" s="231">
        <f t="shared" ref="CU94:CV94" ca="1" si="183">CE63</f>
        <v>295.59887218045105</v>
      </c>
      <c r="CV94" s="231">
        <f t="shared" ca="1" si="183"/>
        <v>1.5028571428571453</v>
      </c>
      <c r="CW94" s="231">
        <f t="shared" ref="CW94:CX94" ca="1" si="184">BQ63</f>
        <v>356.48759398496304</v>
      </c>
      <c r="CX94" s="231">
        <f t="shared" ca="1" si="184"/>
        <v>0.39157894736842103</v>
      </c>
      <c r="CY94" s="231">
        <f t="shared" ref="CY94:CZ94" ca="1" si="185">BC63</f>
        <v>418.1239849624053</v>
      </c>
      <c r="CZ94" s="231">
        <f t="shared" ca="1" si="185"/>
        <v>2.79699248120302E-2</v>
      </c>
      <c r="DA94" s="231">
        <f t="shared" ref="DA94:DB94" ca="1" si="186">AO63</f>
        <v>480.09601503759404</v>
      </c>
      <c r="DB94" s="231">
        <f t="shared" ca="1" si="186"/>
        <v>0</v>
      </c>
      <c r="DC94" s="231">
        <f t="shared" ref="DC94:DD94" ca="1" si="187">AA63</f>
        <v>542.09601503759404</v>
      </c>
      <c r="DD94" s="231">
        <f t="shared" ca="1" si="187"/>
        <v>0</v>
      </c>
      <c r="DE94" s="231">
        <f t="shared" ref="DE94:DF94" ca="1" si="188">DG63</f>
        <v>604.09601503759404</v>
      </c>
      <c r="DF94" s="231">
        <f t="shared" ca="1" si="188"/>
        <v>0</v>
      </c>
    </row>
    <row r="95" spans="1:110" x14ac:dyDescent="0.2">
      <c r="A95" s="13">
        <v>38991</v>
      </c>
      <c r="B95">
        <v>2006</v>
      </c>
      <c r="C95">
        <v>10</v>
      </c>
      <c r="D95" s="21">
        <v>9.9612903225806431</v>
      </c>
      <c r="E95" s="21">
        <v>311.20000000000005</v>
      </c>
      <c r="F95" s="21">
        <v>0</v>
      </c>
      <c r="G95" s="21">
        <v>249.2</v>
      </c>
      <c r="H95" s="21">
        <v>0</v>
      </c>
      <c r="I95" s="21">
        <v>188.70000000000002</v>
      </c>
      <c r="J95" s="21">
        <v>1.5</v>
      </c>
      <c r="K95" s="21">
        <v>134.5</v>
      </c>
      <c r="L95" s="21">
        <v>9.3000000000000007</v>
      </c>
      <c r="M95" s="21">
        <v>89.500000000000014</v>
      </c>
      <c r="N95" s="21">
        <v>26.3</v>
      </c>
      <c r="O95" s="21">
        <v>51.199999999999996</v>
      </c>
      <c r="P95" s="21">
        <v>50.000000000000014</v>
      </c>
      <c r="Q95" s="21">
        <v>21.799999999999997</v>
      </c>
      <c r="R95" s="21">
        <v>82.6</v>
      </c>
      <c r="W95" s="201"/>
      <c r="X95" s="231"/>
      <c r="CR95" s="20" t="str">
        <f t="shared" ref="CR95:CT95" si="189">CR64</f>
        <v>April</v>
      </c>
      <c r="CS95" s="231">
        <f t="shared" ca="1" si="189"/>
        <v>74.075563909774473</v>
      </c>
      <c r="CT95" s="231">
        <f t="shared" ca="1" si="189"/>
        <v>25.068345864661524</v>
      </c>
      <c r="CU95" s="231">
        <f t="shared" ref="CU95:CV95" ca="1" si="190">CE64</f>
        <v>119.65323308270661</v>
      </c>
      <c r="CV95" s="231">
        <f t="shared" ca="1" si="190"/>
        <v>10.64601503759377</v>
      </c>
      <c r="CW95" s="231">
        <f t="shared" ref="CW95:CX95" ca="1" si="191">BQ64</f>
        <v>171.77466165413534</v>
      </c>
      <c r="CX95" s="231">
        <f t="shared" ca="1" si="191"/>
        <v>2.7674436090226209</v>
      </c>
      <c r="CY95" s="231">
        <f t="shared" ref="CY95:CZ95" ca="1" si="192">BC64</f>
        <v>228.66751879699223</v>
      </c>
      <c r="CZ95" s="231">
        <f t="shared" ca="1" si="192"/>
        <v>0</v>
      </c>
      <c r="DA95" s="231">
        <f t="shared" ref="DA95:DB95" ca="1" si="193">AO64</f>
        <v>288.37075187969913</v>
      </c>
      <c r="DB95" s="231">
        <f t="shared" ca="1" si="193"/>
        <v>0</v>
      </c>
      <c r="DC95" s="231">
        <f t="shared" ref="DC95:DD95" ca="1" si="194">AA64</f>
        <v>348.6190225563912</v>
      </c>
      <c r="DD95" s="231">
        <f t="shared" ca="1" si="194"/>
        <v>0</v>
      </c>
      <c r="DE95" s="231">
        <f t="shared" ref="DE95:DF95" ca="1" si="195">DG64</f>
        <v>408.90360902255634</v>
      </c>
      <c r="DF95" s="231">
        <f t="shared" ca="1" si="195"/>
        <v>0</v>
      </c>
    </row>
    <row r="96" spans="1:110" x14ac:dyDescent="0.2">
      <c r="A96" s="13">
        <v>39022</v>
      </c>
      <c r="B96">
        <v>2006</v>
      </c>
      <c r="C96">
        <v>11</v>
      </c>
      <c r="D96" s="21">
        <v>5.9599999999999982</v>
      </c>
      <c r="E96" s="21">
        <v>421.19999999999993</v>
      </c>
      <c r="F96" s="21">
        <v>0</v>
      </c>
      <c r="G96" s="21">
        <v>361.19999999999993</v>
      </c>
      <c r="H96" s="21">
        <v>0</v>
      </c>
      <c r="I96" s="21">
        <v>301.2</v>
      </c>
      <c r="J96" s="21">
        <v>0</v>
      </c>
      <c r="K96" s="21">
        <v>241.20000000000007</v>
      </c>
      <c r="L96" s="21">
        <v>0</v>
      </c>
      <c r="M96" s="21">
        <v>181.20000000000002</v>
      </c>
      <c r="N96" s="21">
        <v>0</v>
      </c>
      <c r="O96" s="21">
        <v>124.20000000000002</v>
      </c>
      <c r="P96" s="21">
        <v>3</v>
      </c>
      <c r="Q96" s="21">
        <v>76.100000000000009</v>
      </c>
      <c r="R96" s="21">
        <v>14.899999999999999</v>
      </c>
      <c r="W96" s="201"/>
      <c r="X96" s="231"/>
      <c r="CR96" s="20" t="str">
        <f t="shared" ref="CR96:CT96" si="196">CR65</f>
        <v>May</v>
      </c>
      <c r="CS96" s="231">
        <f t="shared" ca="1" si="196"/>
        <v>3.9758646616541284</v>
      </c>
      <c r="CT96" s="231">
        <f t="shared" ca="1" si="196"/>
        <v>176.90248120300703</v>
      </c>
      <c r="CU96" s="231">
        <f t="shared" ref="CU96:CV96" ca="1" si="197">CE65</f>
        <v>14.279172932330852</v>
      </c>
      <c r="CV96" s="231">
        <f t="shared" ca="1" si="197"/>
        <v>125.20578947368404</v>
      </c>
      <c r="CW96" s="231">
        <f t="shared" ref="CW96:CX96" ca="1" si="198">BQ65</f>
        <v>36.57473684210521</v>
      </c>
      <c r="CX96" s="231">
        <f t="shared" ca="1" si="198"/>
        <v>85.501353383458536</v>
      </c>
      <c r="CY96" s="231">
        <f t="shared" ref="CY96:CZ96" ca="1" si="199">BC65</f>
        <v>67.613233082706756</v>
      </c>
      <c r="CZ96" s="231">
        <f t="shared" ca="1" si="199"/>
        <v>54.539849624060025</v>
      </c>
      <c r="DA96" s="231">
        <f t="shared" ref="DA96:DB96" ca="1" si="200">AO65</f>
        <v>107.69751879699265</v>
      </c>
      <c r="DB96" s="231">
        <f t="shared" ca="1" si="200"/>
        <v>32.624135338345695</v>
      </c>
      <c r="DC96" s="231">
        <f t="shared" ref="DC96:DD96" ca="1" si="201">AA65</f>
        <v>154.47390977443592</v>
      </c>
      <c r="DD96" s="231">
        <f t="shared" ca="1" si="201"/>
        <v>17.400526315789421</v>
      </c>
      <c r="DE96" s="231">
        <f t="shared" ref="DE96:DF96" ca="1" si="202">DG65</f>
        <v>206.81759398496206</v>
      </c>
      <c r="DF96" s="231">
        <f t="shared" ca="1" si="202"/>
        <v>7.7442105263157828</v>
      </c>
    </row>
    <row r="97" spans="1:110" x14ac:dyDescent="0.2">
      <c r="A97" s="13">
        <v>39052</v>
      </c>
      <c r="B97">
        <v>2006</v>
      </c>
      <c r="C97">
        <v>12</v>
      </c>
      <c r="D97" s="21">
        <v>3.2645161290322577</v>
      </c>
      <c r="E97" s="21">
        <v>518.79999999999995</v>
      </c>
      <c r="F97" s="21">
        <v>0</v>
      </c>
      <c r="G97" s="21">
        <v>456.79999999999995</v>
      </c>
      <c r="H97" s="21">
        <v>0</v>
      </c>
      <c r="I97" s="21">
        <v>394.79999999999995</v>
      </c>
      <c r="J97" s="21">
        <v>0</v>
      </c>
      <c r="K97" s="21">
        <v>332.79999999999995</v>
      </c>
      <c r="L97" s="21">
        <v>0</v>
      </c>
      <c r="M97" s="21">
        <v>270.8</v>
      </c>
      <c r="N97" s="21">
        <v>0</v>
      </c>
      <c r="O97" s="21">
        <v>208.8</v>
      </c>
      <c r="P97" s="21">
        <v>0</v>
      </c>
      <c r="Q97" s="21">
        <v>148.30000000000004</v>
      </c>
      <c r="R97" s="21">
        <v>1.4999999999999982</v>
      </c>
      <c r="W97" s="201"/>
      <c r="X97" s="201"/>
      <c r="CR97" s="20" t="str">
        <f t="shared" ref="CR97:CT97" si="203">CR66</f>
        <v>June</v>
      </c>
      <c r="CS97" s="231">
        <f t="shared" ca="1" si="203"/>
        <v>0</v>
      </c>
      <c r="CT97" s="231">
        <f t="shared" ca="1" si="203"/>
        <v>320.55932330827068</v>
      </c>
      <c r="CU97" s="231">
        <f t="shared" ref="CU97:CV97" ca="1" si="204">CE66</f>
        <v>0</v>
      </c>
      <c r="CV97" s="231">
        <f t="shared" ca="1" si="204"/>
        <v>260.49345864661666</v>
      </c>
      <c r="CW97" s="231">
        <f t="shared" ref="CW97:CX97" ca="1" si="205">BQ66</f>
        <v>0</v>
      </c>
      <c r="CX97" s="231">
        <f t="shared" ca="1" si="205"/>
        <v>200.2822556390978</v>
      </c>
      <c r="CY97" s="231">
        <f t="shared" ref="CY97:CZ97" ca="1" si="206">BC66</f>
        <v>0.43015037593977468</v>
      </c>
      <c r="CZ97" s="231">
        <f t="shared" ca="1" si="206"/>
        <v>140.98947368421068</v>
      </c>
      <c r="DA97" s="231">
        <f t="shared" ref="DA97:DB97" ca="1" si="207">AO66</f>
        <v>9.8091729323307391</v>
      </c>
      <c r="DB97" s="231">
        <f t="shared" ca="1" si="207"/>
        <v>90.368496240601644</v>
      </c>
      <c r="DC97" s="231">
        <f t="shared" ref="DC97:DD97" ca="1" si="208">AA66</f>
        <v>33.226315789473631</v>
      </c>
      <c r="DD97" s="231">
        <f t="shared" ca="1" si="208"/>
        <v>53.785639097744252</v>
      </c>
      <c r="DE97" s="231">
        <f t="shared" ref="DE97:DF97" ca="1" si="209">DG66</f>
        <v>66.471052631578942</v>
      </c>
      <c r="DF97" s="231">
        <f t="shared" ca="1" si="209"/>
        <v>27.030375939849591</v>
      </c>
    </row>
    <row r="98" spans="1:110" x14ac:dyDescent="0.2">
      <c r="A98" s="13">
        <v>39083</v>
      </c>
      <c r="B98">
        <v>2007</v>
      </c>
      <c r="C98">
        <v>1</v>
      </c>
      <c r="D98" s="21">
        <v>-1.3516129032258068</v>
      </c>
      <c r="E98" s="21">
        <v>661.90000000000009</v>
      </c>
      <c r="F98" s="21">
        <v>0</v>
      </c>
      <c r="G98" s="21">
        <v>599.90000000000009</v>
      </c>
      <c r="H98" s="21">
        <v>0</v>
      </c>
      <c r="I98" s="21">
        <v>537.90000000000009</v>
      </c>
      <c r="J98" s="21">
        <v>0</v>
      </c>
      <c r="K98" s="21">
        <v>475.90000000000003</v>
      </c>
      <c r="L98" s="21">
        <v>0</v>
      </c>
      <c r="M98" s="21">
        <v>413.90000000000009</v>
      </c>
      <c r="N98" s="21">
        <v>0</v>
      </c>
      <c r="O98" s="21">
        <v>351.90000000000009</v>
      </c>
      <c r="P98" s="21">
        <v>0</v>
      </c>
      <c r="Q98" s="21">
        <v>291.20000000000005</v>
      </c>
      <c r="R98" s="21">
        <v>1.2999999999999989</v>
      </c>
      <c r="W98" s="201"/>
      <c r="X98" s="201"/>
      <c r="CR98" s="20" t="str">
        <f t="shared" ref="CR98:CT98" si="210">CR67</f>
        <v>July</v>
      </c>
      <c r="CS98" s="231">
        <f t="shared" ca="1" si="210"/>
        <v>0</v>
      </c>
      <c r="CT98" s="231">
        <f t="shared" ca="1" si="210"/>
        <v>463.61864661654181</v>
      </c>
      <c r="CU98" s="231">
        <f t="shared" ref="CU98:CV98" ca="1" si="211">CE67</f>
        <v>0</v>
      </c>
      <c r="CV98" s="231">
        <f t="shared" ca="1" si="211"/>
        <v>401.61864661654181</v>
      </c>
      <c r="CW98" s="231">
        <f t="shared" ref="CW98:CX98" ca="1" si="212">BQ67</f>
        <v>0</v>
      </c>
      <c r="CX98" s="231">
        <f t="shared" ca="1" si="212"/>
        <v>339.61864661654181</v>
      </c>
      <c r="CY98" s="231">
        <f t="shared" ref="CY98:CZ98" ca="1" si="213">BC67</f>
        <v>0</v>
      </c>
      <c r="CZ98" s="231">
        <f t="shared" ca="1" si="213"/>
        <v>277.61864661654181</v>
      </c>
      <c r="DA98" s="231">
        <f t="shared" ref="DA98:DB98" ca="1" si="214">AO67</f>
        <v>3.1879699248122506E-2</v>
      </c>
      <c r="DB98" s="231">
        <f t="shared" ca="1" si="214"/>
        <v>215.65052631578965</v>
      </c>
      <c r="DC98" s="231">
        <f t="shared" ref="DC98:DD98" ca="1" si="215">AA67</f>
        <v>0.89774436090220888</v>
      </c>
      <c r="DD98" s="231">
        <f t="shared" ca="1" si="215"/>
        <v>154.51639097744373</v>
      </c>
      <c r="DE98" s="231">
        <f t="shared" ref="DE98:DF98" ca="1" si="216">DG67</f>
        <v>5.0519548872177893</v>
      </c>
      <c r="DF98" s="231">
        <f t="shared" ca="1" si="216"/>
        <v>96.670601503759372</v>
      </c>
    </row>
    <row r="99" spans="1:110" x14ac:dyDescent="0.2">
      <c r="A99" s="13">
        <v>39114</v>
      </c>
      <c r="B99">
        <v>2007</v>
      </c>
      <c r="C99">
        <v>2</v>
      </c>
      <c r="D99" s="21">
        <v>-6.760714285714287</v>
      </c>
      <c r="E99" s="21">
        <v>749.3</v>
      </c>
      <c r="F99" s="21">
        <v>0</v>
      </c>
      <c r="G99" s="21">
        <v>693.3</v>
      </c>
      <c r="H99" s="21">
        <v>0</v>
      </c>
      <c r="I99" s="21">
        <v>637.29999999999995</v>
      </c>
      <c r="J99" s="21">
        <v>0</v>
      </c>
      <c r="K99" s="21">
        <v>581.29999999999984</v>
      </c>
      <c r="L99" s="21">
        <v>0</v>
      </c>
      <c r="M99" s="21">
        <v>525.29999999999995</v>
      </c>
      <c r="N99" s="21">
        <v>0</v>
      </c>
      <c r="O99" s="21">
        <v>469.2999999999999</v>
      </c>
      <c r="P99" s="21">
        <v>0</v>
      </c>
      <c r="Q99" s="21">
        <v>413.2999999999999</v>
      </c>
      <c r="R99" s="21">
        <v>0</v>
      </c>
      <c r="W99" s="201"/>
      <c r="X99" s="201"/>
      <c r="CR99" s="20" t="str">
        <f t="shared" ref="CR99:CT99" si="217">CR68</f>
        <v>August</v>
      </c>
      <c r="CS99" s="231">
        <f t="shared" ca="1" si="217"/>
        <v>0</v>
      </c>
      <c r="CT99" s="231">
        <f t="shared" ca="1" si="217"/>
        <v>423.04037593984958</v>
      </c>
      <c r="CU99" s="231">
        <f t="shared" ref="CU99:CV99" ca="1" si="218">CE68</f>
        <v>0</v>
      </c>
      <c r="CV99" s="231">
        <f t="shared" ca="1" si="218"/>
        <v>361.04037593984958</v>
      </c>
      <c r="CW99" s="231">
        <f t="shared" ref="CW99:CX99" ca="1" si="219">BQ68</f>
        <v>0</v>
      </c>
      <c r="CX99" s="231">
        <f t="shared" ca="1" si="219"/>
        <v>299.04037593984958</v>
      </c>
      <c r="CY99" s="231">
        <f t="shared" ref="CY99:CZ99" ca="1" si="220">BC68</f>
        <v>0</v>
      </c>
      <c r="CZ99" s="231">
        <f t="shared" ca="1" si="220"/>
        <v>237.04037593984961</v>
      </c>
      <c r="DA99" s="231">
        <f t="shared" ref="DA99:DB99" ca="1" si="221">AO68</f>
        <v>0</v>
      </c>
      <c r="DB99" s="231">
        <f t="shared" ca="1" si="221"/>
        <v>174.99421052631578</v>
      </c>
      <c r="DC99" s="231">
        <f t="shared" ref="DC99:DD99" ca="1" si="222">AA68</f>
        <v>2.7975939849624041</v>
      </c>
      <c r="DD99" s="231">
        <f t="shared" ca="1" si="222"/>
        <v>115.83796992481203</v>
      </c>
      <c r="DE99" s="231">
        <f t="shared" ref="DE99:DF99" ca="1" si="223">DG68</f>
        <v>13.701578947368418</v>
      </c>
      <c r="DF99" s="231">
        <f t="shared" ca="1" si="223"/>
        <v>64.741954887218057</v>
      </c>
    </row>
    <row r="100" spans="1:110" x14ac:dyDescent="0.2">
      <c r="A100" s="13">
        <v>39142</v>
      </c>
      <c r="B100">
        <v>2007</v>
      </c>
      <c r="C100">
        <v>3</v>
      </c>
      <c r="D100" s="21">
        <v>1.1548387096774191</v>
      </c>
      <c r="E100" s="21">
        <v>584.20000000000005</v>
      </c>
      <c r="F100" s="21">
        <v>0</v>
      </c>
      <c r="G100" s="21">
        <v>522.20000000000005</v>
      </c>
      <c r="H100" s="21">
        <v>0</v>
      </c>
      <c r="I100" s="21">
        <v>460.20000000000005</v>
      </c>
      <c r="J100" s="21">
        <v>0</v>
      </c>
      <c r="K100" s="21">
        <v>398.20000000000005</v>
      </c>
      <c r="L100" s="21">
        <v>0</v>
      </c>
      <c r="M100" s="21">
        <v>336.2</v>
      </c>
      <c r="N100" s="21">
        <v>0</v>
      </c>
      <c r="O100" s="21">
        <v>275.5</v>
      </c>
      <c r="P100" s="21">
        <v>1.3000000000000007</v>
      </c>
      <c r="Q100" s="21">
        <v>218.70000000000005</v>
      </c>
      <c r="R100" s="21">
        <v>6.5000000000000018</v>
      </c>
      <c r="W100" s="201"/>
      <c r="X100" s="201"/>
      <c r="CR100" s="20" t="str">
        <f t="shared" ref="CR100:CT100" si="224">CR69</f>
        <v>September</v>
      </c>
      <c r="CS100" s="231">
        <f t="shared" ca="1" si="224"/>
        <v>0</v>
      </c>
      <c r="CT100" s="231">
        <f t="shared" ca="1" si="224"/>
        <v>321.52789473684243</v>
      </c>
      <c r="CU100" s="231">
        <f t="shared" ref="CU100:CV100" ca="1" si="225">CE69</f>
        <v>0</v>
      </c>
      <c r="CV100" s="231">
        <f t="shared" ca="1" si="225"/>
        <v>261.02804511278191</v>
      </c>
      <c r="CW100" s="231">
        <f t="shared" ref="CW100:CX100" ca="1" si="226">BQ69</f>
        <v>0</v>
      </c>
      <c r="CX100" s="231">
        <f t="shared" ca="1" si="226"/>
        <v>200.27511278195493</v>
      </c>
      <c r="CY100" s="231">
        <f t="shared" ref="CY100:CZ100" ca="1" si="227">BC69</f>
        <v>1.0557142857142026</v>
      </c>
      <c r="CZ100" s="231">
        <f t="shared" ca="1" si="227"/>
        <v>142.7893233082707</v>
      </c>
      <c r="DA100" s="231">
        <f t="shared" ref="DA100:DB100" ca="1" si="228">AO69</f>
        <v>11.426917293233146</v>
      </c>
      <c r="DB100" s="231">
        <f t="shared" ca="1" si="228"/>
        <v>93.160526315789411</v>
      </c>
      <c r="DC100" s="231">
        <f t="shared" ref="DC100:DD100" ca="1" si="229">AA69</f>
        <v>32.993308270676835</v>
      </c>
      <c r="DD100" s="231">
        <f t="shared" ca="1" si="229"/>
        <v>54.7269172932331</v>
      </c>
      <c r="DE100" s="231">
        <f t="shared" ref="DE100:DF100" ca="1" si="230">DG69</f>
        <v>67.301278195488749</v>
      </c>
      <c r="DF100" s="231">
        <f t="shared" ca="1" si="230"/>
        <v>29.034887218045242</v>
      </c>
    </row>
    <row r="101" spans="1:110" x14ac:dyDescent="0.2">
      <c r="A101" s="13">
        <v>39173</v>
      </c>
      <c r="B101">
        <v>2007</v>
      </c>
      <c r="C101">
        <v>4</v>
      </c>
      <c r="D101" s="21">
        <v>6.0633333333333335</v>
      </c>
      <c r="E101" s="21">
        <v>418.09999999999997</v>
      </c>
      <c r="F101" s="21">
        <v>0</v>
      </c>
      <c r="G101" s="21">
        <v>358.09999999999997</v>
      </c>
      <c r="H101" s="21">
        <v>0</v>
      </c>
      <c r="I101" s="21">
        <v>299.7</v>
      </c>
      <c r="J101" s="21">
        <v>1.6000000000000014</v>
      </c>
      <c r="K101" s="21">
        <v>244</v>
      </c>
      <c r="L101" s="21">
        <v>5.9000000000000021</v>
      </c>
      <c r="M101" s="21">
        <v>191.8</v>
      </c>
      <c r="N101" s="21">
        <v>13.700000000000003</v>
      </c>
      <c r="O101" s="21">
        <v>144.30000000000001</v>
      </c>
      <c r="P101" s="21">
        <v>26.200000000000003</v>
      </c>
      <c r="Q101" s="21">
        <v>102.69999999999999</v>
      </c>
      <c r="R101" s="21">
        <v>44.599999999999994</v>
      </c>
      <c r="W101" s="201"/>
      <c r="X101" s="201"/>
      <c r="CR101" s="20" t="str">
        <f t="shared" ref="CR101:CT101" si="231">CR70</f>
        <v>October</v>
      </c>
      <c r="CS101" s="231">
        <f t="shared" ca="1" si="231"/>
        <v>7.217293233082728</v>
      </c>
      <c r="CT101" s="231">
        <f t="shared" ca="1" si="231"/>
        <v>145.95766917293167</v>
      </c>
      <c r="CU101" s="231">
        <f t="shared" ref="CU101:CV101" ca="1" si="232">CE70</f>
        <v>20.514135338346023</v>
      </c>
      <c r="CV101" s="231">
        <f t="shared" ca="1" si="232"/>
        <v>97.254511278195423</v>
      </c>
      <c r="CW101" s="231">
        <f t="shared" ref="CW101:CX101" ca="1" si="233">BQ70</f>
        <v>44.825413533834308</v>
      </c>
      <c r="CX101" s="231">
        <f t="shared" ca="1" si="233"/>
        <v>59.565789473684163</v>
      </c>
      <c r="CY101" s="231">
        <f t="shared" ref="CY101:CZ101" ca="1" si="234">BC70</f>
        <v>80.162781954887123</v>
      </c>
      <c r="CZ101" s="231">
        <f t="shared" ca="1" si="234"/>
        <v>32.903157894736978</v>
      </c>
      <c r="DA101" s="231">
        <f t="shared" ref="DA101:DB101" ca="1" si="235">AO70</f>
        <v>124.46135338345903</v>
      </c>
      <c r="DB101" s="231">
        <f t="shared" ca="1" si="235"/>
        <v>15.201729323308314</v>
      </c>
      <c r="DC101" s="231">
        <f t="shared" ref="DC101:DD101" ca="1" si="236">AA70</f>
        <v>176.8975187969927</v>
      </c>
      <c r="DD101" s="231">
        <f t="shared" ca="1" si="236"/>
        <v>5.6378947368420995</v>
      </c>
      <c r="DE101" s="231">
        <f t="shared" ref="DE101:DF101" ca="1" si="237">DG70</f>
        <v>235.24413533834559</v>
      </c>
      <c r="DF101" s="231">
        <f t="shared" ca="1" si="237"/>
        <v>1.9845112781954839</v>
      </c>
    </row>
    <row r="102" spans="1:110" x14ac:dyDescent="0.2">
      <c r="A102" s="13">
        <v>39203</v>
      </c>
      <c r="B102">
        <v>2007</v>
      </c>
      <c r="C102">
        <v>5</v>
      </c>
      <c r="D102" s="21">
        <v>13.348387096774195</v>
      </c>
      <c r="E102" s="21">
        <v>212.39999999999998</v>
      </c>
      <c r="F102" s="21">
        <v>6.1999999999999993</v>
      </c>
      <c r="G102" s="21">
        <v>158.79999999999998</v>
      </c>
      <c r="H102" s="21">
        <v>14.599999999999998</v>
      </c>
      <c r="I102" s="21">
        <v>110.09999999999998</v>
      </c>
      <c r="J102" s="21">
        <v>27.9</v>
      </c>
      <c r="K102" s="21">
        <v>69.5</v>
      </c>
      <c r="L102" s="21">
        <v>49.29999999999999</v>
      </c>
      <c r="M102" s="21">
        <v>36</v>
      </c>
      <c r="N102" s="21">
        <v>77.800000000000011</v>
      </c>
      <c r="O102" s="21">
        <v>11.499999999999998</v>
      </c>
      <c r="P102" s="21">
        <v>115.30000000000001</v>
      </c>
      <c r="Q102" s="21">
        <v>1.0999999999999996</v>
      </c>
      <c r="R102" s="21">
        <v>166.89999999999998</v>
      </c>
      <c r="W102" s="201"/>
      <c r="X102" s="201"/>
      <c r="CR102" s="20" t="str">
        <f t="shared" ref="CR102:CT102" si="238">CR71</f>
        <v>November</v>
      </c>
      <c r="CS102" s="231">
        <f t="shared" ca="1" si="238"/>
        <v>125.04037593984958</v>
      </c>
      <c r="CT102" s="231">
        <f t="shared" ca="1" si="238"/>
        <v>19.380075187969851</v>
      </c>
      <c r="CU102" s="231">
        <f t="shared" ref="CU102:CV102" ca="1" si="239">CE71</f>
        <v>174.41969924812111</v>
      </c>
      <c r="CV102" s="231">
        <f t="shared" ca="1" si="239"/>
        <v>8.7593984962406068</v>
      </c>
      <c r="CW102" s="231">
        <f t="shared" ref="CW102:CX102" ca="1" si="240">BQ71</f>
        <v>228.39593984962357</v>
      </c>
      <c r="CX102" s="231">
        <f t="shared" ca="1" si="240"/>
        <v>2.7356390977443539</v>
      </c>
      <c r="CY102" s="231">
        <f t="shared" ref="CY102:CZ102" ca="1" si="241">BC71</f>
        <v>286.40015037594003</v>
      </c>
      <c r="CZ102" s="231">
        <f t="shared" ca="1" si="241"/>
        <v>0.73984962406014887</v>
      </c>
      <c r="DA102" s="231">
        <f t="shared" ref="DA102:DB102" ca="1" si="242">AO71</f>
        <v>345.67481203007446</v>
      </c>
      <c r="DB102" s="231">
        <f t="shared" ca="1" si="242"/>
        <v>1.451127819548903E-2</v>
      </c>
      <c r="DC102" s="231">
        <f t="shared" ref="DC102:DD102" ca="1" si="243">AA71</f>
        <v>405.66030075188064</v>
      </c>
      <c r="DD102" s="231">
        <f t="shared" ca="1" si="243"/>
        <v>0</v>
      </c>
      <c r="DE102" s="231">
        <f t="shared" ref="DE102:DF102" ca="1" si="244">DG71</f>
        <v>465.66030075188064</v>
      </c>
      <c r="DF102" s="231">
        <f t="shared" ca="1" si="244"/>
        <v>0</v>
      </c>
    </row>
    <row r="103" spans="1:110" x14ac:dyDescent="0.2">
      <c r="A103" s="13">
        <v>39234</v>
      </c>
      <c r="B103">
        <v>2007</v>
      </c>
      <c r="C103">
        <v>6</v>
      </c>
      <c r="D103" s="21">
        <v>20.683333333333334</v>
      </c>
      <c r="E103" s="21">
        <v>33.200000000000003</v>
      </c>
      <c r="F103" s="21">
        <v>53.7</v>
      </c>
      <c r="G103" s="21">
        <v>13.600000000000001</v>
      </c>
      <c r="H103" s="21">
        <v>94.1</v>
      </c>
      <c r="I103" s="21">
        <v>3.5</v>
      </c>
      <c r="J103" s="21">
        <v>144</v>
      </c>
      <c r="K103" s="21">
        <v>0</v>
      </c>
      <c r="L103" s="21">
        <v>200.50000000000003</v>
      </c>
      <c r="M103" s="21">
        <v>0</v>
      </c>
      <c r="N103" s="21">
        <v>260.5</v>
      </c>
      <c r="O103" s="21">
        <v>0</v>
      </c>
      <c r="P103" s="21">
        <v>320.5</v>
      </c>
      <c r="Q103" s="21">
        <v>0</v>
      </c>
      <c r="R103" s="21">
        <v>380.49999999999994</v>
      </c>
      <c r="W103" s="201"/>
      <c r="X103" s="201"/>
      <c r="CR103" s="20" t="str">
        <f>CR72</f>
        <v>December</v>
      </c>
      <c r="CS103" s="231">
        <f ca="1">CS72</f>
        <v>211.7577443609016</v>
      </c>
      <c r="CT103" s="231">
        <f ca="1">CT72</f>
        <v>1.1316541353383371</v>
      </c>
      <c r="CU103" s="231">
        <f ca="1">CE72</f>
        <v>272.41744360902248</v>
      </c>
      <c r="CV103" s="231">
        <f ca="1">CF72</f>
        <v>0</v>
      </c>
      <c r="CW103" s="231">
        <f ca="1">BQ72</f>
        <v>334.3351127819551</v>
      </c>
      <c r="CX103" s="231">
        <f ca="1">BR72</f>
        <v>0</v>
      </c>
      <c r="CY103" s="231">
        <f ca="1">BC72</f>
        <v>396.52909774436102</v>
      </c>
      <c r="CZ103" s="231">
        <f ca="1">BD72</f>
        <v>0</v>
      </c>
      <c r="DA103" s="231">
        <f ca="1">AO72</f>
        <v>458.62609022556353</v>
      </c>
      <c r="DB103" s="231">
        <f ca="1">AP72</f>
        <v>0</v>
      </c>
      <c r="DC103" s="231">
        <f ca="1">AA72</f>
        <v>520.62609022556444</v>
      </c>
      <c r="DD103" s="231">
        <f ca="1">AB72</f>
        <v>0</v>
      </c>
      <c r="DE103" s="231">
        <f ca="1">DG72</f>
        <v>582.62609022556444</v>
      </c>
      <c r="DF103" s="231">
        <f ca="1">DH72</f>
        <v>0</v>
      </c>
    </row>
    <row r="104" spans="1:110" x14ac:dyDescent="0.2">
      <c r="A104" s="13">
        <v>39264</v>
      </c>
      <c r="B104">
        <v>2007</v>
      </c>
      <c r="C104">
        <v>7</v>
      </c>
      <c r="D104" s="21">
        <v>20.712903225806453</v>
      </c>
      <c r="E104" s="21">
        <v>17.900000000000002</v>
      </c>
      <c r="F104" s="21">
        <v>40</v>
      </c>
      <c r="G104" s="21">
        <v>1.6000000000000014</v>
      </c>
      <c r="H104" s="21">
        <v>85.700000000000017</v>
      </c>
      <c r="I104" s="21">
        <v>0</v>
      </c>
      <c r="J104" s="21">
        <v>146.1</v>
      </c>
      <c r="K104" s="21">
        <v>0</v>
      </c>
      <c r="L104" s="21">
        <v>208.09999999999997</v>
      </c>
      <c r="M104" s="21">
        <v>0</v>
      </c>
      <c r="N104" s="21">
        <v>270.09999999999997</v>
      </c>
      <c r="O104" s="21">
        <v>0</v>
      </c>
      <c r="P104" s="21">
        <v>332.09999999999997</v>
      </c>
      <c r="Q104" s="21">
        <v>0</v>
      </c>
      <c r="R104" s="21">
        <v>394.09999999999997</v>
      </c>
      <c r="W104" s="201"/>
      <c r="X104" s="201"/>
    </row>
    <row r="105" spans="1:110" x14ac:dyDescent="0.2">
      <c r="A105" s="13">
        <v>39295</v>
      </c>
      <c r="B105">
        <v>2007</v>
      </c>
      <c r="C105">
        <v>8</v>
      </c>
      <c r="D105" s="21">
        <v>22.177419354838705</v>
      </c>
      <c r="E105" s="21">
        <v>13.8</v>
      </c>
      <c r="F105" s="21">
        <v>81.3</v>
      </c>
      <c r="G105" s="21">
        <v>2.600000000000005</v>
      </c>
      <c r="H105" s="21">
        <v>132.1</v>
      </c>
      <c r="I105" s="21">
        <v>0</v>
      </c>
      <c r="J105" s="21">
        <v>191.50000000000003</v>
      </c>
      <c r="K105" s="21">
        <v>0</v>
      </c>
      <c r="L105" s="21">
        <v>253.50000000000006</v>
      </c>
      <c r="M105" s="21">
        <v>0</v>
      </c>
      <c r="N105" s="21">
        <v>315.50000000000011</v>
      </c>
      <c r="O105" s="21">
        <v>0</v>
      </c>
      <c r="P105" s="21">
        <v>377.5</v>
      </c>
      <c r="Q105" s="21">
        <v>0</v>
      </c>
      <c r="R105" s="21">
        <v>439.5</v>
      </c>
      <c r="W105" s="201"/>
      <c r="X105" s="201"/>
    </row>
    <row r="106" spans="1:110" x14ac:dyDescent="0.2">
      <c r="A106" s="13">
        <v>39326</v>
      </c>
      <c r="B106">
        <v>2007</v>
      </c>
      <c r="C106">
        <v>9</v>
      </c>
      <c r="D106" s="21">
        <v>18.79666666666667</v>
      </c>
      <c r="E106" s="21">
        <v>61.800000000000004</v>
      </c>
      <c r="F106" s="21">
        <v>25.700000000000003</v>
      </c>
      <c r="G106" s="21">
        <v>29.100000000000005</v>
      </c>
      <c r="H106" s="21">
        <v>53.000000000000007</v>
      </c>
      <c r="I106" s="21">
        <v>10.299999999999999</v>
      </c>
      <c r="J106" s="21">
        <v>94.199999999999989</v>
      </c>
      <c r="K106" s="21">
        <v>3.2999999999999989</v>
      </c>
      <c r="L106" s="21">
        <v>147.19999999999999</v>
      </c>
      <c r="M106" s="21">
        <v>0.69999999999999929</v>
      </c>
      <c r="N106" s="21">
        <v>204.6</v>
      </c>
      <c r="O106" s="21">
        <v>0</v>
      </c>
      <c r="P106" s="21">
        <v>263.89999999999998</v>
      </c>
      <c r="Q106" s="21">
        <v>0</v>
      </c>
      <c r="R106" s="21">
        <v>323.89999999999998</v>
      </c>
      <c r="W106" s="201"/>
      <c r="X106" s="201"/>
    </row>
    <row r="107" spans="1:110" x14ac:dyDescent="0.2">
      <c r="A107" s="13">
        <v>39356</v>
      </c>
      <c r="B107">
        <v>2007</v>
      </c>
      <c r="C107">
        <v>10</v>
      </c>
      <c r="D107" s="21">
        <v>14.890322580645163</v>
      </c>
      <c r="E107" s="21">
        <v>165.89999999999998</v>
      </c>
      <c r="F107" s="21">
        <v>7.4999999999999964</v>
      </c>
      <c r="G107" s="21">
        <v>118.5</v>
      </c>
      <c r="H107" s="21">
        <v>22.1</v>
      </c>
      <c r="I107" s="21">
        <v>77.500000000000028</v>
      </c>
      <c r="J107" s="21">
        <v>43.100000000000009</v>
      </c>
      <c r="K107" s="21">
        <v>41.3</v>
      </c>
      <c r="L107" s="21">
        <v>68.900000000000006</v>
      </c>
      <c r="M107" s="21">
        <v>16.599999999999998</v>
      </c>
      <c r="N107" s="21">
        <v>106.19999999999999</v>
      </c>
      <c r="O107" s="21">
        <v>4.8</v>
      </c>
      <c r="P107" s="21">
        <v>156.39999999999995</v>
      </c>
      <c r="Q107" s="21">
        <v>1.2000000000000002</v>
      </c>
      <c r="R107" s="21">
        <v>214.79999999999995</v>
      </c>
      <c r="W107" s="201"/>
      <c r="X107" s="201"/>
    </row>
    <row r="108" spans="1:110" x14ac:dyDescent="0.2">
      <c r="A108" s="13">
        <v>39387</v>
      </c>
      <c r="B108">
        <v>2007</v>
      </c>
      <c r="C108">
        <v>11</v>
      </c>
      <c r="D108" s="21">
        <v>4.6066666666666665</v>
      </c>
      <c r="E108" s="21">
        <v>461.8</v>
      </c>
      <c r="F108" s="21">
        <v>0</v>
      </c>
      <c r="G108" s="21">
        <v>401.8</v>
      </c>
      <c r="H108" s="21">
        <v>0</v>
      </c>
      <c r="I108" s="21">
        <v>341.8</v>
      </c>
      <c r="J108" s="21">
        <v>0</v>
      </c>
      <c r="K108" s="21">
        <v>281.80000000000007</v>
      </c>
      <c r="L108" s="21">
        <v>0</v>
      </c>
      <c r="M108" s="21">
        <v>223.20000000000005</v>
      </c>
      <c r="N108" s="21">
        <v>1.4000000000000004</v>
      </c>
      <c r="O108" s="21">
        <v>165.5</v>
      </c>
      <c r="P108" s="21">
        <v>3.6999999999999993</v>
      </c>
      <c r="Q108" s="21">
        <v>114.1</v>
      </c>
      <c r="R108" s="21">
        <v>12.299999999999999</v>
      </c>
      <c r="W108" s="201"/>
      <c r="X108" s="201"/>
    </row>
    <row r="109" spans="1:110" x14ac:dyDescent="0.2">
      <c r="A109" s="13">
        <v>39417</v>
      </c>
      <c r="B109">
        <v>2007</v>
      </c>
      <c r="C109">
        <v>12</v>
      </c>
      <c r="D109" s="21">
        <v>-0.61612903225806426</v>
      </c>
      <c r="E109" s="21">
        <v>639.09999999999991</v>
      </c>
      <c r="F109" s="21">
        <v>0</v>
      </c>
      <c r="G109" s="21">
        <v>577.0999999999998</v>
      </c>
      <c r="H109" s="21">
        <v>0</v>
      </c>
      <c r="I109" s="21">
        <v>515.0999999999998</v>
      </c>
      <c r="J109" s="21">
        <v>0</v>
      </c>
      <c r="K109" s="21">
        <v>453.09999999999991</v>
      </c>
      <c r="L109" s="21">
        <v>0</v>
      </c>
      <c r="M109" s="21">
        <v>391.09999999999991</v>
      </c>
      <c r="N109" s="21">
        <v>0</v>
      </c>
      <c r="O109" s="21">
        <v>329.09999999999997</v>
      </c>
      <c r="P109" s="21">
        <v>0</v>
      </c>
      <c r="Q109" s="21">
        <v>267.10000000000002</v>
      </c>
      <c r="R109" s="21">
        <v>0</v>
      </c>
      <c r="W109" s="201"/>
      <c r="X109" s="201"/>
    </row>
    <row r="110" spans="1:110" x14ac:dyDescent="0.2">
      <c r="A110" s="13">
        <v>39448</v>
      </c>
      <c r="B110">
        <v>2008</v>
      </c>
      <c r="C110">
        <v>1</v>
      </c>
      <c r="D110" s="21">
        <v>-0.34838709677419355</v>
      </c>
      <c r="E110" s="21">
        <v>630.79999999999995</v>
      </c>
      <c r="F110" s="21">
        <v>0</v>
      </c>
      <c r="G110" s="21">
        <v>568.79999999999995</v>
      </c>
      <c r="H110" s="21">
        <v>0</v>
      </c>
      <c r="I110" s="21">
        <v>506.8</v>
      </c>
      <c r="J110" s="21">
        <v>0</v>
      </c>
      <c r="K110" s="21">
        <v>444.8</v>
      </c>
      <c r="L110" s="21">
        <v>0</v>
      </c>
      <c r="M110" s="21">
        <v>385.59999999999997</v>
      </c>
      <c r="N110" s="21">
        <v>2.8000000000000007</v>
      </c>
      <c r="O110" s="21">
        <v>327.60000000000002</v>
      </c>
      <c r="P110" s="21">
        <v>6.8000000000000007</v>
      </c>
      <c r="Q110" s="21">
        <v>269.60000000000002</v>
      </c>
      <c r="R110" s="21">
        <v>10.8</v>
      </c>
      <c r="W110" s="201"/>
      <c r="X110" s="201"/>
    </row>
    <row r="111" spans="1:110" x14ac:dyDescent="0.2">
      <c r="A111" s="13">
        <v>39479</v>
      </c>
      <c r="B111">
        <v>2008</v>
      </c>
      <c r="C111">
        <v>2</v>
      </c>
      <c r="D111" s="21">
        <v>-3.3103448275862064</v>
      </c>
      <c r="E111" s="21">
        <v>675.99999999999989</v>
      </c>
      <c r="F111" s="21">
        <v>0</v>
      </c>
      <c r="G111" s="21">
        <v>617.99999999999989</v>
      </c>
      <c r="H111" s="21">
        <v>0</v>
      </c>
      <c r="I111" s="21">
        <v>559.99999999999989</v>
      </c>
      <c r="J111" s="21">
        <v>0</v>
      </c>
      <c r="K111" s="21">
        <v>502.00000000000006</v>
      </c>
      <c r="L111" s="21">
        <v>0</v>
      </c>
      <c r="M111" s="21">
        <v>444</v>
      </c>
      <c r="N111" s="21">
        <v>0</v>
      </c>
      <c r="O111" s="21">
        <v>386.00000000000006</v>
      </c>
      <c r="P111" s="21">
        <v>0</v>
      </c>
      <c r="Q111" s="21">
        <v>328.00000000000006</v>
      </c>
      <c r="R111" s="21">
        <v>0</v>
      </c>
      <c r="W111" s="201"/>
      <c r="X111" s="201"/>
    </row>
    <row r="112" spans="1:110" x14ac:dyDescent="0.2">
      <c r="A112" s="13">
        <v>39508</v>
      </c>
      <c r="B112">
        <v>2008</v>
      </c>
      <c r="C112">
        <v>3</v>
      </c>
      <c r="D112" s="21">
        <v>-0.29032258064516142</v>
      </c>
      <c r="E112" s="21">
        <v>629.00000000000011</v>
      </c>
      <c r="F112" s="21">
        <v>0</v>
      </c>
      <c r="G112" s="21">
        <v>567.00000000000011</v>
      </c>
      <c r="H112" s="21">
        <v>0</v>
      </c>
      <c r="I112" s="21">
        <v>505.00000000000011</v>
      </c>
      <c r="J112" s="21">
        <v>0</v>
      </c>
      <c r="K112" s="21">
        <v>443.00000000000011</v>
      </c>
      <c r="L112" s="21">
        <v>0</v>
      </c>
      <c r="M112" s="21">
        <v>381.00000000000006</v>
      </c>
      <c r="N112" s="21">
        <v>0</v>
      </c>
      <c r="O112" s="21">
        <v>319.00000000000006</v>
      </c>
      <c r="P112" s="21">
        <v>0</v>
      </c>
      <c r="Q112" s="21">
        <v>257</v>
      </c>
      <c r="R112" s="21">
        <v>0</v>
      </c>
      <c r="W112" s="201"/>
      <c r="X112" s="201"/>
    </row>
    <row r="113" spans="1:24" x14ac:dyDescent="0.2">
      <c r="A113" s="13">
        <v>39539</v>
      </c>
      <c r="B113">
        <v>2008</v>
      </c>
      <c r="C113">
        <v>4</v>
      </c>
      <c r="D113" s="21">
        <v>7.85</v>
      </c>
      <c r="E113" s="21">
        <v>364.5</v>
      </c>
      <c r="F113" s="21">
        <v>0</v>
      </c>
      <c r="G113" s="21">
        <v>304.5</v>
      </c>
      <c r="H113" s="21">
        <v>0</v>
      </c>
      <c r="I113" s="21">
        <v>244.49999999999997</v>
      </c>
      <c r="J113" s="21">
        <v>0</v>
      </c>
      <c r="K113" s="21">
        <v>184.49999999999997</v>
      </c>
      <c r="L113" s="21">
        <v>0</v>
      </c>
      <c r="M113" s="21">
        <v>129</v>
      </c>
      <c r="N113" s="21">
        <v>4.5</v>
      </c>
      <c r="O113" s="21">
        <v>81.600000000000023</v>
      </c>
      <c r="P113" s="21">
        <v>17.100000000000001</v>
      </c>
      <c r="Q113" s="21">
        <v>45.000000000000007</v>
      </c>
      <c r="R113" s="21">
        <v>40.499999999999993</v>
      </c>
      <c r="W113" s="201"/>
      <c r="X113" s="201"/>
    </row>
    <row r="114" spans="1:24" x14ac:dyDescent="0.2">
      <c r="A114" s="13">
        <v>39569</v>
      </c>
      <c r="B114">
        <v>2008</v>
      </c>
      <c r="C114">
        <v>5</v>
      </c>
      <c r="D114" s="21">
        <v>11.938709677419356</v>
      </c>
      <c r="E114" s="21">
        <v>249.9</v>
      </c>
      <c r="F114" s="21">
        <v>0</v>
      </c>
      <c r="G114" s="21">
        <v>190.39999999999995</v>
      </c>
      <c r="H114" s="21">
        <v>2.5</v>
      </c>
      <c r="I114" s="21">
        <v>132.9</v>
      </c>
      <c r="J114" s="21">
        <v>7</v>
      </c>
      <c r="K114" s="21">
        <v>80.100000000000009</v>
      </c>
      <c r="L114" s="21">
        <v>16.200000000000003</v>
      </c>
      <c r="M114" s="21">
        <v>40.200000000000003</v>
      </c>
      <c r="N114" s="21">
        <v>38.299999999999997</v>
      </c>
      <c r="O114" s="21">
        <v>14.600000000000001</v>
      </c>
      <c r="P114" s="21">
        <v>74.7</v>
      </c>
      <c r="Q114" s="21">
        <v>4.5999999999999996</v>
      </c>
      <c r="R114" s="21">
        <v>126.69999999999999</v>
      </c>
      <c r="W114" s="201"/>
      <c r="X114" s="201"/>
    </row>
    <row r="115" spans="1:24" x14ac:dyDescent="0.2">
      <c r="A115" s="13">
        <v>39600</v>
      </c>
      <c r="B115">
        <v>2008</v>
      </c>
      <c r="C115">
        <v>6</v>
      </c>
      <c r="D115" s="21">
        <v>19.183333333333334</v>
      </c>
      <c r="E115" s="21">
        <v>57.199999999999989</v>
      </c>
      <c r="F115" s="21">
        <v>32.700000000000003</v>
      </c>
      <c r="G115" s="21">
        <v>32.199999999999996</v>
      </c>
      <c r="H115" s="21">
        <v>67.7</v>
      </c>
      <c r="I115" s="21">
        <v>14.3</v>
      </c>
      <c r="J115" s="21">
        <v>109.80000000000001</v>
      </c>
      <c r="K115" s="21">
        <v>2.1999999999999993</v>
      </c>
      <c r="L115" s="21">
        <v>157.69999999999999</v>
      </c>
      <c r="M115" s="21">
        <v>0</v>
      </c>
      <c r="N115" s="21">
        <v>215.5</v>
      </c>
      <c r="O115" s="21">
        <v>0</v>
      </c>
      <c r="P115" s="21">
        <v>275.5</v>
      </c>
      <c r="Q115" s="21">
        <v>0</v>
      </c>
      <c r="R115" s="21">
        <v>335.5</v>
      </c>
      <c r="W115" s="201"/>
      <c r="X115" s="201"/>
    </row>
    <row r="116" spans="1:24" x14ac:dyDescent="0.2">
      <c r="A116" s="13">
        <v>39630</v>
      </c>
      <c r="B116">
        <v>2008</v>
      </c>
      <c r="C116">
        <v>7</v>
      </c>
      <c r="D116" s="21">
        <v>21.625806451612902</v>
      </c>
      <c r="E116" s="21">
        <v>13.200000000000003</v>
      </c>
      <c r="F116" s="21">
        <v>63.599999999999994</v>
      </c>
      <c r="G116" s="21">
        <v>2.3000000000000007</v>
      </c>
      <c r="H116" s="21">
        <v>114.70000000000002</v>
      </c>
      <c r="I116" s="21">
        <v>0</v>
      </c>
      <c r="J116" s="21">
        <v>174.4</v>
      </c>
      <c r="K116" s="21">
        <v>0</v>
      </c>
      <c r="L116" s="21">
        <v>236.4</v>
      </c>
      <c r="M116" s="21">
        <v>0</v>
      </c>
      <c r="N116" s="21">
        <v>298.40000000000003</v>
      </c>
      <c r="O116" s="21">
        <v>0</v>
      </c>
      <c r="P116" s="21">
        <v>360.40000000000003</v>
      </c>
      <c r="Q116" s="21">
        <v>0</v>
      </c>
      <c r="R116" s="21">
        <v>422.40000000000003</v>
      </c>
      <c r="W116" s="201"/>
      <c r="X116" s="201"/>
    </row>
    <row r="117" spans="1:24" x14ac:dyDescent="0.2">
      <c r="A117" s="13">
        <v>39661</v>
      </c>
      <c r="B117">
        <v>2008</v>
      </c>
      <c r="C117">
        <v>8</v>
      </c>
      <c r="D117" s="21">
        <v>20.038709677419352</v>
      </c>
      <c r="E117" s="21">
        <v>30.900000000000006</v>
      </c>
      <c r="F117" s="21">
        <v>32.099999999999994</v>
      </c>
      <c r="G117" s="21">
        <v>8.1000000000000014</v>
      </c>
      <c r="H117" s="21">
        <v>71.3</v>
      </c>
      <c r="I117" s="21">
        <v>1</v>
      </c>
      <c r="J117" s="21">
        <v>126.19999999999997</v>
      </c>
      <c r="K117" s="21">
        <v>0</v>
      </c>
      <c r="L117" s="21">
        <v>187.2</v>
      </c>
      <c r="M117" s="21">
        <v>0</v>
      </c>
      <c r="N117" s="21">
        <v>249.2</v>
      </c>
      <c r="O117" s="21">
        <v>0</v>
      </c>
      <c r="P117" s="21">
        <v>311.20000000000005</v>
      </c>
      <c r="Q117" s="21">
        <v>0</v>
      </c>
      <c r="R117" s="21">
        <v>373.2</v>
      </c>
      <c r="W117" s="201"/>
      <c r="X117" s="201"/>
    </row>
    <row r="118" spans="1:24" x14ac:dyDescent="0.2">
      <c r="A118" s="13">
        <v>39692</v>
      </c>
      <c r="B118">
        <v>2008</v>
      </c>
      <c r="C118">
        <v>9</v>
      </c>
      <c r="D118" s="21">
        <v>17.933333333333334</v>
      </c>
      <c r="E118" s="21">
        <v>77.8</v>
      </c>
      <c r="F118" s="21">
        <v>15.800000000000004</v>
      </c>
      <c r="G118" s="21">
        <v>36.599999999999994</v>
      </c>
      <c r="H118" s="21">
        <v>34.6</v>
      </c>
      <c r="I118" s="21">
        <v>8.6999999999999993</v>
      </c>
      <c r="J118" s="21">
        <v>66.7</v>
      </c>
      <c r="K118" s="21">
        <v>0</v>
      </c>
      <c r="L118" s="21">
        <v>117.99999999999996</v>
      </c>
      <c r="M118" s="21">
        <v>0</v>
      </c>
      <c r="N118" s="21">
        <v>178</v>
      </c>
      <c r="O118" s="21">
        <v>0</v>
      </c>
      <c r="P118" s="21">
        <v>238.00000000000003</v>
      </c>
      <c r="Q118" s="21">
        <v>0</v>
      </c>
      <c r="R118" s="21">
        <v>298</v>
      </c>
      <c r="W118" s="201"/>
      <c r="X118" s="201"/>
    </row>
    <row r="119" spans="1:24" x14ac:dyDescent="0.2">
      <c r="A119" s="13">
        <v>39722</v>
      </c>
      <c r="B119">
        <v>2008</v>
      </c>
      <c r="C119">
        <v>10</v>
      </c>
      <c r="D119" s="21">
        <v>10.567741935483873</v>
      </c>
      <c r="E119" s="21">
        <v>292.39999999999998</v>
      </c>
      <c r="F119" s="21">
        <v>0</v>
      </c>
      <c r="G119" s="21">
        <v>231.50000000000003</v>
      </c>
      <c r="H119" s="21">
        <v>1.1000000000000014</v>
      </c>
      <c r="I119" s="21">
        <v>171.60000000000002</v>
      </c>
      <c r="J119" s="21">
        <v>3.2000000000000028</v>
      </c>
      <c r="K119" s="21">
        <v>114.9</v>
      </c>
      <c r="L119" s="21">
        <v>8.5000000000000036</v>
      </c>
      <c r="M119" s="21">
        <v>68.2</v>
      </c>
      <c r="N119" s="21">
        <v>23.800000000000004</v>
      </c>
      <c r="O119" s="21">
        <v>35.1</v>
      </c>
      <c r="P119" s="21">
        <v>52.70000000000001</v>
      </c>
      <c r="Q119" s="21">
        <v>17.200000000000003</v>
      </c>
      <c r="R119" s="21">
        <v>96.799999999999983</v>
      </c>
      <c r="W119" s="201"/>
      <c r="X119" s="201"/>
    </row>
    <row r="120" spans="1:24" x14ac:dyDescent="0.2">
      <c r="A120" s="13">
        <v>39753</v>
      </c>
      <c r="B120">
        <v>2008</v>
      </c>
      <c r="C120">
        <v>11</v>
      </c>
      <c r="D120" s="21">
        <v>4.206666666666667</v>
      </c>
      <c r="E120" s="21">
        <v>473.8</v>
      </c>
      <c r="F120" s="21">
        <v>0</v>
      </c>
      <c r="G120" s="21">
        <v>413.80000000000007</v>
      </c>
      <c r="H120" s="21">
        <v>0</v>
      </c>
      <c r="I120" s="21">
        <v>353.80000000000007</v>
      </c>
      <c r="J120" s="21">
        <v>0</v>
      </c>
      <c r="K120" s="21">
        <v>295.10000000000008</v>
      </c>
      <c r="L120" s="21">
        <v>1.3000000000000007</v>
      </c>
      <c r="M120" s="21">
        <v>237.10000000000005</v>
      </c>
      <c r="N120" s="21">
        <v>3.3000000000000007</v>
      </c>
      <c r="O120" s="21">
        <v>184.70000000000005</v>
      </c>
      <c r="P120" s="21">
        <v>10.9</v>
      </c>
      <c r="Q120" s="21">
        <v>136.5</v>
      </c>
      <c r="R120" s="21">
        <v>22.699999999999996</v>
      </c>
      <c r="W120" s="201"/>
      <c r="X120" s="201"/>
    </row>
    <row r="121" spans="1:24" x14ac:dyDescent="0.2">
      <c r="A121" s="13">
        <v>39783</v>
      </c>
      <c r="B121">
        <v>2008</v>
      </c>
      <c r="C121">
        <v>12</v>
      </c>
      <c r="D121" s="21">
        <v>-1.3129032258064515</v>
      </c>
      <c r="E121" s="21">
        <v>660.69999999999993</v>
      </c>
      <c r="F121" s="21">
        <v>0</v>
      </c>
      <c r="G121" s="21">
        <v>598.69999999999993</v>
      </c>
      <c r="H121" s="21">
        <v>0</v>
      </c>
      <c r="I121" s="21">
        <v>536.69999999999982</v>
      </c>
      <c r="J121" s="21">
        <v>0</v>
      </c>
      <c r="K121" s="21">
        <v>474.7</v>
      </c>
      <c r="L121" s="21">
        <v>0</v>
      </c>
      <c r="M121" s="21">
        <v>412.69999999999993</v>
      </c>
      <c r="N121" s="21">
        <v>0</v>
      </c>
      <c r="O121" s="21">
        <v>350.69999999999993</v>
      </c>
      <c r="P121" s="21">
        <v>0</v>
      </c>
      <c r="Q121" s="21">
        <v>290.2</v>
      </c>
      <c r="R121" s="21">
        <v>1.5</v>
      </c>
      <c r="S121" s="42" t="str">
        <f>'Monthly Data'!E1</f>
        <v>Res_NoCDM</v>
      </c>
      <c r="T121" s="42" t="str">
        <f>'Monthly Data'!J1</f>
        <v>GS_lt_50_NoCDM</v>
      </c>
      <c r="U121" s="42" t="str">
        <f>'Monthly Data'!M1</f>
        <v>GS_gt_50_NoCDM</v>
      </c>
      <c r="V121" s="41"/>
      <c r="W121" s="9"/>
      <c r="X121" s="9"/>
    </row>
    <row r="122" spans="1:24" x14ac:dyDescent="0.2">
      <c r="A122" s="13">
        <v>39814</v>
      </c>
      <c r="B122">
        <v>2009</v>
      </c>
      <c r="C122">
        <v>1</v>
      </c>
      <c r="D122" s="20">
        <v>-6.7387096774193553</v>
      </c>
      <c r="E122" s="20">
        <v>828.9</v>
      </c>
      <c r="F122" s="20">
        <v>0</v>
      </c>
      <c r="G122" s="21">
        <v>766.90000000000009</v>
      </c>
      <c r="H122" s="21">
        <v>0</v>
      </c>
      <c r="I122" s="21">
        <v>704.9</v>
      </c>
      <c r="J122" s="21">
        <v>0</v>
      </c>
      <c r="K122" s="21">
        <v>642.9</v>
      </c>
      <c r="L122" s="21">
        <v>0</v>
      </c>
      <c r="M122" s="21">
        <v>580.9</v>
      </c>
      <c r="N122" s="21">
        <v>0</v>
      </c>
      <c r="O122" s="21">
        <v>518.9</v>
      </c>
      <c r="P122" s="21">
        <v>0</v>
      </c>
      <c r="Q122" s="21">
        <v>456.9</v>
      </c>
      <c r="R122" s="21">
        <v>0</v>
      </c>
      <c r="V122" s="41"/>
      <c r="W122" s="9"/>
      <c r="X122" s="9"/>
    </row>
    <row r="123" spans="1:24" x14ac:dyDescent="0.2">
      <c r="A123" s="13">
        <v>39845</v>
      </c>
      <c r="B123">
        <v>2009</v>
      </c>
      <c r="C123">
        <v>2</v>
      </c>
      <c r="D123" s="20">
        <v>-2.0749999999999997</v>
      </c>
      <c r="E123" s="20">
        <v>618.09999999999991</v>
      </c>
      <c r="F123" s="20">
        <v>0</v>
      </c>
      <c r="G123" s="21">
        <v>562.09999999999991</v>
      </c>
      <c r="H123" s="21">
        <v>0</v>
      </c>
      <c r="I123" s="21">
        <v>506.1</v>
      </c>
      <c r="J123" s="21">
        <v>0</v>
      </c>
      <c r="K123" s="21">
        <v>450.1</v>
      </c>
      <c r="L123" s="21">
        <v>0</v>
      </c>
      <c r="M123" s="21">
        <v>394.10000000000008</v>
      </c>
      <c r="N123" s="21">
        <v>0</v>
      </c>
      <c r="O123" s="21">
        <v>338.1</v>
      </c>
      <c r="P123" s="21">
        <v>0</v>
      </c>
      <c r="Q123" s="21">
        <v>282.10000000000008</v>
      </c>
      <c r="R123" s="21">
        <v>0</v>
      </c>
      <c r="V123" s="41"/>
      <c r="W123" s="9"/>
      <c r="X123" s="9"/>
    </row>
    <row r="124" spans="1:24" x14ac:dyDescent="0.2">
      <c r="A124" s="13">
        <v>39873</v>
      </c>
      <c r="B124">
        <v>2009</v>
      </c>
      <c r="C124">
        <v>3</v>
      </c>
      <c r="D124" s="20">
        <v>1.532258064516129</v>
      </c>
      <c r="E124" s="20">
        <v>572.5</v>
      </c>
      <c r="F124" s="20">
        <v>0</v>
      </c>
      <c r="G124" s="21">
        <v>510.5</v>
      </c>
      <c r="H124" s="21">
        <v>0</v>
      </c>
      <c r="I124" s="21">
        <v>448.50000000000006</v>
      </c>
      <c r="J124" s="21">
        <v>0</v>
      </c>
      <c r="K124" s="21">
        <v>386.50000000000006</v>
      </c>
      <c r="L124" s="21">
        <v>0</v>
      </c>
      <c r="M124" s="21">
        <v>324.5</v>
      </c>
      <c r="N124" s="21">
        <v>0</v>
      </c>
      <c r="O124" s="21">
        <v>263.40000000000003</v>
      </c>
      <c r="P124" s="21">
        <v>0.90000000000000036</v>
      </c>
      <c r="Q124" s="21">
        <v>205</v>
      </c>
      <c r="R124" s="21">
        <v>4.5</v>
      </c>
      <c r="V124" s="41"/>
      <c r="W124" s="9"/>
      <c r="X124" s="9"/>
    </row>
    <row r="125" spans="1:24" x14ac:dyDescent="0.2">
      <c r="A125" s="13">
        <v>39904</v>
      </c>
      <c r="B125">
        <v>2009</v>
      </c>
      <c r="C125">
        <v>4</v>
      </c>
      <c r="D125" s="20">
        <v>7.31</v>
      </c>
      <c r="E125" s="20">
        <v>380.70000000000005</v>
      </c>
      <c r="F125" s="20">
        <v>0</v>
      </c>
      <c r="G125" s="21">
        <v>320.7000000000001</v>
      </c>
      <c r="H125" s="21">
        <v>0</v>
      </c>
      <c r="I125" s="21">
        <v>261.80000000000007</v>
      </c>
      <c r="J125" s="21">
        <v>1.1000000000000014</v>
      </c>
      <c r="K125" s="21">
        <v>205.70000000000002</v>
      </c>
      <c r="L125" s="21">
        <v>5.0000000000000018</v>
      </c>
      <c r="M125" s="21">
        <v>152.60000000000002</v>
      </c>
      <c r="N125" s="21">
        <v>11.9</v>
      </c>
      <c r="O125" s="21">
        <v>105.4</v>
      </c>
      <c r="P125" s="21">
        <v>24.700000000000003</v>
      </c>
      <c r="Q125" s="21">
        <v>60.199999999999996</v>
      </c>
      <c r="R125" s="21">
        <v>39.5</v>
      </c>
      <c r="V125" s="41"/>
      <c r="W125" s="9"/>
      <c r="X125" s="9"/>
    </row>
    <row r="126" spans="1:24" x14ac:dyDescent="0.2">
      <c r="A126" s="13">
        <v>39934</v>
      </c>
      <c r="B126">
        <v>2009</v>
      </c>
      <c r="C126">
        <v>5</v>
      </c>
      <c r="D126" s="20">
        <v>12.75483870967742</v>
      </c>
      <c r="E126" s="20">
        <v>225.9</v>
      </c>
      <c r="F126" s="20">
        <v>1.3000000000000007</v>
      </c>
      <c r="G126" s="21">
        <v>168.00000000000003</v>
      </c>
      <c r="H126" s="21">
        <v>5.4000000000000021</v>
      </c>
      <c r="I126" s="21">
        <v>113.30000000000001</v>
      </c>
      <c r="J126" s="21">
        <v>12.700000000000003</v>
      </c>
      <c r="K126" s="21">
        <v>64.599999999999994</v>
      </c>
      <c r="L126" s="21">
        <v>26.000000000000004</v>
      </c>
      <c r="M126" s="21">
        <v>30.300000000000008</v>
      </c>
      <c r="N126" s="21">
        <v>53.7</v>
      </c>
      <c r="O126" s="21">
        <v>7.1000000000000014</v>
      </c>
      <c r="P126" s="21">
        <v>92.499999999999986</v>
      </c>
      <c r="Q126" s="21">
        <v>0</v>
      </c>
      <c r="R126" s="21">
        <v>147.39999999999995</v>
      </c>
      <c r="V126" s="41"/>
      <c r="W126" s="9"/>
      <c r="X126" s="9"/>
    </row>
    <row r="127" spans="1:24" x14ac:dyDescent="0.2">
      <c r="A127" s="13">
        <v>39965</v>
      </c>
      <c r="B127">
        <v>2009</v>
      </c>
      <c r="C127">
        <v>6</v>
      </c>
      <c r="D127" s="20">
        <v>17.443333333333332</v>
      </c>
      <c r="E127" s="20">
        <v>96.300000000000011</v>
      </c>
      <c r="F127" s="20">
        <v>19.599999999999994</v>
      </c>
      <c r="G127" s="21">
        <v>59.2</v>
      </c>
      <c r="H127" s="21">
        <v>42.5</v>
      </c>
      <c r="I127" s="21">
        <v>29.499999999999996</v>
      </c>
      <c r="J127" s="21">
        <v>72.800000000000011</v>
      </c>
      <c r="K127" s="21">
        <v>9.3000000000000007</v>
      </c>
      <c r="L127" s="21">
        <v>112.60000000000002</v>
      </c>
      <c r="M127" s="21">
        <v>0.90000000000000036</v>
      </c>
      <c r="N127" s="21">
        <v>164.20000000000002</v>
      </c>
      <c r="O127" s="21">
        <v>0</v>
      </c>
      <c r="P127" s="21">
        <v>223.3</v>
      </c>
      <c r="Q127" s="21">
        <v>0</v>
      </c>
      <c r="R127" s="21">
        <v>283.29999999999995</v>
      </c>
      <c r="V127" s="41"/>
      <c r="W127" s="9"/>
      <c r="X127" s="9"/>
    </row>
    <row r="128" spans="1:24" x14ac:dyDescent="0.2">
      <c r="A128" s="13">
        <v>39995</v>
      </c>
      <c r="B128">
        <v>2009</v>
      </c>
      <c r="C128">
        <v>7</v>
      </c>
      <c r="D128" s="20">
        <v>19.235483870967741</v>
      </c>
      <c r="E128" s="20">
        <v>40.300000000000004</v>
      </c>
      <c r="F128" s="20">
        <v>16.600000000000001</v>
      </c>
      <c r="G128" s="21">
        <v>9.4999999999999982</v>
      </c>
      <c r="H128" s="21">
        <v>47.8</v>
      </c>
      <c r="I128" s="21">
        <v>9.9999999999999645E-2</v>
      </c>
      <c r="J128" s="21">
        <v>100.39999999999998</v>
      </c>
      <c r="K128" s="21">
        <v>0</v>
      </c>
      <c r="L128" s="21">
        <v>162.30000000000004</v>
      </c>
      <c r="M128" s="21">
        <v>0</v>
      </c>
      <c r="N128" s="21">
        <v>224.3</v>
      </c>
      <c r="O128" s="21">
        <v>0</v>
      </c>
      <c r="P128" s="21">
        <v>286.3</v>
      </c>
      <c r="Q128" s="21">
        <v>0</v>
      </c>
      <c r="R128" s="21">
        <v>348.3</v>
      </c>
      <c r="V128" s="41"/>
      <c r="W128" s="9"/>
      <c r="X128" s="9"/>
    </row>
    <row r="129" spans="1:24" x14ac:dyDescent="0.2">
      <c r="A129" s="13">
        <v>40026</v>
      </c>
      <c r="B129">
        <v>2009</v>
      </c>
      <c r="C129">
        <v>8</v>
      </c>
      <c r="D129" s="20">
        <v>21.296774193548387</v>
      </c>
      <c r="E129" s="20">
        <v>19.299999999999997</v>
      </c>
      <c r="F129" s="20">
        <v>59.500000000000007</v>
      </c>
      <c r="G129" s="21">
        <v>4.7999999999999972</v>
      </c>
      <c r="H129" s="21">
        <v>107</v>
      </c>
      <c r="I129" s="21">
        <v>0</v>
      </c>
      <c r="J129" s="21">
        <v>164.2</v>
      </c>
      <c r="K129" s="21">
        <v>0</v>
      </c>
      <c r="L129" s="21">
        <v>226.19999999999996</v>
      </c>
      <c r="M129" s="21">
        <v>0</v>
      </c>
      <c r="N129" s="21">
        <v>288.2</v>
      </c>
      <c r="O129" s="21">
        <v>0</v>
      </c>
      <c r="P129" s="21">
        <v>350.20000000000005</v>
      </c>
      <c r="Q129" s="21">
        <v>0</v>
      </c>
      <c r="R129" s="21">
        <v>412.20000000000005</v>
      </c>
      <c r="V129" s="41"/>
      <c r="W129" s="9"/>
      <c r="X129" s="9"/>
    </row>
    <row r="130" spans="1:24" x14ac:dyDescent="0.2">
      <c r="A130" s="13">
        <v>40057</v>
      </c>
      <c r="B130">
        <v>2009</v>
      </c>
      <c r="C130">
        <v>9</v>
      </c>
      <c r="D130" s="20">
        <v>17.513333333333332</v>
      </c>
      <c r="E130" s="20">
        <v>81.099999999999994</v>
      </c>
      <c r="F130" s="20">
        <v>6.4999999999999964</v>
      </c>
      <c r="G130" s="21">
        <v>40.499999999999993</v>
      </c>
      <c r="H130" s="21">
        <v>25.9</v>
      </c>
      <c r="I130" s="21">
        <v>17</v>
      </c>
      <c r="J130" s="21">
        <v>62.400000000000006</v>
      </c>
      <c r="K130" s="21">
        <v>5.8000000000000007</v>
      </c>
      <c r="L130" s="21">
        <v>111.20000000000003</v>
      </c>
      <c r="M130" s="21">
        <v>2.4000000000000004</v>
      </c>
      <c r="N130" s="21">
        <v>167.79999999999995</v>
      </c>
      <c r="O130" s="21">
        <v>0.40000000000000036</v>
      </c>
      <c r="P130" s="21">
        <v>225.79999999999995</v>
      </c>
      <c r="Q130" s="21">
        <v>0</v>
      </c>
      <c r="R130" s="21">
        <v>285.39999999999998</v>
      </c>
      <c r="V130" s="41"/>
      <c r="W130" s="9"/>
      <c r="X130" s="9"/>
    </row>
    <row r="131" spans="1:24" x14ac:dyDescent="0.2">
      <c r="A131" s="13">
        <v>40087</v>
      </c>
      <c r="B131">
        <v>2009</v>
      </c>
      <c r="C131">
        <v>10</v>
      </c>
      <c r="D131" s="20">
        <v>9.6516129032258053</v>
      </c>
      <c r="E131" s="20">
        <v>320.80000000000007</v>
      </c>
      <c r="F131" s="20">
        <v>0</v>
      </c>
      <c r="G131" s="21">
        <v>258.79999999999995</v>
      </c>
      <c r="H131" s="21">
        <v>0</v>
      </c>
      <c r="I131" s="21">
        <v>196.79999999999998</v>
      </c>
      <c r="J131" s="21">
        <v>0</v>
      </c>
      <c r="K131" s="21">
        <v>135.69999999999999</v>
      </c>
      <c r="L131" s="21">
        <v>0.89999999999999858</v>
      </c>
      <c r="M131" s="21">
        <v>82.4</v>
      </c>
      <c r="N131" s="21">
        <v>9.5999999999999979</v>
      </c>
      <c r="O131" s="21">
        <v>46.400000000000006</v>
      </c>
      <c r="P131" s="21">
        <v>35.600000000000009</v>
      </c>
      <c r="Q131" s="21">
        <v>25.599999999999998</v>
      </c>
      <c r="R131" s="21">
        <v>76.8</v>
      </c>
      <c r="V131" s="41"/>
      <c r="W131" s="9"/>
      <c r="X131" s="9"/>
    </row>
    <row r="132" spans="1:24" x14ac:dyDescent="0.2">
      <c r="A132" s="13">
        <v>40118</v>
      </c>
      <c r="B132">
        <v>2009</v>
      </c>
      <c r="C132">
        <v>11</v>
      </c>
      <c r="D132" s="20">
        <v>7.1466666666666665</v>
      </c>
      <c r="E132" s="20">
        <v>385.60000000000008</v>
      </c>
      <c r="F132" s="20">
        <v>0</v>
      </c>
      <c r="G132" s="21">
        <v>325.60000000000002</v>
      </c>
      <c r="H132" s="21">
        <v>0</v>
      </c>
      <c r="I132" s="21">
        <v>265.60000000000002</v>
      </c>
      <c r="J132" s="21">
        <v>0</v>
      </c>
      <c r="K132" s="21">
        <v>205.6</v>
      </c>
      <c r="L132" s="21">
        <v>0</v>
      </c>
      <c r="M132" s="21">
        <v>147.1</v>
      </c>
      <c r="N132" s="21">
        <v>1.5</v>
      </c>
      <c r="O132" s="21">
        <v>90.999999999999986</v>
      </c>
      <c r="P132" s="21">
        <v>5.4</v>
      </c>
      <c r="Q132" s="21">
        <v>42</v>
      </c>
      <c r="R132" s="21">
        <v>16.399999999999999</v>
      </c>
      <c r="V132" s="41"/>
      <c r="W132" s="9"/>
      <c r="X132" s="9"/>
    </row>
    <row r="133" spans="1:24" x14ac:dyDescent="0.2">
      <c r="A133" s="13">
        <v>40148</v>
      </c>
      <c r="B133">
        <v>2009</v>
      </c>
      <c r="C133">
        <v>12</v>
      </c>
      <c r="D133" s="20">
        <v>-0.71612903225806457</v>
      </c>
      <c r="E133" s="20">
        <v>642.20000000000005</v>
      </c>
      <c r="F133" s="20">
        <v>0</v>
      </c>
      <c r="G133" s="21">
        <v>580.20000000000016</v>
      </c>
      <c r="H133" s="21">
        <v>0</v>
      </c>
      <c r="I133" s="21">
        <v>518.20000000000016</v>
      </c>
      <c r="J133" s="21">
        <v>0</v>
      </c>
      <c r="K133" s="21">
        <v>456.20000000000016</v>
      </c>
      <c r="L133" s="21">
        <v>0</v>
      </c>
      <c r="M133" s="21">
        <v>394.20000000000005</v>
      </c>
      <c r="N133" s="21">
        <v>0</v>
      </c>
      <c r="O133" s="21">
        <v>332.2000000000001</v>
      </c>
      <c r="P133" s="21">
        <v>0</v>
      </c>
      <c r="Q133" s="21">
        <v>270.50000000000006</v>
      </c>
      <c r="R133" s="21">
        <v>0.30000000000000071</v>
      </c>
      <c r="V133" s="41"/>
      <c r="W133" s="9"/>
      <c r="X133" s="9"/>
    </row>
    <row r="134" spans="1:24" x14ac:dyDescent="0.2">
      <c r="A134" s="13">
        <v>40179</v>
      </c>
      <c r="B134">
        <v>2010</v>
      </c>
      <c r="C134">
        <v>1</v>
      </c>
      <c r="D134" s="20">
        <v>-3.5870967741935478</v>
      </c>
      <c r="E134" s="20">
        <v>731.2</v>
      </c>
      <c r="F134" s="20">
        <v>0</v>
      </c>
      <c r="G134" s="21">
        <v>669.2</v>
      </c>
      <c r="H134" s="21">
        <v>0</v>
      </c>
      <c r="I134" s="21">
        <v>607.20000000000005</v>
      </c>
      <c r="J134" s="21">
        <v>0</v>
      </c>
      <c r="K134" s="21">
        <v>545.20000000000005</v>
      </c>
      <c r="L134" s="21">
        <v>0</v>
      </c>
      <c r="M134" s="21">
        <v>483.20000000000005</v>
      </c>
      <c r="N134" s="21">
        <v>0</v>
      </c>
      <c r="O134" s="21">
        <v>421.2</v>
      </c>
      <c r="P134" s="21">
        <v>0</v>
      </c>
      <c r="Q134" s="21">
        <v>359.19999999999993</v>
      </c>
      <c r="R134" s="21">
        <v>0</v>
      </c>
      <c r="S134" s="41">
        <f>'Monthly Data'!E2/'Monthly Data'!F2/'Monthly Data'!BH2</f>
        <v>27.644441049369242</v>
      </c>
      <c r="T134" s="42">
        <f>'Monthly Data'!J2/'Monthly Data'!H2/'Monthly Data'!BH2</f>
        <v>102.06269667577472</v>
      </c>
      <c r="U134" s="42">
        <f>'Monthly Data'!M2/'Monthly Data'!O2/'Monthly Data'!BH2</f>
        <v>2565.6671389502126</v>
      </c>
      <c r="V134" s="41"/>
      <c r="W134" s="9"/>
      <c r="X134" s="9"/>
    </row>
    <row r="135" spans="1:24" x14ac:dyDescent="0.2">
      <c r="A135" s="13">
        <v>40210</v>
      </c>
      <c r="B135">
        <v>2010</v>
      </c>
      <c r="C135">
        <v>2</v>
      </c>
      <c r="D135" s="20">
        <v>-2.0214285714285714</v>
      </c>
      <c r="E135" s="20">
        <v>616.6</v>
      </c>
      <c r="F135" s="20">
        <v>0</v>
      </c>
      <c r="G135" s="21">
        <v>560.60000000000014</v>
      </c>
      <c r="H135" s="21">
        <v>0</v>
      </c>
      <c r="I135" s="21">
        <v>504.6</v>
      </c>
      <c r="J135" s="21">
        <v>0</v>
      </c>
      <c r="K135" s="21">
        <v>448.6</v>
      </c>
      <c r="L135" s="21">
        <v>0</v>
      </c>
      <c r="M135" s="21">
        <v>392.59999999999997</v>
      </c>
      <c r="N135" s="21">
        <v>0</v>
      </c>
      <c r="O135" s="21">
        <v>336.6</v>
      </c>
      <c r="P135" s="21">
        <v>0</v>
      </c>
      <c r="Q135" s="21">
        <v>280.59999999999997</v>
      </c>
      <c r="R135" s="21">
        <v>0</v>
      </c>
      <c r="S135" s="41">
        <f>'Monthly Data'!E3/'Monthly Data'!F3/'Monthly Data'!BH3</f>
        <v>25.244456195710594</v>
      </c>
      <c r="T135" s="41">
        <f>'Monthly Data'!J3/'Monthly Data'!H3/'Monthly Data'!BH3</f>
        <v>103.44364856742136</v>
      </c>
      <c r="U135" s="42">
        <f>'Monthly Data'!M3/'Monthly Data'!O3/'Monthly Data'!BH3</f>
        <v>2588.8357069821795</v>
      </c>
      <c r="V135" s="41"/>
      <c r="W135" s="9"/>
      <c r="X135" s="9"/>
    </row>
    <row r="136" spans="1:24" x14ac:dyDescent="0.2">
      <c r="A136" s="13">
        <v>40238</v>
      </c>
      <c r="B136">
        <v>2010</v>
      </c>
      <c r="C136">
        <v>3</v>
      </c>
      <c r="D136" s="20">
        <v>4.5032258064516126</v>
      </c>
      <c r="E136" s="20">
        <v>480.40000000000003</v>
      </c>
      <c r="F136" s="20">
        <v>0</v>
      </c>
      <c r="G136" s="21">
        <v>418.40000000000009</v>
      </c>
      <c r="H136" s="21">
        <v>0</v>
      </c>
      <c r="I136" s="21">
        <v>356.40000000000009</v>
      </c>
      <c r="J136" s="21">
        <v>0</v>
      </c>
      <c r="K136" s="21">
        <v>294.40000000000003</v>
      </c>
      <c r="L136" s="21">
        <v>0</v>
      </c>
      <c r="M136" s="21">
        <v>232.39999999999995</v>
      </c>
      <c r="N136" s="21">
        <v>0</v>
      </c>
      <c r="O136" s="21">
        <v>172.69999999999996</v>
      </c>
      <c r="P136" s="21">
        <v>2.3000000000000007</v>
      </c>
      <c r="Q136" s="21">
        <v>118.89999999999998</v>
      </c>
      <c r="R136" s="21">
        <v>10.5</v>
      </c>
      <c r="S136" s="41">
        <f>'Monthly Data'!E4/'Monthly Data'!F4/'Monthly Data'!BH4</f>
        <v>22.867800013303675</v>
      </c>
      <c r="T136" s="41">
        <f>'Monthly Data'!J4/'Monthly Data'!H4/'Monthly Data'!BH4</f>
        <v>92.171646757072807</v>
      </c>
      <c r="U136" s="42">
        <f>'Monthly Data'!M4/'Monthly Data'!O4/'Monthly Data'!BH4</f>
        <v>2496.7454467889606</v>
      </c>
      <c r="V136" s="41"/>
      <c r="W136" s="9"/>
      <c r="X136" s="9"/>
    </row>
    <row r="137" spans="1:24" x14ac:dyDescent="0.2">
      <c r="A137" s="13">
        <v>40269</v>
      </c>
      <c r="B137">
        <v>2010</v>
      </c>
      <c r="C137">
        <v>4</v>
      </c>
      <c r="D137" s="20">
        <v>9.7033333333333349</v>
      </c>
      <c r="E137" s="20">
        <v>308.89999999999998</v>
      </c>
      <c r="F137" s="20">
        <v>0</v>
      </c>
      <c r="G137" s="21">
        <v>248.9</v>
      </c>
      <c r="H137" s="21">
        <v>0</v>
      </c>
      <c r="I137" s="21">
        <v>188.90000000000003</v>
      </c>
      <c r="J137" s="21">
        <v>0</v>
      </c>
      <c r="K137" s="21">
        <v>130.30000000000001</v>
      </c>
      <c r="L137" s="21">
        <v>1.4000000000000004</v>
      </c>
      <c r="M137" s="21">
        <v>78.500000000000014</v>
      </c>
      <c r="N137" s="21">
        <v>9.6</v>
      </c>
      <c r="O137" s="21">
        <v>39.800000000000004</v>
      </c>
      <c r="P137" s="21">
        <v>30.900000000000006</v>
      </c>
      <c r="Q137" s="21">
        <v>11.4</v>
      </c>
      <c r="R137" s="21">
        <v>62.500000000000007</v>
      </c>
      <c r="S137" s="41">
        <f>'Monthly Data'!E5/'Monthly Data'!F5/'Monthly Data'!BH5</f>
        <v>21.172436263729921</v>
      </c>
      <c r="T137" s="41">
        <f>'Monthly Data'!J5/'Monthly Data'!H5/'Monthly Data'!BH5</f>
        <v>85.377166465135033</v>
      </c>
      <c r="U137" s="42">
        <f>'Monthly Data'!M5/'Monthly Data'!O5/'Monthly Data'!BH5</f>
        <v>2347.9766599597583</v>
      </c>
      <c r="V137" s="41"/>
      <c r="W137" s="9"/>
      <c r="X137" s="9"/>
    </row>
    <row r="138" spans="1:24" x14ac:dyDescent="0.2">
      <c r="A138" s="13">
        <v>40299</v>
      </c>
      <c r="B138">
        <v>2010</v>
      </c>
      <c r="C138">
        <v>5</v>
      </c>
      <c r="D138" s="20">
        <v>14.548387096774196</v>
      </c>
      <c r="E138" s="20">
        <v>178.60000000000002</v>
      </c>
      <c r="F138" s="20">
        <v>9.600000000000005</v>
      </c>
      <c r="G138" s="21">
        <v>131.80000000000001</v>
      </c>
      <c r="H138" s="21">
        <v>24.800000000000004</v>
      </c>
      <c r="I138" s="21">
        <v>91.8</v>
      </c>
      <c r="J138" s="21">
        <v>46.8</v>
      </c>
      <c r="K138" s="21">
        <v>59.900000000000006</v>
      </c>
      <c r="L138" s="21">
        <v>76.900000000000006</v>
      </c>
      <c r="M138" s="21">
        <v>36.5</v>
      </c>
      <c r="N138" s="21">
        <v>115.5</v>
      </c>
      <c r="O138" s="21">
        <v>20</v>
      </c>
      <c r="P138" s="21">
        <v>161</v>
      </c>
      <c r="Q138" s="21">
        <v>6.0000000000000009</v>
      </c>
      <c r="R138" s="21">
        <v>209</v>
      </c>
      <c r="S138" s="41">
        <f>'Monthly Data'!E6/'Monthly Data'!F6/'Monthly Data'!BH6</f>
        <v>24.933846807950303</v>
      </c>
      <c r="T138" s="41">
        <f>'Monthly Data'!J6/'Monthly Data'!H6/'Monthly Data'!BH6</f>
        <v>88.405377858853925</v>
      </c>
      <c r="U138" s="42">
        <f>'Monthly Data'!M6/'Monthly Data'!O6/'Monthly Data'!BH6</f>
        <v>2436.005376344086</v>
      </c>
      <c r="V138" s="41"/>
      <c r="W138" s="9"/>
      <c r="X138" s="9"/>
    </row>
    <row r="139" spans="1:24" x14ac:dyDescent="0.2">
      <c r="A139" s="13">
        <v>40330</v>
      </c>
      <c r="B139">
        <v>2010</v>
      </c>
      <c r="C139">
        <v>6</v>
      </c>
      <c r="D139" s="20">
        <v>19.37</v>
      </c>
      <c r="E139" s="20">
        <v>47.6</v>
      </c>
      <c r="F139" s="20">
        <v>28.699999999999996</v>
      </c>
      <c r="G139" s="21">
        <v>20.300000000000004</v>
      </c>
      <c r="H139" s="21">
        <v>61.399999999999991</v>
      </c>
      <c r="I139" s="21">
        <v>3.9000000000000004</v>
      </c>
      <c r="J139" s="21">
        <v>105</v>
      </c>
      <c r="K139" s="21">
        <v>0</v>
      </c>
      <c r="L139" s="21">
        <v>161.1</v>
      </c>
      <c r="M139" s="21">
        <v>0</v>
      </c>
      <c r="N139" s="21">
        <v>221.10000000000002</v>
      </c>
      <c r="O139" s="21">
        <v>0</v>
      </c>
      <c r="P139" s="21">
        <v>281.09999999999997</v>
      </c>
      <c r="Q139" s="21">
        <v>0</v>
      </c>
      <c r="R139" s="21">
        <v>341.09999999999997</v>
      </c>
      <c r="S139" s="41">
        <f>'Monthly Data'!E7/'Monthly Data'!F7/'Monthly Data'!BH7</f>
        <v>29.71478835475445</v>
      </c>
      <c r="T139" s="41">
        <f>'Monthly Data'!J7/'Monthly Data'!H7/'Monthly Data'!BH7</f>
        <v>96.143468649517686</v>
      </c>
      <c r="U139" s="42">
        <f>'Monthly Data'!M7/'Monthly Data'!O7/'Monthly Data'!BH7</f>
        <v>2611.6086593112673</v>
      </c>
      <c r="V139" s="41"/>
      <c r="W139" s="9"/>
      <c r="X139" s="9"/>
    </row>
    <row r="140" spans="1:24" x14ac:dyDescent="0.2">
      <c r="A140" s="13">
        <v>40360</v>
      </c>
      <c r="B140">
        <v>2010</v>
      </c>
      <c r="C140">
        <v>7</v>
      </c>
      <c r="D140" s="20">
        <v>23.412903225806449</v>
      </c>
      <c r="E140" s="20">
        <v>6.2000000000000028</v>
      </c>
      <c r="F140" s="20">
        <v>112</v>
      </c>
      <c r="G140" s="21">
        <v>0.60000000000000142</v>
      </c>
      <c r="H140" s="21">
        <v>168.40000000000003</v>
      </c>
      <c r="I140" s="21">
        <v>0</v>
      </c>
      <c r="J140" s="21">
        <v>229.8</v>
      </c>
      <c r="K140" s="21">
        <v>0</v>
      </c>
      <c r="L140" s="21">
        <v>291.7999999999999</v>
      </c>
      <c r="M140" s="21">
        <v>0</v>
      </c>
      <c r="N140" s="21">
        <v>353.7999999999999</v>
      </c>
      <c r="O140" s="21">
        <v>0</v>
      </c>
      <c r="P140" s="21">
        <v>415.7999999999999</v>
      </c>
      <c r="Q140" s="21">
        <v>0</v>
      </c>
      <c r="R140" s="21">
        <v>477.7999999999999</v>
      </c>
      <c r="S140" s="41">
        <f>'Monthly Data'!E8/'Monthly Data'!F8/'Monthly Data'!BH8</f>
        <v>34.210926586993637</v>
      </c>
      <c r="T140" s="41">
        <f>'Monthly Data'!J8/'Monthly Data'!H8/'Monthly Data'!BH8</f>
        <v>103.74286787272892</v>
      </c>
      <c r="U140" s="42">
        <f>'Monthly Data'!M8/'Monthly Data'!O8/'Monthly Data'!BH8</f>
        <v>2717.1797049764955</v>
      </c>
      <c r="V140" s="41"/>
      <c r="W140" s="9"/>
      <c r="X140" s="9"/>
    </row>
    <row r="141" spans="1:24" x14ac:dyDescent="0.2">
      <c r="A141" s="13">
        <v>40391</v>
      </c>
      <c r="B141">
        <v>2010</v>
      </c>
      <c r="C141">
        <v>8</v>
      </c>
      <c r="D141" s="20">
        <v>22.700000000000003</v>
      </c>
      <c r="E141" s="20">
        <v>6.1000000000000014</v>
      </c>
      <c r="F141" s="20">
        <v>89.800000000000011</v>
      </c>
      <c r="G141" s="21">
        <v>0</v>
      </c>
      <c r="H141" s="21">
        <v>145.69999999999996</v>
      </c>
      <c r="I141" s="21">
        <v>0</v>
      </c>
      <c r="J141" s="21">
        <v>207.7</v>
      </c>
      <c r="K141" s="21">
        <v>0</v>
      </c>
      <c r="L141" s="21">
        <v>269.7</v>
      </c>
      <c r="M141" s="21">
        <v>0</v>
      </c>
      <c r="N141" s="21">
        <v>331.7</v>
      </c>
      <c r="O141" s="21">
        <v>0</v>
      </c>
      <c r="P141" s="21">
        <v>393.70000000000005</v>
      </c>
      <c r="Q141" s="21">
        <v>0</v>
      </c>
      <c r="R141" s="21">
        <v>455.7</v>
      </c>
      <c r="S141" s="41">
        <f>'Monthly Data'!E9/'Monthly Data'!F9/'Monthly Data'!BH9</f>
        <v>31.814103854309952</v>
      </c>
      <c r="T141" s="41">
        <f>'Monthly Data'!J9/'Monthly Data'!H9/'Monthly Data'!BH9</f>
        <v>101.96580632214044</v>
      </c>
      <c r="U141" s="42">
        <f>'Monthly Data'!M9/'Monthly Data'!O9/'Monthly Data'!BH9</f>
        <v>2683.2693451418968</v>
      </c>
      <c r="V141" s="41"/>
      <c r="W141" s="9"/>
      <c r="X141" s="9"/>
    </row>
    <row r="142" spans="1:24" x14ac:dyDescent="0.2">
      <c r="A142" s="13">
        <v>40422</v>
      </c>
      <c r="B142">
        <v>2010</v>
      </c>
      <c r="C142">
        <v>9</v>
      </c>
      <c r="D142" s="20">
        <v>16.953333333333333</v>
      </c>
      <c r="E142" s="20">
        <v>113.9</v>
      </c>
      <c r="F142" s="20">
        <v>22.5</v>
      </c>
      <c r="G142" s="21">
        <v>67.499999999999986</v>
      </c>
      <c r="H142" s="21">
        <v>36.1</v>
      </c>
      <c r="I142" s="21">
        <v>28.200000000000003</v>
      </c>
      <c r="J142" s="21">
        <v>56.8</v>
      </c>
      <c r="K142" s="21">
        <v>5.7999999999999989</v>
      </c>
      <c r="L142" s="21">
        <v>94.4</v>
      </c>
      <c r="M142" s="21">
        <v>9.9999999999999645E-2</v>
      </c>
      <c r="N142" s="21">
        <v>148.70000000000002</v>
      </c>
      <c r="O142" s="21">
        <v>0</v>
      </c>
      <c r="P142" s="21">
        <v>208.60000000000002</v>
      </c>
      <c r="Q142" s="21">
        <v>0</v>
      </c>
      <c r="R142" s="21">
        <v>268.59999999999997</v>
      </c>
      <c r="S142" s="41">
        <f>'Monthly Data'!E10/'Monthly Data'!F10/'Monthly Data'!BH10</f>
        <v>26.308931021221149</v>
      </c>
      <c r="T142" s="41">
        <f>'Monthly Data'!J10/'Monthly Data'!H10/'Monthly Data'!BH10</f>
        <v>89.697202703607033</v>
      </c>
      <c r="U142" s="42">
        <f>'Monthly Data'!M10/'Monthly Data'!O10/'Monthly Data'!BH10</f>
        <v>2452.4984333333332</v>
      </c>
      <c r="V142" s="41"/>
      <c r="W142" s="9"/>
      <c r="X142" s="9"/>
    </row>
    <row r="143" spans="1:24" x14ac:dyDescent="0.2">
      <c r="A143" s="13">
        <v>40452</v>
      </c>
      <c r="B143">
        <v>2010</v>
      </c>
      <c r="C143">
        <v>10</v>
      </c>
      <c r="D143" s="20">
        <v>11.558064516129031</v>
      </c>
      <c r="E143" s="20">
        <v>261.7</v>
      </c>
      <c r="F143" s="20">
        <v>0</v>
      </c>
      <c r="G143" s="21">
        <v>199.9</v>
      </c>
      <c r="H143" s="21">
        <v>0.19999999999999929</v>
      </c>
      <c r="I143" s="21">
        <v>141.1</v>
      </c>
      <c r="J143" s="21">
        <v>3.4000000000000021</v>
      </c>
      <c r="K143" s="21">
        <v>89.199999999999989</v>
      </c>
      <c r="L143" s="21">
        <v>13.500000000000002</v>
      </c>
      <c r="M143" s="21">
        <v>44.2</v>
      </c>
      <c r="N143" s="21">
        <v>30.5</v>
      </c>
      <c r="O143" s="21">
        <v>16</v>
      </c>
      <c r="P143" s="21">
        <v>64.3</v>
      </c>
      <c r="Q143" s="21">
        <v>5.8999999999999995</v>
      </c>
      <c r="R143" s="21">
        <v>116.20000000000002</v>
      </c>
      <c r="S143" s="41">
        <f>'Monthly Data'!E11/'Monthly Data'!F11/'Monthly Data'!BH11</f>
        <v>22.944654394530652</v>
      </c>
      <c r="T143" s="41">
        <f>'Monthly Data'!J11/'Monthly Data'!H11/'Monthly Data'!BH11</f>
        <v>85.114175803537307</v>
      </c>
      <c r="U143" s="42">
        <f>'Monthly Data'!M11/'Monthly Data'!O11/'Monthly Data'!BH11</f>
        <v>2278.757230808696</v>
      </c>
      <c r="V143" s="41"/>
      <c r="W143" s="9"/>
      <c r="X143" s="9"/>
    </row>
    <row r="144" spans="1:24" x14ac:dyDescent="0.2">
      <c r="A144" s="13">
        <v>40483</v>
      </c>
      <c r="B144">
        <v>2010</v>
      </c>
      <c r="C144">
        <v>11</v>
      </c>
      <c r="D144" s="20">
        <v>5.2633333333333336</v>
      </c>
      <c r="E144" s="20">
        <v>442.09999999999997</v>
      </c>
      <c r="F144" s="20">
        <v>0</v>
      </c>
      <c r="G144" s="21">
        <v>382.09999999999997</v>
      </c>
      <c r="H144" s="21">
        <v>0</v>
      </c>
      <c r="I144" s="21">
        <v>322.09999999999997</v>
      </c>
      <c r="J144" s="21">
        <v>0</v>
      </c>
      <c r="K144" s="21">
        <v>262.10000000000002</v>
      </c>
      <c r="L144" s="21">
        <v>0</v>
      </c>
      <c r="M144" s="21">
        <v>202.7</v>
      </c>
      <c r="N144" s="21">
        <v>0.59999999999999964</v>
      </c>
      <c r="O144" s="21">
        <v>144.99999999999997</v>
      </c>
      <c r="P144" s="21">
        <v>2.9000000000000004</v>
      </c>
      <c r="Q144" s="21">
        <v>91</v>
      </c>
      <c r="R144" s="21">
        <v>8.9</v>
      </c>
      <c r="S144" s="41">
        <f>'Monthly Data'!E12/'Monthly Data'!F12/'Monthly Data'!BH12</f>
        <v>22.819018717834094</v>
      </c>
      <c r="T144" s="41">
        <f>'Monthly Data'!J12/'Monthly Data'!H12/'Monthly Data'!BH12</f>
        <v>90.07946778153827</v>
      </c>
      <c r="U144" s="42">
        <f>'Monthly Data'!M12/'Monthly Data'!O12/'Monthly Data'!BH12</f>
        <v>2371.9136378682551</v>
      </c>
      <c r="V144" s="41"/>
      <c r="W144" s="9"/>
      <c r="X144" s="9"/>
    </row>
    <row r="145" spans="1:24" x14ac:dyDescent="0.2">
      <c r="A145" s="13">
        <v>40513</v>
      </c>
      <c r="B145">
        <v>2010</v>
      </c>
      <c r="C145">
        <v>12</v>
      </c>
      <c r="D145" s="20">
        <v>-2.4387096774193551</v>
      </c>
      <c r="E145" s="20">
        <v>695.6</v>
      </c>
      <c r="F145" s="20">
        <v>0</v>
      </c>
      <c r="G145" s="21">
        <v>633.6</v>
      </c>
      <c r="H145" s="21">
        <v>0</v>
      </c>
      <c r="I145" s="21">
        <v>571.6</v>
      </c>
      <c r="J145" s="21">
        <v>0</v>
      </c>
      <c r="K145" s="21">
        <v>509.6</v>
      </c>
      <c r="L145" s="21">
        <v>0</v>
      </c>
      <c r="M145" s="21">
        <v>447.59999999999997</v>
      </c>
      <c r="N145" s="21">
        <v>0</v>
      </c>
      <c r="O145" s="21">
        <v>385.59999999999997</v>
      </c>
      <c r="P145" s="21">
        <v>0</v>
      </c>
      <c r="Q145" s="21">
        <v>323.89999999999998</v>
      </c>
      <c r="R145" s="21">
        <v>0.30000000000000071</v>
      </c>
      <c r="S145" s="41">
        <f>'Monthly Data'!E13/'Monthly Data'!F13/'Monthly Data'!BH13</f>
        <v>26.145607388335659</v>
      </c>
      <c r="T145" s="41">
        <f>'Monthly Data'!J13/'Monthly Data'!H13/'Monthly Data'!BH13</f>
        <v>96.993133311127622</v>
      </c>
      <c r="U145" s="42">
        <f>'Monthly Data'!M13/'Monthly Data'!O13/'Monthly Data'!BH13</f>
        <v>2384.7852752921699</v>
      </c>
      <c r="V145" s="41"/>
      <c r="W145" s="9"/>
      <c r="X145" s="9"/>
    </row>
    <row r="146" spans="1:24" x14ac:dyDescent="0.2">
      <c r="A146" s="13">
        <v>40544</v>
      </c>
      <c r="B146">
        <v>2011</v>
      </c>
      <c r="C146">
        <v>1</v>
      </c>
      <c r="D146" s="20">
        <v>-5.4419354838709673</v>
      </c>
      <c r="E146" s="20">
        <v>788.69999999999993</v>
      </c>
      <c r="F146" s="20">
        <v>0</v>
      </c>
      <c r="G146" s="21">
        <v>726.69999999999993</v>
      </c>
      <c r="H146" s="21">
        <v>0</v>
      </c>
      <c r="I146" s="21">
        <v>664.69999999999993</v>
      </c>
      <c r="J146" s="21">
        <v>0</v>
      </c>
      <c r="K146" s="21">
        <v>602.69999999999993</v>
      </c>
      <c r="L146" s="21">
        <v>0</v>
      </c>
      <c r="M146" s="21">
        <v>540.69999999999993</v>
      </c>
      <c r="N146" s="21">
        <v>0</v>
      </c>
      <c r="O146" s="21">
        <v>478.69999999999993</v>
      </c>
      <c r="P146" s="21">
        <v>0</v>
      </c>
      <c r="Q146" s="21">
        <v>416.69999999999993</v>
      </c>
      <c r="R146" s="21">
        <v>0</v>
      </c>
      <c r="S146" s="41">
        <f>'Monthly Data'!E14/'Monthly Data'!F14/'Monthly Data'!BH14</f>
        <v>27.377763328751993</v>
      </c>
      <c r="T146" s="41">
        <f>'Monthly Data'!J14/'Monthly Data'!H14/'Monthly Data'!BH14</f>
        <v>102.27390475997917</v>
      </c>
      <c r="U146" s="42">
        <f>'Monthly Data'!M14/'Monthly Data'!O14/'Monthly Data'!BH14</f>
        <v>2511.7438972787304</v>
      </c>
      <c r="V146" s="41"/>
      <c r="W146" s="9"/>
      <c r="X146" s="9"/>
    </row>
    <row r="147" spans="1:24" x14ac:dyDescent="0.2">
      <c r="A147" s="13">
        <v>40575</v>
      </c>
      <c r="B147">
        <v>2011</v>
      </c>
      <c r="C147">
        <v>2</v>
      </c>
      <c r="D147" s="20">
        <v>-3.6142857142857139</v>
      </c>
      <c r="E147" s="20">
        <v>661.20000000000016</v>
      </c>
      <c r="F147" s="20">
        <v>0</v>
      </c>
      <c r="G147" s="21">
        <v>605.20000000000016</v>
      </c>
      <c r="H147" s="21">
        <v>0</v>
      </c>
      <c r="I147" s="21">
        <v>549.20000000000016</v>
      </c>
      <c r="J147" s="21">
        <v>0</v>
      </c>
      <c r="K147" s="21">
        <v>493.20000000000005</v>
      </c>
      <c r="L147" s="21">
        <v>0</v>
      </c>
      <c r="M147" s="21">
        <v>437.20000000000005</v>
      </c>
      <c r="N147" s="21">
        <v>0</v>
      </c>
      <c r="O147" s="21">
        <v>381.20000000000005</v>
      </c>
      <c r="P147" s="21">
        <v>0</v>
      </c>
      <c r="Q147" s="21">
        <v>325.20000000000005</v>
      </c>
      <c r="R147" s="21">
        <v>0</v>
      </c>
      <c r="S147" s="41">
        <f>'Monthly Data'!E15/'Monthly Data'!F15/'Monthly Data'!BH15</f>
        <v>25.568548392245958</v>
      </c>
      <c r="T147" s="41">
        <f>'Monthly Data'!J15/'Monthly Data'!H15/'Monthly Data'!BH15</f>
        <v>102.14667725161372</v>
      </c>
      <c r="U147" s="42">
        <f>'Monthly Data'!M15/'Monthly Data'!O15/'Monthly Data'!BH15</f>
        <v>2624.2548652130827</v>
      </c>
      <c r="V147" s="41"/>
      <c r="W147" s="9"/>
      <c r="X147" s="9"/>
    </row>
    <row r="148" spans="1:24" x14ac:dyDescent="0.2">
      <c r="A148" s="13">
        <v>40603</v>
      </c>
      <c r="B148">
        <v>2011</v>
      </c>
      <c r="C148">
        <v>3</v>
      </c>
      <c r="D148" s="20">
        <v>0.40322580645161288</v>
      </c>
      <c r="E148" s="20">
        <v>607.50000000000011</v>
      </c>
      <c r="F148" s="20">
        <v>0</v>
      </c>
      <c r="G148" s="21">
        <v>545.50000000000011</v>
      </c>
      <c r="H148" s="21">
        <v>0</v>
      </c>
      <c r="I148" s="21">
        <v>483.50000000000006</v>
      </c>
      <c r="J148" s="21">
        <v>0</v>
      </c>
      <c r="K148" s="21">
        <v>421.50000000000006</v>
      </c>
      <c r="L148" s="21">
        <v>0</v>
      </c>
      <c r="M148" s="21">
        <v>359.50000000000006</v>
      </c>
      <c r="N148" s="21">
        <v>0</v>
      </c>
      <c r="O148" s="21">
        <v>297.50000000000006</v>
      </c>
      <c r="P148" s="21">
        <v>0</v>
      </c>
      <c r="Q148" s="21">
        <v>237.79999999999993</v>
      </c>
      <c r="R148" s="21">
        <v>2.2999999999999989</v>
      </c>
      <c r="S148" s="41">
        <f>'Monthly Data'!E16/'Monthly Data'!F16/'Monthly Data'!BH16</f>
        <v>23.521476507639047</v>
      </c>
      <c r="T148" s="41">
        <f>'Monthly Data'!J16/'Monthly Data'!H16/'Monthly Data'!BH16</f>
        <v>96.144916152724576</v>
      </c>
      <c r="U148" s="42">
        <f>'Monthly Data'!M16/'Monthly Data'!O16/'Monthly Data'!BH16</f>
        <v>2614.6910637177202</v>
      </c>
      <c r="V148" s="41"/>
      <c r="W148" s="9"/>
      <c r="X148" s="9"/>
    </row>
    <row r="149" spans="1:24" x14ac:dyDescent="0.2">
      <c r="A149" s="13">
        <v>40634</v>
      </c>
      <c r="B149">
        <v>2011</v>
      </c>
      <c r="C149">
        <v>4</v>
      </c>
      <c r="D149" s="20">
        <v>6.1433333333333335</v>
      </c>
      <c r="E149" s="20">
        <v>415.70000000000005</v>
      </c>
      <c r="F149" s="20">
        <v>0</v>
      </c>
      <c r="G149" s="21">
        <v>355.7</v>
      </c>
      <c r="H149" s="21">
        <v>0</v>
      </c>
      <c r="I149" s="21">
        <v>295.7</v>
      </c>
      <c r="J149" s="21">
        <v>0</v>
      </c>
      <c r="K149" s="21">
        <v>235.69999999999996</v>
      </c>
      <c r="L149" s="21">
        <v>0</v>
      </c>
      <c r="M149" s="21">
        <v>177.5</v>
      </c>
      <c r="N149" s="21">
        <v>1.8000000000000007</v>
      </c>
      <c r="O149" s="21">
        <v>125.80000000000001</v>
      </c>
      <c r="P149" s="21">
        <v>10.100000000000001</v>
      </c>
      <c r="Q149" s="21">
        <v>75.8</v>
      </c>
      <c r="R149" s="21">
        <v>20.100000000000001</v>
      </c>
      <c r="S149" s="41">
        <f>'Monthly Data'!E17/'Monthly Data'!F17/'Monthly Data'!BH17</f>
        <v>22.004034322362564</v>
      </c>
      <c r="T149" s="41">
        <f>'Monthly Data'!J17/'Monthly Data'!H17/'Monthly Data'!BH17</f>
        <v>88.617707865859998</v>
      </c>
      <c r="U149" s="42">
        <f>'Monthly Data'!M17/'Monthly Data'!O17/'Monthly Data'!BH17</f>
        <v>2434.6861256043908</v>
      </c>
      <c r="V149" s="41"/>
      <c r="W149" s="9"/>
      <c r="X149" s="9"/>
    </row>
    <row r="150" spans="1:24" x14ac:dyDescent="0.2">
      <c r="A150" s="13">
        <v>40664</v>
      </c>
      <c r="B150">
        <v>2011</v>
      </c>
      <c r="C150">
        <v>5</v>
      </c>
      <c r="D150" s="20">
        <v>11.96774193548387</v>
      </c>
      <c r="E150" s="20">
        <v>251.70000000000002</v>
      </c>
      <c r="F150" s="20">
        <v>2.6999999999999993</v>
      </c>
      <c r="G150" s="21">
        <v>191.7</v>
      </c>
      <c r="H150" s="21">
        <v>4.6999999999999993</v>
      </c>
      <c r="I150" s="21">
        <v>134.79999999999998</v>
      </c>
      <c r="J150" s="21">
        <v>9.8000000000000007</v>
      </c>
      <c r="K150" s="21">
        <v>85.7</v>
      </c>
      <c r="L150" s="21">
        <v>22.700000000000003</v>
      </c>
      <c r="M150" s="21">
        <v>42.399999999999991</v>
      </c>
      <c r="N150" s="21">
        <v>41.399999999999991</v>
      </c>
      <c r="O150" s="21">
        <v>12.799999999999999</v>
      </c>
      <c r="P150" s="21">
        <v>73.8</v>
      </c>
      <c r="Q150" s="21">
        <v>3.3</v>
      </c>
      <c r="R150" s="21">
        <v>126.30000000000001</v>
      </c>
      <c r="S150" s="41">
        <f>'Monthly Data'!E18/'Monthly Data'!F18/'Monthly Data'!BH18</f>
        <v>23.481150138622279</v>
      </c>
      <c r="T150" s="41">
        <f>'Monthly Data'!J18/'Monthly Data'!H18/'Monthly Data'!BH18</f>
        <v>86.564823177380873</v>
      </c>
      <c r="U150" s="42">
        <f>'Monthly Data'!M18/'Monthly Data'!O18/'Monthly Data'!BH18</f>
        <v>2439.4811475188585</v>
      </c>
      <c r="V150" s="41"/>
      <c r="W150" s="9"/>
      <c r="X150" s="9"/>
    </row>
    <row r="151" spans="1:24" x14ac:dyDescent="0.2">
      <c r="A151" s="13">
        <v>40695</v>
      </c>
      <c r="B151">
        <v>2011</v>
      </c>
      <c r="C151">
        <v>6</v>
      </c>
      <c r="D151" s="20">
        <v>18.653333333333332</v>
      </c>
      <c r="E151" s="20">
        <v>53.199999999999989</v>
      </c>
      <c r="F151" s="20">
        <v>12.799999999999997</v>
      </c>
      <c r="G151" s="21">
        <v>22.4</v>
      </c>
      <c r="H151" s="21">
        <v>42</v>
      </c>
      <c r="I151" s="21">
        <v>6.8000000000000025</v>
      </c>
      <c r="J151" s="21">
        <v>86.4</v>
      </c>
      <c r="K151" s="21">
        <v>0.30000000000000071</v>
      </c>
      <c r="L151" s="21">
        <v>139.9</v>
      </c>
      <c r="M151" s="21">
        <v>0</v>
      </c>
      <c r="N151" s="21">
        <v>199.60000000000002</v>
      </c>
      <c r="O151" s="21">
        <v>0</v>
      </c>
      <c r="P151" s="21">
        <v>259.60000000000002</v>
      </c>
      <c r="Q151" s="21">
        <v>0</v>
      </c>
      <c r="R151" s="21">
        <v>319.60000000000002</v>
      </c>
      <c r="S151" s="41">
        <f>'Monthly Data'!E19/'Monthly Data'!F19/'Monthly Data'!BH19</f>
        <v>28.367000299824667</v>
      </c>
      <c r="T151" s="41">
        <f>'Monthly Data'!J19/'Monthly Data'!H19/'Monthly Data'!BH19</f>
        <v>95.026815787334016</v>
      </c>
      <c r="U151" s="42">
        <f>'Monthly Data'!M19/'Monthly Data'!O19/'Monthly Data'!BH19</f>
        <v>2609.7358068618983</v>
      </c>
      <c r="V151" s="41"/>
      <c r="W151" s="9"/>
      <c r="X151" s="9"/>
    </row>
    <row r="152" spans="1:24" x14ac:dyDescent="0.2">
      <c r="A152" s="13">
        <v>40725</v>
      </c>
      <c r="B152">
        <v>2011</v>
      </c>
      <c r="C152">
        <v>7</v>
      </c>
      <c r="D152" s="20">
        <v>24.125806451612902</v>
      </c>
      <c r="E152" s="20">
        <v>2.5999999999999979</v>
      </c>
      <c r="F152" s="20">
        <v>130.49999999999997</v>
      </c>
      <c r="G152" s="21">
        <v>0</v>
      </c>
      <c r="H152" s="21">
        <v>189.90000000000003</v>
      </c>
      <c r="I152" s="21">
        <v>0</v>
      </c>
      <c r="J152" s="21">
        <v>251.9</v>
      </c>
      <c r="K152" s="21">
        <v>0</v>
      </c>
      <c r="L152" s="21">
        <v>313.90000000000003</v>
      </c>
      <c r="M152" s="21">
        <v>0</v>
      </c>
      <c r="N152" s="21">
        <v>375.90000000000003</v>
      </c>
      <c r="O152" s="21">
        <v>0</v>
      </c>
      <c r="P152" s="21">
        <v>437.90000000000003</v>
      </c>
      <c r="Q152" s="21">
        <v>0</v>
      </c>
      <c r="R152" s="21">
        <v>499.90000000000003</v>
      </c>
      <c r="S152" s="41">
        <f>'Monthly Data'!E20/'Monthly Data'!F20/'Monthly Data'!BH20</f>
        <v>34.022566298769441</v>
      </c>
      <c r="T152" s="41">
        <f>'Monthly Data'!J20/'Monthly Data'!H20/'Monthly Data'!BH20</f>
        <v>105.14117546296238</v>
      </c>
      <c r="U152" s="42">
        <f>'Monthly Data'!M20/'Monthly Data'!O20/'Monthly Data'!BH20</f>
        <v>2777.9188164200796</v>
      </c>
      <c r="V152" s="41"/>
      <c r="W152" s="9"/>
      <c r="X152" s="9"/>
    </row>
    <row r="153" spans="1:24" x14ac:dyDescent="0.2">
      <c r="A153" s="13">
        <v>40756</v>
      </c>
      <c r="B153">
        <v>2011</v>
      </c>
      <c r="C153">
        <v>8</v>
      </c>
      <c r="D153" s="20">
        <v>21.819354838709678</v>
      </c>
      <c r="E153" s="20">
        <v>7.0999999999999979</v>
      </c>
      <c r="F153" s="20">
        <v>63.5</v>
      </c>
      <c r="G153" s="21">
        <v>0</v>
      </c>
      <c r="H153" s="21">
        <v>118.4</v>
      </c>
      <c r="I153" s="21">
        <v>0</v>
      </c>
      <c r="J153" s="21">
        <v>180.40000000000003</v>
      </c>
      <c r="K153" s="21">
        <v>0</v>
      </c>
      <c r="L153" s="21">
        <v>242.40000000000003</v>
      </c>
      <c r="M153" s="21">
        <v>0</v>
      </c>
      <c r="N153" s="21">
        <v>304.39999999999998</v>
      </c>
      <c r="O153" s="21">
        <v>0</v>
      </c>
      <c r="P153" s="21">
        <v>366.40000000000003</v>
      </c>
      <c r="Q153" s="21">
        <v>0</v>
      </c>
      <c r="R153" s="21">
        <v>428.4</v>
      </c>
      <c r="S153" s="41">
        <f>'Monthly Data'!E21/'Monthly Data'!F21/'Monthly Data'!BH21</f>
        <v>30.944764265866571</v>
      </c>
      <c r="T153" s="41">
        <f>'Monthly Data'!J21/'Monthly Data'!H21/'Monthly Data'!BH21</f>
        <v>100.55400538122669</v>
      </c>
      <c r="U153" s="42">
        <f>'Monthly Data'!M21/'Monthly Data'!O21/'Monthly Data'!BH21</f>
        <v>2697.4386864689754</v>
      </c>
      <c r="V153" s="41"/>
      <c r="W153" s="9"/>
      <c r="X153" s="9"/>
    </row>
    <row r="154" spans="1:24" x14ac:dyDescent="0.2">
      <c r="A154" s="13">
        <v>40787</v>
      </c>
      <c r="B154">
        <v>2011</v>
      </c>
      <c r="C154">
        <v>9</v>
      </c>
      <c r="D154" s="20">
        <v>17.616666666666667</v>
      </c>
      <c r="E154" s="20">
        <v>83.1</v>
      </c>
      <c r="F154" s="20">
        <v>11.600000000000001</v>
      </c>
      <c r="G154" s="21">
        <v>41.600000000000016</v>
      </c>
      <c r="H154" s="21">
        <v>30.1</v>
      </c>
      <c r="I154" s="21">
        <v>16.5</v>
      </c>
      <c r="J154" s="21">
        <v>65</v>
      </c>
      <c r="K154" s="21">
        <v>5.6999999999999993</v>
      </c>
      <c r="L154" s="21">
        <v>114.19999999999996</v>
      </c>
      <c r="M154" s="21">
        <v>0.40000000000000036</v>
      </c>
      <c r="N154" s="21">
        <v>168.9</v>
      </c>
      <c r="O154" s="21">
        <v>0</v>
      </c>
      <c r="P154" s="21">
        <v>228.5</v>
      </c>
      <c r="Q154" s="21">
        <v>0</v>
      </c>
      <c r="R154" s="21">
        <v>288.5</v>
      </c>
      <c r="S154" s="41">
        <f>'Monthly Data'!E22/'Monthly Data'!F22/'Monthly Data'!BH22</f>
        <v>25.24597655671035</v>
      </c>
      <c r="T154" s="41">
        <f>'Monthly Data'!J22/'Monthly Data'!H22/'Monthly Data'!BH22</f>
        <v>88.653985422804922</v>
      </c>
      <c r="U154" s="42">
        <f>'Monthly Data'!M22/'Monthly Data'!O22/'Monthly Data'!BH22</f>
        <v>2523.2027470450234</v>
      </c>
      <c r="V154" s="41"/>
      <c r="W154" s="9"/>
      <c r="X154" s="9"/>
    </row>
    <row r="155" spans="1:24" x14ac:dyDescent="0.2">
      <c r="A155" s="13">
        <v>40817</v>
      </c>
      <c r="B155">
        <v>2011</v>
      </c>
      <c r="C155">
        <v>10</v>
      </c>
      <c r="D155" s="20">
        <v>11.587096774193549</v>
      </c>
      <c r="E155" s="20">
        <v>261.7</v>
      </c>
      <c r="F155" s="20">
        <v>0.89999999999999858</v>
      </c>
      <c r="G155" s="21">
        <v>203.49999999999997</v>
      </c>
      <c r="H155" s="21">
        <v>4.6999999999999993</v>
      </c>
      <c r="I155" s="21">
        <v>148.4</v>
      </c>
      <c r="J155" s="21">
        <v>11.599999999999998</v>
      </c>
      <c r="K155" s="21">
        <v>102.2</v>
      </c>
      <c r="L155" s="21">
        <v>27.4</v>
      </c>
      <c r="M155" s="21">
        <v>61.1</v>
      </c>
      <c r="N155" s="21">
        <v>48.300000000000004</v>
      </c>
      <c r="O155" s="21">
        <v>30.6</v>
      </c>
      <c r="P155" s="21">
        <v>79.800000000000011</v>
      </c>
      <c r="Q155" s="21">
        <v>13.2</v>
      </c>
      <c r="R155" s="21">
        <v>124.40000000000002</v>
      </c>
      <c r="S155" s="41">
        <f>'Monthly Data'!E23/'Monthly Data'!F23/'Monthly Data'!BH23</f>
        <v>23.090560169345522</v>
      </c>
      <c r="T155" s="41">
        <f>'Monthly Data'!J23/'Monthly Data'!H23/'Monthly Data'!BH23</f>
        <v>83.965999006948209</v>
      </c>
      <c r="U155" s="42">
        <f>'Monthly Data'!M23/'Monthly Data'!O23/'Monthly Data'!BH23</f>
        <v>2367.0504411370425</v>
      </c>
      <c r="V155" s="41"/>
      <c r="W155" s="9"/>
      <c r="X155" s="9"/>
    </row>
    <row r="156" spans="1:24" x14ac:dyDescent="0.2">
      <c r="A156" s="13">
        <v>40848</v>
      </c>
      <c r="B156">
        <v>2011</v>
      </c>
      <c r="C156">
        <v>11</v>
      </c>
      <c r="D156" s="20">
        <v>8.0533333333333328</v>
      </c>
      <c r="E156" s="20">
        <v>358.40000000000003</v>
      </c>
      <c r="F156" s="20">
        <v>0</v>
      </c>
      <c r="G156" s="21">
        <v>298.39999999999998</v>
      </c>
      <c r="H156" s="21">
        <v>0</v>
      </c>
      <c r="I156" s="21">
        <v>238.39999999999998</v>
      </c>
      <c r="J156" s="21">
        <v>0</v>
      </c>
      <c r="K156" s="21">
        <v>179.4</v>
      </c>
      <c r="L156" s="21">
        <v>0.99999999999999822</v>
      </c>
      <c r="M156" s="21">
        <v>127.09999999999998</v>
      </c>
      <c r="N156" s="21">
        <v>8.6999999999999975</v>
      </c>
      <c r="O156" s="21">
        <v>81.999999999999986</v>
      </c>
      <c r="P156" s="21">
        <v>23.599999999999998</v>
      </c>
      <c r="Q156" s="21">
        <v>49.999999999999993</v>
      </c>
      <c r="R156" s="21">
        <v>51.599999999999994</v>
      </c>
      <c r="S156" s="41">
        <f>'Monthly Data'!E24/'Monthly Data'!F24/'Monthly Data'!BH24</f>
        <v>22.653725613592769</v>
      </c>
      <c r="T156" s="41">
        <f>'Monthly Data'!J24/'Monthly Data'!H24/'Monthly Data'!BH24</f>
        <v>88.39489349822297</v>
      </c>
      <c r="U156" s="42">
        <f>'Monthly Data'!M24/'Monthly Data'!O24/'Monthly Data'!BH24</f>
        <v>2390.3555698879613</v>
      </c>
      <c r="V156" s="41"/>
      <c r="W156" s="9"/>
      <c r="X156" s="9"/>
    </row>
    <row r="157" spans="1:24" x14ac:dyDescent="0.2">
      <c r="A157" s="13">
        <v>40878</v>
      </c>
      <c r="B157">
        <v>2011</v>
      </c>
      <c r="C157">
        <v>12</v>
      </c>
      <c r="D157" s="20">
        <v>2.4741935483870963</v>
      </c>
      <c r="E157" s="20">
        <v>543.29999999999995</v>
      </c>
      <c r="F157" s="20">
        <v>0</v>
      </c>
      <c r="G157" s="21">
        <v>481.2999999999999</v>
      </c>
      <c r="H157" s="21">
        <v>0</v>
      </c>
      <c r="I157" s="21">
        <v>419.29999999999995</v>
      </c>
      <c r="J157" s="21">
        <v>0</v>
      </c>
      <c r="K157" s="21">
        <v>357.29999999999995</v>
      </c>
      <c r="L157" s="21">
        <v>0</v>
      </c>
      <c r="M157" s="21">
        <v>295.3</v>
      </c>
      <c r="N157" s="21">
        <v>0</v>
      </c>
      <c r="O157" s="21">
        <v>233.4</v>
      </c>
      <c r="P157" s="21">
        <v>9.9999999999999645E-2</v>
      </c>
      <c r="Q157" s="21">
        <v>173.9</v>
      </c>
      <c r="R157" s="21">
        <v>2.5999999999999996</v>
      </c>
      <c r="S157" s="41">
        <f>'Monthly Data'!E25/'Monthly Data'!F25/'Monthly Data'!BH25</f>
        <v>24.055467439176603</v>
      </c>
      <c r="T157" s="41">
        <f>'Monthly Data'!J25/'Monthly Data'!H25/'Monthly Data'!BH25</f>
        <v>93.332481188170632</v>
      </c>
      <c r="U157" s="42">
        <f>'Monthly Data'!M25/'Monthly Data'!O25/'Monthly Data'!BH25</f>
        <v>2344.4603045151271</v>
      </c>
      <c r="V157" s="41"/>
      <c r="W157" s="9"/>
      <c r="X157" s="9"/>
    </row>
    <row r="158" spans="1:24" x14ac:dyDescent="0.2">
      <c r="A158" s="13">
        <v>40909</v>
      </c>
      <c r="B158">
        <v>2012</v>
      </c>
      <c r="C158">
        <v>1</v>
      </c>
      <c r="D158" s="20">
        <v>-0.34516129032258075</v>
      </c>
      <c r="E158" s="20">
        <v>630.70000000000005</v>
      </c>
      <c r="F158" s="20">
        <v>0</v>
      </c>
      <c r="G158" s="21">
        <v>568.69999999999982</v>
      </c>
      <c r="H158" s="21">
        <v>0</v>
      </c>
      <c r="I158" s="21">
        <v>506.70000000000005</v>
      </c>
      <c r="J158" s="21">
        <v>0</v>
      </c>
      <c r="K158" s="21">
        <v>444.70000000000005</v>
      </c>
      <c r="L158" s="21">
        <v>0</v>
      </c>
      <c r="M158" s="21">
        <v>382.7000000000001</v>
      </c>
      <c r="N158" s="21">
        <v>0</v>
      </c>
      <c r="O158" s="21">
        <v>320.70000000000005</v>
      </c>
      <c r="P158" s="21">
        <v>0</v>
      </c>
      <c r="Q158" s="21">
        <v>258.7</v>
      </c>
      <c r="R158" s="21">
        <v>0</v>
      </c>
      <c r="S158" s="41">
        <f>'Monthly Data'!E26/'Monthly Data'!F26/'Monthly Data'!BH26</f>
        <v>25.80309725728376</v>
      </c>
      <c r="T158" s="41">
        <f>'Monthly Data'!J26/'Monthly Data'!H26/'Monthly Data'!BH26</f>
        <v>97.587607521572878</v>
      </c>
      <c r="U158" s="42">
        <f>'Monthly Data'!M26/'Monthly Data'!O26/'Monthly Data'!BH26</f>
        <v>2521.7432297902856</v>
      </c>
      <c r="V158" s="41"/>
      <c r="W158" s="9"/>
      <c r="X158" s="9"/>
    </row>
    <row r="159" spans="1:24" x14ac:dyDescent="0.2">
      <c r="A159" s="13">
        <v>40940</v>
      </c>
      <c r="B159">
        <v>2012</v>
      </c>
      <c r="C159">
        <v>2</v>
      </c>
      <c r="D159" s="20">
        <v>0.84827586206896544</v>
      </c>
      <c r="E159" s="20">
        <v>555.39999999999986</v>
      </c>
      <c r="F159" s="20">
        <v>0</v>
      </c>
      <c r="G159" s="21">
        <v>497.39999999999992</v>
      </c>
      <c r="H159" s="21">
        <v>0</v>
      </c>
      <c r="I159" s="21">
        <v>439.4</v>
      </c>
      <c r="J159" s="21">
        <v>0</v>
      </c>
      <c r="K159" s="21">
        <v>381.4</v>
      </c>
      <c r="L159" s="21">
        <v>0</v>
      </c>
      <c r="M159" s="21">
        <v>323.39999999999998</v>
      </c>
      <c r="N159" s="21">
        <v>0</v>
      </c>
      <c r="O159" s="21">
        <v>265.40000000000003</v>
      </c>
      <c r="P159" s="21">
        <v>0</v>
      </c>
      <c r="Q159" s="21">
        <v>207.40000000000006</v>
      </c>
      <c r="R159" s="21">
        <v>0</v>
      </c>
      <c r="S159" s="41">
        <f>'Monthly Data'!E27/'Monthly Data'!F27/'Monthly Data'!BH27</f>
        <v>23.649929611081212</v>
      </c>
      <c r="T159" s="41">
        <f>'Monthly Data'!J27/'Monthly Data'!H27/'Monthly Data'!BH27</f>
        <v>97.159576290882057</v>
      </c>
      <c r="U159" s="42">
        <f>'Monthly Data'!M27/'Monthly Data'!O27/'Monthly Data'!BH27</f>
        <v>2526.8517055278066</v>
      </c>
      <c r="V159" s="41"/>
      <c r="W159" s="9"/>
      <c r="X159" s="9"/>
    </row>
    <row r="160" spans="1:24" x14ac:dyDescent="0.2">
      <c r="A160" s="13">
        <v>40969</v>
      </c>
      <c r="B160">
        <v>2012</v>
      </c>
      <c r="C160">
        <v>3</v>
      </c>
      <c r="D160" s="20">
        <v>6.112903225806452</v>
      </c>
      <c r="E160" s="20">
        <v>430.49999999999994</v>
      </c>
      <c r="F160" s="20">
        <v>0</v>
      </c>
      <c r="G160" s="21">
        <v>368.49999999999994</v>
      </c>
      <c r="H160" s="21">
        <v>0</v>
      </c>
      <c r="I160" s="21">
        <v>306.5</v>
      </c>
      <c r="J160" s="21">
        <v>0</v>
      </c>
      <c r="K160" s="21">
        <v>244.8</v>
      </c>
      <c r="L160" s="21">
        <v>0.30000000000000071</v>
      </c>
      <c r="M160" s="21">
        <v>184.89999999999998</v>
      </c>
      <c r="N160" s="21">
        <v>2.4000000000000004</v>
      </c>
      <c r="O160" s="21">
        <v>132.9</v>
      </c>
      <c r="P160" s="21">
        <v>12.4</v>
      </c>
      <c r="Q160" s="21">
        <v>93.1</v>
      </c>
      <c r="R160" s="21">
        <v>34.6</v>
      </c>
      <c r="S160" s="41">
        <f>'Monthly Data'!E28/'Monthly Data'!F28/'Monthly Data'!BH28</f>
        <v>21.360113216375673</v>
      </c>
      <c r="T160" s="41">
        <f>'Monthly Data'!J28/'Monthly Data'!H28/'Monthly Data'!BH28</f>
        <v>90.226431721840115</v>
      </c>
      <c r="U160" s="42">
        <f>'Monthly Data'!M28/'Monthly Data'!O28/'Monthly Data'!BH28</f>
        <v>2425.5018772834842</v>
      </c>
      <c r="V160" s="41"/>
      <c r="W160" s="9"/>
      <c r="X160" s="9"/>
    </row>
    <row r="161" spans="1:24" x14ac:dyDescent="0.2">
      <c r="A161" s="13">
        <v>41000</v>
      </c>
      <c r="B161">
        <v>2012</v>
      </c>
      <c r="C161">
        <v>4</v>
      </c>
      <c r="D161" s="20">
        <v>7.86</v>
      </c>
      <c r="E161" s="20">
        <v>364.2</v>
      </c>
      <c r="F161" s="20">
        <v>0</v>
      </c>
      <c r="G161" s="21">
        <v>304.2</v>
      </c>
      <c r="H161" s="21">
        <v>0</v>
      </c>
      <c r="I161" s="21">
        <v>244.20000000000002</v>
      </c>
      <c r="J161" s="21">
        <v>0</v>
      </c>
      <c r="K161" s="21">
        <v>186.6</v>
      </c>
      <c r="L161" s="21">
        <v>2.4000000000000004</v>
      </c>
      <c r="M161" s="21">
        <v>134.19999999999999</v>
      </c>
      <c r="N161" s="21">
        <v>10</v>
      </c>
      <c r="O161" s="21">
        <v>83.5</v>
      </c>
      <c r="P161" s="21">
        <v>19.3</v>
      </c>
      <c r="Q161" s="21">
        <v>38</v>
      </c>
      <c r="R161" s="21">
        <v>33.799999999999997</v>
      </c>
      <c r="S161" s="41">
        <f>'Monthly Data'!E29/'Monthly Data'!F29/'Monthly Data'!BH29</f>
        <v>21.432983765148204</v>
      </c>
      <c r="T161" s="41">
        <f>'Monthly Data'!J29/'Monthly Data'!H29/'Monthly Data'!BH29</f>
        <v>85.783325406059063</v>
      </c>
      <c r="U161" s="42">
        <f>'Monthly Data'!M29/'Monthly Data'!O29/'Monthly Data'!BH29</f>
        <v>2339.3983254017689</v>
      </c>
      <c r="V161" s="41"/>
      <c r="W161" s="9"/>
      <c r="X161" s="9"/>
    </row>
    <row r="162" spans="1:24" x14ac:dyDescent="0.2">
      <c r="A162" s="13">
        <v>41030</v>
      </c>
      <c r="B162">
        <v>2012</v>
      </c>
      <c r="C162">
        <v>5</v>
      </c>
      <c r="D162" s="20">
        <v>15.490322580645163</v>
      </c>
      <c r="E162" s="20">
        <v>152.00000000000003</v>
      </c>
      <c r="F162" s="20">
        <v>12.2</v>
      </c>
      <c r="G162" s="21">
        <v>100.99999999999999</v>
      </c>
      <c r="H162" s="21">
        <v>23.2</v>
      </c>
      <c r="I162" s="21">
        <v>62</v>
      </c>
      <c r="J162" s="21">
        <v>46.2</v>
      </c>
      <c r="K162" s="21">
        <v>31.1</v>
      </c>
      <c r="L162" s="21">
        <v>77.3</v>
      </c>
      <c r="M162" s="21">
        <v>11.399999999999997</v>
      </c>
      <c r="N162" s="21">
        <v>119.6</v>
      </c>
      <c r="O162" s="21">
        <v>1.8999999999999986</v>
      </c>
      <c r="P162" s="21">
        <v>172.10000000000002</v>
      </c>
      <c r="Q162" s="21">
        <v>0</v>
      </c>
      <c r="R162" s="21">
        <v>232.2</v>
      </c>
      <c r="S162" s="41">
        <f>'Monthly Data'!E30/'Monthly Data'!F30/'Monthly Data'!BH30</f>
        <v>23.540082795225139</v>
      </c>
      <c r="T162" s="41">
        <f>'Monthly Data'!J30/'Monthly Data'!H30/'Monthly Data'!BH30</f>
        <v>88.046805246782171</v>
      </c>
      <c r="U162" s="42">
        <f>'Monthly Data'!M30/'Monthly Data'!O30/'Monthly Data'!BH30</f>
        <v>2446.7642692806535</v>
      </c>
      <c r="V162" s="41"/>
      <c r="W162" s="9"/>
      <c r="X162" s="9"/>
    </row>
    <row r="163" spans="1:24" x14ac:dyDescent="0.2">
      <c r="A163" s="13">
        <v>41061</v>
      </c>
      <c r="B163">
        <v>2012</v>
      </c>
      <c r="C163">
        <v>6</v>
      </c>
      <c r="D163" s="20">
        <v>20.633333333333333</v>
      </c>
      <c r="E163" s="20">
        <v>44.199999999999996</v>
      </c>
      <c r="F163" s="20">
        <v>63.20000000000001</v>
      </c>
      <c r="G163" s="21">
        <v>22.7</v>
      </c>
      <c r="H163" s="21">
        <v>101.69999999999999</v>
      </c>
      <c r="I163" s="21">
        <v>8</v>
      </c>
      <c r="J163" s="21">
        <v>147</v>
      </c>
      <c r="K163" s="21">
        <v>1.0999999999999996</v>
      </c>
      <c r="L163" s="21">
        <v>200.09999999999997</v>
      </c>
      <c r="M163" s="21">
        <v>0</v>
      </c>
      <c r="N163" s="21">
        <v>259</v>
      </c>
      <c r="O163" s="21">
        <v>0</v>
      </c>
      <c r="P163" s="21">
        <v>319</v>
      </c>
      <c r="Q163" s="21">
        <v>0</v>
      </c>
      <c r="R163" s="21">
        <v>379</v>
      </c>
      <c r="S163" s="41">
        <f>'Monthly Data'!E31/'Monthly Data'!F31/'Monthly Data'!BH31</f>
        <v>30.011842373709509</v>
      </c>
      <c r="T163" s="41">
        <f>'Monthly Data'!J31/'Monthly Data'!H31/'Monthly Data'!BH31</f>
        <v>97.410508300222475</v>
      </c>
      <c r="U163" s="42">
        <f>'Monthly Data'!M31/'Monthly Data'!O31/'Monthly Data'!BH31</f>
        <v>2624.0486474142431</v>
      </c>
      <c r="V163" s="41"/>
      <c r="W163" s="9"/>
      <c r="X163" s="9"/>
    </row>
    <row r="164" spans="1:24" x14ac:dyDescent="0.2">
      <c r="A164" s="13">
        <v>41091</v>
      </c>
      <c r="B164">
        <v>2012</v>
      </c>
      <c r="C164">
        <v>7</v>
      </c>
      <c r="D164" s="20">
        <v>24.2258064516129</v>
      </c>
      <c r="E164" s="20">
        <v>0</v>
      </c>
      <c r="F164" s="20">
        <v>131</v>
      </c>
      <c r="G164" s="21">
        <v>0</v>
      </c>
      <c r="H164" s="21">
        <v>193</v>
      </c>
      <c r="I164" s="21">
        <v>0</v>
      </c>
      <c r="J164" s="21">
        <v>255</v>
      </c>
      <c r="K164" s="21">
        <v>0</v>
      </c>
      <c r="L164" s="21">
        <v>317</v>
      </c>
      <c r="M164" s="21">
        <v>0</v>
      </c>
      <c r="N164" s="21">
        <v>379</v>
      </c>
      <c r="O164" s="21">
        <v>0</v>
      </c>
      <c r="P164" s="21">
        <v>441</v>
      </c>
      <c r="Q164" s="21">
        <v>0</v>
      </c>
      <c r="R164" s="21">
        <v>503</v>
      </c>
      <c r="S164" s="41">
        <f>'Monthly Data'!E32/'Monthly Data'!F32/'Monthly Data'!BH32</f>
        <v>34.599709959372568</v>
      </c>
      <c r="T164" s="41">
        <f>'Monthly Data'!J32/'Monthly Data'!H32/'Monthly Data'!BH32</f>
        <v>105.14372134093801</v>
      </c>
      <c r="U164" s="42">
        <f>'Monthly Data'!M32/'Monthly Data'!O32/'Monthly Data'!BH32</f>
        <v>2751.9134181614472</v>
      </c>
      <c r="V164" s="41"/>
      <c r="W164" s="9"/>
      <c r="X164" s="9"/>
    </row>
    <row r="165" spans="1:24" x14ac:dyDescent="0.2">
      <c r="A165" s="13">
        <v>41122</v>
      </c>
      <c r="B165">
        <v>2012</v>
      </c>
      <c r="C165">
        <v>8</v>
      </c>
      <c r="D165" s="20">
        <v>22.219354838709677</v>
      </c>
      <c r="E165" s="20">
        <v>2.7000000000000028</v>
      </c>
      <c r="F165" s="20">
        <v>71.5</v>
      </c>
      <c r="G165" s="21">
        <v>0</v>
      </c>
      <c r="H165" s="21">
        <v>130.80000000000001</v>
      </c>
      <c r="I165" s="21">
        <v>0</v>
      </c>
      <c r="J165" s="21">
        <v>192.8</v>
      </c>
      <c r="K165" s="21">
        <v>0</v>
      </c>
      <c r="L165" s="21">
        <v>254.8</v>
      </c>
      <c r="M165" s="21">
        <v>0</v>
      </c>
      <c r="N165" s="21">
        <v>316.8</v>
      </c>
      <c r="O165" s="21">
        <v>0</v>
      </c>
      <c r="P165" s="21">
        <v>378.8</v>
      </c>
      <c r="Q165" s="21">
        <v>0</v>
      </c>
      <c r="R165" s="21">
        <v>440.80000000000007</v>
      </c>
      <c r="S165" s="41">
        <f>'Monthly Data'!E33/'Monthly Data'!F33/'Monthly Data'!BH33</f>
        <v>31.361527943233291</v>
      </c>
      <c r="T165" s="41">
        <f>'Monthly Data'!J33/'Monthly Data'!H33/'Monthly Data'!BH33</f>
        <v>99.620726647262202</v>
      </c>
      <c r="U165" s="42">
        <f>'Monthly Data'!M33/'Monthly Data'!O33/'Monthly Data'!BH33</f>
        <v>2664.5069573768883</v>
      </c>
      <c r="V165" s="41"/>
      <c r="W165" s="9"/>
      <c r="X165" s="9"/>
    </row>
    <row r="166" spans="1:24" x14ac:dyDescent="0.2">
      <c r="A166" s="13">
        <v>41153</v>
      </c>
      <c r="B166">
        <v>2012</v>
      </c>
      <c r="C166">
        <v>9</v>
      </c>
      <c r="D166" s="20">
        <v>17.386666666666663</v>
      </c>
      <c r="E166" s="20">
        <v>97.299999999999983</v>
      </c>
      <c r="F166" s="20">
        <v>18.900000000000002</v>
      </c>
      <c r="G166" s="21">
        <v>58.400000000000006</v>
      </c>
      <c r="H166" s="21">
        <v>40</v>
      </c>
      <c r="I166" s="21">
        <v>28.299999999999997</v>
      </c>
      <c r="J166" s="21">
        <v>69.900000000000006</v>
      </c>
      <c r="K166" s="21">
        <v>11.3</v>
      </c>
      <c r="L166" s="21">
        <v>112.89999999999999</v>
      </c>
      <c r="M166" s="21">
        <v>0.90000000000000036</v>
      </c>
      <c r="N166" s="21">
        <v>162.5</v>
      </c>
      <c r="O166" s="21">
        <v>0</v>
      </c>
      <c r="P166" s="21">
        <v>221.6</v>
      </c>
      <c r="Q166" s="21">
        <v>0</v>
      </c>
      <c r="R166" s="21">
        <v>281.59999999999997</v>
      </c>
      <c r="S166" s="41">
        <f>'Monthly Data'!E34/'Monthly Data'!F34/'Monthly Data'!BH34</f>
        <v>26.258289486224395</v>
      </c>
      <c r="T166" s="41">
        <f>'Monthly Data'!J34/'Monthly Data'!H34/'Monthly Data'!BH34</f>
        <v>91.765133913864403</v>
      </c>
      <c r="U166" s="42">
        <f>'Monthly Data'!M34/'Monthly Data'!O34/'Monthly Data'!BH34</f>
        <v>2491.6159480482102</v>
      </c>
      <c r="V166" s="41"/>
      <c r="W166" s="9"/>
      <c r="X166" s="9"/>
    </row>
    <row r="167" spans="1:24" x14ac:dyDescent="0.2">
      <c r="A167" s="13">
        <v>41183</v>
      </c>
      <c r="B167">
        <v>2012</v>
      </c>
      <c r="C167">
        <v>10</v>
      </c>
      <c r="D167" s="20">
        <v>10.816129032258065</v>
      </c>
      <c r="E167" s="20">
        <v>284.69999999999993</v>
      </c>
      <c r="F167" s="20">
        <v>0</v>
      </c>
      <c r="G167" s="21">
        <v>223.20000000000002</v>
      </c>
      <c r="H167" s="21">
        <v>0.5</v>
      </c>
      <c r="I167" s="21">
        <v>164.50000000000003</v>
      </c>
      <c r="J167" s="21">
        <v>3.8000000000000007</v>
      </c>
      <c r="K167" s="21">
        <v>110.60000000000001</v>
      </c>
      <c r="L167" s="21">
        <v>11.9</v>
      </c>
      <c r="M167" s="21">
        <v>66.599999999999994</v>
      </c>
      <c r="N167" s="21">
        <v>29.900000000000006</v>
      </c>
      <c r="O167" s="21">
        <v>29.7</v>
      </c>
      <c r="P167" s="21">
        <v>55</v>
      </c>
      <c r="Q167" s="21">
        <v>9.1999999999999993</v>
      </c>
      <c r="R167" s="21">
        <v>96.5</v>
      </c>
      <c r="S167" s="41">
        <f>'Monthly Data'!E35/'Monthly Data'!F35/'Monthly Data'!BH35</f>
        <v>22.945929184441262</v>
      </c>
      <c r="T167" s="41">
        <f>'Monthly Data'!J35/'Monthly Data'!H35/'Monthly Data'!BH35</f>
        <v>85.540784726947805</v>
      </c>
      <c r="U167" s="42">
        <f>'Monthly Data'!M35/'Monthly Data'!O35/'Monthly Data'!BH35</f>
        <v>2371.6625820351946</v>
      </c>
      <c r="V167" s="41"/>
      <c r="W167" s="9"/>
      <c r="X167" s="9"/>
    </row>
    <row r="168" spans="1:24" x14ac:dyDescent="0.2">
      <c r="A168" s="13">
        <v>41214</v>
      </c>
      <c r="B168">
        <v>2012</v>
      </c>
      <c r="C168">
        <v>11</v>
      </c>
      <c r="D168" s="20">
        <v>4.8366666666666669</v>
      </c>
      <c r="E168" s="20">
        <v>454.90000000000003</v>
      </c>
      <c r="F168" s="20">
        <v>0</v>
      </c>
      <c r="G168" s="21">
        <v>394.9</v>
      </c>
      <c r="H168" s="21">
        <v>0</v>
      </c>
      <c r="I168" s="21">
        <v>334.90000000000003</v>
      </c>
      <c r="J168" s="21">
        <v>0</v>
      </c>
      <c r="K168" s="21">
        <v>274.90000000000009</v>
      </c>
      <c r="L168" s="21">
        <v>0</v>
      </c>
      <c r="M168" s="21">
        <v>216.80000000000004</v>
      </c>
      <c r="N168" s="21">
        <v>1.9000000000000004</v>
      </c>
      <c r="O168" s="21">
        <v>161</v>
      </c>
      <c r="P168" s="21">
        <v>6.1</v>
      </c>
      <c r="Q168" s="21">
        <v>107</v>
      </c>
      <c r="R168" s="21">
        <v>12.1</v>
      </c>
      <c r="S168" s="41">
        <f>'Monthly Data'!E36/'Monthly Data'!F36/'Monthly Data'!BH36</f>
        <v>22.283162582604419</v>
      </c>
      <c r="T168" s="41">
        <f>'Monthly Data'!J36/'Monthly Data'!H36/'Monthly Data'!BH36</f>
        <v>91.438210523422555</v>
      </c>
      <c r="U168" s="42">
        <f>'Monthly Data'!M36/'Monthly Data'!O36/'Monthly Data'!BH36</f>
        <v>2426.9584987668286</v>
      </c>
      <c r="V168" s="41"/>
      <c r="W168" s="9"/>
      <c r="X168" s="9"/>
    </row>
    <row r="169" spans="1:24" x14ac:dyDescent="0.2">
      <c r="A169" s="13">
        <v>41244</v>
      </c>
      <c r="B169">
        <v>2012</v>
      </c>
      <c r="C169">
        <v>12</v>
      </c>
      <c r="D169" s="20">
        <v>2.5354838709677421</v>
      </c>
      <c r="E169" s="20">
        <v>541.40000000000009</v>
      </c>
      <c r="F169" s="20">
        <v>0</v>
      </c>
      <c r="G169" s="21">
        <v>479.4</v>
      </c>
      <c r="H169" s="21">
        <v>0</v>
      </c>
      <c r="I169" s="21">
        <v>417.40000000000003</v>
      </c>
      <c r="J169" s="21">
        <v>0</v>
      </c>
      <c r="K169" s="21">
        <v>355.4</v>
      </c>
      <c r="L169" s="21">
        <v>0</v>
      </c>
      <c r="M169" s="21">
        <v>293.39999999999998</v>
      </c>
      <c r="N169" s="21">
        <v>0</v>
      </c>
      <c r="O169" s="21">
        <v>233.29999999999998</v>
      </c>
      <c r="P169" s="21">
        <v>1.9000000000000004</v>
      </c>
      <c r="Q169" s="21">
        <v>173.79999999999998</v>
      </c>
      <c r="R169" s="21">
        <v>4.4000000000000004</v>
      </c>
      <c r="S169" s="41">
        <f>'Monthly Data'!E37/'Monthly Data'!F37/'Monthly Data'!BH37</f>
        <v>24.410395449273572</v>
      </c>
      <c r="T169" s="41">
        <f>'Monthly Data'!J37/'Monthly Data'!H37/'Monthly Data'!BH37</f>
        <v>93.887148467350045</v>
      </c>
      <c r="U169" s="42">
        <f>'Monthly Data'!M37/'Monthly Data'!O37/'Monthly Data'!BH37</f>
        <v>2335.4202854069163</v>
      </c>
      <c r="V169" s="41"/>
      <c r="W169" s="9"/>
      <c r="X169" s="9"/>
    </row>
    <row r="170" spans="1:24" x14ac:dyDescent="0.2">
      <c r="A170" s="13">
        <v>41275</v>
      </c>
      <c r="B170">
        <v>2013</v>
      </c>
      <c r="C170">
        <v>1</v>
      </c>
      <c r="D170" s="20">
        <v>-0.74838709677419368</v>
      </c>
      <c r="E170" s="20">
        <v>643.20000000000005</v>
      </c>
      <c r="F170" s="20">
        <v>0</v>
      </c>
      <c r="G170" s="21">
        <v>581.20000000000005</v>
      </c>
      <c r="H170" s="21">
        <v>0</v>
      </c>
      <c r="I170" s="21">
        <v>519.20000000000005</v>
      </c>
      <c r="J170" s="21">
        <v>0</v>
      </c>
      <c r="K170" s="21">
        <v>457.2</v>
      </c>
      <c r="L170" s="21">
        <v>0</v>
      </c>
      <c r="M170" s="21">
        <v>395.20000000000005</v>
      </c>
      <c r="N170" s="21">
        <v>0</v>
      </c>
      <c r="O170" s="21">
        <v>334.3</v>
      </c>
      <c r="P170" s="21">
        <v>1.0999999999999996</v>
      </c>
      <c r="Q170" s="21">
        <v>277.60000000000002</v>
      </c>
      <c r="R170" s="21">
        <v>6.4</v>
      </c>
      <c r="S170" s="41">
        <f>'Monthly Data'!E38/'Monthly Data'!F38/'Monthly Data'!BH38</f>
        <v>26.149987915830657</v>
      </c>
      <c r="T170" s="41">
        <f>'Monthly Data'!J38/'Monthly Data'!H38/'Monthly Data'!BH38</f>
        <v>98.68722465170265</v>
      </c>
      <c r="U170" s="42">
        <f>'Monthly Data'!M38/'Monthly Data'!O38/'Monthly Data'!BH38</f>
        <v>2554.7699363520883</v>
      </c>
      <c r="V170" s="41"/>
      <c r="W170" s="9"/>
      <c r="X170" s="9"/>
    </row>
    <row r="171" spans="1:24" x14ac:dyDescent="0.2">
      <c r="A171" s="13">
        <v>41306</v>
      </c>
      <c r="B171">
        <v>2013</v>
      </c>
      <c r="C171">
        <v>2</v>
      </c>
      <c r="D171" s="20">
        <v>-2.9821428571428572</v>
      </c>
      <c r="E171" s="20">
        <v>643.49999999999989</v>
      </c>
      <c r="F171" s="20">
        <v>0</v>
      </c>
      <c r="G171" s="21">
        <v>587.49999999999989</v>
      </c>
      <c r="H171" s="21">
        <v>0</v>
      </c>
      <c r="I171" s="21">
        <v>531.5</v>
      </c>
      <c r="J171" s="21">
        <v>0</v>
      </c>
      <c r="K171" s="21">
        <v>475.5</v>
      </c>
      <c r="L171" s="21">
        <v>0</v>
      </c>
      <c r="M171" s="21">
        <v>419.5</v>
      </c>
      <c r="N171" s="21">
        <v>0</v>
      </c>
      <c r="O171" s="21">
        <v>363.5</v>
      </c>
      <c r="P171" s="21">
        <v>0</v>
      </c>
      <c r="Q171" s="21">
        <v>307.50000000000006</v>
      </c>
      <c r="R171" s="21">
        <v>0</v>
      </c>
      <c r="S171" s="41">
        <f>'Monthly Data'!E39/'Monthly Data'!F39/'Monthly Data'!BH39</f>
        <v>24.825956390012834</v>
      </c>
      <c r="T171" s="41">
        <f>'Monthly Data'!J39/'Monthly Data'!H39/'Monthly Data'!BH39</f>
        <v>100.66388283421534</v>
      </c>
      <c r="U171" s="42">
        <f>'Monthly Data'!M39/'Monthly Data'!O39/'Monthly Data'!BH39</f>
        <v>2593.6065331815525</v>
      </c>
      <c r="V171" s="41"/>
      <c r="W171" s="9"/>
      <c r="X171" s="9"/>
    </row>
    <row r="172" spans="1:24" x14ac:dyDescent="0.2">
      <c r="A172" s="13">
        <v>41334</v>
      </c>
      <c r="B172">
        <v>2013</v>
      </c>
      <c r="C172">
        <v>3</v>
      </c>
      <c r="D172" s="20">
        <v>1.1193548387096774</v>
      </c>
      <c r="E172" s="20">
        <v>585.30000000000007</v>
      </c>
      <c r="F172" s="20">
        <v>0</v>
      </c>
      <c r="G172" s="21">
        <v>523.30000000000007</v>
      </c>
      <c r="H172" s="21">
        <v>0</v>
      </c>
      <c r="I172" s="21">
        <v>461.30000000000007</v>
      </c>
      <c r="J172" s="21">
        <v>0</v>
      </c>
      <c r="K172" s="21">
        <v>399.30000000000007</v>
      </c>
      <c r="L172" s="21">
        <v>0</v>
      </c>
      <c r="M172" s="21">
        <v>337.3</v>
      </c>
      <c r="N172" s="21">
        <v>0</v>
      </c>
      <c r="O172" s="21">
        <v>275.29999999999995</v>
      </c>
      <c r="P172" s="21">
        <v>0</v>
      </c>
      <c r="Q172" s="21">
        <v>214.7</v>
      </c>
      <c r="R172" s="21">
        <v>1.4000000000000004</v>
      </c>
      <c r="S172" s="41">
        <f>'Monthly Data'!E40/'Monthly Data'!F40/'Monthly Data'!BH40</f>
        <v>23.114646951677866</v>
      </c>
      <c r="T172" s="41">
        <f>'Monthly Data'!J40/'Monthly Data'!H40/'Monthly Data'!BH40</f>
        <v>95.766254393138482</v>
      </c>
      <c r="U172" s="42">
        <f>'Monthly Data'!M40/'Monthly Data'!O40/'Monthly Data'!BH40</f>
        <v>2470.6015902500208</v>
      </c>
      <c r="V172" s="41"/>
      <c r="W172" s="9"/>
      <c r="X172" s="9"/>
    </row>
    <row r="173" spans="1:24" x14ac:dyDescent="0.2">
      <c r="A173" s="13">
        <v>41365</v>
      </c>
      <c r="B173">
        <v>2013</v>
      </c>
      <c r="C173">
        <v>4</v>
      </c>
      <c r="D173" s="20">
        <v>6.0466666666666669</v>
      </c>
      <c r="E173" s="20">
        <v>418.59999999999985</v>
      </c>
      <c r="F173" s="20">
        <v>0</v>
      </c>
      <c r="G173" s="21">
        <v>358.59999999999985</v>
      </c>
      <c r="H173" s="21">
        <v>0</v>
      </c>
      <c r="I173" s="21">
        <v>298.59999999999991</v>
      </c>
      <c r="J173" s="21">
        <v>0</v>
      </c>
      <c r="K173" s="21">
        <v>240.19999999999993</v>
      </c>
      <c r="L173" s="21">
        <v>1.5999999999999996</v>
      </c>
      <c r="M173" s="21">
        <v>182.99999999999997</v>
      </c>
      <c r="N173" s="21">
        <v>4.4000000000000004</v>
      </c>
      <c r="O173" s="21">
        <v>129.40000000000003</v>
      </c>
      <c r="P173" s="21">
        <v>10.8</v>
      </c>
      <c r="Q173" s="21">
        <v>84.200000000000017</v>
      </c>
      <c r="R173" s="21">
        <v>25.600000000000005</v>
      </c>
      <c r="S173" s="41">
        <f>'Monthly Data'!E41/'Monthly Data'!F41/'Monthly Data'!BH41</f>
        <v>21.714724204434514</v>
      </c>
      <c r="T173" s="41">
        <f>'Monthly Data'!J41/'Monthly Data'!H41/'Monthly Data'!BH41</f>
        <v>90.329242895839357</v>
      </c>
      <c r="U173" s="42">
        <f>'Monthly Data'!M41/'Monthly Data'!O41/'Monthly Data'!BH41</f>
        <v>2401.7880680895178</v>
      </c>
      <c r="V173" s="41"/>
      <c r="W173" s="9"/>
      <c r="X173" s="9"/>
    </row>
    <row r="174" spans="1:24" x14ac:dyDescent="0.2">
      <c r="A174" s="13">
        <v>41395</v>
      </c>
      <c r="B174">
        <v>2013</v>
      </c>
      <c r="C174">
        <v>5</v>
      </c>
      <c r="D174" s="20">
        <v>13.312903225806453</v>
      </c>
      <c r="E174" s="20">
        <v>216.00000000000003</v>
      </c>
      <c r="F174" s="20">
        <v>8.6999999999999993</v>
      </c>
      <c r="G174" s="21">
        <v>161.5</v>
      </c>
      <c r="H174" s="21">
        <v>16.2</v>
      </c>
      <c r="I174" s="21">
        <v>109.9</v>
      </c>
      <c r="J174" s="21">
        <v>26.599999999999998</v>
      </c>
      <c r="K174" s="21">
        <v>64.599999999999994</v>
      </c>
      <c r="L174" s="21">
        <v>43.3</v>
      </c>
      <c r="M174" s="21">
        <v>28.200000000000003</v>
      </c>
      <c r="N174" s="21">
        <v>68.899999999999991</v>
      </c>
      <c r="O174" s="21">
        <v>10.700000000000001</v>
      </c>
      <c r="P174" s="21">
        <v>113.39999999999999</v>
      </c>
      <c r="Q174" s="21">
        <v>3.5</v>
      </c>
      <c r="R174" s="21">
        <v>168.2</v>
      </c>
      <c r="S174" s="41">
        <f>'Monthly Data'!E42/'Monthly Data'!F42/'Monthly Data'!BH42</f>
        <v>22.542376909925576</v>
      </c>
      <c r="T174" s="41">
        <f>'Monthly Data'!J42/'Monthly Data'!H42/'Monthly Data'!BH42</f>
        <v>87.088813918362774</v>
      </c>
      <c r="U174" s="42">
        <f>'Monthly Data'!M42/'Monthly Data'!O42/'Monthly Data'!BH42</f>
        <v>2389.3052297486579</v>
      </c>
      <c r="V174" s="41"/>
      <c r="W174" s="9"/>
      <c r="X174" s="9"/>
    </row>
    <row r="175" spans="1:24" x14ac:dyDescent="0.2">
      <c r="A175" s="13">
        <v>41426</v>
      </c>
      <c r="B175">
        <v>2013</v>
      </c>
      <c r="C175">
        <v>6</v>
      </c>
      <c r="D175" s="20">
        <v>18.400000000000002</v>
      </c>
      <c r="E175" s="20">
        <v>79.400000000000006</v>
      </c>
      <c r="F175" s="20">
        <v>31.400000000000002</v>
      </c>
      <c r="G175" s="21">
        <v>43.599999999999994</v>
      </c>
      <c r="H175" s="21">
        <v>55.6</v>
      </c>
      <c r="I175" s="21">
        <v>17.8</v>
      </c>
      <c r="J175" s="21">
        <v>89.800000000000011</v>
      </c>
      <c r="K175" s="21">
        <v>5.5999999999999979</v>
      </c>
      <c r="L175" s="21">
        <v>137.6</v>
      </c>
      <c r="M175" s="21">
        <v>9.9999999999999645E-2</v>
      </c>
      <c r="N175" s="21">
        <v>192.10000000000002</v>
      </c>
      <c r="O175" s="21">
        <v>0</v>
      </c>
      <c r="P175" s="21">
        <v>252.00000000000003</v>
      </c>
      <c r="Q175" s="21">
        <v>0</v>
      </c>
      <c r="R175" s="21">
        <v>312</v>
      </c>
      <c r="S175" s="41">
        <f>'Monthly Data'!E43/'Monthly Data'!F43/'Monthly Data'!BH43</f>
        <v>26.913206838277596</v>
      </c>
      <c r="T175" s="41">
        <f>'Monthly Data'!J43/'Monthly Data'!H43/'Monthly Data'!BH43</f>
        <v>93.465096051566888</v>
      </c>
      <c r="U175" s="42">
        <f>'Monthly Data'!M43/'Monthly Data'!O43/'Monthly Data'!BH43</f>
        <v>2529.6687859018789</v>
      </c>
      <c r="V175" s="41"/>
      <c r="W175" s="9"/>
      <c r="X175" s="9"/>
    </row>
    <row r="176" spans="1:24" x14ac:dyDescent="0.2">
      <c r="A176" s="13">
        <v>41456</v>
      </c>
      <c r="B176">
        <v>2013</v>
      </c>
      <c r="C176">
        <v>7</v>
      </c>
      <c r="D176" s="20">
        <v>22.22258064516129</v>
      </c>
      <c r="E176" s="20">
        <v>14.5</v>
      </c>
      <c r="F176" s="20">
        <v>83.399999999999977</v>
      </c>
      <c r="G176" s="21">
        <v>0.69999999999999929</v>
      </c>
      <c r="H176" s="21">
        <v>131.6</v>
      </c>
      <c r="I176" s="21">
        <v>0</v>
      </c>
      <c r="J176" s="21">
        <v>192.90000000000003</v>
      </c>
      <c r="K176" s="21">
        <v>0</v>
      </c>
      <c r="L176" s="21">
        <v>254.90000000000003</v>
      </c>
      <c r="M176" s="21">
        <v>0</v>
      </c>
      <c r="N176" s="21">
        <v>316.89999999999998</v>
      </c>
      <c r="O176" s="21">
        <v>0</v>
      </c>
      <c r="P176" s="21">
        <v>378.9</v>
      </c>
      <c r="Q176" s="21">
        <v>0</v>
      </c>
      <c r="R176" s="21">
        <v>440.9</v>
      </c>
      <c r="S176" s="41">
        <f>'Monthly Data'!E44/'Monthly Data'!F44/'Monthly Data'!BH44</f>
        <v>30.639347722721432</v>
      </c>
      <c r="T176" s="41">
        <f>'Monthly Data'!J44/'Monthly Data'!H44/'Monthly Data'!BH44</f>
        <v>101.73784133316919</v>
      </c>
      <c r="U176" s="42">
        <f>'Monthly Data'!M44/'Monthly Data'!O44/'Monthly Data'!BH44</f>
        <v>2673.5174710876013</v>
      </c>
      <c r="V176" s="41"/>
      <c r="W176" s="9"/>
      <c r="X176" s="9"/>
    </row>
    <row r="177" spans="1:24" x14ac:dyDescent="0.2">
      <c r="A177" s="13">
        <v>41487</v>
      </c>
      <c r="B177">
        <v>2013</v>
      </c>
      <c r="C177">
        <v>8</v>
      </c>
      <c r="D177" s="20">
        <v>20.870967741935488</v>
      </c>
      <c r="E177" s="20">
        <v>16.699999999999996</v>
      </c>
      <c r="F177" s="20">
        <v>43.7</v>
      </c>
      <c r="G177" s="21">
        <v>2.5999999999999979</v>
      </c>
      <c r="H177" s="21">
        <v>91.600000000000009</v>
      </c>
      <c r="I177" s="21">
        <v>0</v>
      </c>
      <c r="J177" s="21">
        <v>151</v>
      </c>
      <c r="K177" s="21">
        <v>0</v>
      </c>
      <c r="L177" s="21">
        <v>213</v>
      </c>
      <c r="M177" s="21">
        <v>0</v>
      </c>
      <c r="N177" s="21">
        <v>275</v>
      </c>
      <c r="O177" s="21">
        <v>0</v>
      </c>
      <c r="P177" s="21">
        <v>336.99999999999994</v>
      </c>
      <c r="Q177" s="21">
        <v>0</v>
      </c>
      <c r="R177" s="21">
        <v>399</v>
      </c>
      <c r="S177" s="41">
        <f>'Monthly Data'!E45/'Monthly Data'!F45/'Monthly Data'!BH45</f>
        <v>28.906474472616395</v>
      </c>
      <c r="T177" s="41">
        <f>'Monthly Data'!J45/'Monthly Data'!H45/'Monthly Data'!BH45</f>
        <v>97.14491763243106</v>
      </c>
      <c r="U177" s="42">
        <f>'Monthly Data'!M45/'Monthly Data'!O45/'Monthly Data'!BH45</f>
        <v>2587.1667593107286</v>
      </c>
      <c r="V177" s="41"/>
      <c r="W177" s="9"/>
      <c r="X177" s="9"/>
    </row>
    <row r="178" spans="1:24" x14ac:dyDescent="0.2">
      <c r="A178" s="13">
        <v>41518</v>
      </c>
      <c r="B178">
        <v>2013</v>
      </c>
      <c r="C178">
        <v>9</v>
      </c>
      <c r="D178" s="20">
        <v>16.766666666666669</v>
      </c>
      <c r="E178" s="20">
        <v>110.80000000000001</v>
      </c>
      <c r="F178" s="20">
        <v>13.799999999999997</v>
      </c>
      <c r="G178" s="21">
        <v>67</v>
      </c>
      <c r="H178" s="21">
        <v>29.999999999999996</v>
      </c>
      <c r="I178" s="21">
        <v>34.1</v>
      </c>
      <c r="J178" s="21">
        <v>57.099999999999994</v>
      </c>
      <c r="K178" s="21">
        <v>12.4</v>
      </c>
      <c r="L178" s="21">
        <v>95.4</v>
      </c>
      <c r="M178" s="21">
        <v>1.9000000000000004</v>
      </c>
      <c r="N178" s="21">
        <v>144.9</v>
      </c>
      <c r="O178" s="21">
        <v>0</v>
      </c>
      <c r="P178" s="21">
        <v>203</v>
      </c>
      <c r="Q178" s="21">
        <v>0</v>
      </c>
      <c r="R178" s="21">
        <v>263</v>
      </c>
      <c r="S178" s="41">
        <f>'Monthly Data'!E46/'Monthly Data'!F46/'Monthly Data'!BH46</f>
        <v>25.503256038493145</v>
      </c>
      <c r="T178" s="41">
        <f>'Monthly Data'!J46/'Monthly Data'!H46/'Monthly Data'!BH46</f>
        <v>91.457082186062379</v>
      </c>
      <c r="U178" s="42">
        <f>'Monthly Data'!M46/'Monthly Data'!O46/'Monthly Data'!BH46</f>
        <v>2446.2777632950661</v>
      </c>
      <c r="V178" s="41"/>
      <c r="W178" s="9"/>
      <c r="X178" s="9"/>
    </row>
    <row r="179" spans="1:24" x14ac:dyDescent="0.2">
      <c r="A179" s="13">
        <v>41548</v>
      </c>
      <c r="B179">
        <v>2013</v>
      </c>
      <c r="C179">
        <v>10</v>
      </c>
      <c r="D179" s="20">
        <v>11.85483870967742</v>
      </c>
      <c r="E179" s="20">
        <v>252.5</v>
      </c>
      <c r="F179" s="20">
        <v>0</v>
      </c>
      <c r="G179" s="21">
        <v>193.6</v>
      </c>
      <c r="H179" s="21">
        <v>3.0999999999999979</v>
      </c>
      <c r="I179" s="21">
        <v>138.20000000000002</v>
      </c>
      <c r="J179" s="21">
        <v>9.6999999999999993</v>
      </c>
      <c r="K179" s="21">
        <v>93.100000000000009</v>
      </c>
      <c r="L179" s="21">
        <v>26.6</v>
      </c>
      <c r="M179" s="21">
        <v>62.400000000000006</v>
      </c>
      <c r="N179" s="21">
        <v>57.90000000000002</v>
      </c>
      <c r="O179" s="21">
        <v>40.400000000000006</v>
      </c>
      <c r="P179" s="21">
        <v>97.899999999999991</v>
      </c>
      <c r="Q179" s="21">
        <v>21.7</v>
      </c>
      <c r="R179" s="21">
        <v>141.19999999999999</v>
      </c>
      <c r="S179" s="41">
        <f>'Monthly Data'!E47/'Monthly Data'!F47/'Monthly Data'!BH47</f>
        <v>22.986762012570551</v>
      </c>
      <c r="T179" s="41">
        <f>'Monthly Data'!J47/'Monthly Data'!H47/'Monthly Data'!BH47</f>
        <v>85.950286024497601</v>
      </c>
      <c r="U179" s="42">
        <f>'Monthly Data'!M47/'Monthly Data'!O47/'Monthly Data'!BH47</f>
        <v>2370.5601979091693</v>
      </c>
      <c r="V179" s="41"/>
      <c r="W179" s="9"/>
      <c r="X179" s="9"/>
    </row>
    <row r="180" spans="1:24" x14ac:dyDescent="0.2">
      <c r="A180" s="13">
        <v>41579</v>
      </c>
      <c r="B180">
        <v>2013</v>
      </c>
      <c r="C180">
        <v>11</v>
      </c>
      <c r="D180" s="20">
        <v>3.776666666666666</v>
      </c>
      <c r="E180" s="20">
        <v>486.7</v>
      </c>
      <c r="F180" s="20">
        <v>0</v>
      </c>
      <c r="G180" s="21">
        <v>426.7</v>
      </c>
      <c r="H180" s="21">
        <v>0</v>
      </c>
      <c r="I180" s="21">
        <v>366.69999999999993</v>
      </c>
      <c r="J180" s="21">
        <v>0</v>
      </c>
      <c r="K180" s="21">
        <v>306.7</v>
      </c>
      <c r="L180" s="21">
        <v>0</v>
      </c>
      <c r="M180" s="21">
        <v>249.59999999999997</v>
      </c>
      <c r="N180" s="21">
        <v>2.9000000000000004</v>
      </c>
      <c r="O180" s="21">
        <v>195.59999999999994</v>
      </c>
      <c r="P180" s="21">
        <v>8.9</v>
      </c>
      <c r="Q180" s="21">
        <v>144.99999999999997</v>
      </c>
      <c r="R180" s="21">
        <v>18.3</v>
      </c>
      <c r="S180" s="41">
        <f>'Monthly Data'!E48/'Monthly Data'!F48/'Monthly Data'!BH48</f>
        <v>23.156283665530953</v>
      </c>
      <c r="T180" s="41">
        <f>'Monthly Data'!J48/'Monthly Data'!H48/'Monthly Data'!BH48</f>
        <v>91.738621191299714</v>
      </c>
      <c r="U180" s="42">
        <f>'Monthly Data'!M48/'Monthly Data'!O48/'Monthly Data'!BH48</f>
        <v>2419.3478926673783</v>
      </c>
      <c r="V180" s="41"/>
      <c r="W180" s="9"/>
      <c r="X180" s="9"/>
    </row>
    <row r="181" spans="1:24" x14ac:dyDescent="0.2">
      <c r="A181" s="13">
        <v>41609</v>
      </c>
      <c r="B181">
        <v>2013</v>
      </c>
      <c r="C181">
        <v>12</v>
      </c>
      <c r="D181" s="20">
        <v>-2.1290322580645156</v>
      </c>
      <c r="E181" s="20">
        <v>685.99999999999989</v>
      </c>
      <c r="F181" s="20">
        <v>0</v>
      </c>
      <c r="G181" s="21">
        <v>624</v>
      </c>
      <c r="H181" s="21">
        <v>0</v>
      </c>
      <c r="I181" s="21">
        <v>562</v>
      </c>
      <c r="J181" s="21">
        <v>0</v>
      </c>
      <c r="K181" s="21">
        <v>500.00000000000006</v>
      </c>
      <c r="L181" s="21">
        <v>0</v>
      </c>
      <c r="M181" s="21">
        <v>438.00000000000006</v>
      </c>
      <c r="N181" s="21">
        <v>0</v>
      </c>
      <c r="O181" s="21">
        <v>376</v>
      </c>
      <c r="P181" s="21">
        <v>0</v>
      </c>
      <c r="Q181" s="21">
        <v>314.00000000000006</v>
      </c>
      <c r="R181" s="21">
        <v>0</v>
      </c>
      <c r="S181" s="41">
        <f>'Monthly Data'!E49/'Monthly Data'!F49/'Monthly Data'!BH49</f>
        <v>25.198171518915093</v>
      </c>
      <c r="T181" s="41">
        <f>'Monthly Data'!J49/'Monthly Data'!H49/'Monthly Data'!BH49</f>
        <v>98.346759377510367</v>
      </c>
      <c r="U181" s="42">
        <f>'Monthly Data'!M49/'Monthly Data'!O49/'Monthly Data'!BH49</f>
        <v>2415.7399299202812</v>
      </c>
      <c r="V181" s="41"/>
      <c r="W181" s="9"/>
      <c r="X181" s="9"/>
    </row>
    <row r="182" spans="1:24" x14ac:dyDescent="0.2">
      <c r="A182" s="13">
        <v>41640</v>
      </c>
      <c r="B182">
        <v>2014</v>
      </c>
      <c r="C182">
        <v>1</v>
      </c>
      <c r="D182" s="20">
        <v>-6.9064516129032256</v>
      </c>
      <c r="E182" s="20">
        <v>834.1</v>
      </c>
      <c r="F182" s="20">
        <v>0</v>
      </c>
      <c r="G182" s="21">
        <v>772.1</v>
      </c>
      <c r="H182" s="21">
        <v>0</v>
      </c>
      <c r="I182" s="21">
        <v>710.09999999999991</v>
      </c>
      <c r="J182" s="21">
        <v>0</v>
      </c>
      <c r="K182" s="21">
        <v>648.1</v>
      </c>
      <c r="L182" s="21">
        <v>0</v>
      </c>
      <c r="M182" s="21">
        <v>586.09999999999991</v>
      </c>
      <c r="N182" s="21">
        <v>0</v>
      </c>
      <c r="O182" s="21">
        <v>524.09999999999991</v>
      </c>
      <c r="P182" s="21">
        <v>0</v>
      </c>
      <c r="Q182" s="21">
        <v>462.09999999999997</v>
      </c>
      <c r="R182" s="21">
        <v>0</v>
      </c>
      <c r="S182" s="41">
        <f>'Monthly Data'!E50/'Monthly Data'!F50/'Monthly Data'!BH50</f>
        <v>27.679073895971062</v>
      </c>
      <c r="T182" s="41">
        <f>'Monthly Data'!J50/'Monthly Data'!H50/'Monthly Data'!BH50</f>
        <v>103.91006923042647</v>
      </c>
      <c r="U182" s="42">
        <f>'Monthly Data'!M50/'Monthly Data'!O50/'Monthly Data'!BH50</f>
        <v>2610.77164120208</v>
      </c>
      <c r="V182" s="41"/>
      <c r="W182" s="9"/>
      <c r="X182" s="9"/>
    </row>
    <row r="183" spans="1:24" x14ac:dyDescent="0.2">
      <c r="A183" s="13">
        <v>41671</v>
      </c>
      <c r="B183">
        <v>2014</v>
      </c>
      <c r="C183">
        <v>2</v>
      </c>
      <c r="D183" s="20">
        <v>-6.8785714285714272</v>
      </c>
      <c r="E183" s="20">
        <v>752.6</v>
      </c>
      <c r="F183" s="20">
        <v>0</v>
      </c>
      <c r="G183" s="21">
        <v>696.60000000000014</v>
      </c>
      <c r="H183" s="21">
        <v>0</v>
      </c>
      <c r="I183" s="21">
        <v>640.60000000000014</v>
      </c>
      <c r="J183" s="21">
        <v>0</v>
      </c>
      <c r="K183" s="21">
        <v>584.60000000000014</v>
      </c>
      <c r="L183" s="21">
        <v>0</v>
      </c>
      <c r="M183" s="21">
        <v>528.60000000000014</v>
      </c>
      <c r="N183" s="21">
        <v>0</v>
      </c>
      <c r="O183" s="21">
        <v>472.60000000000008</v>
      </c>
      <c r="P183" s="21">
        <v>0</v>
      </c>
      <c r="Q183" s="21">
        <v>416.6</v>
      </c>
      <c r="R183" s="21">
        <v>0</v>
      </c>
      <c r="S183" s="41">
        <f>'Monthly Data'!E51/'Monthly Data'!F51/'Monthly Data'!BH51</f>
        <v>26.026299185001104</v>
      </c>
      <c r="T183" s="41">
        <f>'Monthly Data'!J51/'Monthly Data'!H51/'Monthly Data'!BH51</f>
        <v>104.9440219386919</v>
      </c>
      <c r="U183" s="42">
        <f>'Monthly Data'!M51/'Monthly Data'!O51/'Monthly Data'!BH51</f>
        <v>2623.8024262888575</v>
      </c>
      <c r="V183" s="41"/>
      <c r="W183" s="9"/>
      <c r="X183" s="9"/>
    </row>
    <row r="184" spans="1:24" x14ac:dyDescent="0.2">
      <c r="A184" s="13">
        <v>41699</v>
      </c>
      <c r="B184">
        <v>2014</v>
      </c>
      <c r="C184">
        <v>3</v>
      </c>
      <c r="D184" s="20">
        <v>-2.9806451612903229</v>
      </c>
      <c r="E184" s="20">
        <v>712.39999999999986</v>
      </c>
      <c r="F184" s="20">
        <v>0</v>
      </c>
      <c r="G184" s="21">
        <v>650.4</v>
      </c>
      <c r="H184" s="21">
        <v>0</v>
      </c>
      <c r="I184" s="21">
        <v>588.4</v>
      </c>
      <c r="J184" s="21">
        <v>0</v>
      </c>
      <c r="K184" s="21">
        <v>526.39999999999986</v>
      </c>
      <c r="L184" s="21">
        <v>0</v>
      </c>
      <c r="M184" s="21">
        <v>464.4</v>
      </c>
      <c r="N184" s="21">
        <v>0</v>
      </c>
      <c r="O184" s="21">
        <v>402.40000000000003</v>
      </c>
      <c r="P184" s="21">
        <v>0</v>
      </c>
      <c r="Q184" s="21">
        <v>340.4</v>
      </c>
      <c r="R184" s="21">
        <v>0</v>
      </c>
      <c r="S184" s="41">
        <f>'Monthly Data'!E52/'Monthly Data'!F52/'Monthly Data'!BH52</f>
        <v>23.879514786999692</v>
      </c>
      <c r="T184" s="41">
        <f>'Monthly Data'!J52/'Monthly Data'!H52/'Monthly Data'!BH52</f>
        <v>99.193471441929404</v>
      </c>
      <c r="U184" s="42">
        <f>'Monthly Data'!M52/'Monthly Data'!O52/'Monthly Data'!BH52</f>
        <v>2523.2384027454073</v>
      </c>
      <c r="V184" s="41"/>
      <c r="W184" s="9"/>
      <c r="X184" s="9"/>
    </row>
    <row r="185" spans="1:24" x14ac:dyDescent="0.2">
      <c r="A185" s="13">
        <v>41730</v>
      </c>
      <c r="B185">
        <v>2014</v>
      </c>
      <c r="C185">
        <v>4</v>
      </c>
      <c r="D185" s="20">
        <v>5.8566666666666682</v>
      </c>
      <c r="E185" s="20">
        <v>424.3</v>
      </c>
      <c r="F185" s="20">
        <v>0</v>
      </c>
      <c r="G185" s="21">
        <v>364.3</v>
      </c>
      <c r="H185" s="21">
        <v>0</v>
      </c>
      <c r="I185" s="21">
        <v>304.3</v>
      </c>
      <c r="J185" s="21">
        <v>0</v>
      </c>
      <c r="K185" s="21">
        <v>244.29999999999993</v>
      </c>
      <c r="L185" s="21">
        <v>0</v>
      </c>
      <c r="M185" s="21">
        <v>185.89999999999995</v>
      </c>
      <c r="N185" s="21">
        <v>1.5999999999999996</v>
      </c>
      <c r="O185" s="21">
        <v>131.9</v>
      </c>
      <c r="P185" s="21">
        <v>7.6</v>
      </c>
      <c r="Q185" s="21">
        <v>82.3</v>
      </c>
      <c r="R185" s="21">
        <v>18</v>
      </c>
      <c r="S185" s="41">
        <f>'Monthly Data'!E53/'Monthly Data'!F53/'Monthly Data'!BH53</f>
        <v>21.633211890190946</v>
      </c>
      <c r="T185" s="41">
        <f>'Monthly Data'!J53/'Monthly Data'!H53/'Monthly Data'!BH53</f>
        <v>88.433356760816608</v>
      </c>
      <c r="U185" s="42">
        <f>'Monthly Data'!M53/'Monthly Data'!O53/'Monthly Data'!BH53</f>
        <v>2376.8337682306105</v>
      </c>
      <c r="V185" s="41"/>
      <c r="W185" s="9"/>
      <c r="X185" s="9"/>
    </row>
    <row r="186" spans="1:24" x14ac:dyDescent="0.2">
      <c r="A186" s="13">
        <v>41760</v>
      </c>
      <c r="B186">
        <v>2014</v>
      </c>
      <c r="C186">
        <v>5</v>
      </c>
      <c r="D186" s="20">
        <v>12.861290322580649</v>
      </c>
      <c r="E186" s="20">
        <v>225.29999999999995</v>
      </c>
      <c r="F186" s="20">
        <v>4.0000000000000036</v>
      </c>
      <c r="G186" s="21">
        <v>169.29999999999995</v>
      </c>
      <c r="H186" s="21">
        <v>10.000000000000004</v>
      </c>
      <c r="I186" s="21">
        <v>115.5</v>
      </c>
      <c r="J186" s="21">
        <v>18.200000000000003</v>
      </c>
      <c r="K186" s="21">
        <v>71.099999999999994</v>
      </c>
      <c r="L186" s="21">
        <v>35.799999999999997</v>
      </c>
      <c r="M186" s="21">
        <v>33.899999999999991</v>
      </c>
      <c r="N186" s="21">
        <v>60.6</v>
      </c>
      <c r="O186" s="21">
        <v>9.5999999999999979</v>
      </c>
      <c r="P186" s="21">
        <v>98.300000000000011</v>
      </c>
      <c r="Q186" s="21">
        <v>1.2999999999999998</v>
      </c>
      <c r="R186" s="21">
        <v>152</v>
      </c>
      <c r="S186" s="41">
        <f>'Monthly Data'!E54/'Monthly Data'!F54/'Monthly Data'!BH54</f>
        <v>21.982221596912364</v>
      </c>
      <c r="T186" s="41">
        <f>'Monthly Data'!J54/'Monthly Data'!H54/'Monthly Data'!BH54</f>
        <v>85.461091396677219</v>
      </c>
      <c r="U186" s="42">
        <f>'Monthly Data'!M54/'Monthly Data'!O54/'Monthly Data'!BH54</f>
        <v>2337.3783200053849</v>
      </c>
      <c r="V186" s="41"/>
      <c r="W186" s="9"/>
      <c r="X186" s="9"/>
    </row>
    <row r="187" spans="1:24" x14ac:dyDescent="0.2">
      <c r="A187" s="13">
        <v>41791</v>
      </c>
      <c r="B187">
        <v>2014</v>
      </c>
      <c r="C187">
        <v>6</v>
      </c>
      <c r="D187" s="20">
        <v>18.513333333333328</v>
      </c>
      <c r="E187" s="20">
        <v>65.400000000000006</v>
      </c>
      <c r="F187" s="20">
        <v>20.799999999999997</v>
      </c>
      <c r="G187" s="21">
        <v>31.200000000000006</v>
      </c>
      <c r="H187" s="21">
        <v>46.6</v>
      </c>
      <c r="I187" s="21">
        <v>10.700000000000001</v>
      </c>
      <c r="J187" s="21">
        <v>86.1</v>
      </c>
      <c r="K187" s="21">
        <v>1.9000000000000004</v>
      </c>
      <c r="L187" s="21">
        <v>137.30000000000001</v>
      </c>
      <c r="M187" s="21">
        <v>0</v>
      </c>
      <c r="N187" s="21">
        <v>195.40000000000003</v>
      </c>
      <c r="O187" s="21">
        <v>0</v>
      </c>
      <c r="P187" s="21">
        <v>255.40000000000003</v>
      </c>
      <c r="Q187" s="21">
        <v>0</v>
      </c>
      <c r="R187" s="21">
        <v>315.39999999999998</v>
      </c>
      <c r="S187" s="41">
        <f>'Monthly Data'!E55/'Monthly Data'!F55/'Monthly Data'!BH55</f>
        <v>25.340370119313448</v>
      </c>
      <c r="T187" s="41">
        <f>'Monthly Data'!J55/'Monthly Data'!H55/'Monthly Data'!BH55</f>
        <v>92.31388633699261</v>
      </c>
      <c r="U187" s="42">
        <f>'Monthly Data'!M55/'Monthly Data'!O55/'Monthly Data'!BH55</f>
        <v>2526.3558056996158</v>
      </c>
      <c r="V187" s="41"/>
      <c r="W187" s="9"/>
      <c r="X187" s="9"/>
    </row>
    <row r="188" spans="1:24" x14ac:dyDescent="0.2">
      <c r="A188" s="13">
        <v>41821</v>
      </c>
      <c r="B188">
        <v>2014</v>
      </c>
      <c r="C188">
        <v>7</v>
      </c>
      <c r="D188" s="20">
        <v>19.825806451612905</v>
      </c>
      <c r="E188" s="20">
        <v>36.6</v>
      </c>
      <c r="F188" s="20">
        <v>31.2</v>
      </c>
      <c r="G188" s="21">
        <v>9.4</v>
      </c>
      <c r="H188" s="21">
        <v>66.000000000000014</v>
      </c>
      <c r="I188" s="21">
        <v>0.90000000000000036</v>
      </c>
      <c r="J188" s="21">
        <v>119.49999999999999</v>
      </c>
      <c r="K188" s="21">
        <v>0</v>
      </c>
      <c r="L188" s="21">
        <v>180.6</v>
      </c>
      <c r="M188" s="21">
        <v>0</v>
      </c>
      <c r="N188" s="21">
        <v>242.6</v>
      </c>
      <c r="O188" s="21">
        <v>0</v>
      </c>
      <c r="P188" s="21">
        <v>304.59999999999991</v>
      </c>
      <c r="Q188" s="21">
        <v>0</v>
      </c>
      <c r="R188" s="21">
        <v>366.59999999999991</v>
      </c>
      <c r="S188" s="41">
        <f>'Monthly Data'!E56/'Monthly Data'!F56/'Monthly Data'!BH56</f>
        <v>27.945262776573134</v>
      </c>
      <c r="T188" s="41">
        <f>'Monthly Data'!J56/'Monthly Data'!H56/'Monthly Data'!BH56</f>
        <v>94.061190777932225</v>
      </c>
      <c r="U188" s="42">
        <f>'Monthly Data'!M56/'Monthly Data'!O56/'Monthly Data'!BH56</f>
        <v>2575.3259237620578</v>
      </c>
      <c r="V188" s="41"/>
      <c r="W188" s="9"/>
      <c r="X188" s="9"/>
    </row>
    <row r="189" spans="1:24" x14ac:dyDescent="0.2">
      <c r="A189" s="13">
        <v>41852</v>
      </c>
      <c r="B189">
        <v>2014</v>
      </c>
      <c r="C189">
        <v>8</v>
      </c>
      <c r="D189" s="20">
        <v>20.070967741935487</v>
      </c>
      <c r="E189" s="20">
        <v>29.3</v>
      </c>
      <c r="F189" s="20">
        <v>31.500000000000007</v>
      </c>
      <c r="G189" s="21">
        <v>8.3000000000000007</v>
      </c>
      <c r="H189" s="21">
        <v>72.500000000000028</v>
      </c>
      <c r="I189" s="21">
        <v>0.5</v>
      </c>
      <c r="J189" s="21">
        <v>126.70000000000002</v>
      </c>
      <c r="K189" s="21">
        <v>0</v>
      </c>
      <c r="L189" s="21">
        <v>188.19999999999996</v>
      </c>
      <c r="M189" s="21">
        <v>0</v>
      </c>
      <c r="N189" s="21">
        <v>250.19999999999996</v>
      </c>
      <c r="O189" s="21">
        <v>0</v>
      </c>
      <c r="P189" s="21">
        <v>312.2</v>
      </c>
      <c r="Q189" s="21">
        <v>0</v>
      </c>
      <c r="R189" s="21">
        <v>374.2</v>
      </c>
      <c r="S189" s="41">
        <f>'Monthly Data'!E57/'Monthly Data'!F57/'Monthly Data'!BH57</f>
        <v>27.049350990739434</v>
      </c>
      <c r="T189" s="41">
        <f>'Monthly Data'!J57/'Monthly Data'!H57/'Monthly Data'!BH57</f>
        <v>91.632509715466682</v>
      </c>
      <c r="U189" s="42">
        <f>'Monthly Data'!M57/'Monthly Data'!O57/'Monthly Data'!BH57</f>
        <v>2530.1410431422969</v>
      </c>
      <c r="V189" s="41"/>
      <c r="W189" s="9"/>
      <c r="X189" s="9"/>
    </row>
    <row r="190" spans="1:24" x14ac:dyDescent="0.2">
      <c r="A190" s="13">
        <v>41883</v>
      </c>
      <c r="B190">
        <v>2014</v>
      </c>
      <c r="C190">
        <v>9</v>
      </c>
      <c r="D190" s="20">
        <v>17.286666666666665</v>
      </c>
      <c r="E190" s="20">
        <v>99.799999999999983</v>
      </c>
      <c r="F190" s="20">
        <v>18.399999999999999</v>
      </c>
      <c r="G190" s="21">
        <v>55.900000000000006</v>
      </c>
      <c r="H190" s="21">
        <v>34.5</v>
      </c>
      <c r="I190" s="21">
        <v>26</v>
      </c>
      <c r="J190" s="21">
        <v>64.600000000000009</v>
      </c>
      <c r="K190" s="21">
        <v>10.299999999999999</v>
      </c>
      <c r="L190" s="21">
        <v>108.9</v>
      </c>
      <c r="M190" s="21">
        <v>0.59999999999999964</v>
      </c>
      <c r="N190" s="21">
        <v>159.19999999999996</v>
      </c>
      <c r="O190" s="21">
        <v>0</v>
      </c>
      <c r="P190" s="21">
        <v>218.59999999999994</v>
      </c>
      <c r="Q190" s="21">
        <v>0</v>
      </c>
      <c r="R190" s="21">
        <v>278.59999999999997</v>
      </c>
      <c r="S190" s="41">
        <f>'Monthly Data'!E58/'Monthly Data'!F58/'Monthly Data'!BH58</f>
        <v>24.435155959682913</v>
      </c>
      <c r="T190" s="41">
        <f>'Monthly Data'!J58/'Monthly Data'!H58/'Monthly Data'!BH58</f>
        <v>87.398118169959233</v>
      </c>
      <c r="U190" s="42">
        <f>'Monthly Data'!M58/'Monthly Data'!O58/'Monthly Data'!BH58</f>
        <v>2481.5239120263341</v>
      </c>
      <c r="V190" s="41"/>
      <c r="W190" s="9"/>
      <c r="X190" s="9"/>
    </row>
    <row r="191" spans="1:24" x14ac:dyDescent="0.2">
      <c r="A191" s="13">
        <v>41913</v>
      </c>
      <c r="B191">
        <v>2014</v>
      </c>
      <c r="C191">
        <v>10</v>
      </c>
      <c r="D191" s="20">
        <v>11.712903225806446</v>
      </c>
      <c r="E191" s="20">
        <v>256.89999999999998</v>
      </c>
      <c r="F191" s="20">
        <v>0</v>
      </c>
      <c r="G191" s="21">
        <v>197.1</v>
      </c>
      <c r="H191" s="21">
        <v>2.1999999999999993</v>
      </c>
      <c r="I191" s="21">
        <v>139.29999999999998</v>
      </c>
      <c r="J191" s="21">
        <v>6.3999999999999986</v>
      </c>
      <c r="K191" s="21">
        <v>90.8</v>
      </c>
      <c r="L191" s="21">
        <v>19.899999999999999</v>
      </c>
      <c r="M191" s="21">
        <v>50.6</v>
      </c>
      <c r="N191" s="21">
        <v>41.699999999999996</v>
      </c>
      <c r="O191" s="21">
        <v>18.099999999999998</v>
      </c>
      <c r="P191" s="21">
        <v>71.199999999999989</v>
      </c>
      <c r="Q191" s="21">
        <v>3.7999999999999989</v>
      </c>
      <c r="R191" s="21">
        <v>118.90000000000002</v>
      </c>
      <c r="S191" s="41">
        <f>'Monthly Data'!E59/'Monthly Data'!F59/'Monthly Data'!BH59</f>
        <v>22.440093665240667</v>
      </c>
      <c r="T191" s="41">
        <f>'Monthly Data'!J59/'Monthly Data'!H59/'Monthly Data'!BH59</f>
        <v>82.064328358921372</v>
      </c>
      <c r="U191" s="42">
        <f>'Monthly Data'!M59/'Monthly Data'!O59/'Monthly Data'!BH59</f>
        <v>2340.6722196187329</v>
      </c>
      <c r="V191" s="41"/>
      <c r="W191" s="9"/>
      <c r="X191" s="9"/>
    </row>
    <row r="192" spans="1:24" x14ac:dyDescent="0.2">
      <c r="A192" s="13">
        <v>41944</v>
      </c>
      <c r="B192">
        <v>2014</v>
      </c>
      <c r="C192">
        <v>11</v>
      </c>
      <c r="D192" s="20">
        <v>3.2833333333333328</v>
      </c>
      <c r="E192" s="20">
        <v>501.49999999999994</v>
      </c>
      <c r="F192" s="20">
        <v>0</v>
      </c>
      <c r="G192" s="21">
        <v>441.49999999999994</v>
      </c>
      <c r="H192" s="21">
        <v>0</v>
      </c>
      <c r="I192" s="21">
        <v>381.49999999999994</v>
      </c>
      <c r="J192" s="21">
        <v>0</v>
      </c>
      <c r="K192" s="21">
        <v>321.5</v>
      </c>
      <c r="L192" s="21">
        <v>0</v>
      </c>
      <c r="M192" s="21">
        <v>261.60000000000002</v>
      </c>
      <c r="N192" s="21">
        <v>9.9999999999999645E-2</v>
      </c>
      <c r="O192" s="21">
        <v>207.1</v>
      </c>
      <c r="P192" s="21">
        <v>5.6</v>
      </c>
      <c r="Q192" s="21">
        <v>156.39999999999998</v>
      </c>
      <c r="R192" s="21">
        <v>14.899999999999999</v>
      </c>
      <c r="S192" s="41">
        <f>'Monthly Data'!E60/'Monthly Data'!F60/'Monthly Data'!BH60</f>
        <v>22.561411606533611</v>
      </c>
      <c r="T192" s="41">
        <f>'Monthly Data'!J60/'Monthly Data'!H60/'Monthly Data'!BH60</f>
        <v>89.489050547007864</v>
      </c>
      <c r="U192" s="42">
        <f>'Monthly Data'!M60/'Monthly Data'!O60/'Monthly Data'!BH60</f>
        <v>2401.5020179724579</v>
      </c>
      <c r="V192" s="41"/>
      <c r="W192" s="9"/>
      <c r="X192" s="9"/>
    </row>
    <row r="193" spans="1:24" x14ac:dyDescent="0.2">
      <c r="A193" s="13">
        <v>41974</v>
      </c>
      <c r="B193">
        <v>2014</v>
      </c>
      <c r="C193">
        <v>12</v>
      </c>
      <c r="D193" s="20">
        <v>1.2548387096774198</v>
      </c>
      <c r="E193" s="20">
        <v>581.09999999999991</v>
      </c>
      <c r="F193" s="20">
        <v>0</v>
      </c>
      <c r="G193" s="21">
        <v>519.09999999999991</v>
      </c>
      <c r="H193" s="21">
        <v>0</v>
      </c>
      <c r="I193" s="21">
        <v>457.09999999999997</v>
      </c>
      <c r="J193" s="21">
        <v>0</v>
      </c>
      <c r="K193" s="21">
        <v>395.1</v>
      </c>
      <c r="L193" s="21">
        <v>0</v>
      </c>
      <c r="M193" s="21">
        <v>333.1</v>
      </c>
      <c r="N193" s="21">
        <v>0</v>
      </c>
      <c r="O193" s="21">
        <v>271.10000000000002</v>
      </c>
      <c r="P193" s="21">
        <v>0</v>
      </c>
      <c r="Q193" s="21">
        <v>209.10000000000002</v>
      </c>
      <c r="R193" s="21">
        <v>0</v>
      </c>
      <c r="S193" s="41">
        <f>'Monthly Data'!E61/'Monthly Data'!F61/'Monthly Data'!BH61</f>
        <v>24.289810104438622</v>
      </c>
      <c r="T193" s="41">
        <f>'Monthly Data'!J61/'Monthly Data'!H61/'Monthly Data'!BH61</f>
        <v>93.362706742398217</v>
      </c>
      <c r="U193" s="42">
        <f>'Monthly Data'!M61/'Monthly Data'!O61/'Monthly Data'!BH61</f>
        <v>2363.6494695245942</v>
      </c>
      <c r="V193" s="41"/>
      <c r="W193" s="9"/>
      <c r="X193" s="9"/>
    </row>
    <row r="194" spans="1:24" x14ac:dyDescent="0.2">
      <c r="A194" s="13">
        <v>42005</v>
      </c>
      <c r="B194">
        <v>2015</v>
      </c>
      <c r="C194">
        <v>1</v>
      </c>
      <c r="D194" s="20">
        <v>-5.8580645161290343</v>
      </c>
      <c r="E194" s="20">
        <v>801.5999999999998</v>
      </c>
      <c r="F194" s="20">
        <v>0</v>
      </c>
      <c r="G194" s="21">
        <v>739.5999999999998</v>
      </c>
      <c r="H194" s="21">
        <v>0</v>
      </c>
      <c r="I194" s="21">
        <v>677.59999999999968</v>
      </c>
      <c r="J194" s="21">
        <v>0</v>
      </c>
      <c r="K194" s="21">
        <v>615.5999999999998</v>
      </c>
      <c r="L194" s="21">
        <v>0</v>
      </c>
      <c r="M194" s="21">
        <v>553.59999999999991</v>
      </c>
      <c r="N194" s="21">
        <v>0</v>
      </c>
      <c r="O194" s="21">
        <v>491.59999999999997</v>
      </c>
      <c r="P194" s="21">
        <v>0</v>
      </c>
      <c r="Q194" s="21">
        <v>429.59999999999997</v>
      </c>
      <c r="R194" s="21">
        <v>0</v>
      </c>
      <c r="S194" s="41">
        <f>'Monthly Data'!E62/'Monthly Data'!F62/'Monthly Data'!BH62</f>
        <v>26.811047675711936</v>
      </c>
      <c r="T194" s="41">
        <f>'Monthly Data'!J62/'Monthly Data'!H62/'Monthly Data'!BH62</f>
        <v>99.812229069819793</v>
      </c>
      <c r="U194" s="42">
        <f>'Monthly Data'!M62/'Monthly Data'!O62/'Monthly Data'!BH62</f>
        <v>2562.3515407714572</v>
      </c>
      <c r="V194" s="41"/>
      <c r="W194" s="9"/>
      <c r="X194" s="9"/>
    </row>
    <row r="195" spans="1:24" x14ac:dyDescent="0.2">
      <c r="A195" s="13">
        <v>42036</v>
      </c>
      <c r="B195">
        <v>2015</v>
      </c>
      <c r="C195">
        <v>2</v>
      </c>
      <c r="D195" s="20">
        <v>-11.139285714285718</v>
      </c>
      <c r="E195" s="20">
        <v>871.89999999999975</v>
      </c>
      <c r="F195" s="20">
        <v>0</v>
      </c>
      <c r="G195" s="21">
        <v>815.89999999999975</v>
      </c>
      <c r="H195" s="21">
        <v>0</v>
      </c>
      <c r="I195" s="21">
        <v>759.89999999999986</v>
      </c>
      <c r="J195" s="21">
        <v>0</v>
      </c>
      <c r="K195" s="21">
        <v>703.89999999999986</v>
      </c>
      <c r="L195" s="21">
        <v>0</v>
      </c>
      <c r="M195" s="21">
        <v>647.9</v>
      </c>
      <c r="N195" s="21">
        <v>0</v>
      </c>
      <c r="O195" s="21">
        <v>591.9</v>
      </c>
      <c r="P195" s="21">
        <v>0</v>
      </c>
      <c r="Q195" s="21">
        <v>535.9</v>
      </c>
      <c r="R195" s="21">
        <v>0</v>
      </c>
      <c r="S195" s="41">
        <f>'Monthly Data'!E63/'Monthly Data'!F63/'Monthly Data'!BH63</f>
        <v>25.571560283901587</v>
      </c>
      <c r="T195" s="41">
        <f>'Monthly Data'!J63/'Monthly Data'!H63/'Monthly Data'!BH63</f>
        <v>103.24004243606285</v>
      </c>
      <c r="U195" s="42">
        <f>'Monthly Data'!M63/'Monthly Data'!O63/'Monthly Data'!BH63</f>
        <v>2653.9075984596188</v>
      </c>
      <c r="V195" s="41"/>
      <c r="W195" s="9"/>
      <c r="X195" s="9"/>
    </row>
    <row r="196" spans="1:24" x14ac:dyDescent="0.2">
      <c r="A196" s="13">
        <v>42064</v>
      </c>
      <c r="B196">
        <v>2015</v>
      </c>
      <c r="C196">
        <v>3</v>
      </c>
      <c r="D196" s="20">
        <v>-1.1612903225806448</v>
      </c>
      <c r="E196" s="20">
        <v>655.99999999999989</v>
      </c>
      <c r="F196" s="20">
        <v>0</v>
      </c>
      <c r="G196" s="21">
        <v>593.99999999999989</v>
      </c>
      <c r="H196" s="21">
        <v>0</v>
      </c>
      <c r="I196" s="21">
        <v>531.99999999999989</v>
      </c>
      <c r="J196" s="21">
        <v>0</v>
      </c>
      <c r="K196" s="21">
        <v>469.99999999999994</v>
      </c>
      <c r="L196" s="21">
        <v>0</v>
      </c>
      <c r="M196" s="21">
        <v>408</v>
      </c>
      <c r="N196" s="21">
        <v>0</v>
      </c>
      <c r="O196" s="21">
        <v>346</v>
      </c>
      <c r="P196" s="21">
        <v>0</v>
      </c>
      <c r="Q196" s="21">
        <v>284</v>
      </c>
      <c r="R196" s="21">
        <v>0</v>
      </c>
      <c r="S196" s="41">
        <f>'Monthly Data'!E64/'Monthly Data'!F64/'Monthly Data'!BH64</f>
        <v>23.322959549121499</v>
      </c>
      <c r="T196" s="41">
        <f>'Monthly Data'!J64/'Monthly Data'!H64/'Monthly Data'!BH64</f>
        <v>95.739247511581624</v>
      </c>
      <c r="U196" s="42">
        <f>'Monthly Data'!M64/'Monthly Data'!O64/'Monthly Data'!BH64</f>
        <v>2486.2139023271156</v>
      </c>
      <c r="V196" s="41"/>
      <c r="W196" s="9"/>
      <c r="X196" s="9"/>
    </row>
    <row r="197" spans="1:24" x14ac:dyDescent="0.2">
      <c r="A197" s="13">
        <v>42095</v>
      </c>
      <c r="B197">
        <v>2015</v>
      </c>
      <c r="C197">
        <v>4</v>
      </c>
      <c r="D197" s="20">
        <v>7.2700000000000022</v>
      </c>
      <c r="E197" s="20">
        <v>381.90000000000003</v>
      </c>
      <c r="F197" s="20">
        <v>0</v>
      </c>
      <c r="G197" s="21">
        <v>321.90000000000009</v>
      </c>
      <c r="H197" s="21">
        <v>0</v>
      </c>
      <c r="I197" s="21">
        <v>261.89999999999998</v>
      </c>
      <c r="J197" s="21">
        <v>0</v>
      </c>
      <c r="K197" s="21">
        <v>203.49999999999991</v>
      </c>
      <c r="L197" s="21">
        <v>1.5999999999999996</v>
      </c>
      <c r="M197" s="21">
        <v>149.69999999999996</v>
      </c>
      <c r="N197" s="21">
        <v>7.8000000000000007</v>
      </c>
      <c r="O197" s="21">
        <v>102.5</v>
      </c>
      <c r="P197" s="21">
        <v>20.6</v>
      </c>
      <c r="Q197" s="21">
        <v>61.70000000000001</v>
      </c>
      <c r="R197" s="21">
        <v>39.799999999999997</v>
      </c>
      <c r="S197" s="41">
        <f>'Monthly Data'!E65/'Monthly Data'!F65/'Monthly Data'!BH65</f>
        <v>21.431203938362469</v>
      </c>
      <c r="T197" s="41">
        <f>'Monthly Data'!J65/'Monthly Data'!H65/'Monthly Data'!BH65</f>
        <v>87.292823396294139</v>
      </c>
      <c r="U197" s="42">
        <f>'Monthly Data'!M65/'Monthly Data'!O65/'Monthly Data'!BH65</f>
        <v>2332.0883236480154</v>
      </c>
      <c r="V197" s="41"/>
      <c r="W197" s="9"/>
      <c r="X197" s="9"/>
    </row>
    <row r="198" spans="1:24" x14ac:dyDescent="0.2">
      <c r="A198" s="13">
        <v>42125</v>
      </c>
      <c r="B198">
        <v>2015</v>
      </c>
      <c r="C198">
        <v>5</v>
      </c>
      <c r="D198" s="20">
        <v>14.535483870967743</v>
      </c>
      <c r="E198" s="20">
        <v>175.50000000000003</v>
      </c>
      <c r="F198" s="20">
        <v>6.1000000000000014</v>
      </c>
      <c r="G198" s="21">
        <v>123.90000000000002</v>
      </c>
      <c r="H198" s="21">
        <v>16.5</v>
      </c>
      <c r="I198" s="21">
        <v>80.5</v>
      </c>
      <c r="J198" s="21">
        <v>35.1</v>
      </c>
      <c r="K198" s="21">
        <v>44.20000000000001</v>
      </c>
      <c r="L198" s="21">
        <v>60.8</v>
      </c>
      <c r="M198" s="21">
        <v>18.3</v>
      </c>
      <c r="N198" s="21">
        <v>96.90000000000002</v>
      </c>
      <c r="O198" s="21">
        <v>4.5999999999999996</v>
      </c>
      <c r="P198" s="21">
        <v>145.20000000000002</v>
      </c>
      <c r="Q198" s="21">
        <v>0.5</v>
      </c>
      <c r="R198" s="21">
        <v>203.09999999999997</v>
      </c>
      <c r="S198" s="41">
        <f>'Monthly Data'!E66/'Monthly Data'!F66/'Monthly Data'!BH66</f>
        <v>21.890840050042851</v>
      </c>
      <c r="T198" s="41">
        <f>'Monthly Data'!J66/'Monthly Data'!H66/'Monthly Data'!BH66</f>
        <v>85.066830716374085</v>
      </c>
      <c r="U198" s="42">
        <f>'Monthly Data'!M66/'Monthly Data'!O66/'Monthly Data'!BH66</f>
        <v>2372.7457606785742</v>
      </c>
      <c r="V198" s="41"/>
      <c r="W198" s="9"/>
      <c r="X198" s="9"/>
    </row>
    <row r="199" spans="1:24" x14ac:dyDescent="0.2">
      <c r="A199" s="13">
        <v>42156</v>
      </c>
      <c r="B199">
        <v>2015</v>
      </c>
      <c r="C199">
        <v>6</v>
      </c>
      <c r="D199" s="20">
        <v>16.886666666666663</v>
      </c>
      <c r="E199" s="20">
        <v>101.39999999999998</v>
      </c>
      <c r="F199" s="20">
        <v>8</v>
      </c>
      <c r="G199" s="21">
        <v>61.3</v>
      </c>
      <c r="H199" s="21">
        <v>27.9</v>
      </c>
      <c r="I199" s="21">
        <v>29.699999999999996</v>
      </c>
      <c r="J199" s="21">
        <v>56.3</v>
      </c>
      <c r="K199" s="21">
        <v>11.4</v>
      </c>
      <c r="L199" s="21">
        <v>98.000000000000028</v>
      </c>
      <c r="M199" s="21">
        <v>3.5</v>
      </c>
      <c r="N199" s="21">
        <v>150.10000000000005</v>
      </c>
      <c r="O199" s="21">
        <v>0</v>
      </c>
      <c r="P199" s="21">
        <v>206.60000000000002</v>
      </c>
      <c r="Q199" s="21">
        <v>0</v>
      </c>
      <c r="R199" s="21">
        <v>266.60000000000002</v>
      </c>
      <c r="S199" s="41">
        <f>'Monthly Data'!E67/'Monthly Data'!F67/'Monthly Data'!BH67</f>
        <v>25.58172717404133</v>
      </c>
      <c r="T199" s="41">
        <f>'Monthly Data'!J67/'Monthly Data'!H67/'Monthly Data'!BH67</f>
        <v>90.063516498695435</v>
      </c>
      <c r="U199" s="42">
        <f>'Monthly Data'!M67/'Monthly Data'!O67/'Monthly Data'!BH67</f>
        <v>2515.8214184130088</v>
      </c>
      <c r="V199" s="41"/>
      <c r="W199" s="9"/>
      <c r="X199" s="9"/>
    </row>
    <row r="200" spans="1:24" x14ac:dyDescent="0.2">
      <c r="A200" s="13">
        <v>42186</v>
      </c>
      <c r="B200">
        <v>2015</v>
      </c>
      <c r="C200">
        <v>7</v>
      </c>
      <c r="D200" s="20">
        <v>21.899999999999995</v>
      </c>
      <c r="E200" s="20">
        <v>17.600000000000001</v>
      </c>
      <c r="F200" s="20">
        <v>76.5</v>
      </c>
      <c r="G200" s="21">
        <v>4.4000000000000021</v>
      </c>
      <c r="H200" s="21">
        <v>125.30000000000001</v>
      </c>
      <c r="I200" s="21">
        <v>0</v>
      </c>
      <c r="J200" s="21">
        <v>182.9</v>
      </c>
      <c r="K200" s="21">
        <v>0</v>
      </c>
      <c r="L200" s="21">
        <v>244.9</v>
      </c>
      <c r="M200" s="21">
        <v>0</v>
      </c>
      <c r="N200" s="21">
        <v>306.90000000000003</v>
      </c>
      <c r="O200" s="21">
        <v>0</v>
      </c>
      <c r="P200" s="21">
        <v>368.90000000000003</v>
      </c>
      <c r="Q200" s="21">
        <v>0</v>
      </c>
      <c r="R200" s="21">
        <v>430.90000000000003</v>
      </c>
      <c r="S200" s="41">
        <f>'Monthly Data'!E68/'Monthly Data'!F68/'Monthly Data'!BH68</f>
        <v>29.213519328163752</v>
      </c>
      <c r="T200" s="41">
        <f>'Monthly Data'!J68/'Monthly Data'!H68/'Monthly Data'!BH68</f>
        <v>96.165456162828633</v>
      </c>
      <c r="U200" s="42">
        <f>'Monthly Data'!M68/'Monthly Data'!O68/'Monthly Data'!BH68</f>
        <v>2641.8919779283474</v>
      </c>
      <c r="V200" s="41"/>
      <c r="W200" s="9"/>
      <c r="X200" s="9"/>
    </row>
    <row r="201" spans="1:24" x14ac:dyDescent="0.2">
      <c r="A201" s="13">
        <v>42217</v>
      </c>
      <c r="B201">
        <v>2015</v>
      </c>
      <c r="C201">
        <v>8</v>
      </c>
      <c r="D201" s="20">
        <v>20.796774193548384</v>
      </c>
      <c r="E201" s="20">
        <v>20.399999999999999</v>
      </c>
      <c r="F201" s="20">
        <v>45.100000000000009</v>
      </c>
      <c r="G201" s="21">
        <v>1.8000000000000007</v>
      </c>
      <c r="H201" s="21">
        <v>88.499999999999986</v>
      </c>
      <c r="I201" s="21">
        <v>0</v>
      </c>
      <c r="J201" s="21">
        <v>148.70000000000002</v>
      </c>
      <c r="K201" s="21">
        <v>0</v>
      </c>
      <c r="L201" s="21">
        <v>210.70000000000002</v>
      </c>
      <c r="M201" s="21">
        <v>0</v>
      </c>
      <c r="N201" s="21">
        <v>272.70000000000005</v>
      </c>
      <c r="O201" s="21">
        <v>0</v>
      </c>
      <c r="P201" s="21">
        <v>334.7000000000001</v>
      </c>
      <c r="Q201" s="21">
        <v>0</v>
      </c>
      <c r="R201" s="21">
        <v>396.7000000000001</v>
      </c>
      <c r="S201" s="41">
        <f>'Monthly Data'!E69/'Monthly Data'!F69/'Monthly Data'!BH69</f>
        <v>29.577699648190265</v>
      </c>
      <c r="T201" s="41">
        <f>'Monthly Data'!J69/'Monthly Data'!H69/'Monthly Data'!BH69</f>
        <v>97.511156831093501</v>
      </c>
      <c r="U201" s="42">
        <f>'Monthly Data'!M69/'Monthly Data'!O69/'Monthly Data'!BH69</f>
        <v>2601.0434465439293</v>
      </c>
      <c r="V201" s="41"/>
      <c r="W201" s="9"/>
      <c r="X201" s="9"/>
    </row>
    <row r="202" spans="1:24" x14ac:dyDescent="0.2">
      <c r="A202" s="13">
        <v>42248</v>
      </c>
      <c r="B202">
        <v>2015</v>
      </c>
      <c r="C202">
        <v>9</v>
      </c>
      <c r="D202" s="20">
        <v>20.030000000000005</v>
      </c>
      <c r="E202" s="20">
        <v>50.100000000000009</v>
      </c>
      <c r="F202" s="20">
        <v>51.000000000000014</v>
      </c>
      <c r="G202" s="21">
        <v>22.6</v>
      </c>
      <c r="H202" s="21">
        <v>83.5</v>
      </c>
      <c r="I202" s="21">
        <v>7.2000000000000011</v>
      </c>
      <c r="J202" s="21">
        <v>128.10000000000002</v>
      </c>
      <c r="K202" s="21">
        <v>9.9999999999999645E-2</v>
      </c>
      <c r="L202" s="21">
        <v>181</v>
      </c>
      <c r="M202" s="21">
        <v>0</v>
      </c>
      <c r="N202" s="21">
        <v>240.9</v>
      </c>
      <c r="O202" s="21">
        <v>0</v>
      </c>
      <c r="P202" s="21">
        <v>300.90000000000003</v>
      </c>
      <c r="Q202" s="21">
        <v>0</v>
      </c>
      <c r="R202" s="21">
        <v>360.90000000000009</v>
      </c>
      <c r="S202" s="41">
        <f>'Monthly Data'!E70/'Monthly Data'!F70/'Monthly Data'!BH70</f>
        <v>26.481692780356905</v>
      </c>
      <c r="T202" s="41">
        <f>'Monthly Data'!J70/'Monthly Data'!H70/'Monthly Data'!BH70</f>
        <v>92.097063834828347</v>
      </c>
      <c r="U202" s="42">
        <f>'Monthly Data'!M70/'Monthly Data'!O70/'Monthly Data'!BH70</f>
        <v>2609.3095622991177</v>
      </c>
      <c r="V202" s="41"/>
      <c r="W202" s="9"/>
      <c r="X202" s="9"/>
    </row>
    <row r="203" spans="1:24" x14ac:dyDescent="0.2">
      <c r="A203" s="13">
        <v>42278</v>
      </c>
      <c r="B203">
        <v>2015</v>
      </c>
      <c r="C203">
        <v>10</v>
      </c>
      <c r="D203" s="20">
        <v>11.587096774193544</v>
      </c>
      <c r="E203" s="20">
        <v>260.8</v>
      </c>
      <c r="F203" s="20">
        <v>0</v>
      </c>
      <c r="G203" s="21">
        <v>200</v>
      </c>
      <c r="H203" s="21">
        <v>1.1999999999999993</v>
      </c>
      <c r="I203" s="21">
        <v>141.1</v>
      </c>
      <c r="J203" s="21">
        <v>4.2999999999999972</v>
      </c>
      <c r="K203" s="21">
        <v>89.2</v>
      </c>
      <c r="L203" s="21">
        <v>14.399999999999997</v>
      </c>
      <c r="M203" s="21">
        <v>51.800000000000004</v>
      </c>
      <c r="N203" s="21">
        <v>38.999999999999993</v>
      </c>
      <c r="O203" s="21">
        <v>26.9</v>
      </c>
      <c r="P203" s="21">
        <v>76.100000000000023</v>
      </c>
      <c r="Q203" s="21">
        <v>11.299999999999999</v>
      </c>
      <c r="R203" s="21">
        <v>122.50000000000003</v>
      </c>
      <c r="S203" s="41">
        <f>'Monthly Data'!E71/'Monthly Data'!F71/'Monthly Data'!BH71</f>
        <v>22.425038447381645</v>
      </c>
      <c r="T203" s="41">
        <f>'Monthly Data'!J71/'Monthly Data'!H71/'Monthly Data'!BH71</f>
        <v>82.594286218568897</v>
      </c>
      <c r="U203" s="42">
        <f>'Monthly Data'!M71/'Monthly Data'!O71/'Monthly Data'!BH71</f>
        <v>2355.2906029896926</v>
      </c>
      <c r="V203" s="41"/>
      <c r="W203" s="9"/>
      <c r="X203" s="9"/>
    </row>
    <row r="204" spans="1:24" x14ac:dyDescent="0.2">
      <c r="A204" s="13">
        <v>42309</v>
      </c>
      <c r="B204">
        <v>2015</v>
      </c>
      <c r="C204">
        <v>11</v>
      </c>
      <c r="D204" s="20">
        <v>7.9633333333333329</v>
      </c>
      <c r="E204" s="20">
        <v>361.1</v>
      </c>
      <c r="F204" s="20">
        <v>0</v>
      </c>
      <c r="G204" s="21">
        <v>301.10000000000008</v>
      </c>
      <c r="H204" s="21">
        <v>0</v>
      </c>
      <c r="I204" s="21">
        <v>241.20000000000005</v>
      </c>
      <c r="J204" s="21">
        <v>0.10000000000000142</v>
      </c>
      <c r="K204" s="21">
        <v>185.10000000000002</v>
      </c>
      <c r="L204" s="21">
        <v>4.0000000000000018</v>
      </c>
      <c r="M204" s="21">
        <v>133</v>
      </c>
      <c r="N204" s="21">
        <v>11.9</v>
      </c>
      <c r="O204" s="21">
        <v>90.2</v>
      </c>
      <c r="P204" s="21">
        <v>29.1</v>
      </c>
      <c r="Q204" s="21">
        <v>56.800000000000004</v>
      </c>
      <c r="R204" s="21">
        <v>55.70000000000001</v>
      </c>
      <c r="S204" s="41">
        <f>'Monthly Data'!E72/'Monthly Data'!F72/'Monthly Data'!BH72</f>
        <v>21.217211508812657</v>
      </c>
      <c r="T204" s="41">
        <f>'Monthly Data'!J72/'Monthly Data'!H72/'Monthly Data'!BH72</f>
        <v>85.749577754998626</v>
      </c>
      <c r="U204" s="42">
        <f>'Monthly Data'!M72/'Monthly Data'!O72/'Monthly Data'!BH72</f>
        <v>2388.1921746609801</v>
      </c>
      <c r="V204" s="41"/>
      <c r="W204" s="9"/>
      <c r="X204" s="9"/>
    </row>
    <row r="205" spans="1:24" x14ac:dyDescent="0.2">
      <c r="A205" s="13">
        <v>42339</v>
      </c>
      <c r="B205">
        <v>2015</v>
      </c>
      <c r="C205">
        <v>12</v>
      </c>
      <c r="D205" s="20">
        <v>5.2741935483870979</v>
      </c>
      <c r="E205" s="20">
        <v>456.5</v>
      </c>
      <c r="F205" s="20">
        <v>0</v>
      </c>
      <c r="G205" s="21">
        <v>394.5</v>
      </c>
      <c r="H205" s="21">
        <v>0</v>
      </c>
      <c r="I205" s="21">
        <v>332.5</v>
      </c>
      <c r="J205" s="21">
        <v>0</v>
      </c>
      <c r="K205" s="21">
        <v>270.5</v>
      </c>
      <c r="L205" s="21">
        <v>0</v>
      </c>
      <c r="M205" s="21">
        <v>208.49999999999994</v>
      </c>
      <c r="N205" s="21">
        <v>0</v>
      </c>
      <c r="O205" s="21">
        <v>148</v>
      </c>
      <c r="P205" s="21">
        <v>1.5</v>
      </c>
      <c r="Q205" s="21">
        <v>96.899999999999991</v>
      </c>
      <c r="R205" s="21">
        <v>12.400000000000002</v>
      </c>
      <c r="S205" s="41">
        <f>'Monthly Data'!E73/'Monthly Data'!F73/'Monthly Data'!BH73</f>
        <v>22.377453605227707</v>
      </c>
      <c r="T205" s="41">
        <f>'Monthly Data'!J73/'Monthly Data'!H73/'Monthly Data'!BH73</f>
        <v>88.470917852725634</v>
      </c>
      <c r="U205" s="42">
        <f>'Monthly Data'!M73/'Monthly Data'!O73/'Monthly Data'!BH73</f>
        <v>2330.9383021820372</v>
      </c>
      <c r="V205" s="41"/>
      <c r="W205" s="9"/>
      <c r="X205" s="9"/>
    </row>
    <row r="206" spans="1:24" x14ac:dyDescent="0.2">
      <c r="A206" s="13">
        <v>42370</v>
      </c>
      <c r="B206">
        <v>2016</v>
      </c>
      <c r="C206">
        <v>1</v>
      </c>
      <c r="D206" s="20">
        <v>-2.1612903225806446</v>
      </c>
      <c r="E206" s="20">
        <v>686.99999999999989</v>
      </c>
      <c r="F206" s="20">
        <v>0</v>
      </c>
      <c r="G206" s="21">
        <v>624.99999999999989</v>
      </c>
      <c r="H206" s="21">
        <v>0</v>
      </c>
      <c r="I206" s="21">
        <v>563</v>
      </c>
      <c r="J206" s="21">
        <v>0</v>
      </c>
      <c r="K206" s="21">
        <v>501</v>
      </c>
      <c r="L206" s="21">
        <v>0</v>
      </c>
      <c r="M206" s="21">
        <v>439</v>
      </c>
      <c r="N206" s="21">
        <v>0</v>
      </c>
      <c r="O206" s="21">
        <v>377.00000000000006</v>
      </c>
      <c r="P206" s="21">
        <v>0</v>
      </c>
      <c r="Q206" s="21">
        <v>315</v>
      </c>
      <c r="R206" s="21">
        <v>0</v>
      </c>
      <c r="S206" s="41">
        <f>'Monthly Data'!E74/'Monthly Data'!F74/'Monthly Data'!BH74</f>
        <v>24.648136085903101</v>
      </c>
      <c r="T206" s="41">
        <f>'Monthly Data'!J74/'Monthly Data'!H74/'Monthly Data'!BH74</f>
        <v>95.415747198877938</v>
      </c>
      <c r="U206" s="42">
        <f>'Monthly Data'!M74/'Monthly Data'!O74/'Monthly Data'!BH74</f>
        <v>2530.5042536826459</v>
      </c>
      <c r="V206" s="41"/>
      <c r="W206" s="9"/>
      <c r="X206" s="9"/>
    </row>
    <row r="207" spans="1:24" x14ac:dyDescent="0.2">
      <c r="A207" s="13">
        <v>42401</v>
      </c>
      <c r="B207">
        <v>2016</v>
      </c>
      <c r="C207">
        <v>2</v>
      </c>
      <c r="D207" s="20">
        <v>-0.76896551724137929</v>
      </c>
      <c r="E207" s="20">
        <v>602.29999999999995</v>
      </c>
      <c r="F207" s="20">
        <v>0</v>
      </c>
      <c r="G207" s="21">
        <v>544.29999999999984</v>
      </c>
      <c r="H207" s="21">
        <v>0</v>
      </c>
      <c r="I207" s="21">
        <v>486.3</v>
      </c>
      <c r="J207" s="21">
        <v>0</v>
      </c>
      <c r="K207" s="21">
        <v>428.29999999999995</v>
      </c>
      <c r="L207" s="21">
        <v>0</v>
      </c>
      <c r="M207" s="21">
        <v>370.3</v>
      </c>
      <c r="N207" s="21">
        <v>0</v>
      </c>
      <c r="O207" s="21">
        <v>312.5</v>
      </c>
      <c r="P207" s="21">
        <v>0.19999999999999929</v>
      </c>
      <c r="Q207" s="21">
        <v>257.2</v>
      </c>
      <c r="R207" s="21">
        <v>2.8999999999999986</v>
      </c>
      <c r="S207" s="41">
        <f>'Monthly Data'!E75/'Monthly Data'!F75/'Monthly Data'!BH75</f>
        <v>23.20357691251596</v>
      </c>
      <c r="T207" s="41">
        <f>'Monthly Data'!J75/'Monthly Data'!H75/'Monthly Data'!BH75</f>
        <v>96.406056604654381</v>
      </c>
      <c r="U207" s="42">
        <f>'Monthly Data'!M75/'Monthly Data'!O75/'Monthly Data'!BH75</f>
        <v>2560.2272407768146</v>
      </c>
      <c r="V207" s="41"/>
      <c r="W207" s="9"/>
      <c r="X207" s="9"/>
    </row>
    <row r="208" spans="1:24" x14ac:dyDescent="0.2">
      <c r="A208" s="13">
        <v>42430</v>
      </c>
      <c r="B208">
        <v>2016</v>
      </c>
      <c r="C208">
        <v>3</v>
      </c>
      <c r="D208" s="20">
        <v>3.4451612903225803</v>
      </c>
      <c r="E208" s="20">
        <v>513.20000000000005</v>
      </c>
      <c r="F208" s="20">
        <v>0</v>
      </c>
      <c r="G208" s="21">
        <v>451.2</v>
      </c>
      <c r="H208" s="21">
        <v>0</v>
      </c>
      <c r="I208" s="21">
        <v>389.2</v>
      </c>
      <c r="J208" s="21">
        <v>0</v>
      </c>
      <c r="K208" s="21">
        <v>327.2</v>
      </c>
      <c r="L208" s="21">
        <v>0</v>
      </c>
      <c r="M208" s="21">
        <v>267</v>
      </c>
      <c r="N208" s="21">
        <v>1.8000000000000007</v>
      </c>
      <c r="O208" s="21">
        <v>208.49999999999997</v>
      </c>
      <c r="P208" s="21">
        <v>5.3000000000000007</v>
      </c>
      <c r="Q208" s="21">
        <v>154.29999999999998</v>
      </c>
      <c r="R208" s="21">
        <v>13.100000000000001</v>
      </c>
      <c r="S208" s="41">
        <f>'Monthly Data'!E76/'Monthly Data'!F76/'Monthly Data'!BH76</f>
        <v>21.737232834328577</v>
      </c>
      <c r="T208" s="41">
        <f>'Monthly Data'!J76/'Monthly Data'!H76/'Monthly Data'!BH76</f>
        <v>90.922571484340793</v>
      </c>
      <c r="U208" s="42">
        <f>'Monthly Data'!M76/'Monthly Data'!O76/'Monthly Data'!BH76</f>
        <v>2466.2536173941176</v>
      </c>
      <c r="V208" s="41"/>
      <c r="W208" s="9"/>
      <c r="X208" s="9"/>
    </row>
    <row r="209" spans="1:24" x14ac:dyDescent="0.2">
      <c r="A209" s="13">
        <v>42461</v>
      </c>
      <c r="B209">
        <v>2016</v>
      </c>
      <c r="C209">
        <v>4</v>
      </c>
      <c r="D209" s="20">
        <v>4.9666666666666659</v>
      </c>
      <c r="E209" s="20">
        <v>450.99999999999983</v>
      </c>
      <c r="F209" s="20">
        <v>0</v>
      </c>
      <c r="G209" s="21">
        <v>390.99999999999983</v>
      </c>
      <c r="H209" s="21">
        <v>0</v>
      </c>
      <c r="I209" s="21">
        <v>331.7999999999999</v>
      </c>
      <c r="J209" s="21">
        <v>0.80000000000000071</v>
      </c>
      <c r="K209" s="21">
        <v>273.7999999999999</v>
      </c>
      <c r="L209" s="21">
        <v>2.8000000000000007</v>
      </c>
      <c r="M209" s="21">
        <v>216.89999999999998</v>
      </c>
      <c r="N209" s="21">
        <v>5.9</v>
      </c>
      <c r="O209" s="21">
        <v>162.69999999999999</v>
      </c>
      <c r="P209" s="21">
        <v>11.700000000000001</v>
      </c>
      <c r="Q209" s="21">
        <v>113.70000000000002</v>
      </c>
      <c r="R209" s="21">
        <v>22.700000000000003</v>
      </c>
      <c r="S209" s="41">
        <f>'Monthly Data'!E77/'Monthly Data'!F77/'Monthly Data'!BH77</f>
        <v>21.100729998961793</v>
      </c>
      <c r="T209" s="41">
        <f>'Monthly Data'!J77/'Monthly Data'!H77/'Monthly Data'!BH77</f>
        <v>86.980433541957623</v>
      </c>
      <c r="U209" s="42">
        <f>'Monthly Data'!M77/'Monthly Data'!O77/'Monthly Data'!BH77</f>
        <v>2425.9777601272481</v>
      </c>
      <c r="V209" s="41"/>
      <c r="W209" s="9"/>
      <c r="X209" s="9"/>
    </row>
    <row r="210" spans="1:24" x14ac:dyDescent="0.2">
      <c r="A210" s="13">
        <v>42491</v>
      </c>
      <c r="B210">
        <v>2016</v>
      </c>
      <c r="C210">
        <v>5</v>
      </c>
      <c r="D210" s="20">
        <v>13.870967741935482</v>
      </c>
      <c r="E210" s="20">
        <v>203.6</v>
      </c>
      <c r="F210" s="20">
        <v>13.599999999999998</v>
      </c>
      <c r="G210" s="21">
        <v>156.09999999999997</v>
      </c>
      <c r="H210" s="21">
        <v>28.099999999999998</v>
      </c>
      <c r="I210" s="21">
        <v>113.69999999999999</v>
      </c>
      <c r="J210" s="21">
        <v>47.699999999999989</v>
      </c>
      <c r="K210" s="21">
        <v>74.600000000000009</v>
      </c>
      <c r="L210" s="21">
        <v>70.599999999999994</v>
      </c>
      <c r="M210" s="21">
        <v>41.900000000000006</v>
      </c>
      <c r="N210" s="21">
        <v>99.899999999999991</v>
      </c>
      <c r="O210" s="21">
        <v>17.299999999999997</v>
      </c>
      <c r="P210" s="21">
        <v>137.30000000000001</v>
      </c>
      <c r="Q210" s="21">
        <v>4.5</v>
      </c>
      <c r="R210" s="21">
        <v>186.50000000000003</v>
      </c>
      <c r="S210" s="41">
        <f>'Monthly Data'!E78/'Monthly Data'!F78/'Monthly Data'!BH78</f>
        <v>22.813493763808857</v>
      </c>
      <c r="T210" s="41">
        <f>'Monthly Data'!J78/'Monthly Data'!H78/'Monthly Data'!BH78</f>
        <v>85.597415844868351</v>
      </c>
      <c r="U210" s="42">
        <f>'Monthly Data'!M78/'Monthly Data'!O78/'Monthly Data'!BH78</f>
        <v>2409.1856460012791</v>
      </c>
      <c r="V210" s="41"/>
      <c r="W210" s="9"/>
      <c r="X210" s="9"/>
    </row>
    <row r="211" spans="1:24" x14ac:dyDescent="0.2">
      <c r="A211" s="13">
        <v>42522</v>
      </c>
      <c r="B211">
        <v>2016</v>
      </c>
      <c r="C211">
        <v>6</v>
      </c>
      <c r="D211" s="20">
        <v>19.386666666666663</v>
      </c>
      <c r="E211" s="20">
        <v>53</v>
      </c>
      <c r="F211" s="20">
        <v>34.6</v>
      </c>
      <c r="G211" s="21">
        <v>26.500000000000004</v>
      </c>
      <c r="H211" s="21">
        <v>68.099999999999994</v>
      </c>
      <c r="I211" s="21">
        <v>8.5</v>
      </c>
      <c r="J211" s="21">
        <v>110.1</v>
      </c>
      <c r="K211" s="21">
        <v>2</v>
      </c>
      <c r="L211" s="21">
        <v>163.6</v>
      </c>
      <c r="M211" s="21">
        <v>0</v>
      </c>
      <c r="N211" s="21">
        <v>221.60000000000002</v>
      </c>
      <c r="O211" s="21">
        <v>0</v>
      </c>
      <c r="P211" s="21">
        <v>281.60000000000008</v>
      </c>
      <c r="Q211" s="21">
        <v>0</v>
      </c>
      <c r="R211" s="21">
        <v>341.6</v>
      </c>
      <c r="S211" s="41">
        <f>'Monthly Data'!E79/'Monthly Data'!F79/'Monthly Data'!BH79</f>
        <v>28.651343649389403</v>
      </c>
      <c r="T211" s="41">
        <f>'Monthly Data'!J79/'Monthly Data'!H79/'Monthly Data'!BH79</f>
        <v>94.023412512441254</v>
      </c>
      <c r="U211" s="42">
        <f>'Monthly Data'!M79/'Monthly Data'!O79/'Monthly Data'!BH79</f>
        <v>2604.5770716989691</v>
      </c>
      <c r="V211" s="41"/>
      <c r="W211" s="9"/>
      <c r="X211" s="9"/>
    </row>
    <row r="212" spans="1:24" x14ac:dyDescent="0.2">
      <c r="A212" s="13">
        <v>42552</v>
      </c>
      <c r="B212">
        <v>2016</v>
      </c>
      <c r="C212">
        <v>7</v>
      </c>
      <c r="D212" s="20">
        <v>22.919354838709673</v>
      </c>
      <c r="E212" s="20">
        <v>5.2999999999999972</v>
      </c>
      <c r="F212" s="20">
        <v>95.800000000000026</v>
      </c>
      <c r="G212" s="21">
        <v>0.10000000000000142</v>
      </c>
      <c r="H212" s="21">
        <v>152.60000000000002</v>
      </c>
      <c r="I212" s="21">
        <v>0</v>
      </c>
      <c r="J212" s="21">
        <v>214.50000000000003</v>
      </c>
      <c r="K212" s="21">
        <v>0</v>
      </c>
      <c r="L212" s="21">
        <v>276.5</v>
      </c>
      <c r="M212" s="21">
        <v>0</v>
      </c>
      <c r="N212" s="21">
        <v>338.49999999999994</v>
      </c>
      <c r="O212" s="21">
        <v>0</v>
      </c>
      <c r="P212" s="21">
        <v>400.49999999999983</v>
      </c>
      <c r="Q212" s="21">
        <v>0</v>
      </c>
      <c r="R212" s="21">
        <v>462.49999999999989</v>
      </c>
      <c r="S212" s="41">
        <f>'Monthly Data'!E80/'Monthly Data'!F80/'Monthly Data'!BH80</f>
        <v>33.670610974599668</v>
      </c>
      <c r="T212" s="41">
        <f>'Monthly Data'!J80/'Monthly Data'!H80/'Monthly Data'!BH80</f>
        <v>101.92641277059333</v>
      </c>
      <c r="U212" s="42">
        <f>'Monthly Data'!M80/'Monthly Data'!O80/'Monthly Data'!BH80</f>
        <v>2708.8157001295017</v>
      </c>
      <c r="V212" s="41"/>
      <c r="W212" s="9"/>
      <c r="X212" s="9"/>
    </row>
    <row r="213" spans="1:24" x14ac:dyDescent="0.2">
      <c r="A213" s="13">
        <v>42583</v>
      </c>
      <c r="B213">
        <v>2016</v>
      </c>
      <c r="C213">
        <v>8</v>
      </c>
      <c r="D213" s="20">
        <v>23.735483870967741</v>
      </c>
      <c r="E213" s="20">
        <v>0.10000000000000142</v>
      </c>
      <c r="F213" s="20">
        <v>115.89999999999998</v>
      </c>
      <c r="G213" s="21">
        <v>0</v>
      </c>
      <c r="H213" s="21">
        <v>177.79999999999998</v>
      </c>
      <c r="I213" s="21">
        <v>0</v>
      </c>
      <c r="J213" s="21">
        <v>239.79999999999998</v>
      </c>
      <c r="K213" s="21">
        <v>0</v>
      </c>
      <c r="L213" s="21">
        <v>301.80000000000007</v>
      </c>
      <c r="M213" s="21">
        <v>0</v>
      </c>
      <c r="N213" s="21">
        <v>363.80000000000007</v>
      </c>
      <c r="O213" s="21">
        <v>0</v>
      </c>
      <c r="P213" s="21">
        <v>425.80000000000007</v>
      </c>
      <c r="Q213" s="21">
        <v>0</v>
      </c>
      <c r="R213" s="21">
        <v>487.80000000000007</v>
      </c>
      <c r="S213" s="41">
        <f>'Monthly Data'!E81/'Monthly Data'!F81/'Monthly Data'!BH81</f>
        <v>32.888668770637771</v>
      </c>
      <c r="T213" s="41">
        <f>'Monthly Data'!J81/'Monthly Data'!H81/'Monthly Data'!BH81</f>
        <v>104.24711948954204</v>
      </c>
      <c r="U213" s="42">
        <f>'Monthly Data'!M81/'Monthly Data'!O81/'Monthly Data'!BH81</f>
        <v>2807.2687481110329</v>
      </c>
      <c r="V213" s="41"/>
      <c r="W213" s="9"/>
      <c r="X213" s="9"/>
    </row>
    <row r="214" spans="1:24" x14ac:dyDescent="0.2">
      <c r="A214" s="13">
        <v>42614</v>
      </c>
      <c r="B214">
        <v>2016</v>
      </c>
      <c r="C214">
        <v>9</v>
      </c>
      <c r="D214" s="20">
        <v>20.029999999999998</v>
      </c>
      <c r="E214" s="20">
        <v>41.900000000000013</v>
      </c>
      <c r="F214" s="20">
        <v>42.800000000000011</v>
      </c>
      <c r="G214" s="21">
        <v>15.500000000000002</v>
      </c>
      <c r="H214" s="21">
        <v>76.40000000000002</v>
      </c>
      <c r="I214" s="21">
        <v>3.7999999999999989</v>
      </c>
      <c r="J214" s="21">
        <v>124.7</v>
      </c>
      <c r="K214" s="21">
        <v>9.9999999999999645E-2</v>
      </c>
      <c r="L214" s="21">
        <v>181</v>
      </c>
      <c r="M214" s="21">
        <v>0</v>
      </c>
      <c r="N214" s="21">
        <v>240.9</v>
      </c>
      <c r="O214" s="21">
        <v>0</v>
      </c>
      <c r="P214" s="21">
        <v>300.89999999999992</v>
      </c>
      <c r="Q214" s="21">
        <v>0</v>
      </c>
      <c r="R214" s="21">
        <v>360.89999999999992</v>
      </c>
      <c r="S214" s="41">
        <f>'Monthly Data'!E82/'Monthly Data'!F82/'Monthly Data'!BH82</f>
        <v>28.167601118601507</v>
      </c>
      <c r="T214" s="41">
        <f>'Monthly Data'!J82/'Monthly Data'!H82/'Monthly Data'!BH82</f>
        <v>92.798219255102879</v>
      </c>
      <c r="U214" s="42">
        <f>'Monthly Data'!M82/'Monthly Data'!O82/'Monthly Data'!BH82</f>
        <v>2602.6844611794463</v>
      </c>
      <c r="V214" s="41"/>
      <c r="W214" s="9"/>
      <c r="X214" s="9"/>
    </row>
    <row r="215" spans="1:24" x14ac:dyDescent="0.2">
      <c r="A215" s="13">
        <v>42644</v>
      </c>
      <c r="B215">
        <v>2016</v>
      </c>
      <c r="C215">
        <v>10</v>
      </c>
      <c r="D215" s="20">
        <v>13.20967741935484</v>
      </c>
      <c r="E215" s="20">
        <v>212.29999999999998</v>
      </c>
      <c r="F215" s="20">
        <v>1.7999999999999972</v>
      </c>
      <c r="G215" s="21">
        <v>156.6</v>
      </c>
      <c r="H215" s="21">
        <v>8.1000000000000014</v>
      </c>
      <c r="I215" s="21">
        <v>111.3</v>
      </c>
      <c r="J215" s="21">
        <v>24.799999999999997</v>
      </c>
      <c r="K215" s="21">
        <v>77.199999999999989</v>
      </c>
      <c r="L215" s="21">
        <v>52.699999999999989</v>
      </c>
      <c r="M215" s="21">
        <v>50.1</v>
      </c>
      <c r="N215" s="21">
        <v>87.600000000000009</v>
      </c>
      <c r="O215" s="21">
        <v>26.6</v>
      </c>
      <c r="P215" s="21">
        <v>126.10000000000001</v>
      </c>
      <c r="Q215" s="21">
        <v>10.800000000000002</v>
      </c>
      <c r="R215" s="21">
        <v>172.3</v>
      </c>
      <c r="S215" s="41">
        <f>'Monthly Data'!E83/'Monthly Data'!F83/'Monthly Data'!BH83</f>
        <v>22.662710404829475</v>
      </c>
      <c r="T215" s="41">
        <f>'Monthly Data'!J83/'Monthly Data'!H83/'Monthly Data'!BH83</f>
        <v>82.94232482957085</v>
      </c>
      <c r="U215" s="42">
        <f>'Monthly Data'!M83/'Monthly Data'!O83/'Monthly Data'!BH83</f>
        <v>2365.3852114818483</v>
      </c>
      <c r="V215" s="41"/>
      <c r="W215" s="9"/>
      <c r="X215" s="9"/>
    </row>
    <row r="216" spans="1:24" x14ac:dyDescent="0.2">
      <c r="A216" s="13">
        <v>42675</v>
      </c>
      <c r="B216">
        <v>2016</v>
      </c>
      <c r="C216">
        <v>11</v>
      </c>
      <c r="D216" s="20">
        <v>8.2366666666666628</v>
      </c>
      <c r="E216" s="20">
        <v>352.90000000000003</v>
      </c>
      <c r="F216" s="20">
        <v>0</v>
      </c>
      <c r="G216" s="21">
        <v>292.90000000000003</v>
      </c>
      <c r="H216" s="21">
        <v>0</v>
      </c>
      <c r="I216" s="21">
        <v>232.90000000000003</v>
      </c>
      <c r="J216" s="21">
        <v>0</v>
      </c>
      <c r="K216" s="21">
        <v>174.8</v>
      </c>
      <c r="L216" s="21">
        <v>1.9000000000000004</v>
      </c>
      <c r="M216" s="21">
        <v>121.3</v>
      </c>
      <c r="N216" s="21">
        <v>8.3999999999999986</v>
      </c>
      <c r="O216" s="21">
        <v>76.000000000000014</v>
      </c>
      <c r="P216" s="21">
        <v>23.099999999999998</v>
      </c>
      <c r="Q216" s="21">
        <v>45.8</v>
      </c>
      <c r="R216" s="21">
        <v>52.900000000000006</v>
      </c>
      <c r="S216" s="41">
        <f>'Monthly Data'!E84/'Monthly Data'!F84/'Monthly Data'!BH84</f>
        <v>21.230632189477884</v>
      </c>
      <c r="T216" s="41">
        <f>'Monthly Data'!J84/'Monthly Data'!H84/'Monthly Data'!BH84</f>
        <v>85.810855064582398</v>
      </c>
      <c r="U216" s="42">
        <f>'Monthly Data'!M84/'Monthly Data'!O84/'Monthly Data'!BH84</f>
        <v>2394.8382063047311</v>
      </c>
      <c r="V216" s="41"/>
      <c r="W216" s="9"/>
      <c r="X216" s="9"/>
    </row>
    <row r="217" spans="1:24" x14ac:dyDescent="0.2">
      <c r="A217" s="13">
        <v>42705</v>
      </c>
      <c r="B217">
        <v>2016</v>
      </c>
      <c r="C217">
        <v>12</v>
      </c>
      <c r="D217" s="20">
        <v>-3.2258064516129135E-2</v>
      </c>
      <c r="E217" s="20">
        <v>621</v>
      </c>
      <c r="F217" s="20">
        <v>0</v>
      </c>
      <c r="G217" s="21">
        <v>559</v>
      </c>
      <c r="H217" s="21">
        <v>0</v>
      </c>
      <c r="I217" s="21">
        <v>497</v>
      </c>
      <c r="J217" s="21">
        <v>0</v>
      </c>
      <c r="K217" s="21">
        <v>435.00000000000006</v>
      </c>
      <c r="L217" s="21">
        <v>0</v>
      </c>
      <c r="M217" s="21">
        <v>373</v>
      </c>
      <c r="N217" s="21">
        <v>0</v>
      </c>
      <c r="O217" s="21">
        <v>311</v>
      </c>
      <c r="P217" s="21">
        <v>0</v>
      </c>
      <c r="Q217" s="21">
        <v>249</v>
      </c>
      <c r="R217" s="21">
        <v>0</v>
      </c>
      <c r="S217" s="41">
        <f>'Monthly Data'!E85/'Monthly Data'!F85/'Monthly Data'!BH85</f>
        <v>23.556111000827542</v>
      </c>
      <c r="T217" s="41">
        <f>'Monthly Data'!J85/'Monthly Data'!H85/'Monthly Data'!BH85</f>
        <v>91.920462002014077</v>
      </c>
      <c r="U217" s="42">
        <f>'Monthly Data'!M85/'Monthly Data'!O85/'Monthly Data'!BH85</f>
        <v>2391.2323593209317</v>
      </c>
      <c r="V217" s="41"/>
      <c r="W217" s="9"/>
      <c r="X217" s="9"/>
    </row>
    <row r="218" spans="1:24" x14ac:dyDescent="0.2">
      <c r="A218" s="13">
        <v>42736</v>
      </c>
      <c r="B218">
        <v>2017</v>
      </c>
      <c r="C218">
        <v>1</v>
      </c>
      <c r="D218" s="20">
        <v>-0.34193548387096795</v>
      </c>
      <c r="E218" s="20">
        <v>630.59999999999991</v>
      </c>
      <c r="F218" s="20">
        <v>0</v>
      </c>
      <c r="G218" s="21">
        <v>568.60000000000014</v>
      </c>
      <c r="H218" s="21">
        <v>0</v>
      </c>
      <c r="I218" s="21">
        <v>506.60000000000014</v>
      </c>
      <c r="J218" s="21">
        <v>0</v>
      </c>
      <c r="K218" s="21">
        <v>444.60000000000008</v>
      </c>
      <c r="L218" s="21">
        <v>0</v>
      </c>
      <c r="M218" s="21">
        <v>382.60000000000008</v>
      </c>
      <c r="N218" s="21">
        <v>0</v>
      </c>
      <c r="O218" s="21">
        <v>320.59999999999997</v>
      </c>
      <c r="P218" s="21">
        <v>0</v>
      </c>
      <c r="Q218" s="21">
        <v>258.59999999999997</v>
      </c>
      <c r="R218" s="21">
        <v>0</v>
      </c>
      <c r="S218" s="41">
        <f>'Monthly Data'!E86/'Monthly Data'!F86/'Monthly Data'!BH86</f>
        <v>24.324826117489433</v>
      </c>
      <c r="T218" s="41">
        <f>'Monthly Data'!J86/'Monthly Data'!H86/'Monthly Data'!BH86</f>
        <v>96.406919493533707</v>
      </c>
      <c r="U218" s="42">
        <f>'Monthly Data'!M86/'Monthly Data'!O86/'Monthly Data'!BH86</f>
        <v>2486.4810555230802</v>
      </c>
      <c r="V218" s="41"/>
      <c r="W218" s="9"/>
      <c r="X218" s="9"/>
    </row>
    <row r="219" spans="1:24" x14ac:dyDescent="0.2">
      <c r="A219" s="13">
        <v>42767</v>
      </c>
      <c r="B219">
        <v>2017</v>
      </c>
      <c r="C219">
        <v>2</v>
      </c>
      <c r="D219" s="20">
        <v>1.1714285714285715</v>
      </c>
      <c r="E219" s="20">
        <v>527.19999999999982</v>
      </c>
      <c r="F219" s="20">
        <v>0</v>
      </c>
      <c r="G219" s="21">
        <v>471.19999999999987</v>
      </c>
      <c r="H219" s="21">
        <v>0</v>
      </c>
      <c r="I219" s="21">
        <v>415.19999999999987</v>
      </c>
      <c r="J219" s="21">
        <v>0</v>
      </c>
      <c r="K219" s="21">
        <v>359.19999999999993</v>
      </c>
      <c r="L219" s="21">
        <v>0</v>
      </c>
      <c r="M219" s="21">
        <v>303.19999999999993</v>
      </c>
      <c r="N219" s="21">
        <v>0</v>
      </c>
      <c r="O219" s="21">
        <v>247.7</v>
      </c>
      <c r="P219" s="21">
        <v>0.5</v>
      </c>
      <c r="Q219" s="21">
        <v>193.8</v>
      </c>
      <c r="R219" s="21">
        <v>2.5999999999999996</v>
      </c>
      <c r="S219" s="41">
        <f>'Monthly Data'!E87/'Monthly Data'!F87/'Monthly Data'!BH87</f>
        <v>23.04728800059835</v>
      </c>
      <c r="T219" s="41">
        <f>'Monthly Data'!J87/'Monthly Data'!H87/'Monthly Data'!BH87</f>
        <v>94.653520717766114</v>
      </c>
      <c r="U219" s="42">
        <f>'Monthly Data'!M87/'Monthly Data'!O87/'Monthly Data'!BH87</f>
        <v>2560.3834429593176</v>
      </c>
      <c r="V219" s="41"/>
      <c r="W219" s="9"/>
      <c r="X219" s="9"/>
    </row>
    <row r="220" spans="1:24" x14ac:dyDescent="0.2">
      <c r="A220" s="13">
        <v>42795</v>
      </c>
      <c r="B220">
        <v>2017</v>
      </c>
      <c r="C220">
        <v>3</v>
      </c>
      <c r="D220" s="20">
        <v>0.54193548387096779</v>
      </c>
      <c r="E220" s="20">
        <v>603.20000000000005</v>
      </c>
      <c r="F220" s="20">
        <v>0</v>
      </c>
      <c r="G220" s="21">
        <v>541.20000000000005</v>
      </c>
      <c r="H220" s="21">
        <v>0</v>
      </c>
      <c r="I220" s="21">
        <v>479.2</v>
      </c>
      <c r="J220" s="21">
        <v>0</v>
      </c>
      <c r="K220" s="21">
        <v>417.20000000000005</v>
      </c>
      <c r="L220" s="21">
        <v>0</v>
      </c>
      <c r="M220" s="21">
        <v>355.20000000000005</v>
      </c>
      <c r="N220" s="21">
        <v>0</v>
      </c>
      <c r="O220" s="21">
        <v>293.40000000000003</v>
      </c>
      <c r="P220" s="21">
        <v>0.19999999999999929</v>
      </c>
      <c r="Q220" s="21">
        <v>234.70000000000002</v>
      </c>
      <c r="R220" s="21">
        <v>3.4999999999999982</v>
      </c>
      <c r="S220" s="41">
        <f>'Monthly Data'!E88/'Monthly Data'!F88/'Monthly Data'!BH88</f>
        <v>21.688222768231395</v>
      </c>
      <c r="T220" s="41">
        <f>'Monthly Data'!J88/'Monthly Data'!H88/'Monthly Data'!BH88</f>
        <v>91.234403668436897</v>
      </c>
      <c r="U220" s="42">
        <f>'Monthly Data'!M88/'Monthly Data'!O88/'Monthly Data'!BH88</f>
        <v>2543.6508279502591</v>
      </c>
      <c r="V220" s="41"/>
      <c r="W220" s="9"/>
      <c r="X220" s="9"/>
    </row>
    <row r="221" spans="1:24" x14ac:dyDescent="0.2">
      <c r="A221" s="13">
        <v>42826</v>
      </c>
      <c r="B221">
        <v>2017</v>
      </c>
      <c r="C221">
        <v>4</v>
      </c>
      <c r="D221" s="20">
        <v>8.9300000000000015</v>
      </c>
      <c r="E221" s="20">
        <v>332.09999999999991</v>
      </c>
      <c r="F221" s="20">
        <v>0</v>
      </c>
      <c r="G221" s="21">
        <v>272.09999999999997</v>
      </c>
      <c r="H221" s="21">
        <v>0</v>
      </c>
      <c r="I221" s="21">
        <v>213</v>
      </c>
      <c r="J221" s="21">
        <v>0.89999999999999858</v>
      </c>
      <c r="K221" s="21">
        <v>156.79999999999998</v>
      </c>
      <c r="L221" s="21">
        <v>4.6999999999999993</v>
      </c>
      <c r="M221" s="21">
        <v>107.10000000000002</v>
      </c>
      <c r="N221" s="21">
        <v>15</v>
      </c>
      <c r="O221" s="21">
        <v>65.800000000000011</v>
      </c>
      <c r="P221" s="21">
        <v>33.700000000000003</v>
      </c>
      <c r="Q221" s="21">
        <v>29.499999999999996</v>
      </c>
      <c r="R221" s="21">
        <v>57.4</v>
      </c>
      <c r="S221" s="41">
        <f>'Monthly Data'!E89/'Monthly Data'!F89/'Monthly Data'!BH89</f>
        <v>20.045945124755448</v>
      </c>
      <c r="T221" s="41">
        <f>'Monthly Data'!J89/'Monthly Data'!H89/'Monthly Data'!BH89</f>
        <v>85.137454567742552</v>
      </c>
      <c r="U221" s="42">
        <f>'Monthly Data'!M89/'Monthly Data'!O89/'Monthly Data'!BH89</f>
        <v>2383.2061888819344</v>
      </c>
      <c r="V221" s="41"/>
      <c r="W221" s="9"/>
      <c r="X221" s="9"/>
    </row>
    <row r="222" spans="1:24" x14ac:dyDescent="0.2">
      <c r="A222" s="13">
        <v>42856</v>
      </c>
      <c r="B222">
        <v>2017</v>
      </c>
      <c r="C222">
        <v>5</v>
      </c>
      <c r="D222" s="20">
        <v>11.783870967741937</v>
      </c>
      <c r="E222" s="20">
        <v>258.59999999999997</v>
      </c>
      <c r="F222" s="20">
        <v>3.8999999999999986</v>
      </c>
      <c r="G222" s="21">
        <v>200.5</v>
      </c>
      <c r="H222" s="21">
        <v>7.7999999999999972</v>
      </c>
      <c r="I222" s="21">
        <v>147.99999999999997</v>
      </c>
      <c r="J222" s="21">
        <v>17.299999999999997</v>
      </c>
      <c r="K222" s="21">
        <v>98.600000000000009</v>
      </c>
      <c r="L222" s="21">
        <v>29.9</v>
      </c>
      <c r="M222" s="21">
        <v>57.899999999999991</v>
      </c>
      <c r="N222" s="21">
        <v>51.199999999999996</v>
      </c>
      <c r="O222" s="21">
        <v>25.700000000000003</v>
      </c>
      <c r="P222" s="21">
        <v>81</v>
      </c>
      <c r="Q222" s="21">
        <v>6.8000000000000007</v>
      </c>
      <c r="R222" s="21">
        <v>124.1</v>
      </c>
      <c r="S222" s="41">
        <f>'Monthly Data'!E90/'Monthly Data'!F90/'Monthly Data'!BH90</f>
        <v>20.919170938149399</v>
      </c>
      <c r="T222" s="41">
        <f>'Monthly Data'!J90/'Monthly Data'!H90/'Monthly Data'!BH90</f>
        <v>83.658048307375623</v>
      </c>
      <c r="U222" s="42">
        <f>'Monthly Data'!M90/'Monthly Data'!O90/'Monthly Data'!BH90</f>
        <v>2441.3769588267392</v>
      </c>
      <c r="V222" s="41"/>
      <c r="W222" s="9"/>
      <c r="X222" s="9"/>
    </row>
    <row r="223" spans="1:24" x14ac:dyDescent="0.2">
      <c r="A223" s="13">
        <v>42887</v>
      </c>
      <c r="B223">
        <v>2017</v>
      </c>
      <c r="C223">
        <v>6</v>
      </c>
      <c r="D223" s="20">
        <v>19.303333333333331</v>
      </c>
      <c r="E223" s="20">
        <v>57.4</v>
      </c>
      <c r="F223" s="20">
        <v>36.5</v>
      </c>
      <c r="G223" s="21">
        <v>29.300000000000004</v>
      </c>
      <c r="H223" s="21">
        <v>68.399999999999991</v>
      </c>
      <c r="I223" s="21">
        <v>8.9000000000000021</v>
      </c>
      <c r="J223" s="21">
        <v>107.99999999999999</v>
      </c>
      <c r="K223" s="21">
        <v>0</v>
      </c>
      <c r="L223" s="21">
        <v>159.10000000000002</v>
      </c>
      <c r="M223" s="21">
        <v>0</v>
      </c>
      <c r="N223" s="21">
        <v>219.10000000000002</v>
      </c>
      <c r="O223" s="21">
        <v>0</v>
      </c>
      <c r="P223" s="21">
        <v>279.10000000000002</v>
      </c>
      <c r="Q223" s="21">
        <v>0</v>
      </c>
      <c r="R223" s="21">
        <v>339.09999999999997</v>
      </c>
      <c r="S223" s="41">
        <f>'Monthly Data'!E91/'Monthly Data'!F91/'Monthly Data'!BH91</f>
        <v>26.234040246523129</v>
      </c>
      <c r="T223" s="41">
        <f>'Monthly Data'!J91/'Monthly Data'!H91/'Monthly Data'!BH91</f>
        <v>90.15961613473489</v>
      </c>
      <c r="U223" s="42">
        <f>'Monthly Data'!M91/'Monthly Data'!O91/'Monthly Data'!BH91</f>
        <v>2618.4744810675334</v>
      </c>
      <c r="V223" s="41"/>
      <c r="W223" s="9"/>
      <c r="X223" s="9"/>
    </row>
    <row r="224" spans="1:24" x14ac:dyDescent="0.2">
      <c r="A224" s="13">
        <v>42917</v>
      </c>
      <c r="B224">
        <v>2017</v>
      </c>
      <c r="C224">
        <v>7</v>
      </c>
      <c r="D224" s="20">
        <v>21.661290322580644</v>
      </c>
      <c r="E224" s="20">
        <v>5.3999999999999986</v>
      </c>
      <c r="F224" s="20">
        <v>56.9</v>
      </c>
      <c r="G224" s="21">
        <v>0</v>
      </c>
      <c r="H224" s="21">
        <v>113.49999999999997</v>
      </c>
      <c r="I224" s="21">
        <v>0</v>
      </c>
      <c r="J224" s="21">
        <v>175.5</v>
      </c>
      <c r="K224" s="21">
        <v>0</v>
      </c>
      <c r="L224" s="21">
        <v>237.5</v>
      </c>
      <c r="M224" s="21">
        <v>0</v>
      </c>
      <c r="N224" s="21">
        <v>299.50000000000006</v>
      </c>
      <c r="O224" s="21">
        <v>0</v>
      </c>
      <c r="P224" s="21">
        <v>361.50000000000011</v>
      </c>
      <c r="Q224" s="21">
        <v>0</v>
      </c>
      <c r="R224" s="21">
        <v>423.50000000000011</v>
      </c>
      <c r="S224" s="41">
        <f>'Monthly Data'!E92/'Monthly Data'!F92/'Monthly Data'!BH92</f>
        <v>29.745180231345266</v>
      </c>
      <c r="T224" s="41">
        <f>'Monthly Data'!J92/'Monthly Data'!H92/'Monthly Data'!BH92</f>
        <v>95.22381014041045</v>
      </c>
      <c r="U224" s="42">
        <f>'Monthly Data'!M92/'Monthly Data'!O92/'Monthly Data'!BH92</f>
        <v>2656.1239298268833</v>
      </c>
      <c r="V224" s="41"/>
      <c r="W224" s="9"/>
      <c r="X224" s="9"/>
    </row>
    <row r="225" spans="1:24" x14ac:dyDescent="0.2">
      <c r="A225" s="13">
        <v>42948</v>
      </c>
      <c r="B225">
        <v>2017</v>
      </c>
      <c r="C225">
        <v>8</v>
      </c>
      <c r="D225" s="20">
        <v>20.522580645161295</v>
      </c>
      <c r="E225" s="20">
        <v>26.599999999999994</v>
      </c>
      <c r="F225" s="20">
        <v>42.8</v>
      </c>
      <c r="G225" s="21">
        <v>7.1999999999999993</v>
      </c>
      <c r="H225" s="21">
        <v>85.4</v>
      </c>
      <c r="I225" s="21">
        <v>0</v>
      </c>
      <c r="J225" s="21">
        <v>140.19999999999999</v>
      </c>
      <c r="K225" s="21">
        <v>0</v>
      </c>
      <c r="L225" s="21">
        <v>202.19999999999996</v>
      </c>
      <c r="M225" s="21">
        <v>0</v>
      </c>
      <c r="N225" s="21">
        <v>264.2</v>
      </c>
      <c r="O225" s="21">
        <v>0</v>
      </c>
      <c r="P225" s="21">
        <v>326.2</v>
      </c>
      <c r="Q225" s="21">
        <v>0</v>
      </c>
      <c r="R225" s="21">
        <v>388.2</v>
      </c>
      <c r="S225" s="41">
        <f>'Monthly Data'!E93/'Monthly Data'!F93/'Monthly Data'!BH93</f>
        <v>27.967341757605514</v>
      </c>
      <c r="T225" s="41">
        <f>'Monthly Data'!J93/'Monthly Data'!H93/'Monthly Data'!BH93</f>
        <v>92.770117323621832</v>
      </c>
      <c r="U225" s="42">
        <f>'Monthly Data'!M93/'Monthly Data'!O93/'Monthly Data'!BH93</f>
        <v>2650.2105681043727</v>
      </c>
      <c r="V225" s="41"/>
      <c r="W225" s="9"/>
      <c r="X225" s="9"/>
    </row>
    <row r="226" spans="1:24" x14ac:dyDescent="0.2">
      <c r="A226" s="13">
        <v>42979</v>
      </c>
      <c r="B226">
        <v>2017</v>
      </c>
      <c r="C226">
        <v>9</v>
      </c>
      <c r="D226" s="20">
        <v>18.610000000000003</v>
      </c>
      <c r="E226" s="20">
        <v>72.199999999999989</v>
      </c>
      <c r="F226" s="20">
        <v>30.500000000000004</v>
      </c>
      <c r="G226" s="21">
        <v>41.699999999999996</v>
      </c>
      <c r="H226" s="21">
        <v>60</v>
      </c>
      <c r="I226" s="21">
        <v>18.599999999999998</v>
      </c>
      <c r="J226" s="21">
        <v>96.9</v>
      </c>
      <c r="K226" s="21">
        <v>4.0999999999999996</v>
      </c>
      <c r="L226" s="21">
        <v>142.4</v>
      </c>
      <c r="M226" s="21">
        <v>1</v>
      </c>
      <c r="N226" s="21">
        <v>199.29999999999998</v>
      </c>
      <c r="O226" s="21">
        <v>0</v>
      </c>
      <c r="P226" s="21">
        <v>258.29999999999995</v>
      </c>
      <c r="Q226" s="21">
        <v>0</v>
      </c>
      <c r="R226" s="21">
        <v>318.3</v>
      </c>
      <c r="S226" s="41">
        <f>'Monthly Data'!E94/'Monthly Data'!F94/'Monthly Data'!BH94</f>
        <v>25.258571594101618</v>
      </c>
      <c r="T226" s="41">
        <f>'Monthly Data'!J94/'Monthly Data'!H94/'Monthly Data'!BH94</f>
        <v>89.717636861685293</v>
      </c>
      <c r="U226" s="42">
        <f>'Monthly Data'!M94/'Monthly Data'!O94/'Monthly Data'!BH94</f>
        <v>2606.3054500985022</v>
      </c>
      <c r="V226" s="41"/>
      <c r="W226" s="9"/>
      <c r="X226" s="9"/>
    </row>
    <row r="227" spans="1:24" x14ac:dyDescent="0.2">
      <c r="A227" s="13">
        <v>43009</v>
      </c>
      <c r="B227">
        <v>2017</v>
      </c>
      <c r="C227">
        <v>10</v>
      </c>
      <c r="D227" s="20">
        <v>14.658064516129036</v>
      </c>
      <c r="E227" s="20">
        <v>167.79999999999998</v>
      </c>
      <c r="F227" s="20">
        <v>2.1999999999999993</v>
      </c>
      <c r="G227" s="21">
        <v>113.30000000000003</v>
      </c>
      <c r="H227" s="21">
        <v>9.6999999999999993</v>
      </c>
      <c r="I227" s="21">
        <v>75.2</v>
      </c>
      <c r="J227" s="21">
        <v>33.599999999999994</v>
      </c>
      <c r="K227" s="21">
        <v>47.5</v>
      </c>
      <c r="L227" s="21">
        <v>67.900000000000006</v>
      </c>
      <c r="M227" s="21">
        <v>26.3</v>
      </c>
      <c r="N227" s="21">
        <v>108.7</v>
      </c>
      <c r="O227" s="21">
        <v>12.3</v>
      </c>
      <c r="P227" s="21">
        <v>156.69999999999996</v>
      </c>
      <c r="Q227" s="21">
        <v>2.1000000000000005</v>
      </c>
      <c r="R227" s="21">
        <v>208.49999999999994</v>
      </c>
      <c r="S227" s="41">
        <f>'Monthly Data'!E95/'Monthly Data'!F95/'Monthly Data'!BH95</f>
        <v>21.97627973144262</v>
      </c>
      <c r="T227" s="41">
        <f>'Monthly Data'!J95/'Monthly Data'!H95/'Monthly Data'!BH95</f>
        <v>85.075494219478372</v>
      </c>
      <c r="U227" s="42">
        <f>'Monthly Data'!M95/'Monthly Data'!O95/'Monthly Data'!BH95</f>
        <v>2459.9705642411313</v>
      </c>
      <c r="V227" s="41"/>
      <c r="W227" s="9"/>
      <c r="X227" s="9"/>
    </row>
    <row r="228" spans="1:24" x14ac:dyDescent="0.2">
      <c r="A228" s="13">
        <v>43040</v>
      </c>
      <c r="B228">
        <v>2017</v>
      </c>
      <c r="C228">
        <v>11</v>
      </c>
      <c r="D228" s="20">
        <v>5.0699999999999994</v>
      </c>
      <c r="E228" s="20">
        <v>447.9</v>
      </c>
      <c r="F228" s="20">
        <v>0</v>
      </c>
      <c r="G228" s="21">
        <v>387.89999999999992</v>
      </c>
      <c r="H228" s="21">
        <v>0</v>
      </c>
      <c r="I228" s="21">
        <v>327.9</v>
      </c>
      <c r="J228" s="21">
        <v>0</v>
      </c>
      <c r="K228" s="21">
        <v>267.89999999999998</v>
      </c>
      <c r="L228" s="21">
        <v>0</v>
      </c>
      <c r="M228" s="21">
        <v>208.10000000000005</v>
      </c>
      <c r="N228" s="21">
        <v>0.19999999999999929</v>
      </c>
      <c r="O228" s="21">
        <v>151.80000000000004</v>
      </c>
      <c r="P228" s="21">
        <v>3.8999999999999986</v>
      </c>
      <c r="Q228" s="21">
        <v>99.000000000000014</v>
      </c>
      <c r="R228" s="21">
        <v>11.099999999999998</v>
      </c>
      <c r="S228" s="41">
        <f>'Monthly Data'!E96/'Monthly Data'!F96/'Monthly Data'!BH96</f>
        <v>21.569537429226308</v>
      </c>
      <c r="T228" s="41">
        <f>'Monthly Data'!J96/'Monthly Data'!H96/'Monthly Data'!BH96</f>
        <v>88.168968904044377</v>
      </c>
      <c r="U228" s="42">
        <f>'Monthly Data'!M96/'Monthly Data'!O96/'Monthly Data'!BH96</f>
        <v>2487.3028802412105</v>
      </c>
      <c r="V228" s="41"/>
      <c r="W228" s="9"/>
      <c r="X228" s="9"/>
    </row>
    <row r="229" spans="1:24" x14ac:dyDescent="0.2">
      <c r="A229" s="13">
        <v>43070</v>
      </c>
      <c r="B229">
        <v>2017</v>
      </c>
      <c r="C229">
        <v>12</v>
      </c>
      <c r="D229" s="20">
        <v>-2.9419354838709673</v>
      </c>
      <c r="E229" s="20">
        <v>711.20000000000016</v>
      </c>
      <c r="F229" s="20">
        <v>0</v>
      </c>
      <c r="G229" s="21">
        <v>649.20000000000016</v>
      </c>
      <c r="H229" s="21">
        <v>0</v>
      </c>
      <c r="I229" s="21">
        <v>587.20000000000005</v>
      </c>
      <c r="J229" s="21">
        <v>0</v>
      </c>
      <c r="K229" s="21">
        <v>525.19999999999993</v>
      </c>
      <c r="L229" s="21">
        <v>0</v>
      </c>
      <c r="M229" s="21">
        <v>463.20000000000005</v>
      </c>
      <c r="N229" s="21">
        <v>0</v>
      </c>
      <c r="O229" s="21">
        <v>401.20000000000005</v>
      </c>
      <c r="P229" s="21">
        <v>0</v>
      </c>
      <c r="Q229" s="21">
        <v>339.20000000000005</v>
      </c>
      <c r="R229" s="21">
        <v>0</v>
      </c>
      <c r="S229" s="41">
        <f>'Monthly Data'!E97/'Monthly Data'!F97/'Monthly Data'!BH97</f>
        <v>25.129235849590451</v>
      </c>
      <c r="T229" s="41">
        <f>'Monthly Data'!J97/'Monthly Data'!H97/'Monthly Data'!BH97</f>
        <v>94.681278254718777</v>
      </c>
      <c r="U229" s="42">
        <f>'Monthly Data'!M97/'Monthly Data'!O97/'Monthly Data'!BH97</f>
        <v>2446.6714265737637</v>
      </c>
      <c r="V229" s="41"/>
      <c r="W229" s="9"/>
      <c r="X229" s="9"/>
    </row>
    <row r="230" spans="1:24" x14ac:dyDescent="0.2">
      <c r="A230" s="13">
        <v>43101</v>
      </c>
      <c r="B230">
        <v>2018</v>
      </c>
      <c r="C230">
        <v>1</v>
      </c>
      <c r="D230" s="20">
        <v>-3.9451612903225803</v>
      </c>
      <c r="E230" s="20">
        <v>742.29999999999984</v>
      </c>
      <c r="F230" s="20">
        <v>0</v>
      </c>
      <c r="G230" s="21">
        <v>680.29999999999984</v>
      </c>
      <c r="H230" s="21">
        <v>0</v>
      </c>
      <c r="I230" s="21">
        <v>618.29999999999984</v>
      </c>
      <c r="J230" s="21">
        <v>0</v>
      </c>
      <c r="K230" s="21">
        <v>556.29999999999995</v>
      </c>
      <c r="L230" s="21">
        <v>0</v>
      </c>
      <c r="M230" s="21">
        <v>494.3</v>
      </c>
      <c r="N230" s="21">
        <v>0</v>
      </c>
      <c r="O230" s="21">
        <v>432.5</v>
      </c>
      <c r="P230" s="21">
        <v>0.19999999999999929</v>
      </c>
      <c r="Q230" s="21">
        <v>372.5</v>
      </c>
      <c r="R230" s="21">
        <v>2.1999999999999993</v>
      </c>
      <c r="S230" s="41">
        <f>'Monthly Data'!E98/'Monthly Data'!F98/'Monthly Data'!BH98</f>
        <v>25.771979403670748</v>
      </c>
      <c r="T230" s="41">
        <f>'Monthly Data'!J98/'Monthly Data'!H98/'Monthly Data'!BH98</f>
        <v>100.13744020286423</v>
      </c>
      <c r="U230" s="42">
        <f>'Monthly Data'!M98/'Monthly Data'!O98/'Monthly Data'!BH98</f>
        <v>2623.8306180169525</v>
      </c>
      <c r="V230" s="41"/>
      <c r="W230" s="9"/>
      <c r="X230" s="9"/>
    </row>
    <row r="231" spans="1:24" x14ac:dyDescent="0.2">
      <c r="A231" s="13">
        <v>43132</v>
      </c>
      <c r="B231">
        <v>2018</v>
      </c>
      <c r="C231">
        <v>2</v>
      </c>
      <c r="D231" s="20">
        <v>-0.28928571428571387</v>
      </c>
      <c r="E231" s="20">
        <v>568.1</v>
      </c>
      <c r="F231" s="20">
        <v>0</v>
      </c>
      <c r="G231" s="21">
        <v>512.09999999999991</v>
      </c>
      <c r="H231" s="21">
        <v>0</v>
      </c>
      <c r="I231" s="21">
        <v>456.1</v>
      </c>
      <c r="J231" s="21">
        <v>0</v>
      </c>
      <c r="K231" s="21">
        <v>400.1</v>
      </c>
      <c r="L231" s="21">
        <v>0</v>
      </c>
      <c r="M231" s="21">
        <v>344.10000000000008</v>
      </c>
      <c r="N231" s="21">
        <v>0</v>
      </c>
      <c r="O231" s="21">
        <v>288.50000000000006</v>
      </c>
      <c r="P231" s="21">
        <v>0.40000000000000036</v>
      </c>
      <c r="Q231" s="21">
        <v>235.5</v>
      </c>
      <c r="R231" s="21">
        <v>3.4000000000000004</v>
      </c>
      <c r="S231" s="41">
        <f>'Monthly Data'!E99/'Monthly Data'!F99/'Monthly Data'!BH99</f>
        <v>23.782152209957985</v>
      </c>
      <c r="T231" s="41">
        <f>'Monthly Data'!J99/'Monthly Data'!H99/'Monthly Data'!BH99</f>
        <v>97.48570874483859</v>
      </c>
      <c r="U231" s="42">
        <f>'Monthly Data'!M99/'Monthly Data'!O99/'Monthly Data'!BH99</f>
        <v>2575.0515316179067</v>
      </c>
      <c r="V231" s="41"/>
      <c r="W231" s="9"/>
      <c r="X231" s="9"/>
    </row>
    <row r="232" spans="1:24" x14ac:dyDescent="0.2">
      <c r="A232" s="13">
        <v>43160</v>
      </c>
      <c r="B232">
        <v>2018</v>
      </c>
      <c r="C232">
        <v>3</v>
      </c>
      <c r="D232" s="20">
        <v>0.77741935483870972</v>
      </c>
      <c r="E232" s="20">
        <v>595.9</v>
      </c>
      <c r="F232" s="20">
        <v>0</v>
      </c>
      <c r="G232" s="21">
        <v>533.9</v>
      </c>
      <c r="H232" s="21">
        <v>0</v>
      </c>
      <c r="I232" s="21">
        <v>471.89999999999992</v>
      </c>
      <c r="J232" s="21">
        <v>0</v>
      </c>
      <c r="K232" s="21">
        <v>409.89999999999986</v>
      </c>
      <c r="L232" s="21">
        <v>0</v>
      </c>
      <c r="M232" s="21">
        <v>347.89999999999986</v>
      </c>
      <c r="N232" s="21">
        <v>0</v>
      </c>
      <c r="O232" s="21">
        <v>285.89999999999992</v>
      </c>
      <c r="P232" s="21">
        <v>0</v>
      </c>
      <c r="Q232" s="21">
        <v>223.89999999999998</v>
      </c>
      <c r="R232" s="21">
        <v>0</v>
      </c>
      <c r="S232" s="41">
        <f>'Monthly Data'!E100/'Monthly Data'!F100/'Monthly Data'!BH100</f>
        <v>22.189034349308407</v>
      </c>
      <c r="T232" s="41">
        <f>'Monthly Data'!J100/'Monthly Data'!H100/'Monthly Data'!BH100</f>
        <v>92.957093341840576</v>
      </c>
      <c r="U232" s="42">
        <f>'Monthly Data'!M100/'Monthly Data'!O100/'Monthly Data'!BH100</f>
        <v>2490.0254626485721</v>
      </c>
      <c r="V232" s="41"/>
      <c r="W232" s="9"/>
      <c r="X232" s="9"/>
    </row>
    <row r="233" spans="1:24" x14ac:dyDescent="0.2">
      <c r="A233" s="13">
        <v>43191</v>
      </c>
      <c r="B233">
        <v>2018</v>
      </c>
      <c r="C233">
        <v>4</v>
      </c>
      <c r="D233" s="20">
        <v>4.0233333333333334</v>
      </c>
      <c r="E233" s="20">
        <v>479.3</v>
      </c>
      <c r="F233" s="20">
        <v>0</v>
      </c>
      <c r="G233" s="21">
        <v>419.3</v>
      </c>
      <c r="H233" s="21">
        <v>0</v>
      </c>
      <c r="I233" s="21">
        <v>359.3</v>
      </c>
      <c r="J233" s="21">
        <v>0</v>
      </c>
      <c r="K233" s="21">
        <v>299.3</v>
      </c>
      <c r="L233" s="21">
        <v>0</v>
      </c>
      <c r="M233" s="21">
        <v>239.3</v>
      </c>
      <c r="N233" s="21">
        <v>0</v>
      </c>
      <c r="O233" s="21">
        <v>180.8</v>
      </c>
      <c r="P233" s="21">
        <v>1.5</v>
      </c>
      <c r="Q233" s="21">
        <v>127.50000000000003</v>
      </c>
      <c r="R233" s="21">
        <v>8.1999999999999993</v>
      </c>
      <c r="S233" s="41">
        <f>'Monthly Data'!E101/'Monthly Data'!F101/'Monthly Data'!BH101</f>
        <v>21.309850101683796</v>
      </c>
      <c r="T233" s="41">
        <f>'Monthly Data'!J101/'Monthly Data'!H101/'Monthly Data'!BH101</f>
        <v>89.591000975385057</v>
      </c>
      <c r="U233" s="42">
        <f>'Monthly Data'!M101/'Monthly Data'!O101/'Monthly Data'!BH101</f>
        <v>2460.1160920093635</v>
      </c>
      <c r="V233" s="41"/>
      <c r="W233" s="9"/>
      <c r="X233" s="9"/>
    </row>
    <row r="234" spans="1:24" x14ac:dyDescent="0.2">
      <c r="A234" s="13">
        <v>43221</v>
      </c>
      <c r="B234">
        <v>2018</v>
      </c>
      <c r="C234">
        <v>5</v>
      </c>
      <c r="D234" s="20">
        <v>14.790322580645164</v>
      </c>
      <c r="E234" s="20">
        <v>173.79999999999998</v>
      </c>
      <c r="F234" s="20">
        <v>12.3</v>
      </c>
      <c r="G234" s="21">
        <v>127.7</v>
      </c>
      <c r="H234" s="21">
        <v>28.2</v>
      </c>
      <c r="I234" s="21">
        <v>86</v>
      </c>
      <c r="J234" s="21">
        <v>48.5</v>
      </c>
      <c r="K234" s="21">
        <v>50.5</v>
      </c>
      <c r="L234" s="21">
        <v>74.999999999999986</v>
      </c>
      <c r="M234" s="21">
        <v>25.199999999999996</v>
      </c>
      <c r="N234" s="21">
        <v>111.69999999999997</v>
      </c>
      <c r="O234" s="21">
        <v>6.8999999999999986</v>
      </c>
      <c r="P234" s="21">
        <v>155.39999999999998</v>
      </c>
      <c r="Q234" s="21">
        <v>0.69999999999999929</v>
      </c>
      <c r="R234" s="21">
        <v>211.20000000000002</v>
      </c>
      <c r="S234" s="41">
        <f>'Monthly Data'!E102/'Monthly Data'!F102/'Monthly Data'!BH102</f>
        <v>22.216325704221433</v>
      </c>
      <c r="T234" s="41">
        <f>'Monthly Data'!J102/'Monthly Data'!H102/'Monthly Data'!BH102</f>
        <v>88.931942554935787</v>
      </c>
      <c r="U234" s="42">
        <f>'Monthly Data'!M102/'Monthly Data'!O102/'Monthly Data'!BH102</f>
        <v>2457.8578999245578</v>
      </c>
      <c r="V234" s="41"/>
      <c r="W234" s="9"/>
      <c r="X234" s="9"/>
    </row>
    <row r="235" spans="1:24" x14ac:dyDescent="0.2">
      <c r="A235" s="13">
        <v>43252</v>
      </c>
      <c r="B235">
        <v>2018</v>
      </c>
      <c r="C235">
        <v>6</v>
      </c>
      <c r="D235" s="20">
        <v>19.029999999999998</v>
      </c>
      <c r="E235" s="20">
        <v>64.600000000000009</v>
      </c>
      <c r="F235" s="20">
        <v>35.5</v>
      </c>
      <c r="G235" s="21">
        <v>26.9</v>
      </c>
      <c r="H235" s="21">
        <v>57.800000000000004</v>
      </c>
      <c r="I235" s="21">
        <v>5.0000000000000018</v>
      </c>
      <c r="J235" s="21">
        <v>95.899999999999977</v>
      </c>
      <c r="K235" s="21">
        <v>0.60000000000000142</v>
      </c>
      <c r="L235" s="21">
        <v>151.49999999999997</v>
      </c>
      <c r="M235" s="21">
        <v>0</v>
      </c>
      <c r="N235" s="21">
        <v>210.90000000000006</v>
      </c>
      <c r="O235" s="21">
        <v>0</v>
      </c>
      <c r="P235" s="21">
        <v>270.90000000000009</v>
      </c>
      <c r="Q235" s="21">
        <v>0</v>
      </c>
      <c r="R235" s="21">
        <v>330.90000000000009</v>
      </c>
      <c r="S235" s="41">
        <f>'Monthly Data'!E103/'Monthly Data'!F103/'Monthly Data'!BH103</f>
        <v>28.856181999040725</v>
      </c>
      <c r="T235" s="41">
        <f>'Monthly Data'!J103/'Monthly Data'!H103/'Monthly Data'!BH103</f>
        <v>95.676576343200082</v>
      </c>
      <c r="U235" s="42">
        <f>'Monthly Data'!M103/'Monthly Data'!O103/'Monthly Data'!BH103</f>
        <v>2694.7255552179581</v>
      </c>
      <c r="V235" s="41"/>
      <c r="W235" s="9"/>
      <c r="X235" s="9"/>
    </row>
    <row r="236" spans="1:24" x14ac:dyDescent="0.2">
      <c r="A236" s="13">
        <v>43282</v>
      </c>
      <c r="B236">
        <v>2018</v>
      </c>
      <c r="C236">
        <v>7</v>
      </c>
      <c r="D236" s="20">
        <v>23.296774193548391</v>
      </c>
      <c r="E236" s="20">
        <v>0.5</v>
      </c>
      <c r="F236" s="20">
        <v>102.69999999999999</v>
      </c>
      <c r="G236" s="21">
        <v>0</v>
      </c>
      <c r="H236" s="21">
        <v>164.19999999999996</v>
      </c>
      <c r="I236" s="21">
        <v>0</v>
      </c>
      <c r="J236" s="21">
        <v>226.19999999999996</v>
      </c>
      <c r="K236" s="21">
        <v>0</v>
      </c>
      <c r="L236" s="21">
        <v>288.2</v>
      </c>
      <c r="M236" s="21">
        <v>0</v>
      </c>
      <c r="N236" s="21">
        <v>350.2</v>
      </c>
      <c r="O236" s="21">
        <v>0</v>
      </c>
      <c r="P236" s="21">
        <v>412.20000000000005</v>
      </c>
      <c r="Q236" s="21">
        <v>0</v>
      </c>
      <c r="R236" s="21">
        <v>474.2000000000001</v>
      </c>
      <c r="S236" s="41">
        <f>'Monthly Data'!E104/'Monthly Data'!F104/'Monthly Data'!BH104</f>
        <v>34.674033497407898</v>
      </c>
      <c r="T236" s="41">
        <f>'Monthly Data'!J104/'Monthly Data'!H104/'Monthly Data'!BH104</f>
        <v>102.74878279494447</v>
      </c>
      <c r="U236" s="42">
        <f>'Monthly Data'!M104/'Monthly Data'!O104/'Monthly Data'!BH104</f>
        <v>2785.8559912485066</v>
      </c>
      <c r="V236" s="41"/>
      <c r="W236" s="9"/>
      <c r="X236" s="9"/>
    </row>
    <row r="237" spans="1:24" x14ac:dyDescent="0.2">
      <c r="A237" s="13">
        <v>43313</v>
      </c>
      <c r="B237">
        <v>2018</v>
      </c>
      <c r="C237">
        <v>8</v>
      </c>
      <c r="D237" s="20">
        <v>23.283870967741933</v>
      </c>
      <c r="E237" s="20">
        <v>5.8000000000000007</v>
      </c>
      <c r="F237" s="20">
        <v>107.60000000000002</v>
      </c>
      <c r="G237" s="21">
        <v>1.3000000000000007</v>
      </c>
      <c r="H237" s="21">
        <v>165.10000000000002</v>
      </c>
      <c r="I237" s="21">
        <v>0</v>
      </c>
      <c r="J237" s="21">
        <v>225.8</v>
      </c>
      <c r="K237" s="21">
        <v>0</v>
      </c>
      <c r="L237" s="21">
        <v>287.79999999999995</v>
      </c>
      <c r="M237" s="21">
        <v>0</v>
      </c>
      <c r="N237" s="21">
        <v>349.79999999999995</v>
      </c>
      <c r="O237" s="21">
        <v>0</v>
      </c>
      <c r="P237" s="21">
        <v>411.7999999999999</v>
      </c>
      <c r="Q237" s="21">
        <v>0</v>
      </c>
      <c r="R237" s="21">
        <v>473.7999999999999</v>
      </c>
      <c r="S237" s="41">
        <f>'Monthly Data'!E105/'Monthly Data'!F105/'Monthly Data'!BH105</f>
        <v>33.730991997124001</v>
      </c>
      <c r="T237" s="41">
        <f>'Monthly Data'!J105/'Monthly Data'!H105/'Monthly Data'!BH105</f>
        <v>101.1699973285847</v>
      </c>
      <c r="U237" s="42">
        <f>'Monthly Data'!M105/'Monthly Data'!O105/'Monthly Data'!BH105</f>
        <v>2791.0662340153835</v>
      </c>
      <c r="V237" s="41"/>
      <c r="W237" s="9"/>
      <c r="X237" s="9"/>
    </row>
    <row r="238" spans="1:24" x14ac:dyDescent="0.2">
      <c r="A238" s="13">
        <v>43344</v>
      </c>
      <c r="B238">
        <v>2018</v>
      </c>
      <c r="C238">
        <v>9</v>
      </c>
      <c r="D238" s="20">
        <v>19.446666666666669</v>
      </c>
      <c r="E238" s="20">
        <v>57.199999999999996</v>
      </c>
      <c r="F238" s="20">
        <v>40.599999999999994</v>
      </c>
      <c r="G238" s="21">
        <v>27.800000000000004</v>
      </c>
      <c r="H238" s="21">
        <v>71.199999999999989</v>
      </c>
      <c r="I238" s="21">
        <v>11.300000000000002</v>
      </c>
      <c r="J238" s="21">
        <v>114.70000000000003</v>
      </c>
      <c r="K238" s="21">
        <v>2.0000000000000018</v>
      </c>
      <c r="L238" s="21">
        <v>165.40000000000003</v>
      </c>
      <c r="M238" s="21">
        <v>0</v>
      </c>
      <c r="N238" s="21">
        <v>223.39999999999998</v>
      </c>
      <c r="O238" s="21">
        <v>0</v>
      </c>
      <c r="P238" s="21">
        <v>283.39999999999998</v>
      </c>
      <c r="Q238" s="21">
        <v>0</v>
      </c>
      <c r="R238" s="21">
        <v>343.39999999999992</v>
      </c>
      <c r="S238" s="41">
        <f>'Monthly Data'!E106/'Monthly Data'!F106/'Monthly Data'!BH106</f>
        <v>28.041992478335676</v>
      </c>
      <c r="T238" s="41">
        <f>'Monthly Data'!J106/'Monthly Data'!H106/'Monthly Data'!BH106</f>
        <v>93.34407468800687</v>
      </c>
      <c r="U238" s="42">
        <f>'Monthly Data'!M106/'Monthly Data'!O106/'Monthly Data'!BH106</f>
        <v>2614.5214803847566</v>
      </c>
      <c r="V238" s="41"/>
      <c r="W238" s="9"/>
      <c r="X238" s="9"/>
    </row>
    <row r="239" spans="1:24" x14ac:dyDescent="0.2">
      <c r="A239" s="13">
        <v>43374</v>
      </c>
      <c r="B239">
        <v>2018</v>
      </c>
      <c r="C239">
        <v>10</v>
      </c>
      <c r="D239" s="20">
        <v>10.645161290322582</v>
      </c>
      <c r="E239" s="20">
        <v>295.49999999999989</v>
      </c>
      <c r="F239" s="20">
        <v>5.5</v>
      </c>
      <c r="G239" s="21">
        <v>237.49999999999997</v>
      </c>
      <c r="H239" s="21">
        <v>9.5</v>
      </c>
      <c r="I239" s="21">
        <v>182.2</v>
      </c>
      <c r="J239" s="21">
        <v>16.2</v>
      </c>
      <c r="K239" s="21">
        <v>132.70000000000002</v>
      </c>
      <c r="L239" s="21">
        <v>28.7</v>
      </c>
      <c r="M239" s="21">
        <v>88.200000000000031</v>
      </c>
      <c r="N239" s="21">
        <v>46.2</v>
      </c>
      <c r="O239" s="21">
        <v>50.199999999999996</v>
      </c>
      <c r="P239" s="21">
        <v>70.2</v>
      </c>
      <c r="Q239" s="21">
        <v>20.599999999999994</v>
      </c>
      <c r="R239" s="21">
        <v>102.60000000000001</v>
      </c>
      <c r="S239" s="41">
        <f>'Monthly Data'!E107/'Monthly Data'!F107/'Monthly Data'!BH107</f>
        <v>21.704619760522181</v>
      </c>
      <c r="T239" s="41">
        <f>'Monthly Data'!J107/'Monthly Data'!H107/'Monthly Data'!BH107</f>
        <v>84.805315398459143</v>
      </c>
      <c r="U239" s="42">
        <f>'Monthly Data'!M107/'Monthly Data'!O107/'Monthly Data'!BH107</f>
        <v>2408.8960127718901</v>
      </c>
      <c r="V239" s="41"/>
      <c r="W239" s="9"/>
      <c r="X239" s="9"/>
    </row>
    <row r="240" spans="1:24" x14ac:dyDescent="0.2">
      <c r="A240" s="13">
        <v>43405</v>
      </c>
      <c r="B240">
        <v>2018</v>
      </c>
      <c r="C240">
        <v>11</v>
      </c>
      <c r="D240" s="20">
        <v>2.9200000000000004</v>
      </c>
      <c r="E240" s="20">
        <v>512.4</v>
      </c>
      <c r="F240" s="20">
        <v>0</v>
      </c>
      <c r="G240" s="21">
        <v>452.40000000000003</v>
      </c>
      <c r="H240" s="21">
        <v>0</v>
      </c>
      <c r="I240" s="21">
        <v>392.40000000000003</v>
      </c>
      <c r="J240" s="21">
        <v>0</v>
      </c>
      <c r="K240" s="21">
        <v>332.40000000000003</v>
      </c>
      <c r="L240" s="21">
        <v>0</v>
      </c>
      <c r="M240" s="21">
        <v>272.40000000000003</v>
      </c>
      <c r="N240" s="21">
        <v>0</v>
      </c>
      <c r="O240" s="21">
        <v>214.10000000000002</v>
      </c>
      <c r="P240" s="21">
        <v>1.6999999999999993</v>
      </c>
      <c r="Q240" s="21">
        <v>157.90000000000003</v>
      </c>
      <c r="R240" s="21">
        <v>5.5</v>
      </c>
      <c r="S240" s="41">
        <f>'Monthly Data'!E108/'Monthly Data'!F108/'Monthly Data'!BH108</f>
        <v>22.477415969724042</v>
      </c>
      <c r="T240" s="41">
        <f>'Monthly Data'!J108/'Monthly Data'!H108/'Monthly Data'!BH108</f>
        <v>90.041074522921917</v>
      </c>
      <c r="U240" s="42">
        <f>'Monthly Data'!M108/'Monthly Data'!O108/'Monthly Data'!BH108</f>
        <v>2479.468506750432</v>
      </c>
      <c r="V240" s="41"/>
      <c r="W240" s="9"/>
      <c r="X240" s="9"/>
    </row>
    <row r="241" spans="1:24" x14ac:dyDescent="0.2">
      <c r="A241" s="13">
        <v>43435</v>
      </c>
      <c r="B241">
        <v>2018</v>
      </c>
      <c r="C241">
        <v>12</v>
      </c>
      <c r="D241" s="20">
        <v>1.3548387096774193</v>
      </c>
      <c r="E241" s="20">
        <v>578.00000000000011</v>
      </c>
      <c r="F241" s="20">
        <v>0</v>
      </c>
      <c r="G241" s="21">
        <v>516.00000000000011</v>
      </c>
      <c r="H241" s="21">
        <v>0</v>
      </c>
      <c r="I241" s="21">
        <v>454.00000000000006</v>
      </c>
      <c r="J241" s="21">
        <v>0</v>
      </c>
      <c r="K241" s="21">
        <v>392.00000000000006</v>
      </c>
      <c r="L241" s="21">
        <v>0</v>
      </c>
      <c r="M241" s="21">
        <v>330</v>
      </c>
      <c r="N241" s="21">
        <v>0</v>
      </c>
      <c r="O241" s="21">
        <v>267.99999999999994</v>
      </c>
      <c r="P241" s="21">
        <v>0</v>
      </c>
      <c r="Q241" s="21">
        <v>205.99999999999994</v>
      </c>
      <c r="R241" s="21">
        <v>0</v>
      </c>
      <c r="S241" s="41">
        <f>'Monthly Data'!E109/'Monthly Data'!F109/'Monthly Data'!BH109</f>
        <v>24.324301283174457</v>
      </c>
      <c r="T241" s="41">
        <f>'Monthly Data'!J109/'Monthly Data'!H109/'Monthly Data'!BH109</f>
        <v>92.158591585773138</v>
      </c>
      <c r="U241" s="42">
        <f>'Monthly Data'!M109/'Monthly Data'!O109/'Monthly Data'!BH109</f>
        <v>2372.0781829781608</v>
      </c>
      <c r="V241" s="41"/>
      <c r="W241" s="9"/>
      <c r="X241" s="9"/>
    </row>
    <row r="242" spans="1:24" x14ac:dyDescent="0.2">
      <c r="A242" s="13">
        <v>43466</v>
      </c>
      <c r="B242">
        <v>2019</v>
      </c>
      <c r="C242">
        <v>1</v>
      </c>
      <c r="D242" s="20">
        <v>-4.580645161290323</v>
      </c>
      <c r="E242">
        <v>762</v>
      </c>
      <c r="F242">
        <v>0</v>
      </c>
      <c r="G242">
        <v>700</v>
      </c>
      <c r="H242">
        <v>0</v>
      </c>
      <c r="I242">
        <v>638</v>
      </c>
      <c r="J242">
        <v>0</v>
      </c>
      <c r="K242">
        <v>576</v>
      </c>
      <c r="L242">
        <v>0</v>
      </c>
      <c r="M242">
        <v>514</v>
      </c>
      <c r="N242">
        <v>0</v>
      </c>
      <c r="O242">
        <v>452.00000000000006</v>
      </c>
      <c r="P242">
        <v>0</v>
      </c>
      <c r="Q242">
        <v>390.00000000000006</v>
      </c>
      <c r="R242">
        <v>0</v>
      </c>
      <c r="S242" s="41">
        <f>'Monthly Data'!E110/'Monthly Data'!F110/'Monthly Data'!BH110</f>
        <v>25.244460511404359</v>
      </c>
      <c r="T242" s="41">
        <f>'Monthly Data'!J110/'Monthly Data'!H110/'Monthly Data'!BH110</f>
        <v>98.729828098239039</v>
      </c>
      <c r="U242" s="42">
        <f>'Monthly Data'!M110/'Monthly Data'!O110/'Monthly Data'!BH110</f>
        <v>2609.8452198386121</v>
      </c>
      <c r="V242" s="41"/>
      <c r="W242" s="210"/>
      <c r="X242" s="210"/>
    </row>
    <row r="243" spans="1:24" x14ac:dyDescent="0.2">
      <c r="A243" s="13">
        <v>43497</v>
      </c>
      <c r="B243">
        <v>2019</v>
      </c>
      <c r="C243">
        <v>2</v>
      </c>
      <c r="D243" s="20">
        <v>-2.4178571428571423</v>
      </c>
      <c r="E243">
        <v>627.70000000000005</v>
      </c>
      <c r="F243">
        <v>0</v>
      </c>
      <c r="G243">
        <v>571.70000000000016</v>
      </c>
      <c r="H243">
        <v>0</v>
      </c>
      <c r="I243">
        <v>515.70000000000005</v>
      </c>
      <c r="J243">
        <v>0</v>
      </c>
      <c r="K243">
        <v>459.70000000000005</v>
      </c>
      <c r="L243">
        <v>0</v>
      </c>
      <c r="M243">
        <v>403.70000000000005</v>
      </c>
      <c r="N243">
        <v>0</v>
      </c>
      <c r="O243">
        <v>347.70000000000005</v>
      </c>
      <c r="P243">
        <v>0</v>
      </c>
      <c r="Q243">
        <v>293.70000000000005</v>
      </c>
      <c r="R243">
        <v>2</v>
      </c>
      <c r="S243" s="41">
        <f>'Monthly Data'!E111/'Monthly Data'!F111/'Monthly Data'!BH111</f>
        <v>24.963200133991098</v>
      </c>
      <c r="T243" s="41">
        <f>'Monthly Data'!J111/'Monthly Data'!H111/'Monthly Data'!BH111</f>
        <v>100.96891661313336</v>
      </c>
      <c r="U243" s="42">
        <f>'Monthly Data'!M111/'Monthly Data'!O111/'Monthly Data'!BH111</f>
        <v>2620.9430690699241</v>
      </c>
      <c r="V243" s="41"/>
      <c r="W243" s="210"/>
      <c r="X243" s="210"/>
    </row>
    <row r="244" spans="1:24" x14ac:dyDescent="0.2">
      <c r="A244" s="13">
        <v>43525</v>
      </c>
      <c r="B244">
        <v>2019</v>
      </c>
      <c r="C244">
        <v>3</v>
      </c>
      <c r="D244" s="20">
        <v>4.8387096774193415E-2</v>
      </c>
      <c r="E244">
        <v>618.49999999999989</v>
      </c>
      <c r="F244">
        <v>0</v>
      </c>
      <c r="G244">
        <v>556.49999999999989</v>
      </c>
      <c r="H244">
        <v>0</v>
      </c>
      <c r="I244">
        <v>494.49999999999989</v>
      </c>
      <c r="J244">
        <v>0</v>
      </c>
      <c r="K244">
        <v>432.49999999999989</v>
      </c>
      <c r="L244">
        <v>0</v>
      </c>
      <c r="M244">
        <v>370.49999999999989</v>
      </c>
      <c r="N244">
        <v>0</v>
      </c>
      <c r="O244">
        <v>308.49999999999994</v>
      </c>
      <c r="P244">
        <v>0</v>
      </c>
      <c r="Q244">
        <v>246.6</v>
      </c>
      <c r="R244">
        <v>9.9999999999999645E-2</v>
      </c>
      <c r="S244" s="41">
        <f>'Monthly Data'!E112/'Monthly Data'!F112/'Monthly Data'!BH112</f>
        <v>22.716975321732335</v>
      </c>
      <c r="T244" s="41">
        <f>'Monthly Data'!J112/'Monthly Data'!H112/'Monthly Data'!BH112</f>
        <v>95.711701267323818</v>
      </c>
      <c r="U244" s="42">
        <f>'Monthly Data'!M112/'Monthly Data'!O112/'Monthly Data'!BH112</f>
        <v>2526.8090922543165</v>
      </c>
      <c r="V244" s="41"/>
      <c r="W244" s="210"/>
      <c r="X244" s="210"/>
    </row>
    <row r="245" spans="1:24" x14ac:dyDescent="0.2">
      <c r="A245" s="13">
        <v>43556</v>
      </c>
      <c r="B245">
        <v>2019</v>
      </c>
      <c r="C245">
        <v>4</v>
      </c>
      <c r="D245" s="20">
        <v>6.2700000000000005</v>
      </c>
      <c r="E245">
        <v>411.9</v>
      </c>
      <c r="F245">
        <v>0</v>
      </c>
      <c r="G245">
        <v>351.9</v>
      </c>
      <c r="H245">
        <v>0</v>
      </c>
      <c r="I245">
        <v>291.89999999999998</v>
      </c>
      <c r="J245">
        <v>0</v>
      </c>
      <c r="K245">
        <v>231.89999999999995</v>
      </c>
      <c r="L245">
        <v>0</v>
      </c>
      <c r="M245">
        <v>173.29999999999998</v>
      </c>
      <c r="N245">
        <v>1.4000000000000004</v>
      </c>
      <c r="O245">
        <v>116.70000000000002</v>
      </c>
      <c r="P245">
        <v>4.8000000000000007</v>
      </c>
      <c r="Q245">
        <v>71.400000000000006</v>
      </c>
      <c r="R245">
        <v>19.5</v>
      </c>
      <c r="S245" s="41">
        <f>'Monthly Data'!E113/'Monthly Data'!F113/'Monthly Data'!BH113</f>
        <v>20.680029188136704</v>
      </c>
      <c r="T245" s="41">
        <f>'Monthly Data'!J113/'Monthly Data'!H113/'Monthly Data'!BH113</f>
        <v>88.121167310035858</v>
      </c>
      <c r="U245" s="42">
        <f>'Monthly Data'!M113/'Monthly Data'!O113/'Monthly Data'!BH113</f>
        <v>2394.0999166771862</v>
      </c>
      <c r="V245" s="41"/>
      <c r="W245" s="210"/>
      <c r="X245" s="210"/>
    </row>
    <row r="246" spans="1:24" x14ac:dyDescent="0.2">
      <c r="A246" s="13">
        <v>43586</v>
      </c>
      <c r="B246">
        <v>2019</v>
      </c>
      <c r="C246">
        <v>5</v>
      </c>
      <c r="D246" s="20">
        <v>11.058064516129033</v>
      </c>
      <c r="E246">
        <v>277.2</v>
      </c>
      <c r="F246">
        <v>0</v>
      </c>
      <c r="G246">
        <v>215.59999999999997</v>
      </c>
      <c r="H246">
        <v>0.39999999999999858</v>
      </c>
      <c r="I246">
        <v>157.79999999999998</v>
      </c>
      <c r="J246">
        <v>4.5999999999999979</v>
      </c>
      <c r="K246">
        <v>105.80000000000003</v>
      </c>
      <c r="L246">
        <v>14.6</v>
      </c>
      <c r="M246">
        <v>63.5</v>
      </c>
      <c r="N246">
        <v>34.299999999999997</v>
      </c>
      <c r="O246">
        <v>33.1</v>
      </c>
      <c r="P246">
        <v>65.899999999999991</v>
      </c>
      <c r="Q246">
        <v>13.399999999999999</v>
      </c>
      <c r="R246">
        <v>108.19999999999997</v>
      </c>
      <c r="S246" s="41">
        <f>'Monthly Data'!E114/'Monthly Data'!F114/'Monthly Data'!BH114</f>
        <v>20.30356715232907</v>
      </c>
      <c r="T246" s="41">
        <f>'Monthly Data'!J114/'Monthly Data'!H114/'Monthly Data'!BH114</f>
        <v>83.870556750325946</v>
      </c>
      <c r="U246" s="42">
        <f>'Monthly Data'!M114/'Monthly Data'!O114/'Monthly Data'!BH114</f>
        <v>2341.74178914409</v>
      </c>
      <c r="V246" s="41"/>
      <c r="W246" s="210"/>
      <c r="X246" s="210"/>
    </row>
    <row r="247" spans="1:24" x14ac:dyDescent="0.2">
      <c r="A247" s="13">
        <v>43617</v>
      </c>
      <c r="B247">
        <v>2019</v>
      </c>
      <c r="C247">
        <v>6</v>
      </c>
      <c r="D247" s="20">
        <v>17.306666666666668</v>
      </c>
      <c r="E247">
        <v>96.9</v>
      </c>
      <c r="F247">
        <v>16.100000000000001</v>
      </c>
      <c r="G247">
        <v>54.899999999999991</v>
      </c>
      <c r="H247">
        <v>34.1</v>
      </c>
      <c r="I247">
        <v>22</v>
      </c>
      <c r="J247">
        <v>61.2</v>
      </c>
      <c r="K247">
        <v>4.3999999999999986</v>
      </c>
      <c r="L247">
        <v>103.60000000000002</v>
      </c>
      <c r="M247">
        <v>0.19999999999999929</v>
      </c>
      <c r="N247">
        <v>159.4</v>
      </c>
      <c r="O247">
        <v>0</v>
      </c>
      <c r="P247">
        <v>219.2</v>
      </c>
      <c r="Q247">
        <v>0</v>
      </c>
      <c r="R247">
        <v>279.2</v>
      </c>
      <c r="S247" s="41">
        <f>'Monthly Data'!E115/'Monthly Data'!F115/'Monthly Data'!BH115</f>
        <v>24.840467327519598</v>
      </c>
      <c r="T247" s="41">
        <f>'Monthly Data'!J115/'Monthly Data'!H115/'Monthly Data'!BH115</f>
        <v>89.902812085253601</v>
      </c>
      <c r="U247" s="42">
        <f>'Monthly Data'!M115/'Monthly Data'!O115/'Monthly Data'!BH115</f>
        <v>2442.051377047083</v>
      </c>
      <c r="V247" s="41"/>
      <c r="W247" s="210"/>
      <c r="X247" s="210"/>
    </row>
    <row r="248" spans="1:24" x14ac:dyDescent="0.2">
      <c r="A248" s="13">
        <v>43647</v>
      </c>
      <c r="B248">
        <v>2019</v>
      </c>
      <c r="C248">
        <v>7</v>
      </c>
      <c r="D248" s="20">
        <v>22.92258064516129</v>
      </c>
      <c r="E248">
        <v>1.4000000000000021</v>
      </c>
      <c r="F248">
        <v>92</v>
      </c>
      <c r="G248">
        <v>0</v>
      </c>
      <c r="H248">
        <v>152.6</v>
      </c>
      <c r="I248">
        <v>0</v>
      </c>
      <c r="J248">
        <v>214.60000000000002</v>
      </c>
      <c r="K248">
        <v>0</v>
      </c>
      <c r="L248">
        <v>276.59999999999997</v>
      </c>
      <c r="M248">
        <v>0</v>
      </c>
      <c r="N248">
        <v>338.59999999999997</v>
      </c>
      <c r="O248">
        <v>0</v>
      </c>
      <c r="P248">
        <v>400.59999999999997</v>
      </c>
      <c r="Q248">
        <v>0</v>
      </c>
      <c r="R248">
        <v>462.59999999999997</v>
      </c>
      <c r="S248" s="41">
        <f>'Monthly Data'!E116/'Monthly Data'!F116/'Monthly Data'!BH116</f>
        <v>33.432163723567513</v>
      </c>
      <c r="T248" s="41">
        <f>'Monthly Data'!J116/'Monthly Data'!H116/'Monthly Data'!BH116</f>
        <v>101.67065112611881</v>
      </c>
      <c r="U248" s="42">
        <f>'Monthly Data'!M116/'Monthly Data'!O116/'Monthly Data'!BH116</f>
        <v>2734.9890798175898</v>
      </c>
      <c r="V248" s="41"/>
      <c r="W248" s="210"/>
      <c r="X248" s="210"/>
    </row>
    <row r="249" spans="1:24" x14ac:dyDescent="0.2">
      <c r="A249" s="13">
        <v>43678</v>
      </c>
      <c r="B249">
        <v>2019</v>
      </c>
      <c r="C249">
        <v>8</v>
      </c>
      <c r="D249" s="20">
        <v>21.267741935483876</v>
      </c>
      <c r="E249">
        <v>10.700000000000003</v>
      </c>
      <c r="F249">
        <v>50</v>
      </c>
      <c r="G249">
        <v>1.4000000000000021</v>
      </c>
      <c r="H249">
        <v>102.69999999999999</v>
      </c>
      <c r="I249">
        <v>0</v>
      </c>
      <c r="J249">
        <v>163.29999999999998</v>
      </c>
      <c r="K249">
        <v>0</v>
      </c>
      <c r="L249">
        <v>225.29999999999998</v>
      </c>
      <c r="M249">
        <v>0</v>
      </c>
      <c r="N249">
        <v>287.3</v>
      </c>
      <c r="O249">
        <v>0</v>
      </c>
      <c r="P249">
        <v>349.3</v>
      </c>
      <c r="Q249">
        <v>0</v>
      </c>
      <c r="R249">
        <v>411.29999999999995</v>
      </c>
      <c r="S249" s="41">
        <f>'Monthly Data'!E117/'Monthly Data'!F117/'Monthly Data'!BH117</f>
        <v>30.855599830122713</v>
      </c>
      <c r="T249" s="41">
        <f>'Monthly Data'!J117/'Monthly Data'!H117/'Monthly Data'!BH117</f>
        <v>97.414732667332615</v>
      </c>
      <c r="U249" s="42">
        <f>'Monthly Data'!M117/'Monthly Data'!O117/'Monthly Data'!BH117</f>
        <v>2620.6754362158981</v>
      </c>
      <c r="V249" s="41"/>
      <c r="W249" s="210"/>
      <c r="X249" s="210"/>
    </row>
    <row r="250" spans="1:24" x14ac:dyDescent="0.2">
      <c r="A250" s="13">
        <v>43709</v>
      </c>
      <c r="B250">
        <v>2019</v>
      </c>
      <c r="C250">
        <v>9</v>
      </c>
      <c r="D250" s="20">
        <v>18.453333333333333</v>
      </c>
      <c r="E250">
        <v>58</v>
      </c>
      <c r="F250">
        <v>11.599999999999994</v>
      </c>
      <c r="G250">
        <v>21.8</v>
      </c>
      <c r="H250">
        <v>35.4</v>
      </c>
      <c r="I250">
        <v>5.0999999999999996</v>
      </c>
      <c r="J250">
        <v>78.7</v>
      </c>
      <c r="K250">
        <v>0.30000000000000071</v>
      </c>
      <c r="L250">
        <v>133.90000000000003</v>
      </c>
      <c r="M250">
        <v>0</v>
      </c>
      <c r="N250">
        <v>193.6</v>
      </c>
      <c r="O250">
        <v>0</v>
      </c>
      <c r="P250">
        <v>253.59999999999997</v>
      </c>
      <c r="Q250">
        <v>0</v>
      </c>
      <c r="R250">
        <v>313.59999999999997</v>
      </c>
      <c r="S250" s="41">
        <f>'Monthly Data'!E118/'Monthly Data'!F118/'Monthly Data'!BH118</f>
        <v>24.321197354938686</v>
      </c>
      <c r="T250" s="41">
        <f>'Monthly Data'!J118/'Monthly Data'!H118/'Monthly Data'!BH118</f>
        <v>89.310013743805868</v>
      </c>
      <c r="U250" s="42">
        <f>'Monthly Data'!M118/'Monthly Data'!O118/'Monthly Data'!BH118</f>
        <v>2487.9698799798525</v>
      </c>
      <c r="V250" s="41"/>
      <c r="W250" s="210"/>
      <c r="X250" s="210"/>
    </row>
    <row r="251" spans="1:24" x14ac:dyDescent="0.2">
      <c r="A251" s="13">
        <v>43739</v>
      </c>
      <c r="B251">
        <v>2019</v>
      </c>
      <c r="C251">
        <v>10</v>
      </c>
      <c r="D251" s="20">
        <v>12.125806451612904</v>
      </c>
      <c r="E251">
        <v>247.00000000000003</v>
      </c>
      <c r="F251">
        <v>2.8999999999999986</v>
      </c>
      <c r="G251">
        <v>187.00000000000003</v>
      </c>
      <c r="H251">
        <v>4.8999999999999986</v>
      </c>
      <c r="I251">
        <v>128.5</v>
      </c>
      <c r="J251">
        <v>8.3999999999999986</v>
      </c>
      <c r="K251">
        <v>74.100000000000009</v>
      </c>
      <c r="L251">
        <v>15.999999999999998</v>
      </c>
      <c r="M251">
        <v>32</v>
      </c>
      <c r="N251">
        <v>35.9</v>
      </c>
      <c r="O251">
        <v>10.4</v>
      </c>
      <c r="P251">
        <v>76.299999999999983</v>
      </c>
      <c r="Q251">
        <v>0.29999999999999982</v>
      </c>
      <c r="R251">
        <v>128.19999999999999</v>
      </c>
      <c r="S251" s="41">
        <f>'Monthly Data'!E119/'Monthly Data'!F119/'Monthly Data'!BH119</f>
        <v>20.956494218053262</v>
      </c>
      <c r="T251" s="41">
        <f>'Monthly Data'!J119/'Monthly Data'!H119/'Monthly Data'!BH119</f>
        <v>82.436561484509156</v>
      </c>
      <c r="U251" s="42">
        <f>'Monthly Data'!M119/'Monthly Data'!O119/'Monthly Data'!BH119</f>
        <v>2338.7672339633664</v>
      </c>
      <c r="V251" s="41"/>
      <c r="W251" s="210"/>
      <c r="X251" s="210"/>
    </row>
    <row r="252" spans="1:24" x14ac:dyDescent="0.2">
      <c r="A252" s="13">
        <v>43770</v>
      </c>
      <c r="B252">
        <v>2019</v>
      </c>
      <c r="C252">
        <v>11</v>
      </c>
      <c r="D252" s="20">
        <v>2.5333333333333332</v>
      </c>
      <c r="E252">
        <v>524</v>
      </c>
      <c r="F252">
        <v>0</v>
      </c>
      <c r="G252">
        <v>464</v>
      </c>
      <c r="H252">
        <v>0</v>
      </c>
      <c r="I252">
        <v>403.99999999999994</v>
      </c>
      <c r="J252">
        <v>0</v>
      </c>
      <c r="K252">
        <v>343.99999999999994</v>
      </c>
      <c r="L252">
        <v>0</v>
      </c>
      <c r="M252">
        <v>284</v>
      </c>
      <c r="N252">
        <v>0</v>
      </c>
      <c r="O252">
        <v>224.00000000000006</v>
      </c>
      <c r="P252">
        <v>0</v>
      </c>
      <c r="Q252">
        <v>165.8</v>
      </c>
      <c r="R252">
        <v>1.8000000000000007</v>
      </c>
      <c r="S252" s="41">
        <f>'Monthly Data'!E120/'Monthly Data'!F120/'Monthly Data'!BH120</f>
        <v>22.212297941718994</v>
      </c>
      <c r="T252" s="41">
        <f>'Monthly Data'!J120/'Monthly Data'!H120/'Monthly Data'!BH120</f>
        <v>88.679826894420287</v>
      </c>
      <c r="U252" s="42">
        <f>'Monthly Data'!M120/'Monthly Data'!O120/'Monthly Data'!BH120</f>
        <v>2336.0027963335642</v>
      </c>
      <c r="V252" s="41"/>
      <c r="W252" s="210"/>
      <c r="X252" s="210"/>
    </row>
    <row r="253" spans="1:24" x14ac:dyDescent="0.2">
      <c r="A253" s="13">
        <v>43800</v>
      </c>
      <c r="B253">
        <v>2019</v>
      </c>
      <c r="C253">
        <v>12</v>
      </c>
      <c r="D253" s="20">
        <v>1.2129032258064516</v>
      </c>
      <c r="E253">
        <v>582.39999999999986</v>
      </c>
      <c r="F253">
        <v>0</v>
      </c>
      <c r="G253">
        <v>520.39999999999986</v>
      </c>
      <c r="H253">
        <v>0</v>
      </c>
      <c r="I253">
        <v>458.4</v>
      </c>
      <c r="J253">
        <v>0</v>
      </c>
      <c r="K253">
        <v>396.4</v>
      </c>
      <c r="L253">
        <v>0</v>
      </c>
      <c r="M253">
        <v>334.40000000000003</v>
      </c>
      <c r="N253">
        <v>0</v>
      </c>
      <c r="O253">
        <v>272.40000000000003</v>
      </c>
      <c r="P253">
        <v>0</v>
      </c>
      <c r="Q253">
        <v>210.40000000000006</v>
      </c>
      <c r="R253">
        <v>0</v>
      </c>
      <c r="S253" s="41">
        <f>'Monthly Data'!E121/'Monthly Data'!F121/'Monthly Data'!BH121</f>
        <v>24.159667047846071</v>
      </c>
      <c r="T253" s="41">
        <f>'Monthly Data'!J121/'Monthly Data'!H121/'Monthly Data'!BH121</f>
        <v>90.72173027341789</v>
      </c>
      <c r="U253" s="42">
        <f>'Monthly Data'!M121/'Monthly Data'!O121/'Monthly Data'!BH121</f>
        <v>2282.8209572567093</v>
      </c>
      <c r="V253" s="41"/>
      <c r="W253" s="210"/>
      <c r="X253" s="210"/>
    </row>
    <row r="254" spans="1:24" x14ac:dyDescent="0.2">
      <c r="A254" s="13">
        <v>43831</v>
      </c>
      <c r="B254" s="201">
        <f>B242+1</f>
        <v>2020</v>
      </c>
      <c r="C254" s="201">
        <f>C242</f>
        <v>1</v>
      </c>
      <c r="D254" s="20">
        <v>0.20000000000000021</v>
      </c>
      <c r="E254" s="201">
        <v>613.79999999999995</v>
      </c>
      <c r="F254" s="201">
        <v>0</v>
      </c>
      <c r="G254" s="201">
        <v>551.79999999999995</v>
      </c>
      <c r="H254" s="201">
        <v>0</v>
      </c>
      <c r="I254" s="201">
        <v>489.79999999999995</v>
      </c>
      <c r="J254" s="201">
        <v>0</v>
      </c>
      <c r="K254" s="201">
        <v>427.8</v>
      </c>
      <c r="L254" s="201">
        <v>0</v>
      </c>
      <c r="M254" s="201">
        <v>365.8</v>
      </c>
      <c r="N254" s="201">
        <v>0</v>
      </c>
      <c r="O254" s="201">
        <v>303.8</v>
      </c>
      <c r="P254" s="201">
        <v>0</v>
      </c>
      <c r="Q254" s="201">
        <v>241.9</v>
      </c>
      <c r="R254" s="201">
        <v>9.9999999999999645E-2</v>
      </c>
      <c r="V254" s="41"/>
      <c r="W254" s="210"/>
      <c r="X254" s="210"/>
    </row>
    <row r="255" spans="1:24" x14ac:dyDescent="0.2">
      <c r="A255" s="13">
        <v>43862</v>
      </c>
      <c r="B255" s="201">
        <f t="shared" ref="B255:B265" si="245">B243+1</f>
        <v>2020</v>
      </c>
      <c r="C255" s="201">
        <f t="shared" ref="C255:C265" si="246">C243</f>
        <v>2</v>
      </c>
      <c r="D255" s="20">
        <v>-1.3517241379310343</v>
      </c>
      <c r="E255" s="201">
        <v>619.19999999999993</v>
      </c>
      <c r="F255" s="201">
        <v>0</v>
      </c>
      <c r="G255" s="201">
        <v>561.20000000000005</v>
      </c>
      <c r="H255" s="201">
        <v>0</v>
      </c>
      <c r="I255" s="201">
        <v>503.20000000000005</v>
      </c>
      <c r="J255" s="201">
        <v>0</v>
      </c>
      <c r="K255" s="201">
        <v>445.2</v>
      </c>
      <c r="L255" s="201">
        <v>0</v>
      </c>
      <c r="M255" s="201">
        <v>387.2</v>
      </c>
      <c r="N255" s="201">
        <v>0</v>
      </c>
      <c r="O255" s="201">
        <v>329.2</v>
      </c>
      <c r="P255" s="201">
        <v>0</v>
      </c>
      <c r="Q255" s="201">
        <v>271.20000000000005</v>
      </c>
      <c r="R255" s="201">
        <v>0</v>
      </c>
      <c r="V255" s="41"/>
      <c r="W255" s="210"/>
      <c r="X255" s="210"/>
    </row>
    <row r="256" spans="1:24" x14ac:dyDescent="0.2">
      <c r="A256" s="13">
        <v>43891</v>
      </c>
      <c r="B256" s="201">
        <f t="shared" si="245"/>
        <v>2020</v>
      </c>
      <c r="C256" s="201">
        <f t="shared" si="246"/>
        <v>3</v>
      </c>
      <c r="D256" s="20">
        <v>3.8064516129032264</v>
      </c>
      <c r="E256" s="201">
        <v>502</v>
      </c>
      <c r="F256" s="201">
        <v>0</v>
      </c>
      <c r="G256" s="201">
        <v>440.00000000000006</v>
      </c>
      <c r="H256" s="201">
        <v>0</v>
      </c>
      <c r="I256" s="201">
        <v>378.00000000000006</v>
      </c>
      <c r="J256" s="201">
        <v>0</v>
      </c>
      <c r="K256" s="201">
        <v>316</v>
      </c>
      <c r="L256" s="201">
        <v>0</v>
      </c>
      <c r="M256" s="201">
        <v>254.00000000000006</v>
      </c>
      <c r="N256" s="201">
        <v>0</v>
      </c>
      <c r="O256" s="201">
        <v>195.30000000000007</v>
      </c>
      <c r="P256" s="201">
        <v>3.3000000000000007</v>
      </c>
      <c r="Q256" s="201">
        <v>138.1</v>
      </c>
      <c r="R256" s="201">
        <v>8.1000000000000014</v>
      </c>
      <c r="V256" s="41"/>
      <c r="W256" s="210"/>
      <c r="X256" s="210"/>
    </row>
    <row r="257" spans="1:24" x14ac:dyDescent="0.2">
      <c r="A257" s="13">
        <v>43922</v>
      </c>
      <c r="B257" s="201">
        <f t="shared" si="245"/>
        <v>2020</v>
      </c>
      <c r="C257" s="201">
        <f t="shared" si="246"/>
        <v>4</v>
      </c>
      <c r="D257" s="20">
        <v>5.9666666666666659</v>
      </c>
      <c r="E257" s="201">
        <v>421</v>
      </c>
      <c r="F257" s="201">
        <v>0</v>
      </c>
      <c r="G257" s="201">
        <v>360.99999999999994</v>
      </c>
      <c r="H257" s="201">
        <v>0</v>
      </c>
      <c r="I257" s="201">
        <v>300.99999999999994</v>
      </c>
      <c r="J257" s="201">
        <v>0</v>
      </c>
      <c r="K257" s="201">
        <v>241.00000000000003</v>
      </c>
      <c r="L257" s="201">
        <v>0</v>
      </c>
      <c r="M257" s="201">
        <v>181.00000000000003</v>
      </c>
      <c r="N257" s="201">
        <v>0</v>
      </c>
      <c r="O257" s="201">
        <v>121.19999999999999</v>
      </c>
      <c r="P257" s="201">
        <v>0.19999999999999929</v>
      </c>
      <c r="Q257" s="201">
        <v>67.40000000000002</v>
      </c>
      <c r="R257" s="201">
        <v>6.3999999999999986</v>
      </c>
      <c r="V257" s="41"/>
      <c r="W257" s="210"/>
      <c r="X257" s="210"/>
    </row>
    <row r="258" spans="1:24" x14ac:dyDescent="0.2">
      <c r="A258" s="13">
        <v>43952</v>
      </c>
      <c r="B258" s="201">
        <f t="shared" si="245"/>
        <v>2020</v>
      </c>
      <c r="C258" s="201">
        <f t="shared" si="246"/>
        <v>5</v>
      </c>
      <c r="D258" s="20">
        <v>11.177419354838708</v>
      </c>
      <c r="E258" s="201">
        <v>276.90000000000003</v>
      </c>
      <c r="F258" s="201">
        <v>3.3999999999999986</v>
      </c>
      <c r="G258" s="201">
        <v>221.5</v>
      </c>
      <c r="H258" s="201">
        <v>9.9999999999999964</v>
      </c>
      <c r="I258" s="201">
        <v>168.8</v>
      </c>
      <c r="J258" s="201">
        <v>19.299999999999997</v>
      </c>
      <c r="K258" s="201">
        <v>122.60000000000001</v>
      </c>
      <c r="L258" s="201">
        <v>35.1</v>
      </c>
      <c r="M258" s="201">
        <v>83.199999999999989</v>
      </c>
      <c r="N258" s="201">
        <v>57.7</v>
      </c>
      <c r="O258" s="201">
        <v>48.400000000000006</v>
      </c>
      <c r="P258" s="201">
        <v>84.9</v>
      </c>
      <c r="Q258" s="201">
        <v>23.700000000000003</v>
      </c>
      <c r="R258" s="201">
        <v>122.19999999999999</v>
      </c>
      <c r="V258" s="41"/>
      <c r="W258" s="210"/>
      <c r="X258" s="210"/>
    </row>
    <row r="259" spans="1:24" x14ac:dyDescent="0.2">
      <c r="A259" s="13">
        <v>43983</v>
      </c>
      <c r="B259" s="201">
        <f t="shared" si="245"/>
        <v>2020</v>
      </c>
      <c r="C259" s="201">
        <f t="shared" si="246"/>
        <v>6</v>
      </c>
      <c r="D259" s="20">
        <v>19.97666666666667</v>
      </c>
      <c r="E259" s="201">
        <v>48</v>
      </c>
      <c r="F259" s="201">
        <v>47.300000000000018</v>
      </c>
      <c r="G259" s="201">
        <v>26.8</v>
      </c>
      <c r="H259" s="201">
        <v>86.100000000000023</v>
      </c>
      <c r="I259" s="201">
        <v>11.700000000000001</v>
      </c>
      <c r="J259" s="201">
        <v>131</v>
      </c>
      <c r="K259" s="201">
        <v>3.0999999999999996</v>
      </c>
      <c r="L259" s="201">
        <v>182.39999999999995</v>
      </c>
      <c r="M259" s="201">
        <v>0</v>
      </c>
      <c r="N259" s="201">
        <v>239.29999999999998</v>
      </c>
      <c r="O259" s="201">
        <v>0</v>
      </c>
      <c r="P259" s="201">
        <v>299.29999999999995</v>
      </c>
      <c r="Q259" s="201">
        <v>0</v>
      </c>
      <c r="R259" s="201">
        <v>359.29999999999995</v>
      </c>
      <c r="V259" s="41"/>
      <c r="W259" s="210"/>
      <c r="X259" s="210"/>
    </row>
    <row r="260" spans="1:24" x14ac:dyDescent="0.2">
      <c r="A260" s="13">
        <v>44013</v>
      </c>
      <c r="B260" s="201">
        <f t="shared" si="245"/>
        <v>2020</v>
      </c>
      <c r="C260" s="201">
        <f t="shared" si="246"/>
        <v>7</v>
      </c>
      <c r="D260" s="20">
        <v>24.532258064516125</v>
      </c>
      <c r="E260" s="20">
        <v>0.39999999999999858</v>
      </c>
      <c r="F260" s="20">
        <v>140.9</v>
      </c>
      <c r="G260" s="20">
        <v>0</v>
      </c>
      <c r="H260" s="20">
        <v>202.5</v>
      </c>
      <c r="I260" s="20">
        <v>0</v>
      </c>
      <c r="J260" s="20">
        <v>264.5</v>
      </c>
      <c r="K260" s="20">
        <v>0</v>
      </c>
      <c r="L260" s="20">
        <v>326.5</v>
      </c>
      <c r="M260" s="20">
        <v>0</v>
      </c>
      <c r="N260" s="20">
        <v>388.5</v>
      </c>
      <c r="O260" s="20">
        <v>0</v>
      </c>
      <c r="P260" s="20">
        <v>450.49999999999994</v>
      </c>
      <c r="Q260" s="20">
        <v>0</v>
      </c>
      <c r="R260" s="20">
        <v>512.5</v>
      </c>
      <c r="V260" s="41"/>
      <c r="W260" s="210"/>
      <c r="X260" s="210"/>
    </row>
    <row r="261" spans="1:24" x14ac:dyDescent="0.2">
      <c r="A261" s="13">
        <v>44044</v>
      </c>
      <c r="B261" s="201">
        <f t="shared" si="245"/>
        <v>2020</v>
      </c>
      <c r="C261" s="201">
        <f t="shared" si="246"/>
        <v>8</v>
      </c>
      <c r="D261" s="20">
        <v>21.920967741935485</v>
      </c>
      <c r="E261" s="20">
        <v>9.0999999999999979</v>
      </c>
      <c r="F261" s="20">
        <v>68.650000000000006</v>
      </c>
      <c r="G261" s="20">
        <v>0</v>
      </c>
      <c r="H261" s="20">
        <v>121.55</v>
      </c>
      <c r="I261" s="20">
        <v>0</v>
      </c>
      <c r="J261" s="20">
        <v>183.54999999999998</v>
      </c>
      <c r="K261" s="20">
        <v>0</v>
      </c>
      <c r="L261" s="20">
        <v>245.54999999999998</v>
      </c>
      <c r="M261" s="20">
        <v>0</v>
      </c>
      <c r="N261" s="20">
        <v>307.55</v>
      </c>
      <c r="O261" s="20">
        <v>0</v>
      </c>
      <c r="P261" s="20">
        <v>369.55</v>
      </c>
      <c r="Q261" s="20">
        <v>0</v>
      </c>
      <c r="R261" s="20">
        <v>431.55</v>
      </c>
    </row>
    <row r="262" spans="1:24" x14ac:dyDescent="0.2">
      <c r="A262" s="13">
        <v>44075</v>
      </c>
      <c r="B262" s="201">
        <f t="shared" si="245"/>
        <v>2020</v>
      </c>
      <c r="C262" s="201">
        <f t="shared" si="246"/>
        <v>9</v>
      </c>
      <c r="D262" s="20">
        <v>17.376666666666665</v>
      </c>
      <c r="E262" s="20">
        <v>92.700000000000031</v>
      </c>
      <c r="F262" s="20">
        <v>13.999999999999996</v>
      </c>
      <c r="G262" s="20">
        <v>52.900000000000006</v>
      </c>
      <c r="H262" s="20">
        <v>34.199999999999989</v>
      </c>
      <c r="I262" s="20">
        <v>23.400000000000002</v>
      </c>
      <c r="J262" s="20">
        <v>64.699999999999989</v>
      </c>
      <c r="K262" s="20">
        <v>6.7999999999999989</v>
      </c>
      <c r="L262" s="20">
        <v>108.09999999999998</v>
      </c>
      <c r="M262" s="20">
        <v>1.5999999999999996</v>
      </c>
      <c r="N262" s="20">
        <v>162.9</v>
      </c>
      <c r="O262" s="20">
        <v>0</v>
      </c>
      <c r="P262" s="20">
        <v>221.3</v>
      </c>
      <c r="Q262" s="20">
        <v>0</v>
      </c>
      <c r="R262" s="20">
        <v>281.3</v>
      </c>
    </row>
    <row r="263" spans="1:24" x14ac:dyDescent="0.2">
      <c r="A263" s="13">
        <v>44105</v>
      </c>
      <c r="B263" s="201">
        <f t="shared" si="245"/>
        <v>2020</v>
      </c>
      <c r="C263" s="201">
        <f t="shared" si="246"/>
        <v>10</v>
      </c>
      <c r="D263" s="20">
        <v>10.483870967741934</v>
      </c>
      <c r="E263" s="20">
        <v>295.00000000000006</v>
      </c>
      <c r="F263" s="20">
        <v>0</v>
      </c>
      <c r="G263" s="20">
        <v>233</v>
      </c>
      <c r="H263" s="20">
        <v>0</v>
      </c>
      <c r="I263" s="20">
        <v>172.3</v>
      </c>
      <c r="J263" s="20">
        <v>1.3000000000000007</v>
      </c>
      <c r="K263" s="20">
        <v>116.69999999999999</v>
      </c>
      <c r="L263" s="20">
        <v>7.6999999999999993</v>
      </c>
      <c r="M263" s="20">
        <v>72.5</v>
      </c>
      <c r="N263" s="20">
        <v>25.5</v>
      </c>
      <c r="O263" s="20">
        <v>39.5</v>
      </c>
      <c r="P263" s="20">
        <v>54.499999999999986</v>
      </c>
      <c r="Q263" s="20">
        <v>16.299999999999997</v>
      </c>
      <c r="R263" s="20">
        <v>93.3</v>
      </c>
    </row>
    <row r="264" spans="1:24" x14ac:dyDescent="0.2">
      <c r="A264" s="13">
        <v>44136</v>
      </c>
      <c r="B264" s="201">
        <f t="shared" si="245"/>
        <v>2020</v>
      </c>
      <c r="C264" s="201">
        <f t="shared" si="246"/>
        <v>11</v>
      </c>
      <c r="D264" s="20">
        <v>8.1366666666666667</v>
      </c>
      <c r="E264" s="20">
        <v>355.90000000000003</v>
      </c>
      <c r="F264" s="20">
        <v>0</v>
      </c>
      <c r="G264" s="20">
        <v>295.90000000000003</v>
      </c>
      <c r="H264" s="20">
        <v>0</v>
      </c>
      <c r="I264" s="20">
        <v>236.6</v>
      </c>
      <c r="J264" s="20">
        <v>0.69999999999999929</v>
      </c>
      <c r="K264" s="20">
        <v>184.59999999999997</v>
      </c>
      <c r="L264" s="20">
        <v>8.6999999999999993</v>
      </c>
      <c r="M264" s="20">
        <v>137</v>
      </c>
      <c r="N264" s="20">
        <v>21.099999999999998</v>
      </c>
      <c r="O264" s="20">
        <v>95.699999999999989</v>
      </c>
      <c r="P264" s="20">
        <v>39.799999999999997</v>
      </c>
      <c r="Q264" s="20">
        <v>58.5</v>
      </c>
      <c r="R264" s="20">
        <v>62.600000000000009</v>
      </c>
    </row>
    <row r="265" spans="1:24" x14ac:dyDescent="0.2">
      <c r="A265" s="13">
        <v>44166</v>
      </c>
      <c r="B265" s="201">
        <f t="shared" si="245"/>
        <v>2020</v>
      </c>
      <c r="C265" s="201">
        <f t="shared" si="246"/>
        <v>12</v>
      </c>
      <c r="D265" s="20">
        <v>1.4806451612903222</v>
      </c>
      <c r="E265" s="20">
        <v>574.10000000000014</v>
      </c>
      <c r="F265" s="20">
        <v>0</v>
      </c>
      <c r="G265" s="20">
        <v>512.10000000000014</v>
      </c>
      <c r="H265" s="20">
        <v>0</v>
      </c>
      <c r="I265" s="20">
        <v>450.10000000000008</v>
      </c>
      <c r="J265" s="20">
        <v>0</v>
      </c>
      <c r="K265" s="20">
        <v>388.10000000000008</v>
      </c>
      <c r="L265" s="20">
        <v>0</v>
      </c>
      <c r="M265" s="20">
        <v>326.09999999999997</v>
      </c>
      <c r="N265" s="20">
        <v>0</v>
      </c>
      <c r="O265" s="20">
        <v>264.09999999999997</v>
      </c>
      <c r="P265" s="20">
        <v>0</v>
      </c>
      <c r="Q265" s="20">
        <v>202.29999999999998</v>
      </c>
      <c r="R265" s="20">
        <v>0.19999999999999929</v>
      </c>
    </row>
    <row r="266" spans="1:24" x14ac:dyDescent="0.2">
      <c r="A266" s="13"/>
    </row>
    <row r="267" spans="1:24" x14ac:dyDescent="0.2">
      <c r="A267" s="13"/>
    </row>
    <row r="268" spans="1:24" x14ac:dyDescent="0.2">
      <c r="A268" s="13"/>
    </row>
    <row r="269" spans="1:24" x14ac:dyDescent="0.2">
      <c r="A269" s="13"/>
    </row>
    <row r="270" spans="1:24" x14ac:dyDescent="0.2">
      <c r="A270" s="13"/>
    </row>
    <row r="271" spans="1:24" x14ac:dyDescent="0.2">
      <c r="A271" s="13"/>
    </row>
    <row r="272" spans="1:24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  <row r="1226" spans="1:1" x14ac:dyDescent="0.2">
      <c r="A1226" s="13"/>
    </row>
    <row r="1227" spans="1:1" x14ac:dyDescent="0.2">
      <c r="A1227" s="13"/>
    </row>
    <row r="1228" spans="1:1" x14ac:dyDescent="0.2">
      <c r="A1228" s="13"/>
    </row>
    <row r="1229" spans="1:1" x14ac:dyDescent="0.2">
      <c r="A1229" s="13"/>
    </row>
    <row r="1230" spans="1:1" x14ac:dyDescent="0.2">
      <c r="A1230" s="13"/>
    </row>
    <row r="1231" spans="1:1" x14ac:dyDescent="0.2">
      <c r="A1231" s="13"/>
    </row>
    <row r="1232" spans="1:1" x14ac:dyDescent="0.2">
      <c r="A1232" s="13"/>
    </row>
    <row r="1233" spans="1:1" x14ac:dyDescent="0.2">
      <c r="A1233" s="13"/>
    </row>
    <row r="1234" spans="1:1" x14ac:dyDescent="0.2">
      <c r="A1234" s="13"/>
    </row>
    <row r="1235" spans="1:1" x14ac:dyDescent="0.2">
      <c r="A1235" s="13"/>
    </row>
    <row r="1236" spans="1:1" x14ac:dyDescent="0.2">
      <c r="A1236" s="13"/>
    </row>
    <row r="1237" spans="1:1" x14ac:dyDescent="0.2">
      <c r="A1237" s="13"/>
    </row>
    <row r="1238" spans="1:1" x14ac:dyDescent="0.2">
      <c r="A1238" s="13"/>
    </row>
    <row r="1239" spans="1:1" x14ac:dyDescent="0.2">
      <c r="A1239" s="13"/>
    </row>
    <row r="1240" spans="1:1" x14ac:dyDescent="0.2">
      <c r="A1240" s="13"/>
    </row>
    <row r="1241" spans="1:1" x14ac:dyDescent="0.2">
      <c r="A1241" s="13"/>
    </row>
    <row r="1242" spans="1:1" x14ac:dyDescent="0.2">
      <c r="A1242" s="13"/>
    </row>
    <row r="1243" spans="1:1" x14ac:dyDescent="0.2">
      <c r="A1243" s="13"/>
    </row>
    <row r="1244" spans="1:1" x14ac:dyDescent="0.2">
      <c r="A1244" s="13"/>
    </row>
    <row r="1245" spans="1:1" x14ac:dyDescent="0.2">
      <c r="A1245" s="13"/>
    </row>
    <row r="1246" spans="1:1" x14ac:dyDescent="0.2">
      <c r="A1246" s="13"/>
    </row>
    <row r="1247" spans="1:1" x14ac:dyDescent="0.2">
      <c r="A1247" s="13"/>
    </row>
    <row r="1248" spans="1:1" x14ac:dyDescent="0.2">
      <c r="A1248" s="13"/>
    </row>
    <row r="1249" spans="1:1" x14ac:dyDescent="0.2">
      <c r="A1249" s="13"/>
    </row>
    <row r="1250" spans="1:1" x14ac:dyDescent="0.2">
      <c r="A1250" s="13"/>
    </row>
    <row r="1251" spans="1:1" x14ac:dyDescent="0.2">
      <c r="A1251" s="13"/>
    </row>
    <row r="1252" spans="1:1" x14ac:dyDescent="0.2">
      <c r="A1252" s="13"/>
    </row>
    <row r="1253" spans="1:1" x14ac:dyDescent="0.2">
      <c r="A1253" s="13"/>
    </row>
    <row r="1254" spans="1:1" x14ac:dyDescent="0.2">
      <c r="A1254" s="13"/>
    </row>
    <row r="1255" spans="1:1" x14ac:dyDescent="0.2">
      <c r="A1255" s="13"/>
    </row>
    <row r="1256" spans="1:1" x14ac:dyDescent="0.2">
      <c r="A1256" s="13"/>
    </row>
    <row r="1257" spans="1:1" x14ac:dyDescent="0.2">
      <c r="A1257" s="13"/>
    </row>
    <row r="1258" spans="1:1" x14ac:dyDescent="0.2">
      <c r="A1258" s="13"/>
    </row>
    <row r="1259" spans="1:1" x14ac:dyDescent="0.2">
      <c r="A1259" s="13"/>
    </row>
    <row r="1260" spans="1:1" x14ac:dyDescent="0.2">
      <c r="A1260" s="13"/>
    </row>
    <row r="1261" spans="1:1" x14ac:dyDescent="0.2">
      <c r="A1261" s="13"/>
    </row>
    <row r="1262" spans="1:1" x14ac:dyDescent="0.2">
      <c r="A1262" s="13"/>
    </row>
    <row r="1263" spans="1:1" x14ac:dyDescent="0.2">
      <c r="A1263" s="13"/>
    </row>
    <row r="1264" spans="1:1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  <row r="1937" spans="1:1" x14ac:dyDescent="0.2">
      <c r="A1937" s="13"/>
    </row>
    <row r="1938" spans="1:1" x14ac:dyDescent="0.2">
      <c r="A1938" s="13"/>
    </row>
    <row r="1939" spans="1:1" x14ac:dyDescent="0.2">
      <c r="A1939" s="13"/>
    </row>
    <row r="1940" spans="1:1" x14ac:dyDescent="0.2">
      <c r="A1940" s="13"/>
    </row>
    <row r="1941" spans="1:1" x14ac:dyDescent="0.2">
      <c r="A1941" s="13"/>
    </row>
    <row r="1942" spans="1:1" x14ac:dyDescent="0.2">
      <c r="A1942" s="13"/>
    </row>
    <row r="1943" spans="1:1" x14ac:dyDescent="0.2">
      <c r="A1943" s="13"/>
    </row>
    <row r="1944" spans="1:1" x14ac:dyDescent="0.2">
      <c r="A1944" s="13"/>
    </row>
    <row r="1945" spans="1:1" x14ac:dyDescent="0.2">
      <c r="A1945" s="13"/>
    </row>
    <row r="1946" spans="1:1" x14ac:dyDescent="0.2">
      <c r="A1946" s="13"/>
    </row>
    <row r="1947" spans="1:1" x14ac:dyDescent="0.2">
      <c r="A1947" s="13"/>
    </row>
    <row r="1948" spans="1:1" x14ac:dyDescent="0.2">
      <c r="A1948" s="13"/>
    </row>
    <row r="1949" spans="1:1" x14ac:dyDescent="0.2">
      <c r="A1949" s="13"/>
    </row>
    <row r="1950" spans="1:1" x14ac:dyDescent="0.2">
      <c r="A1950" s="13"/>
    </row>
    <row r="1951" spans="1:1" x14ac:dyDescent="0.2">
      <c r="A1951" s="13"/>
    </row>
    <row r="1952" spans="1:1" x14ac:dyDescent="0.2">
      <c r="A1952" s="13"/>
    </row>
    <row r="1953" spans="1:1" x14ac:dyDescent="0.2">
      <c r="A1953" s="13"/>
    </row>
    <row r="1954" spans="1:1" x14ac:dyDescent="0.2">
      <c r="A1954" s="13"/>
    </row>
    <row r="1955" spans="1:1" x14ac:dyDescent="0.2">
      <c r="A1955" s="13"/>
    </row>
    <row r="1956" spans="1:1" x14ac:dyDescent="0.2">
      <c r="A1956" s="13"/>
    </row>
    <row r="1957" spans="1:1" x14ac:dyDescent="0.2">
      <c r="A1957" s="13"/>
    </row>
    <row r="1958" spans="1:1" x14ac:dyDescent="0.2">
      <c r="A1958" s="13"/>
    </row>
    <row r="1959" spans="1:1" x14ac:dyDescent="0.2">
      <c r="A1959" s="13"/>
    </row>
    <row r="1960" spans="1:1" x14ac:dyDescent="0.2">
      <c r="A1960" s="13"/>
    </row>
    <row r="1961" spans="1:1" x14ac:dyDescent="0.2">
      <c r="A1961" s="13"/>
    </row>
    <row r="1962" spans="1:1" x14ac:dyDescent="0.2">
      <c r="A1962" s="13"/>
    </row>
    <row r="1963" spans="1:1" x14ac:dyDescent="0.2">
      <c r="A1963" s="13"/>
    </row>
    <row r="1964" spans="1:1" x14ac:dyDescent="0.2">
      <c r="A1964" s="13"/>
    </row>
    <row r="1965" spans="1:1" x14ac:dyDescent="0.2">
      <c r="A1965" s="13"/>
    </row>
    <row r="1966" spans="1:1" x14ac:dyDescent="0.2">
      <c r="A1966" s="13"/>
    </row>
    <row r="1967" spans="1:1" x14ac:dyDescent="0.2">
      <c r="A1967" s="13"/>
    </row>
    <row r="1968" spans="1:1" x14ac:dyDescent="0.2">
      <c r="A1968" s="13"/>
    </row>
    <row r="1969" spans="1:1" x14ac:dyDescent="0.2">
      <c r="A1969" s="13"/>
    </row>
    <row r="1970" spans="1:1" x14ac:dyDescent="0.2">
      <c r="A1970" s="13"/>
    </row>
    <row r="1971" spans="1:1" x14ac:dyDescent="0.2">
      <c r="A1971" s="13"/>
    </row>
    <row r="1972" spans="1:1" x14ac:dyDescent="0.2">
      <c r="A1972" s="13"/>
    </row>
    <row r="1973" spans="1:1" x14ac:dyDescent="0.2">
      <c r="A1973" s="13"/>
    </row>
    <row r="1974" spans="1:1" x14ac:dyDescent="0.2">
      <c r="A1974" s="13"/>
    </row>
    <row r="1975" spans="1:1" x14ac:dyDescent="0.2">
      <c r="A1975" s="13"/>
    </row>
    <row r="1976" spans="1:1" x14ac:dyDescent="0.2">
      <c r="A1976" s="13"/>
    </row>
    <row r="1977" spans="1:1" x14ac:dyDescent="0.2">
      <c r="A1977" s="13"/>
    </row>
    <row r="1978" spans="1:1" x14ac:dyDescent="0.2">
      <c r="A1978" s="13"/>
    </row>
    <row r="1979" spans="1:1" x14ac:dyDescent="0.2">
      <c r="A1979" s="13"/>
    </row>
    <row r="1980" spans="1:1" x14ac:dyDescent="0.2">
      <c r="A1980" s="13"/>
    </row>
    <row r="1981" spans="1:1" x14ac:dyDescent="0.2">
      <c r="A1981" s="13"/>
    </row>
    <row r="1982" spans="1:1" x14ac:dyDescent="0.2">
      <c r="A1982" s="13"/>
    </row>
    <row r="1983" spans="1:1" x14ac:dyDescent="0.2">
      <c r="A1983" s="13"/>
    </row>
    <row r="1984" spans="1:1" x14ac:dyDescent="0.2">
      <c r="A1984" s="13"/>
    </row>
    <row r="1985" spans="1:1" x14ac:dyDescent="0.2">
      <c r="A1985" s="13"/>
    </row>
    <row r="1986" spans="1:1" x14ac:dyDescent="0.2">
      <c r="A1986" s="13"/>
    </row>
    <row r="1987" spans="1:1" x14ac:dyDescent="0.2">
      <c r="A1987" s="13"/>
    </row>
    <row r="1988" spans="1:1" x14ac:dyDescent="0.2">
      <c r="A1988" s="13"/>
    </row>
    <row r="1989" spans="1:1" x14ac:dyDescent="0.2">
      <c r="A1989" s="13"/>
    </row>
    <row r="1990" spans="1:1" x14ac:dyDescent="0.2">
      <c r="A1990" s="13"/>
    </row>
    <row r="1991" spans="1:1" x14ac:dyDescent="0.2">
      <c r="A1991" s="13"/>
    </row>
    <row r="1992" spans="1:1" x14ac:dyDescent="0.2">
      <c r="A1992" s="13"/>
    </row>
    <row r="1993" spans="1:1" x14ac:dyDescent="0.2">
      <c r="A1993" s="13"/>
    </row>
    <row r="1994" spans="1:1" x14ac:dyDescent="0.2">
      <c r="A1994" s="13"/>
    </row>
    <row r="1995" spans="1:1" x14ac:dyDescent="0.2">
      <c r="A1995" s="13"/>
    </row>
    <row r="1996" spans="1:1" x14ac:dyDescent="0.2">
      <c r="A1996" s="13"/>
    </row>
    <row r="1997" spans="1:1" x14ac:dyDescent="0.2">
      <c r="A1997" s="13"/>
    </row>
    <row r="1998" spans="1:1" x14ac:dyDescent="0.2">
      <c r="A1998" s="13"/>
    </row>
    <row r="1999" spans="1:1" x14ac:dyDescent="0.2">
      <c r="A1999" s="13"/>
    </row>
    <row r="2000" spans="1:1" x14ac:dyDescent="0.2">
      <c r="A2000" s="13"/>
    </row>
    <row r="2001" spans="1:1" x14ac:dyDescent="0.2">
      <c r="A2001" s="13"/>
    </row>
    <row r="2002" spans="1:1" x14ac:dyDescent="0.2">
      <c r="A2002" s="13"/>
    </row>
    <row r="2003" spans="1:1" x14ac:dyDescent="0.2">
      <c r="A2003" s="13"/>
    </row>
    <row r="2004" spans="1:1" x14ac:dyDescent="0.2">
      <c r="A2004" s="13"/>
    </row>
    <row r="2005" spans="1:1" x14ac:dyDescent="0.2">
      <c r="A2005" s="13"/>
    </row>
    <row r="2006" spans="1:1" x14ac:dyDescent="0.2">
      <c r="A2006" s="13"/>
    </row>
    <row r="2007" spans="1:1" x14ac:dyDescent="0.2">
      <c r="A2007" s="13"/>
    </row>
    <row r="2008" spans="1:1" x14ac:dyDescent="0.2">
      <c r="A2008" s="13"/>
    </row>
    <row r="2009" spans="1:1" x14ac:dyDescent="0.2">
      <c r="A2009" s="13"/>
    </row>
    <row r="2010" spans="1:1" x14ac:dyDescent="0.2">
      <c r="A2010" s="13"/>
    </row>
    <row r="2011" spans="1:1" x14ac:dyDescent="0.2">
      <c r="A2011" s="13"/>
    </row>
    <row r="2012" spans="1:1" x14ac:dyDescent="0.2">
      <c r="A2012" s="13"/>
    </row>
    <row r="2013" spans="1:1" x14ac:dyDescent="0.2">
      <c r="A2013" s="13"/>
    </row>
    <row r="2014" spans="1:1" x14ac:dyDescent="0.2">
      <c r="A2014" s="13"/>
    </row>
    <row r="2015" spans="1:1" x14ac:dyDescent="0.2">
      <c r="A2015" s="13"/>
    </row>
    <row r="2016" spans="1:1" x14ac:dyDescent="0.2">
      <c r="A2016" s="13"/>
    </row>
    <row r="2017" spans="1:1" x14ac:dyDescent="0.2">
      <c r="A2017" s="13"/>
    </row>
    <row r="2018" spans="1:1" x14ac:dyDescent="0.2">
      <c r="A2018" s="13"/>
    </row>
    <row r="2019" spans="1:1" x14ac:dyDescent="0.2">
      <c r="A2019" s="13"/>
    </row>
    <row r="2020" spans="1:1" x14ac:dyDescent="0.2">
      <c r="A2020" s="13"/>
    </row>
    <row r="2021" spans="1:1" x14ac:dyDescent="0.2">
      <c r="A2021" s="13"/>
    </row>
    <row r="2022" spans="1:1" x14ac:dyDescent="0.2">
      <c r="A2022" s="13"/>
    </row>
    <row r="2023" spans="1:1" x14ac:dyDescent="0.2">
      <c r="A2023" s="13"/>
    </row>
    <row r="2024" spans="1:1" x14ac:dyDescent="0.2">
      <c r="A2024" s="13"/>
    </row>
    <row r="2025" spans="1:1" x14ac:dyDescent="0.2">
      <c r="A2025" s="13"/>
    </row>
    <row r="2026" spans="1:1" x14ac:dyDescent="0.2">
      <c r="A2026" s="13"/>
    </row>
    <row r="2027" spans="1:1" x14ac:dyDescent="0.2">
      <c r="A2027" s="13"/>
    </row>
    <row r="2028" spans="1:1" x14ac:dyDescent="0.2">
      <c r="A2028" s="13"/>
    </row>
    <row r="2029" spans="1:1" x14ac:dyDescent="0.2">
      <c r="A2029" s="13"/>
    </row>
    <row r="2030" spans="1:1" x14ac:dyDescent="0.2">
      <c r="A2030" s="13"/>
    </row>
    <row r="2031" spans="1:1" x14ac:dyDescent="0.2">
      <c r="A2031" s="13"/>
    </row>
    <row r="2032" spans="1:1" x14ac:dyDescent="0.2">
      <c r="A2032" s="13"/>
    </row>
    <row r="2033" spans="1:1" x14ac:dyDescent="0.2">
      <c r="A2033" s="13"/>
    </row>
    <row r="2034" spans="1:1" x14ac:dyDescent="0.2">
      <c r="A2034" s="13"/>
    </row>
    <row r="2035" spans="1:1" x14ac:dyDescent="0.2">
      <c r="A2035" s="13"/>
    </row>
    <row r="2036" spans="1:1" x14ac:dyDescent="0.2">
      <c r="A2036" s="13"/>
    </row>
    <row r="2037" spans="1:1" x14ac:dyDescent="0.2">
      <c r="A2037" s="13"/>
    </row>
    <row r="2038" spans="1:1" x14ac:dyDescent="0.2">
      <c r="A2038" s="13"/>
    </row>
    <row r="2039" spans="1:1" x14ac:dyDescent="0.2">
      <c r="A2039" s="13"/>
    </row>
    <row r="2040" spans="1:1" x14ac:dyDescent="0.2">
      <c r="A2040" s="13"/>
    </row>
    <row r="2041" spans="1:1" x14ac:dyDescent="0.2">
      <c r="A2041" s="13"/>
    </row>
    <row r="2042" spans="1:1" x14ac:dyDescent="0.2">
      <c r="A2042" s="13"/>
    </row>
    <row r="2043" spans="1:1" x14ac:dyDescent="0.2">
      <c r="A2043" s="13"/>
    </row>
    <row r="2044" spans="1:1" x14ac:dyDescent="0.2">
      <c r="A2044" s="13"/>
    </row>
    <row r="2045" spans="1:1" x14ac:dyDescent="0.2">
      <c r="A2045" s="13"/>
    </row>
    <row r="2046" spans="1:1" x14ac:dyDescent="0.2">
      <c r="A2046" s="13"/>
    </row>
    <row r="2047" spans="1:1" x14ac:dyDescent="0.2">
      <c r="A2047" s="13"/>
    </row>
    <row r="2048" spans="1:1" x14ac:dyDescent="0.2">
      <c r="A2048" s="13"/>
    </row>
    <row r="2049" spans="1:1" x14ac:dyDescent="0.2">
      <c r="A2049" s="13"/>
    </row>
    <row r="2050" spans="1:1" x14ac:dyDescent="0.2">
      <c r="A2050" s="13"/>
    </row>
    <row r="2051" spans="1:1" x14ac:dyDescent="0.2">
      <c r="A2051" s="13"/>
    </row>
    <row r="2052" spans="1:1" x14ac:dyDescent="0.2">
      <c r="A2052" s="13"/>
    </row>
    <row r="2053" spans="1:1" x14ac:dyDescent="0.2">
      <c r="A2053" s="13"/>
    </row>
    <row r="2054" spans="1:1" x14ac:dyDescent="0.2">
      <c r="A2054" s="13"/>
    </row>
    <row r="2055" spans="1:1" x14ac:dyDescent="0.2">
      <c r="A2055" s="13"/>
    </row>
    <row r="2056" spans="1:1" x14ac:dyDescent="0.2">
      <c r="A2056" s="13"/>
    </row>
    <row r="2057" spans="1:1" x14ac:dyDescent="0.2">
      <c r="A2057" s="13"/>
    </row>
    <row r="2058" spans="1:1" x14ac:dyDescent="0.2">
      <c r="A2058" s="13"/>
    </row>
    <row r="2059" spans="1:1" x14ac:dyDescent="0.2">
      <c r="A2059" s="13"/>
    </row>
    <row r="2060" spans="1:1" x14ac:dyDescent="0.2">
      <c r="A2060" s="13"/>
    </row>
    <row r="2061" spans="1:1" x14ac:dyDescent="0.2">
      <c r="A2061" s="13"/>
    </row>
    <row r="2062" spans="1:1" x14ac:dyDescent="0.2">
      <c r="A2062" s="13"/>
    </row>
    <row r="2063" spans="1:1" x14ac:dyDescent="0.2">
      <c r="A2063" s="13"/>
    </row>
    <row r="2064" spans="1:1" x14ac:dyDescent="0.2">
      <c r="A2064" s="13"/>
    </row>
    <row r="2065" spans="1:1" x14ac:dyDescent="0.2">
      <c r="A2065" s="13"/>
    </row>
    <row r="2066" spans="1:1" x14ac:dyDescent="0.2">
      <c r="A2066" s="13"/>
    </row>
    <row r="2067" spans="1:1" x14ac:dyDescent="0.2">
      <c r="A2067" s="13"/>
    </row>
    <row r="2068" spans="1:1" x14ac:dyDescent="0.2">
      <c r="A2068" s="13"/>
    </row>
    <row r="2069" spans="1:1" x14ac:dyDescent="0.2">
      <c r="A2069" s="13"/>
    </row>
    <row r="2070" spans="1:1" x14ac:dyDescent="0.2">
      <c r="A2070" s="13"/>
    </row>
    <row r="2071" spans="1:1" x14ac:dyDescent="0.2">
      <c r="A2071" s="13"/>
    </row>
    <row r="2072" spans="1:1" x14ac:dyDescent="0.2">
      <c r="A2072" s="13"/>
    </row>
    <row r="2073" spans="1:1" x14ac:dyDescent="0.2">
      <c r="A2073" s="13"/>
    </row>
    <row r="2074" spans="1:1" x14ac:dyDescent="0.2">
      <c r="A2074" s="13"/>
    </row>
    <row r="2075" spans="1:1" x14ac:dyDescent="0.2">
      <c r="A2075" s="13"/>
    </row>
    <row r="2076" spans="1:1" x14ac:dyDescent="0.2">
      <c r="A2076" s="13"/>
    </row>
    <row r="2077" spans="1:1" x14ac:dyDescent="0.2">
      <c r="A2077" s="13"/>
    </row>
    <row r="2078" spans="1:1" x14ac:dyDescent="0.2">
      <c r="A2078" s="13"/>
    </row>
    <row r="2079" spans="1:1" x14ac:dyDescent="0.2">
      <c r="A2079" s="13"/>
    </row>
    <row r="2080" spans="1:1" x14ac:dyDescent="0.2">
      <c r="A2080" s="13"/>
    </row>
    <row r="2081" spans="1:1" x14ac:dyDescent="0.2">
      <c r="A2081" s="13"/>
    </row>
    <row r="2082" spans="1:1" x14ac:dyDescent="0.2">
      <c r="A2082" s="13"/>
    </row>
    <row r="2083" spans="1:1" x14ac:dyDescent="0.2">
      <c r="A2083" s="13"/>
    </row>
    <row r="2084" spans="1:1" x14ac:dyDescent="0.2">
      <c r="A2084" s="13"/>
    </row>
    <row r="2085" spans="1:1" x14ac:dyDescent="0.2">
      <c r="A2085" s="13"/>
    </row>
    <row r="2086" spans="1:1" x14ac:dyDescent="0.2">
      <c r="A2086" s="13"/>
    </row>
    <row r="2087" spans="1:1" x14ac:dyDescent="0.2">
      <c r="A2087" s="13"/>
    </row>
    <row r="2088" spans="1:1" x14ac:dyDescent="0.2">
      <c r="A2088" s="13"/>
    </row>
    <row r="2089" spans="1:1" x14ac:dyDescent="0.2">
      <c r="A2089" s="13"/>
    </row>
    <row r="2090" spans="1:1" x14ac:dyDescent="0.2">
      <c r="A2090" s="13"/>
    </row>
    <row r="2091" spans="1:1" x14ac:dyDescent="0.2">
      <c r="A2091" s="13"/>
    </row>
    <row r="2092" spans="1:1" x14ac:dyDescent="0.2">
      <c r="A2092" s="13"/>
    </row>
    <row r="2093" spans="1:1" x14ac:dyDescent="0.2">
      <c r="A2093" s="13"/>
    </row>
    <row r="2094" spans="1:1" x14ac:dyDescent="0.2">
      <c r="A2094" s="13"/>
    </row>
    <row r="2095" spans="1:1" x14ac:dyDescent="0.2">
      <c r="A2095" s="13"/>
    </row>
    <row r="2096" spans="1:1" x14ac:dyDescent="0.2">
      <c r="A2096" s="13"/>
    </row>
    <row r="2097" spans="1:1" x14ac:dyDescent="0.2">
      <c r="A2097" s="13"/>
    </row>
    <row r="2098" spans="1:1" x14ac:dyDescent="0.2">
      <c r="A2098" s="13"/>
    </row>
    <row r="2099" spans="1:1" x14ac:dyDescent="0.2">
      <c r="A2099" s="13"/>
    </row>
    <row r="2100" spans="1:1" x14ac:dyDescent="0.2">
      <c r="A2100" s="13"/>
    </row>
    <row r="2101" spans="1:1" x14ac:dyDescent="0.2">
      <c r="A2101" s="13"/>
    </row>
    <row r="2102" spans="1:1" x14ac:dyDescent="0.2">
      <c r="A2102" s="13"/>
    </row>
    <row r="2103" spans="1:1" x14ac:dyDescent="0.2">
      <c r="A2103" s="13"/>
    </row>
    <row r="2104" spans="1:1" x14ac:dyDescent="0.2">
      <c r="A2104" s="13"/>
    </row>
    <row r="2105" spans="1:1" x14ac:dyDescent="0.2">
      <c r="A2105" s="13"/>
    </row>
    <row r="2106" spans="1:1" x14ac:dyDescent="0.2">
      <c r="A2106" s="13"/>
    </row>
    <row r="2107" spans="1:1" x14ac:dyDescent="0.2">
      <c r="A2107" s="13"/>
    </row>
    <row r="2108" spans="1:1" x14ac:dyDescent="0.2">
      <c r="A2108" s="13"/>
    </row>
    <row r="2109" spans="1:1" x14ac:dyDescent="0.2">
      <c r="A2109" s="13"/>
    </row>
    <row r="2110" spans="1:1" x14ac:dyDescent="0.2">
      <c r="A2110" s="13"/>
    </row>
    <row r="2111" spans="1:1" x14ac:dyDescent="0.2">
      <c r="A2111" s="13"/>
    </row>
    <row r="2112" spans="1:1" x14ac:dyDescent="0.2">
      <c r="A2112" s="13"/>
    </row>
    <row r="2113" spans="1:1" x14ac:dyDescent="0.2">
      <c r="A2113" s="13"/>
    </row>
    <row r="2114" spans="1:1" x14ac:dyDescent="0.2">
      <c r="A2114" s="13"/>
    </row>
    <row r="2115" spans="1:1" x14ac:dyDescent="0.2">
      <c r="A2115" s="13"/>
    </row>
    <row r="2116" spans="1:1" x14ac:dyDescent="0.2">
      <c r="A2116" s="13"/>
    </row>
    <row r="2117" spans="1:1" x14ac:dyDescent="0.2">
      <c r="A2117" s="13"/>
    </row>
    <row r="2118" spans="1:1" x14ac:dyDescent="0.2">
      <c r="A2118" s="13"/>
    </row>
    <row r="2119" spans="1:1" x14ac:dyDescent="0.2">
      <c r="A2119" s="13"/>
    </row>
    <row r="2120" spans="1:1" x14ac:dyDescent="0.2">
      <c r="A2120" s="13"/>
    </row>
    <row r="2121" spans="1:1" x14ac:dyDescent="0.2">
      <c r="A2121" s="13"/>
    </row>
    <row r="2122" spans="1:1" x14ac:dyDescent="0.2">
      <c r="A2122" s="13"/>
    </row>
    <row r="2123" spans="1:1" x14ac:dyDescent="0.2">
      <c r="A2123" s="13"/>
    </row>
    <row r="2124" spans="1:1" x14ac:dyDescent="0.2">
      <c r="A2124" s="13"/>
    </row>
    <row r="2125" spans="1:1" x14ac:dyDescent="0.2">
      <c r="A2125" s="13"/>
    </row>
    <row r="2126" spans="1:1" x14ac:dyDescent="0.2">
      <c r="A2126" s="13"/>
    </row>
    <row r="2127" spans="1:1" x14ac:dyDescent="0.2">
      <c r="A2127" s="13"/>
    </row>
    <row r="2128" spans="1:1" x14ac:dyDescent="0.2">
      <c r="A2128" s="13"/>
    </row>
    <row r="2129" spans="1:1" x14ac:dyDescent="0.2">
      <c r="A2129" s="13"/>
    </row>
    <row r="2130" spans="1:1" x14ac:dyDescent="0.2">
      <c r="A2130" s="13"/>
    </row>
    <row r="2131" spans="1:1" x14ac:dyDescent="0.2">
      <c r="A2131" s="13"/>
    </row>
    <row r="2132" spans="1:1" x14ac:dyDescent="0.2">
      <c r="A2132" s="13"/>
    </row>
    <row r="2133" spans="1:1" x14ac:dyDescent="0.2">
      <c r="A2133" s="13"/>
    </row>
    <row r="2134" spans="1:1" x14ac:dyDescent="0.2">
      <c r="A2134" s="13"/>
    </row>
    <row r="2135" spans="1:1" x14ac:dyDescent="0.2">
      <c r="A2135" s="13"/>
    </row>
    <row r="2136" spans="1:1" x14ac:dyDescent="0.2">
      <c r="A2136" s="13"/>
    </row>
    <row r="2137" spans="1:1" x14ac:dyDescent="0.2">
      <c r="A2137" s="13"/>
    </row>
    <row r="2138" spans="1:1" x14ac:dyDescent="0.2">
      <c r="A2138" s="13"/>
    </row>
    <row r="2139" spans="1:1" x14ac:dyDescent="0.2">
      <c r="A2139" s="13"/>
    </row>
    <row r="2140" spans="1:1" x14ac:dyDescent="0.2">
      <c r="A2140" s="13"/>
    </row>
    <row r="2141" spans="1:1" x14ac:dyDescent="0.2">
      <c r="A2141" s="13"/>
    </row>
    <row r="2142" spans="1:1" x14ac:dyDescent="0.2">
      <c r="A2142" s="13"/>
    </row>
    <row r="2143" spans="1:1" x14ac:dyDescent="0.2">
      <c r="A2143" s="13"/>
    </row>
    <row r="2144" spans="1:1" x14ac:dyDescent="0.2">
      <c r="A2144" s="13"/>
    </row>
    <row r="2145" spans="1:1" x14ac:dyDescent="0.2">
      <c r="A2145" s="13"/>
    </row>
    <row r="2146" spans="1:1" x14ac:dyDescent="0.2">
      <c r="A2146" s="13"/>
    </row>
    <row r="2147" spans="1:1" x14ac:dyDescent="0.2">
      <c r="A2147" s="13"/>
    </row>
    <row r="2148" spans="1:1" x14ac:dyDescent="0.2">
      <c r="A2148" s="13"/>
    </row>
    <row r="2149" spans="1:1" x14ac:dyDescent="0.2">
      <c r="A2149" s="13"/>
    </row>
    <row r="2150" spans="1:1" x14ac:dyDescent="0.2">
      <c r="A2150" s="13"/>
    </row>
    <row r="2151" spans="1:1" x14ac:dyDescent="0.2">
      <c r="A2151" s="13"/>
    </row>
    <row r="2152" spans="1:1" x14ac:dyDescent="0.2">
      <c r="A2152" s="13"/>
    </row>
    <row r="2153" spans="1:1" x14ac:dyDescent="0.2">
      <c r="A2153" s="13"/>
    </row>
    <row r="2154" spans="1:1" x14ac:dyDescent="0.2">
      <c r="A2154" s="13"/>
    </row>
    <row r="2155" spans="1:1" x14ac:dyDescent="0.2">
      <c r="A2155" s="13"/>
    </row>
    <row r="2156" spans="1:1" x14ac:dyDescent="0.2">
      <c r="A2156" s="13"/>
    </row>
    <row r="2157" spans="1:1" x14ac:dyDescent="0.2">
      <c r="A2157" s="13"/>
    </row>
    <row r="2158" spans="1:1" x14ac:dyDescent="0.2">
      <c r="A2158" s="13"/>
    </row>
    <row r="2159" spans="1:1" x14ac:dyDescent="0.2">
      <c r="A2159" s="13"/>
    </row>
    <row r="2160" spans="1:1" x14ac:dyDescent="0.2">
      <c r="A2160" s="13"/>
    </row>
    <row r="2161" spans="1:1" x14ac:dyDescent="0.2">
      <c r="A2161" s="13"/>
    </row>
    <row r="2162" spans="1:1" x14ac:dyDescent="0.2">
      <c r="A2162" s="13"/>
    </row>
    <row r="2163" spans="1:1" x14ac:dyDescent="0.2">
      <c r="A2163" s="13"/>
    </row>
    <row r="2164" spans="1:1" x14ac:dyDescent="0.2">
      <c r="A2164" s="13"/>
    </row>
    <row r="2165" spans="1:1" x14ac:dyDescent="0.2">
      <c r="A2165" s="13"/>
    </row>
    <row r="2166" spans="1:1" x14ac:dyDescent="0.2">
      <c r="A2166" s="13"/>
    </row>
    <row r="2167" spans="1:1" x14ac:dyDescent="0.2">
      <c r="A2167" s="13"/>
    </row>
    <row r="2168" spans="1:1" x14ac:dyDescent="0.2">
      <c r="A2168" s="13"/>
    </row>
    <row r="2169" spans="1:1" x14ac:dyDescent="0.2">
      <c r="A2169" s="13"/>
    </row>
    <row r="2170" spans="1:1" x14ac:dyDescent="0.2">
      <c r="A2170" s="13"/>
    </row>
    <row r="2171" spans="1:1" x14ac:dyDescent="0.2">
      <c r="A2171" s="13"/>
    </row>
    <row r="2172" spans="1:1" x14ac:dyDescent="0.2">
      <c r="A2172" s="13"/>
    </row>
    <row r="2173" spans="1:1" x14ac:dyDescent="0.2">
      <c r="A2173" s="13"/>
    </row>
    <row r="2174" spans="1:1" x14ac:dyDescent="0.2">
      <c r="A2174" s="13"/>
    </row>
    <row r="2175" spans="1:1" x14ac:dyDescent="0.2">
      <c r="A2175" s="13"/>
    </row>
    <row r="2176" spans="1:1" x14ac:dyDescent="0.2">
      <c r="A2176" s="13"/>
    </row>
    <row r="2177" spans="1:1" x14ac:dyDescent="0.2">
      <c r="A2177" s="13"/>
    </row>
    <row r="2178" spans="1:1" x14ac:dyDescent="0.2">
      <c r="A2178" s="13"/>
    </row>
    <row r="2179" spans="1:1" x14ac:dyDescent="0.2">
      <c r="A2179" s="13"/>
    </row>
    <row r="2180" spans="1:1" x14ac:dyDescent="0.2">
      <c r="A2180" s="13"/>
    </row>
    <row r="2181" spans="1:1" x14ac:dyDescent="0.2">
      <c r="A2181" s="13"/>
    </row>
    <row r="2182" spans="1:1" x14ac:dyDescent="0.2">
      <c r="A2182" s="13"/>
    </row>
    <row r="2183" spans="1:1" x14ac:dyDescent="0.2">
      <c r="A2183" s="13"/>
    </row>
    <row r="2184" spans="1:1" x14ac:dyDescent="0.2">
      <c r="A2184" s="13"/>
    </row>
    <row r="2185" spans="1:1" x14ac:dyDescent="0.2">
      <c r="A2185" s="13"/>
    </row>
    <row r="2186" spans="1:1" x14ac:dyDescent="0.2">
      <c r="A2186" s="13"/>
    </row>
    <row r="2187" spans="1:1" x14ac:dyDescent="0.2">
      <c r="A2187" s="13"/>
    </row>
    <row r="2188" spans="1:1" x14ac:dyDescent="0.2">
      <c r="A2188" s="13"/>
    </row>
    <row r="2189" spans="1:1" x14ac:dyDescent="0.2">
      <c r="A2189" s="13"/>
    </row>
    <row r="2190" spans="1:1" x14ac:dyDescent="0.2">
      <c r="A2190" s="13"/>
    </row>
    <row r="2191" spans="1:1" x14ac:dyDescent="0.2">
      <c r="A2191" s="13"/>
    </row>
    <row r="2192" spans="1:1" x14ac:dyDescent="0.2">
      <c r="A2192" s="13"/>
    </row>
    <row r="2193" spans="1:1" x14ac:dyDescent="0.2">
      <c r="A2193" s="13"/>
    </row>
    <row r="2194" spans="1:1" x14ac:dyDescent="0.2">
      <c r="A2194" s="13"/>
    </row>
    <row r="2195" spans="1:1" x14ac:dyDescent="0.2">
      <c r="A2195" s="13"/>
    </row>
    <row r="2196" spans="1:1" x14ac:dyDescent="0.2">
      <c r="A2196" s="13"/>
    </row>
    <row r="2197" spans="1:1" x14ac:dyDescent="0.2">
      <c r="A2197" s="13"/>
    </row>
    <row r="2198" spans="1:1" x14ac:dyDescent="0.2">
      <c r="A2198" s="13"/>
    </row>
    <row r="2199" spans="1:1" x14ac:dyDescent="0.2">
      <c r="A2199" s="13"/>
    </row>
    <row r="2200" spans="1:1" x14ac:dyDescent="0.2">
      <c r="A2200" s="13"/>
    </row>
    <row r="2201" spans="1:1" x14ac:dyDescent="0.2">
      <c r="A2201" s="13"/>
    </row>
    <row r="2202" spans="1:1" x14ac:dyDescent="0.2">
      <c r="A2202" s="13"/>
    </row>
    <row r="2203" spans="1:1" x14ac:dyDescent="0.2">
      <c r="A2203" s="13"/>
    </row>
    <row r="2204" spans="1:1" x14ac:dyDescent="0.2">
      <c r="A2204" s="13"/>
    </row>
    <row r="2205" spans="1:1" x14ac:dyDescent="0.2">
      <c r="A2205" s="13"/>
    </row>
    <row r="2206" spans="1:1" x14ac:dyDescent="0.2">
      <c r="A2206" s="13"/>
    </row>
    <row r="2207" spans="1:1" x14ac:dyDescent="0.2">
      <c r="A2207" s="13"/>
    </row>
    <row r="2208" spans="1:1" x14ac:dyDescent="0.2">
      <c r="A2208" s="13"/>
    </row>
    <row r="2209" spans="1:1" x14ac:dyDescent="0.2">
      <c r="A2209" s="13"/>
    </row>
    <row r="2210" spans="1:1" x14ac:dyDescent="0.2">
      <c r="A2210" s="13"/>
    </row>
    <row r="2211" spans="1:1" x14ac:dyDescent="0.2">
      <c r="A2211" s="13"/>
    </row>
    <row r="2212" spans="1:1" x14ac:dyDescent="0.2">
      <c r="A2212" s="13"/>
    </row>
    <row r="2213" spans="1:1" x14ac:dyDescent="0.2">
      <c r="A2213" s="13"/>
    </row>
    <row r="2214" spans="1:1" x14ac:dyDescent="0.2">
      <c r="A2214" s="13"/>
    </row>
    <row r="2215" spans="1:1" x14ac:dyDescent="0.2">
      <c r="A2215" s="13"/>
    </row>
    <row r="2216" spans="1:1" x14ac:dyDescent="0.2">
      <c r="A2216" s="13"/>
    </row>
    <row r="2217" spans="1:1" x14ac:dyDescent="0.2">
      <c r="A2217" s="13"/>
    </row>
    <row r="2218" spans="1:1" x14ac:dyDescent="0.2">
      <c r="A2218" s="13"/>
    </row>
    <row r="2219" spans="1:1" x14ac:dyDescent="0.2">
      <c r="A2219" s="13"/>
    </row>
    <row r="2220" spans="1:1" x14ac:dyDescent="0.2">
      <c r="A2220" s="13"/>
    </row>
    <row r="2221" spans="1:1" x14ac:dyDescent="0.2">
      <c r="A2221" s="13"/>
    </row>
    <row r="2222" spans="1:1" x14ac:dyDescent="0.2">
      <c r="A2222" s="13"/>
    </row>
    <row r="2223" spans="1:1" x14ac:dyDescent="0.2">
      <c r="A2223" s="13"/>
    </row>
    <row r="2224" spans="1:1" x14ac:dyDescent="0.2">
      <c r="A2224" s="13"/>
    </row>
    <row r="2225" spans="1:1" x14ac:dyDescent="0.2">
      <c r="A2225" s="13"/>
    </row>
    <row r="2226" spans="1:1" x14ac:dyDescent="0.2">
      <c r="A2226" s="13"/>
    </row>
    <row r="2227" spans="1:1" x14ac:dyDescent="0.2">
      <c r="A2227" s="13"/>
    </row>
    <row r="2228" spans="1:1" x14ac:dyDescent="0.2">
      <c r="A2228" s="13"/>
    </row>
    <row r="2229" spans="1:1" x14ac:dyDescent="0.2">
      <c r="A2229" s="13"/>
    </row>
    <row r="2230" spans="1:1" x14ac:dyDescent="0.2">
      <c r="A2230" s="13"/>
    </row>
    <row r="2231" spans="1:1" x14ac:dyDescent="0.2">
      <c r="A2231" s="13"/>
    </row>
    <row r="2232" spans="1:1" x14ac:dyDescent="0.2">
      <c r="A2232" s="13"/>
    </row>
    <row r="2233" spans="1:1" x14ac:dyDescent="0.2">
      <c r="A2233" s="13"/>
    </row>
    <row r="2234" spans="1:1" x14ac:dyDescent="0.2">
      <c r="A2234" s="13"/>
    </row>
    <row r="2235" spans="1:1" x14ac:dyDescent="0.2">
      <c r="A2235" s="13"/>
    </row>
    <row r="2236" spans="1:1" x14ac:dyDescent="0.2">
      <c r="A2236" s="13"/>
    </row>
    <row r="2237" spans="1:1" x14ac:dyDescent="0.2">
      <c r="A2237" s="13"/>
    </row>
    <row r="2238" spans="1:1" x14ac:dyDescent="0.2">
      <c r="A2238" s="13"/>
    </row>
    <row r="2239" spans="1:1" x14ac:dyDescent="0.2">
      <c r="A2239" s="13"/>
    </row>
    <row r="2240" spans="1:1" x14ac:dyDescent="0.2">
      <c r="A2240" s="13"/>
    </row>
    <row r="2241" spans="1:1" x14ac:dyDescent="0.2">
      <c r="A2241" s="13"/>
    </row>
    <row r="2242" spans="1:1" x14ac:dyDescent="0.2">
      <c r="A2242" s="13"/>
    </row>
    <row r="2243" spans="1:1" x14ac:dyDescent="0.2">
      <c r="A2243" s="13"/>
    </row>
    <row r="2244" spans="1:1" x14ac:dyDescent="0.2">
      <c r="A2244" s="13"/>
    </row>
    <row r="2245" spans="1:1" x14ac:dyDescent="0.2">
      <c r="A2245" s="13"/>
    </row>
    <row r="2246" spans="1:1" x14ac:dyDescent="0.2">
      <c r="A2246" s="13"/>
    </row>
    <row r="2247" spans="1:1" x14ac:dyDescent="0.2">
      <c r="A2247" s="13"/>
    </row>
    <row r="2248" spans="1:1" x14ac:dyDescent="0.2">
      <c r="A2248" s="13"/>
    </row>
    <row r="2249" spans="1:1" x14ac:dyDescent="0.2">
      <c r="A2249" s="13"/>
    </row>
    <row r="2250" spans="1:1" x14ac:dyDescent="0.2">
      <c r="A2250" s="13"/>
    </row>
    <row r="2251" spans="1:1" x14ac:dyDescent="0.2">
      <c r="A2251" s="13"/>
    </row>
    <row r="2252" spans="1:1" x14ac:dyDescent="0.2">
      <c r="A2252" s="13"/>
    </row>
    <row r="2253" spans="1:1" x14ac:dyDescent="0.2">
      <c r="A2253" s="13"/>
    </row>
    <row r="2254" spans="1:1" x14ac:dyDescent="0.2">
      <c r="A2254" s="13"/>
    </row>
    <row r="2255" spans="1:1" x14ac:dyDescent="0.2">
      <c r="A2255" s="13"/>
    </row>
    <row r="2256" spans="1:1" x14ac:dyDescent="0.2">
      <c r="A2256" s="13"/>
    </row>
    <row r="2257" spans="1:1" x14ac:dyDescent="0.2">
      <c r="A2257" s="13"/>
    </row>
    <row r="2258" spans="1:1" x14ac:dyDescent="0.2">
      <c r="A2258" s="13"/>
    </row>
    <row r="2259" spans="1:1" x14ac:dyDescent="0.2">
      <c r="A2259" s="13"/>
    </row>
    <row r="2260" spans="1:1" x14ac:dyDescent="0.2">
      <c r="A2260" s="13"/>
    </row>
    <row r="2261" spans="1:1" x14ac:dyDescent="0.2">
      <c r="A2261" s="13"/>
    </row>
    <row r="2262" spans="1:1" x14ac:dyDescent="0.2">
      <c r="A2262" s="13"/>
    </row>
    <row r="2263" spans="1:1" x14ac:dyDescent="0.2">
      <c r="A2263" s="13"/>
    </row>
    <row r="2264" spans="1:1" x14ac:dyDescent="0.2">
      <c r="A2264" s="13"/>
    </row>
    <row r="2265" spans="1:1" x14ac:dyDescent="0.2">
      <c r="A2265" s="13"/>
    </row>
    <row r="2266" spans="1:1" x14ac:dyDescent="0.2">
      <c r="A2266" s="13"/>
    </row>
    <row r="2267" spans="1:1" x14ac:dyDescent="0.2">
      <c r="A2267" s="13"/>
    </row>
    <row r="2268" spans="1:1" x14ac:dyDescent="0.2">
      <c r="A2268" s="13"/>
    </row>
    <row r="2269" spans="1:1" x14ac:dyDescent="0.2">
      <c r="A2269" s="13"/>
    </row>
    <row r="2270" spans="1:1" x14ac:dyDescent="0.2">
      <c r="A2270" s="13"/>
    </row>
    <row r="2271" spans="1:1" x14ac:dyDescent="0.2">
      <c r="A2271" s="13"/>
    </row>
    <row r="2272" spans="1:1" x14ac:dyDescent="0.2">
      <c r="A2272" s="13"/>
    </row>
    <row r="2273" spans="1:1" x14ac:dyDescent="0.2">
      <c r="A2273" s="13"/>
    </row>
    <row r="2274" spans="1:1" x14ac:dyDescent="0.2">
      <c r="A2274" s="13"/>
    </row>
    <row r="2275" spans="1:1" x14ac:dyDescent="0.2">
      <c r="A2275" s="13"/>
    </row>
    <row r="2276" spans="1:1" x14ac:dyDescent="0.2">
      <c r="A2276" s="13"/>
    </row>
    <row r="2277" spans="1:1" x14ac:dyDescent="0.2">
      <c r="A2277" s="13"/>
    </row>
    <row r="2278" spans="1:1" x14ac:dyDescent="0.2">
      <c r="A2278" s="13"/>
    </row>
    <row r="2279" spans="1:1" x14ac:dyDescent="0.2">
      <c r="A2279" s="13"/>
    </row>
    <row r="2280" spans="1:1" x14ac:dyDescent="0.2">
      <c r="A2280" s="13"/>
    </row>
    <row r="2281" spans="1:1" x14ac:dyDescent="0.2">
      <c r="A2281" s="13"/>
    </row>
    <row r="2282" spans="1:1" x14ac:dyDescent="0.2">
      <c r="A2282" s="13"/>
    </row>
    <row r="2283" spans="1:1" x14ac:dyDescent="0.2">
      <c r="A2283" s="13"/>
    </row>
    <row r="2284" spans="1:1" x14ac:dyDescent="0.2">
      <c r="A2284" s="13"/>
    </row>
    <row r="2285" spans="1:1" x14ac:dyDescent="0.2">
      <c r="A2285" s="13"/>
    </row>
    <row r="2286" spans="1:1" x14ac:dyDescent="0.2">
      <c r="A2286" s="13"/>
    </row>
    <row r="2287" spans="1:1" x14ac:dyDescent="0.2">
      <c r="A2287" s="13"/>
    </row>
    <row r="2288" spans="1:1" x14ac:dyDescent="0.2">
      <c r="A2288" s="13"/>
    </row>
    <row r="2289" spans="1:1" x14ac:dyDescent="0.2">
      <c r="A2289" s="13"/>
    </row>
    <row r="2290" spans="1:1" x14ac:dyDescent="0.2">
      <c r="A2290" s="13"/>
    </row>
    <row r="2291" spans="1:1" x14ac:dyDescent="0.2">
      <c r="A2291" s="13"/>
    </row>
    <row r="2292" spans="1:1" x14ac:dyDescent="0.2">
      <c r="A2292" s="13"/>
    </row>
    <row r="2293" spans="1:1" x14ac:dyDescent="0.2">
      <c r="A2293" s="13"/>
    </row>
    <row r="2294" spans="1:1" x14ac:dyDescent="0.2">
      <c r="A2294" s="13"/>
    </row>
    <row r="2295" spans="1:1" x14ac:dyDescent="0.2">
      <c r="A2295" s="13"/>
    </row>
    <row r="2296" spans="1:1" x14ac:dyDescent="0.2">
      <c r="A2296" s="13"/>
    </row>
    <row r="2297" spans="1:1" x14ac:dyDescent="0.2">
      <c r="A2297" s="13"/>
    </row>
    <row r="2298" spans="1:1" x14ac:dyDescent="0.2">
      <c r="A2298" s="13"/>
    </row>
    <row r="2299" spans="1:1" x14ac:dyDescent="0.2">
      <c r="A2299" s="13"/>
    </row>
    <row r="2300" spans="1:1" x14ac:dyDescent="0.2">
      <c r="A2300" s="13"/>
    </row>
    <row r="2301" spans="1:1" x14ac:dyDescent="0.2">
      <c r="A2301" s="13"/>
    </row>
    <row r="2302" spans="1:1" x14ac:dyDescent="0.2">
      <c r="A2302" s="13"/>
    </row>
    <row r="2303" spans="1:1" x14ac:dyDescent="0.2">
      <c r="A2303" s="13"/>
    </row>
    <row r="2304" spans="1:1" x14ac:dyDescent="0.2">
      <c r="A2304" s="13"/>
    </row>
    <row r="2305" spans="1:1" x14ac:dyDescent="0.2">
      <c r="A2305" s="13"/>
    </row>
    <row r="2306" spans="1:1" x14ac:dyDescent="0.2">
      <c r="A2306" s="13"/>
    </row>
    <row r="2307" spans="1:1" x14ac:dyDescent="0.2">
      <c r="A2307" s="13"/>
    </row>
    <row r="2308" spans="1:1" x14ac:dyDescent="0.2">
      <c r="A2308" s="13"/>
    </row>
    <row r="2309" spans="1:1" x14ac:dyDescent="0.2">
      <c r="A2309" s="13"/>
    </row>
    <row r="2310" spans="1:1" x14ac:dyDescent="0.2">
      <c r="A2310" s="13"/>
    </row>
    <row r="2311" spans="1:1" x14ac:dyDescent="0.2">
      <c r="A2311" s="13"/>
    </row>
    <row r="2312" spans="1:1" x14ac:dyDescent="0.2">
      <c r="A2312" s="13"/>
    </row>
    <row r="2313" spans="1:1" x14ac:dyDescent="0.2">
      <c r="A2313" s="13"/>
    </row>
    <row r="2314" spans="1:1" x14ac:dyDescent="0.2">
      <c r="A2314" s="13"/>
    </row>
    <row r="2315" spans="1:1" x14ac:dyDescent="0.2">
      <c r="A2315" s="13"/>
    </row>
    <row r="2316" spans="1:1" x14ac:dyDescent="0.2">
      <c r="A2316" s="13"/>
    </row>
    <row r="2317" spans="1:1" x14ac:dyDescent="0.2">
      <c r="A2317" s="13"/>
    </row>
    <row r="2318" spans="1:1" x14ac:dyDescent="0.2">
      <c r="A2318" s="13"/>
    </row>
    <row r="2319" spans="1:1" x14ac:dyDescent="0.2">
      <c r="A2319" s="13"/>
    </row>
    <row r="2320" spans="1:1" x14ac:dyDescent="0.2">
      <c r="A2320" s="13"/>
    </row>
    <row r="2321" spans="1:1" x14ac:dyDescent="0.2">
      <c r="A2321" s="13"/>
    </row>
    <row r="2322" spans="1:1" x14ac:dyDescent="0.2">
      <c r="A2322" s="13"/>
    </row>
    <row r="2323" spans="1:1" x14ac:dyDescent="0.2">
      <c r="A2323" s="13"/>
    </row>
    <row r="2324" spans="1:1" x14ac:dyDescent="0.2">
      <c r="A2324" s="13"/>
    </row>
    <row r="2325" spans="1:1" x14ac:dyDescent="0.2">
      <c r="A2325" s="13"/>
    </row>
    <row r="2326" spans="1:1" x14ac:dyDescent="0.2">
      <c r="A2326" s="13"/>
    </row>
    <row r="2327" spans="1:1" x14ac:dyDescent="0.2">
      <c r="A2327" s="13"/>
    </row>
    <row r="2328" spans="1:1" x14ac:dyDescent="0.2">
      <c r="A2328" s="13"/>
    </row>
    <row r="2329" spans="1:1" x14ac:dyDescent="0.2">
      <c r="A2329" s="13"/>
    </row>
    <row r="2330" spans="1:1" x14ac:dyDescent="0.2">
      <c r="A2330" s="13"/>
    </row>
    <row r="2331" spans="1:1" x14ac:dyDescent="0.2">
      <c r="A2331" s="13"/>
    </row>
    <row r="2332" spans="1:1" x14ac:dyDescent="0.2">
      <c r="A2332" s="13"/>
    </row>
    <row r="2333" spans="1:1" x14ac:dyDescent="0.2">
      <c r="A2333" s="13"/>
    </row>
    <row r="2334" spans="1:1" x14ac:dyDescent="0.2">
      <c r="A2334" s="13"/>
    </row>
    <row r="2335" spans="1:1" x14ac:dyDescent="0.2">
      <c r="A2335" s="13"/>
    </row>
    <row r="2336" spans="1:1" x14ac:dyDescent="0.2">
      <c r="A2336" s="13"/>
    </row>
    <row r="2337" spans="1:1" x14ac:dyDescent="0.2">
      <c r="A2337" s="13"/>
    </row>
    <row r="2338" spans="1:1" x14ac:dyDescent="0.2">
      <c r="A2338" s="13"/>
    </row>
    <row r="2339" spans="1:1" x14ac:dyDescent="0.2">
      <c r="A2339" s="13"/>
    </row>
    <row r="2340" spans="1:1" x14ac:dyDescent="0.2">
      <c r="A2340" s="13"/>
    </row>
    <row r="2341" spans="1:1" x14ac:dyDescent="0.2">
      <c r="A2341" s="13"/>
    </row>
    <row r="2342" spans="1:1" x14ac:dyDescent="0.2">
      <c r="A2342" s="13"/>
    </row>
    <row r="2343" spans="1:1" x14ac:dyDescent="0.2">
      <c r="A2343" s="13"/>
    </row>
    <row r="2344" spans="1:1" x14ac:dyDescent="0.2">
      <c r="A2344" s="13"/>
    </row>
    <row r="2345" spans="1:1" x14ac:dyDescent="0.2">
      <c r="A2345" s="13"/>
    </row>
    <row r="2346" spans="1:1" x14ac:dyDescent="0.2">
      <c r="A2346" s="13"/>
    </row>
    <row r="2347" spans="1:1" x14ac:dyDescent="0.2">
      <c r="A2347" s="13"/>
    </row>
    <row r="2348" spans="1:1" x14ac:dyDescent="0.2">
      <c r="A2348" s="13"/>
    </row>
    <row r="2349" spans="1:1" x14ac:dyDescent="0.2">
      <c r="A2349" s="13"/>
    </row>
    <row r="2350" spans="1:1" x14ac:dyDescent="0.2">
      <c r="A2350" s="13"/>
    </row>
    <row r="2351" spans="1:1" x14ac:dyDescent="0.2">
      <c r="A2351" s="13"/>
    </row>
    <row r="2352" spans="1:1" x14ac:dyDescent="0.2">
      <c r="A2352" s="13"/>
    </row>
    <row r="2353" spans="1:1" x14ac:dyDescent="0.2">
      <c r="A2353" s="13"/>
    </row>
    <row r="2354" spans="1:1" x14ac:dyDescent="0.2">
      <c r="A2354" s="13"/>
    </row>
    <row r="2355" spans="1:1" x14ac:dyDescent="0.2">
      <c r="A2355" s="13"/>
    </row>
    <row r="2356" spans="1:1" x14ac:dyDescent="0.2">
      <c r="A2356" s="13"/>
    </row>
    <row r="2357" spans="1:1" x14ac:dyDescent="0.2">
      <c r="A2357" s="13"/>
    </row>
    <row r="2358" spans="1:1" x14ac:dyDescent="0.2">
      <c r="A2358" s="13"/>
    </row>
    <row r="2359" spans="1:1" x14ac:dyDescent="0.2">
      <c r="A2359" s="13"/>
    </row>
    <row r="2360" spans="1:1" x14ac:dyDescent="0.2">
      <c r="A2360" s="13"/>
    </row>
    <row r="2361" spans="1:1" x14ac:dyDescent="0.2">
      <c r="A2361" s="13"/>
    </row>
    <row r="2362" spans="1:1" x14ac:dyDescent="0.2">
      <c r="A2362" s="13"/>
    </row>
    <row r="2363" spans="1:1" x14ac:dyDescent="0.2">
      <c r="A2363" s="13"/>
    </row>
    <row r="2364" spans="1:1" x14ac:dyDescent="0.2">
      <c r="A2364" s="13"/>
    </row>
    <row r="2365" spans="1:1" x14ac:dyDescent="0.2">
      <c r="A2365" s="13"/>
    </row>
    <row r="2366" spans="1:1" x14ac:dyDescent="0.2">
      <c r="A2366" s="13"/>
    </row>
    <row r="2367" spans="1:1" x14ac:dyDescent="0.2">
      <c r="A2367" s="13"/>
    </row>
    <row r="2368" spans="1:1" x14ac:dyDescent="0.2">
      <c r="A2368" s="13"/>
    </row>
    <row r="2369" spans="1:1" x14ac:dyDescent="0.2">
      <c r="A2369" s="13"/>
    </row>
    <row r="2370" spans="1:1" x14ac:dyDescent="0.2">
      <c r="A2370" s="13"/>
    </row>
    <row r="2371" spans="1:1" x14ac:dyDescent="0.2">
      <c r="A2371" s="13"/>
    </row>
    <row r="2372" spans="1:1" x14ac:dyDescent="0.2">
      <c r="A2372" s="13"/>
    </row>
    <row r="2373" spans="1:1" x14ac:dyDescent="0.2">
      <c r="A2373" s="13"/>
    </row>
    <row r="2374" spans="1:1" x14ac:dyDescent="0.2">
      <c r="A2374" s="13"/>
    </row>
    <row r="2375" spans="1:1" x14ac:dyDescent="0.2">
      <c r="A2375" s="13"/>
    </row>
    <row r="2376" spans="1:1" x14ac:dyDescent="0.2">
      <c r="A2376" s="13"/>
    </row>
    <row r="2377" spans="1:1" x14ac:dyDescent="0.2">
      <c r="A2377" s="13"/>
    </row>
    <row r="2378" spans="1:1" x14ac:dyDescent="0.2">
      <c r="A2378" s="13"/>
    </row>
    <row r="2379" spans="1:1" x14ac:dyDescent="0.2">
      <c r="A2379" s="13"/>
    </row>
    <row r="2380" spans="1:1" x14ac:dyDescent="0.2">
      <c r="A2380" s="13"/>
    </row>
    <row r="2381" spans="1:1" x14ac:dyDescent="0.2">
      <c r="A2381" s="13"/>
    </row>
    <row r="2382" spans="1:1" x14ac:dyDescent="0.2">
      <c r="A2382" s="13"/>
    </row>
    <row r="2383" spans="1:1" x14ac:dyDescent="0.2">
      <c r="A2383" s="13"/>
    </row>
    <row r="2384" spans="1:1" x14ac:dyDescent="0.2">
      <c r="A2384" s="13"/>
    </row>
    <row r="2385" spans="1:1" x14ac:dyDescent="0.2">
      <c r="A2385" s="13"/>
    </row>
    <row r="2386" spans="1:1" x14ac:dyDescent="0.2">
      <c r="A2386" s="13"/>
    </row>
    <row r="2387" spans="1:1" x14ac:dyDescent="0.2">
      <c r="A2387" s="13"/>
    </row>
    <row r="2388" spans="1:1" x14ac:dyDescent="0.2">
      <c r="A2388" s="13"/>
    </row>
    <row r="2389" spans="1:1" x14ac:dyDescent="0.2">
      <c r="A2389" s="13"/>
    </row>
    <row r="2390" spans="1:1" x14ac:dyDescent="0.2">
      <c r="A2390" s="13"/>
    </row>
    <row r="2391" spans="1:1" x14ac:dyDescent="0.2">
      <c r="A2391" s="13"/>
    </row>
    <row r="2392" spans="1:1" x14ac:dyDescent="0.2">
      <c r="A2392" s="13"/>
    </row>
    <row r="2393" spans="1:1" x14ac:dyDescent="0.2">
      <c r="A2393" s="13"/>
    </row>
    <row r="2394" spans="1:1" x14ac:dyDescent="0.2">
      <c r="A2394" s="13"/>
    </row>
    <row r="2395" spans="1:1" x14ac:dyDescent="0.2">
      <c r="A2395" s="13"/>
    </row>
    <row r="2396" spans="1:1" x14ac:dyDescent="0.2">
      <c r="A2396" s="13"/>
    </row>
    <row r="2397" spans="1:1" x14ac:dyDescent="0.2">
      <c r="A2397" s="13"/>
    </row>
    <row r="2398" spans="1:1" x14ac:dyDescent="0.2">
      <c r="A2398" s="13"/>
    </row>
    <row r="2399" spans="1:1" x14ac:dyDescent="0.2">
      <c r="A2399" s="13"/>
    </row>
    <row r="2400" spans="1:1" x14ac:dyDescent="0.2">
      <c r="A2400" s="13"/>
    </row>
    <row r="2401" spans="1:1" x14ac:dyDescent="0.2">
      <c r="A2401" s="13"/>
    </row>
    <row r="2402" spans="1:1" x14ac:dyDescent="0.2">
      <c r="A2402" s="13"/>
    </row>
    <row r="2403" spans="1:1" x14ac:dyDescent="0.2">
      <c r="A2403" s="13"/>
    </row>
    <row r="2404" spans="1:1" x14ac:dyDescent="0.2">
      <c r="A2404" s="13"/>
    </row>
    <row r="2405" spans="1:1" x14ac:dyDescent="0.2">
      <c r="A2405" s="13"/>
    </row>
    <row r="2406" spans="1:1" x14ac:dyDescent="0.2">
      <c r="A2406" s="13"/>
    </row>
    <row r="2407" spans="1:1" x14ac:dyDescent="0.2">
      <c r="A2407" s="13"/>
    </row>
    <row r="2408" spans="1:1" x14ac:dyDescent="0.2">
      <c r="A2408" s="13"/>
    </row>
    <row r="2409" spans="1:1" x14ac:dyDescent="0.2">
      <c r="A2409" s="13"/>
    </row>
    <row r="2410" spans="1:1" x14ac:dyDescent="0.2">
      <c r="A2410" s="13"/>
    </row>
    <row r="2411" spans="1:1" x14ac:dyDescent="0.2">
      <c r="A2411" s="13"/>
    </row>
    <row r="2412" spans="1:1" x14ac:dyDescent="0.2">
      <c r="A2412" s="13"/>
    </row>
    <row r="2413" spans="1:1" x14ac:dyDescent="0.2">
      <c r="A2413" s="13"/>
    </row>
    <row r="2414" spans="1:1" x14ac:dyDescent="0.2">
      <c r="A2414" s="13"/>
    </row>
    <row r="2415" spans="1:1" x14ac:dyDescent="0.2">
      <c r="A2415" s="13"/>
    </row>
    <row r="2416" spans="1:1" x14ac:dyDescent="0.2">
      <c r="A2416" s="13"/>
    </row>
    <row r="2417" spans="1:1" x14ac:dyDescent="0.2">
      <c r="A2417" s="13"/>
    </row>
    <row r="2418" spans="1:1" x14ac:dyDescent="0.2">
      <c r="A2418" s="13"/>
    </row>
    <row r="2419" spans="1:1" x14ac:dyDescent="0.2">
      <c r="A2419" s="13"/>
    </row>
    <row r="2420" spans="1:1" x14ac:dyDescent="0.2">
      <c r="A2420" s="13"/>
    </row>
    <row r="2421" spans="1:1" x14ac:dyDescent="0.2">
      <c r="A2421" s="13"/>
    </row>
    <row r="2422" spans="1:1" x14ac:dyDescent="0.2">
      <c r="A2422" s="13"/>
    </row>
    <row r="2423" spans="1:1" x14ac:dyDescent="0.2">
      <c r="A2423" s="13"/>
    </row>
    <row r="2424" spans="1:1" x14ac:dyDescent="0.2">
      <c r="A2424" s="13"/>
    </row>
    <row r="2425" spans="1:1" x14ac:dyDescent="0.2">
      <c r="A2425" s="13"/>
    </row>
    <row r="2426" spans="1:1" x14ac:dyDescent="0.2">
      <c r="A2426" s="13"/>
    </row>
    <row r="2427" spans="1:1" x14ac:dyDescent="0.2">
      <c r="A2427" s="13"/>
    </row>
    <row r="2428" spans="1:1" x14ac:dyDescent="0.2">
      <c r="A2428" s="13"/>
    </row>
    <row r="2429" spans="1:1" x14ac:dyDescent="0.2">
      <c r="A2429" s="13"/>
    </row>
    <row r="2430" spans="1:1" x14ac:dyDescent="0.2">
      <c r="A2430" s="13"/>
    </row>
    <row r="2431" spans="1:1" x14ac:dyDescent="0.2">
      <c r="A2431" s="13"/>
    </row>
    <row r="2432" spans="1:1" x14ac:dyDescent="0.2">
      <c r="A2432" s="13"/>
    </row>
    <row r="2433" spans="1:1" x14ac:dyDescent="0.2">
      <c r="A2433" s="13"/>
    </row>
    <row r="2434" spans="1:1" x14ac:dyDescent="0.2">
      <c r="A2434" s="13"/>
    </row>
    <row r="2435" spans="1:1" x14ac:dyDescent="0.2">
      <c r="A2435" s="13"/>
    </row>
    <row r="2436" spans="1:1" x14ac:dyDescent="0.2">
      <c r="A2436" s="13"/>
    </row>
    <row r="2437" spans="1:1" x14ac:dyDescent="0.2">
      <c r="A2437" s="13"/>
    </row>
    <row r="2438" spans="1:1" x14ac:dyDescent="0.2">
      <c r="A2438" s="13"/>
    </row>
    <row r="2439" spans="1:1" x14ac:dyDescent="0.2">
      <c r="A2439" s="13"/>
    </row>
    <row r="2440" spans="1:1" x14ac:dyDescent="0.2">
      <c r="A2440" s="13"/>
    </row>
    <row r="2441" spans="1:1" x14ac:dyDescent="0.2">
      <c r="A2441" s="13"/>
    </row>
    <row r="2442" spans="1:1" x14ac:dyDescent="0.2">
      <c r="A2442" s="13"/>
    </row>
    <row r="2443" spans="1:1" x14ac:dyDescent="0.2">
      <c r="A2443" s="13"/>
    </row>
    <row r="2444" spans="1:1" x14ac:dyDescent="0.2">
      <c r="A2444" s="13"/>
    </row>
    <row r="2445" spans="1:1" x14ac:dyDescent="0.2">
      <c r="A2445" s="13"/>
    </row>
    <row r="2446" spans="1:1" x14ac:dyDescent="0.2">
      <c r="A2446" s="13"/>
    </row>
    <row r="2447" spans="1:1" x14ac:dyDescent="0.2">
      <c r="A2447" s="13"/>
    </row>
    <row r="2448" spans="1:1" x14ac:dyDescent="0.2">
      <c r="A2448" s="13"/>
    </row>
    <row r="2449" spans="1:1" x14ac:dyDescent="0.2">
      <c r="A2449" s="13"/>
    </row>
    <row r="2450" spans="1:1" x14ac:dyDescent="0.2">
      <c r="A2450" s="13"/>
    </row>
    <row r="2451" spans="1:1" x14ac:dyDescent="0.2">
      <c r="A2451" s="13"/>
    </row>
    <row r="2452" spans="1:1" x14ac:dyDescent="0.2">
      <c r="A2452" s="13"/>
    </row>
    <row r="2453" spans="1:1" x14ac:dyDescent="0.2">
      <c r="A2453" s="13"/>
    </row>
    <row r="2454" spans="1:1" x14ac:dyDescent="0.2">
      <c r="A2454" s="13"/>
    </row>
    <row r="2455" spans="1:1" x14ac:dyDescent="0.2">
      <c r="A2455" s="13"/>
    </row>
    <row r="2456" spans="1:1" x14ac:dyDescent="0.2">
      <c r="A2456" s="13"/>
    </row>
    <row r="2457" spans="1:1" x14ac:dyDescent="0.2">
      <c r="A2457" s="13"/>
    </row>
    <row r="2458" spans="1:1" x14ac:dyDescent="0.2">
      <c r="A2458" s="13"/>
    </row>
    <row r="2459" spans="1:1" x14ac:dyDescent="0.2">
      <c r="A2459" s="13"/>
    </row>
    <row r="2460" spans="1:1" x14ac:dyDescent="0.2">
      <c r="A2460" s="13"/>
    </row>
    <row r="2461" spans="1:1" x14ac:dyDescent="0.2">
      <c r="A2461" s="13"/>
    </row>
    <row r="2462" spans="1:1" x14ac:dyDescent="0.2">
      <c r="A2462" s="13"/>
    </row>
    <row r="2463" spans="1:1" x14ac:dyDescent="0.2">
      <c r="A2463" s="13"/>
    </row>
    <row r="2464" spans="1:1" x14ac:dyDescent="0.2">
      <c r="A2464" s="13"/>
    </row>
    <row r="2465" spans="1:1" x14ac:dyDescent="0.2">
      <c r="A2465" s="13"/>
    </row>
    <row r="2466" spans="1:1" x14ac:dyDescent="0.2">
      <c r="A2466" s="13"/>
    </row>
    <row r="2467" spans="1:1" x14ac:dyDescent="0.2">
      <c r="A2467" s="13"/>
    </row>
    <row r="2468" spans="1:1" x14ac:dyDescent="0.2">
      <c r="A2468" s="13"/>
    </row>
    <row r="2469" spans="1:1" x14ac:dyDescent="0.2">
      <c r="A2469" s="13"/>
    </row>
    <row r="2470" spans="1:1" x14ac:dyDescent="0.2">
      <c r="A2470" s="13"/>
    </row>
    <row r="2471" spans="1:1" x14ac:dyDescent="0.2">
      <c r="A2471" s="13"/>
    </row>
    <row r="2472" spans="1:1" x14ac:dyDescent="0.2">
      <c r="A2472" s="13"/>
    </row>
    <row r="2473" spans="1:1" x14ac:dyDescent="0.2">
      <c r="A2473" s="13"/>
    </row>
    <row r="2474" spans="1:1" x14ac:dyDescent="0.2">
      <c r="A2474" s="13"/>
    </row>
    <row r="2475" spans="1:1" x14ac:dyDescent="0.2">
      <c r="A2475" s="13"/>
    </row>
    <row r="2476" spans="1:1" x14ac:dyDescent="0.2">
      <c r="A2476" s="13"/>
    </row>
    <row r="2477" spans="1:1" x14ac:dyDescent="0.2">
      <c r="A2477" s="13"/>
    </row>
    <row r="2478" spans="1:1" x14ac:dyDescent="0.2">
      <c r="A2478" s="13"/>
    </row>
    <row r="2479" spans="1:1" x14ac:dyDescent="0.2">
      <c r="A2479" s="13"/>
    </row>
    <row r="2480" spans="1:1" x14ac:dyDescent="0.2">
      <c r="A2480" s="13"/>
    </row>
    <row r="2481" spans="1:1" x14ac:dyDescent="0.2">
      <c r="A2481" s="13"/>
    </row>
    <row r="2482" spans="1:1" x14ac:dyDescent="0.2">
      <c r="A2482" s="13"/>
    </row>
    <row r="2483" spans="1:1" x14ac:dyDescent="0.2">
      <c r="A2483" s="13"/>
    </row>
    <row r="2484" spans="1:1" x14ac:dyDescent="0.2">
      <c r="A2484" s="13"/>
    </row>
    <row r="2485" spans="1:1" x14ac:dyDescent="0.2">
      <c r="A2485" s="13"/>
    </row>
    <row r="2486" spans="1:1" x14ac:dyDescent="0.2">
      <c r="A2486" s="13"/>
    </row>
    <row r="2487" spans="1:1" x14ac:dyDescent="0.2">
      <c r="A2487" s="13"/>
    </row>
    <row r="2488" spans="1:1" x14ac:dyDescent="0.2">
      <c r="A2488" s="13"/>
    </row>
    <row r="2489" spans="1:1" x14ac:dyDescent="0.2">
      <c r="A2489" s="13"/>
    </row>
    <row r="2490" spans="1:1" x14ac:dyDescent="0.2">
      <c r="A2490" s="13"/>
    </row>
    <row r="2491" spans="1:1" x14ac:dyDescent="0.2">
      <c r="A2491" s="13"/>
    </row>
    <row r="2492" spans="1:1" x14ac:dyDescent="0.2">
      <c r="A2492" s="13"/>
    </row>
    <row r="2493" spans="1:1" x14ac:dyDescent="0.2">
      <c r="A2493" s="13"/>
    </row>
    <row r="2494" spans="1:1" x14ac:dyDescent="0.2">
      <c r="A2494" s="13"/>
    </row>
    <row r="2495" spans="1:1" x14ac:dyDescent="0.2">
      <c r="A2495" s="13"/>
    </row>
    <row r="2496" spans="1:1" x14ac:dyDescent="0.2">
      <c r="A2496" s="13"/>
    </row>
    <row r="2497" spans="1:1" x14ac:dyDescent="0.2">
      <c r="A2497" s="13"/>
    </row>
    <row r="2498" spans="1:1" x14ac:dyDescent="0.2">
      <c r="A2498" s="13"/>
    </row>
    <row r="2499" spans="1:1" x14ac:dyDescent="0.2">
      <c r="A2499" s="13"/>
    </row>
    <row r="2500" spans="1:1" x14ac:dyDescent="0.2">
      <c r="A2500" s="13"/>
    </row>
    <row r="2501" spans="1:1" x14ac:dyDescent="0.2">
      <c r="A2501" s="13"/>
    </row>
    <row r="2502" spans="1:1" x14ac:dyDescent="0.2">
      <c r="A2502" s="13"/>
    </row>
    <row r="2503" spans="1:1" x14ac:dyDescent="0.2">
      <c r="A2503" s="13"/>
    </row>
    <row r="2504" spans="1:1" x14ac:dyDescent="0.2">
      <c r="A2504" s="13"/>
    </row>
    <row r="2505" spans="1:1" x14ac:dyDescent="0.2">
      <c r="A2505" s="13"/>
    </row>
    <row r="2506" spans="1:1" x14ac:dyDescent="0.2">
      <c r="A2506" s="13"/>
    </row>
    <row r="2507" spans="1:1" x14ac:dyDescent="0.2">
      <c r="A2507" s="13"/>
    </row>
    <row r="2508" spans="1:1" x14ac:dyDescent="0.2">
      <c r="A2508" s="13"/>
    </row>
    <row r="2509" spans="1:1" x14ac:dyDescent="0.2">
      <c r="A2509" s="13"/>
    </row>
    <row r="2510" spans="1:1" x14ac:dyDescent="0.2">
      <c r="A2510" s="13"/>
    </row>
    <row r="2511" spans="1:1" x14ac:dyDescent="0.2">
      <c r="A2511" s="13"/>
    </row>
    <row r="2512" spans="1:1" x14ac:dyDescent="0.2">
      <c r="A2512" s="13"/>
    </row>
    <row r="2513" spans="1:1" x14ac:dyDescent="0.2">
      <c r="A2513" s="13"/>
    </row>
    <row r="2514" spans="1:1" x14ac:dyDescent="0.2">
      <c r="A2514" s="13"/>
    </row>
    <row r="2515" spans="1:1" x14ac:dyDescent="0.2">
      <c r="A2515" s="13"/>
    </row>
    <row r="2516" spans="1:1" x14ac:dyDescent="0.2">
      <c r="A2516" s="13"/>
    </row>
    <row r="2517" spans="1:1" x14ac:dyDescent="0.2">
      <c r="A2517" s="13"/>
    </row>
    <row r="2518" spans="1:1" x14ac:dyDescent="0.2">
      <c r="A2518" s="13"/>
    </row>
    <row r="2519" spans="1:1" x14ac:dyDescent="0.2">
      <c r="A2519" s="13"/>
    </row>
    <row r="2520" spans="1:1" x14ac:dyDescent="0.2">
      <c r="A2520" s="13"/>
    </row>
    <row r="2521" spans="1:1" x14ac:dyDescent="0.2">
      <c r="A2521" s="13"/>
    </row>
    <row r="2522" spans="1:1" x14ac:dyDescent="0.2">
      <c r="A2522" s="13"/>
    </row>
    <row r="2523" spans="1:1" x14ac:dyDescent="0.2">
      <c r="A2523" s="13"/>
    </row>
    <row r="2524" spans="1:1" x14ac:dyDescent="0.2">
      <c r="A2524" s="13"/>
    </row>
    <row r="2525" spans="1:1" x14ac:dyDescent="0.2">
      <c r="A2525" s="13"/>
    </row>
    <row r="2526" spans="1:1" x14ac:dyDescent="0.2">
      <c r="A2526" s="13"/>
    </row>
    <row r="2527" spans="1:1" x14ac:dyDescent="0.2">
      <c r="A2527" s="13"/>
    </row>
    <row r="2528" spans="1:1" x14ac:dyDescent="0.2">
      <c r="A2528" s="13"/>
    </row>
    <row r="2529" spans="1:1" x14ac:dyDescent="0.2">
      <c r="A2529" s="13"/>
    </row>
    <row r="2530" spans="1:1" x14ac:dyDescent="0.2">
      <c r="A2530" s="13"/>
    </row>
    <row r="2531" spans="1:1" x14ac:dyDescent="0.2">
      <c r="A2531" s="13"/>
    </row>
    <row r="2532" spans="1:1" x14ac:dyDescent="0.2">
      <c r="A2532" s="13"/>
    </row>
    <row r="2533" spans="1:1" x14ac:dyDescent="0.2">
      <c r="A2533" s="13"/>
    </row>
    <row r="2534" spans="1:1" x14ac:dyDescent="0.2">
      <c r="A2534" s="13"/>
    </row>
    <row r="2535" spans="1:1" x14ac:dyDescent="0.2">
      <c r="A2535" s="13"/>
    </row>
    <row r="2536" spans="1:1" x14ac:dyDescent="0.2">
      <c r="A2536" s="13"/>
    </row>
    <row r="2537" spans="1:1" x14ac:dyDescent="0.2">
      <c r="A2537" s="13"/>
    </row>
    <row r="2538" spans="1:1" x14ac:dyDescent="0.2">
      <c r="A2538" s="13"/>
    </row>
    <row r="2539" spans="1:1" x14ac:dyDescent="0.2">
      <c r="A2539" s="13"/>
    </row>
    <row r="2540" spans="1:1" x14ac:dyDescent="0.2">
      <c r="A2540" s="13"/>
    </row>
    <row r="2541" spans="1:1" x14ac:dyDescent="0.2">
      <c r="A2541" s="13"/>
    </row>
    <row r="2542" spans="1:1" x14ac:dyDescent="0.2">
      <c r="A2542" s="13"/>
    </row>
    <row r="2543" spans="1:1" x14ac:dyDescent="0.2">
      <c r="A2543" s="13"/>
    </row>
    <row r="2544" spans="1:1" x14ac:dyDescent="0.2">
      <c r="A2544" s="13"/>
    </row>
    <row r="2545" spans="1:1" x14ac:dyDescent="0.2">
      <c r="A2545" s="13"/>
    </row>
    <row r="2546" spans="1:1" x14ac:dyDescent="0.2">
      <c r="A2546" s="13"/>
    </row>
    <row r="2547" spans="1:1" x14ac:dyDescent="0.2">
      <c r="A2547" s="13"/>
    </row>
    <row r="2548" spans="1:1" x14ac:dyDescent="0.2">
      <c r="A2548" s="13"/>
    </row>
    <row r="2549" spans="1:1" x14ac:dyDescent="0.2">
      <c r="A2549" s="13"/>
    </row>
    <row r="2550" spans="1:1" x14ac:dyDescent="0.2">
      <c r="A2550" s="13"/>
    </row>
    <row r="2551" spans="1:1" x14ac:dyDescent="0.2">
      <c r="A2551" s="13"/>
    </row>
    <row r="2552" spans="1:1" x14ac:dyDescent="0.2">
      <c r="A2552" s="13"/>
    </row>
    <row r="2553" spans="1:1" x14ac:dyDescent="0.2">
      <c r="A2553" s="13"/>
    </row>
    <row r="2554" spans="1:1" x14ac:dyDescent="0.2">
      <c r="A2554" s="13"/>
    </row>
    <row r="2555" spans="1:1" x14ac:dyDescent="0.2">
      <c r="A2555" s="13"/>
    </row>
    <row r="2556" spans="1:1" x14ac:dyDescent="0.2">
      <c r="A2556" s="13"/>
    </row>
    <row r="2557" spans="1:1" x14ac:dyDescent="0.2">
      <c r="A2557" s="13"/>
    </row>
    <row r="2558" spans="1:1" x14ac:dyDescent="0.2">
      <c r="A2558" s="13"/>
    </row>
    <row r="2559" spans="1:1" x14ac:dyDescent="0.2">
      <c r="A2559" s="13"/>
    </row>
    <row r="2560" spans="1:1" x14ac:dyDescent="0.2">
      <c r="A2560" s="13"/>
    </row>
    <row r="2561" spans="1:1" x14ac:dyDescent="0.2">
      <c r="A2561" s="13"/>
    </row>
    <row r="2562" spans="1:1" x14ac:dyDescent="0.2">
      <c r="A2562" s="13"/>
    </row>
    <row r="2563" spans="1:1" x14ac:dyDescent="0.2">
      <c r="A2563" s="13"/>
    </row>
    <row r="2564" spans="1:1" x14ac:dyDescent="0.2">
      <c r="A2564" s="13"/>
    </row>
    <row r="2565" spans="1:1" x14ac:dyDescent="0.2">
      <c r="A2565" s="13"/>
    </row>
    <row r="2566" spans="1:1" x14ac:dyDescent="0.2">
      <c r="A2566" s="13"/>
    </row>
    <row r="2567" spans="1:1" x14ac:dyDescent="0.2">
      <c r="A2567" s="13"/>
    </row>
    <row r="2568" spans="1:1" x14ac:dyDescent="0.2">
      <c r="A2568" s="13"/>
    </row>
    <row r="2569" spans="1:1" x14ac:dyDescent="0.2">
      <c r="A2569" s="13"/>
    </row>
    <row r="2570" spans="1:1" x14ac:dyDescent="0.2">
      <c r="A2570" s="13"/>
    </row>
    <row r="2571" spans="1:1" x14ac:dyDescent="0.2">
      <c r="A2571" s="13"/>
    </row>
    <row r="2572" spans="1:1" x14ac:dyDescent="0.2">
      <c r="A2572" s="13"/>
    </row>
    <row r="2573" spans="1:1" x14ac:dyDescent="0.2">
      <c r="A2573" s="13"/>
    </row>
    <row r="2574" spans="1:1" x14ac:dyDescent="0.2">
      <c r="A2574" s="13"/>
    </row>
    <row r="2575" spans="1:1" x14ac:dyDescent="0.2">
      <c r="A2575" s="13"/>
    </row>
    <row r="2576" spans="1:1" x14ac:dyDescent="0.2">
      <c r="A2576" s="13"/>
    </row>
    <row r="2577" spans="1:1" x14ac:dyDescent="0.2">
      <c r="A2577" s="13"/>
    </row>
    <row r="2578" spans="1:1" x14ac:dyDescent="0.2">
      <c r="A2578" s="13"/>
    </row>
    <row r="2579" spans="1:1" x14ac:dyDescent="0.2">
      <c r="A2579" s="13"/>
    </row>
    <row r="2580" spans="1:1" x14ac:dyDescent="0.2">
      <c r="A2580" s="13"/>
    </row>
    <row r="2581" spans="1:1" x14ac:dyDescent="0.2">
      <c r="A2581" s="13"/>
    </row>
    <row r="2582" spans="1:1" x14ac:dyDescent="0.2">
      <c r="A2582" s="13"/>
    </row>
    <row r="2583" spans="1:1" x14ac:dyDescent="0.2">
      <c r="A2583" s="13"/>
    </row>
    <row r="2584" spans="1:1" x14ac:dyDescent="0.2">
      <c r="A2584" s="13"/>
    </row>
    <row r="2585" spans="1:1" x14ac:dyDescent="0.2">
      <c r="A2585" s="13"/>
    </row>
    <row r="2586" spans="1:1" x14ac:dyDescent="0.2">
      <c r="A2586" s="13"/>
    </row>
    <row r="2587" spans="1:1" x14ac:dyDescent="0.2">
      <c r="A2587" s="13"/>
    </row>
    <row r="2588" spans="1:1" x14ac:dyDescent="0.2">
      <c r="A2588" s="13"/>
    </row>
    <row r="2589" spans="1:1" x14ac:dyDescent="0.2">
      <c r="A2589" s="13"/>
    </row>
    <row r="2590" spans="1:1" x14ac:dyDescent="0.2">
      <c r="A2590" s="13"/>
    </row>
    <row r="2591" spans="1:1" x14ac:dyDescent="0.2">
      <c r="A2591" s="13"/>
    </row>
    <row r="2592" spans="1:1" x14ac:dyDescent="0.2">
      <c r="A2592" s="13"/>
    </row>
    <row r="2593" spans="1:1" x14ac:dyDescent="0.2">
      <c r="A2593" s="13"/>
    </row>
    <row r="2594" spans="1:1" x14ac:dyDescent="0.2">
      <c r="A2594" s="13"/>
    </row>
    <row r="2595" spans="1:1" x14ac:dyDescent="0.2">
      <c r="A2595" s="13"/>
    </row>
    <row r="2596" spans="1:1" x14ac:dyDescent="0.2">
      <c r="A2596" s="13"/>
    </row>
    <row r="2597" spans="1:1" x14ac:dyDescent="0.2">
      <c r="A2597" s="13"/>
    </row>
    <row r="2598" spans="1:1" x14ac:dyDescent="0.2">
      <c r="A2598" s="13"/>
    </row>
    <row r="2599" spans="1:1" x14ac:dyDescent="0.2">
      <c r="A2599" s="13"/>
    </row>
    <row r="2600" spans="1:1" x14ac:dyDescent="0.2">
      <c r="A2600" s="13"/>
    </row>
    <row r="2601" spans="1:1" x14ac:dyDescent="0.2">
      <c r="A2601" s="13"/>
    </row>
    <row r="2602" spans="1:1" x14ac:dyDescent="0.2">
      <c r="A2602" s="13"/>
    </row>
    <row r="2603" spans="1:1" x14ac:dyDescent="0.2">
      <c r="A2603" s="13"/>
    </row>
    <row r="2604" spans="1:1" x14ac:dyDescent="0.2">
      <c r="A2604" s="13"/>
    </row>
    <row r="2605" spans="1:1" x14ac:dyDescent="0.2">
      <c r="A2605" s="13"/>
    </row>
    <row r="2606" spans="1:1" x14ac:dyDescent="0.2">
      <c r="A2606" s="13"/>
    </row>
    <row r="2607" spans="1:1" x14ac:dyDescent="0.2">
      <c r="A2607" s="13"/>
    </row>
    <row r="2608" spans="1:1" x14ac:dyDescent="0.2">
      <c r="A2608" s="13"/>
    </row>
    <row r="2609" spans="1:1" x14ac:dyDescent="0.2">
      <c r="A2609" s="13"/>
    </row>
    <row r="2610" spans="1:1" x14ac:dyDescent="0.2">
      <c r="A2610" s="13"/>
    </row>
    <row r="2611" spans="1:1" x14ac:dyDescent="0.2">
      <c r="A2611" s="13"/>
    </row>
    <row r="2612" spans="1:1" x14ac:dyDescent="0.2">
      <c r="A2612" s="13"/>
    </row>
    <row r="2613" spans="1:1" x14ac:dyDescent="0.2">
      <c r="A2613" s="13"/>
    </row>
    <row r="2614" spans="1:1" x14ac:dyDescent="0.2">
      <c r="A2614" s="13"/>
    </row>
    <row r="2615" spans="1:1" x14ac:dyDescent="0.2">
      <c r="A2615" s="13"/>
    </row>
    <row r="2616" spans="1:1" x14ac:dyDescent="0.2">
      <c r="A2616" s="13"/>
    </row>
    <row r="2617" spans="1:1" x14ac:dyDescent="0.2">
      <c r="A2617" s="13"/>
    </row>
    <row r="2618" spans="1:1" x14ac:dyDescent="0.2">
      <c r="A2618" s="13"/>
    </row>
    <row r="2619" spans="1:1" x14ac:dyDescent="0.2">
      <c r="A2619" s="13"/>
    </row>
    <row r="2620" spans="1:1" x14ac:dyDescent="0.2">
      <c r="A2620" s="13"/>
    </row>
    <row r="2621" spans="1:1" x14ac:dyDescent="0.2">
      <c r="A2621" s="13"/>
    </row>
    <row r="2622" spans="1:1" x14ac:dyDescent="0.2">
      <c r="A2622" s="13"/>
    </row>
    <row r="2623" spans="1:1" x14ac:dyDescent="0.2">
      <c r="A2623" s="13"/>
    </row>
    <row r="2624" spans="1:1" x14ac:dyDescent="0.2">
      <c r="A2624" s="13"/>
    </row>
    <row r="2625" spans="1:1" x14ac:dyDescent="0.2">
      <c r="A2625" s="13"/>
    </row>
    <row r="2626" spans="1:1" x14ac:dyDescent="0.2">
      <c r="A2626" s="13"/>
    </row>
    <row r="2627" spans="1:1" x14ac:dyDescent="0.2">
      <c r="A2627" s="13"/>
    </row>
    <row r="2628" spans="1:1" x14ac:dyDescent="0.2">
      <c r="A2628" s="13"/>
    </row>
    <row r="2629" spans="1:1" x14ac:dyDescent="0.2">
      <c r="A2629" s="13"/>
    </row>
    <row r="2630" spans="1:1" x14ac:dyDescent="0.2">
      <c r="A2630" s="13"/>
    </row>
    <row r="2631" spans="1:1" x14ac:dyDescent="0.2">
      <c r="A2631" s="13"/>
    </row>
    <row r="2632" spans="1:1" x14ac:dyDescent="0.2">
      <c r="A2632" s="13"/>
    </row>
    <row r="2633" spans="1:1" x14ac:dyDescent="0.2">
      <c r="A2633" s="13"/>
    </row>
    <row r="2634" spans="1:1" x14ac:dyDescent="0.2">
      <c r="A2634" s="13"/>
    </row>
    <row r="2635" spans="1:1" x14ac:dyDescent="0.2">
      <c r="A2635" s="13"/>
    </row>
    <row r="2636" spans="1:1" x14ac:dyDescent="0.2">
      <c r="A2636" s="13"/>
    </row>
    <row r="2637" spans="1:1" x14ac:dyDescent="0.2">
      <c r="A2637" s="13"/>
    </row>
    <row r="2638" spans="1:1" x14ac:dyDescent="0.2">
      <c r="A2638" s="13"/>
    </row>
    <row r="2639" spans="1:1" x14ac:dyDescent="0.2">
      <c r="A2639" s="13"/>
    </row>
    <row r="2640" spans="1:1" x14ac:dyDescent="0.2">
      <c r="A2640" s="13"/>
    </row>
    <row r="2641" spans="1:1" x14ac:dyDescent="0.2">
      <c r="A2641" s="13"/>
    </row>
    <row r="2642" spans="1:1" x14ac:dyDescent="0.2">
      <c r="A2642" s="13"/>
    </row>
    <row r="2643" spans="1:1" x14ac:dyDescent="0.2">
      <c r="A2643" s="13"/>
    </row>
    <row r="2644" spans="1:1" x14ac:dyDescent="0.2">
      <c r="A2644" s="13"/>
    </row>
    <row r="2645" spans="1:1" x14ac:dyDescent="0.2">
      <c r="A2645" s="13"/>
    </row>
    <row r="2646" spans="1:1" x14ac:dyDescent="0.2">
      <c r="A2646" s="13"/>
    </row>
    <row r="2647" spans="1:1" x14ac:dyDescent="0.2">
      <c r="A2647" s="13"/>
    </row>
    <row r="2648" spans="1:1" x14ac:dyDescent="0.2">
      <c r="A2648" s="13"/>
    </row>
    <row r="2649" spans="1:1" x14ac:dyDescent="0.2">
      <c r="A2649" s="13"/>
    </row>
    <row r="2650" spans="1:1" x14ac:dyDescent="0.2">
      <c r="A2650" s="13"/>
    </row>
    <row r="2651" spans="1:1" x14ac:dyDescent="0.2">
      <c r="A2651" s="13"/>
    </row>
    <row r="2652" spans="1:1" x14ac:dyDescent="0.2">
      <c r="A2652" s="13"/>
    </row>
    <row r="2653" spans="1:1" x14ac:dyDescent="0.2">
      <c r="A2653" s="13"/>
    </row>
    <row r="2654" spans="1:1" x14ac:dyDescent="0.2">
      <c r="A2654" s="13"/>
    </row>
    <row r="2655" spans="1:1" x14ac:dyDescent="0.2">
      <c r="A2655" s="13"/>
    </row>
    <row r="2656" spans="1:1" x14ac:dyDescent="0.2">
      <c r="A2656" s="13"/>
    </row>
    <row r="2657" spans="1:1" x14ac:dyDescent="0.2">
      <c r="A2657" s="13"/>
    </row>
    <row r="2658" spans="1:1" x14ac:dyDescent="0.2">
      <c r="A2658" s="13"/>
    </row>
    <row r="2659" spans="1:1" x14ac:dyDescent="0.2">
      <c r="A2659" s="13"/>
    </row>
    <row r="2660" spans="1:1" x14ac:dyDescent="0.2">
      <c r="A2660" s="13"/>
    </row>
    <row r="2661" spans="1:1" x14ac:dyDescent="0.2">
      <c r="A2661" s="13"/>
    </row>
    <row r="2662" spans="1:1" x14ac:dyDescent="0.2">
      <c r="A2662" s="13"/>
    </row>
    <row r="2663" spans="1:1" x14ac:dyDescent="0.2">
      <c r="A2663" s="13"/>
    </row>
    <row r="2664" spans="1:1" x14ac:dyDescent="0.2">
      <c r="A2664" s="13"/>
    </row>
    <row r="2665" spans="1:1" x14ac:dyDescent="0.2">
      <c r="A2665" s="13"/>
    </row>
    <row r="2666" spans="1:1" x14ac:dyDescent="0.2">
      <c r="A2666" s="13"/>
    </row>
    <row r="2667" spans="1:1" x14ac:dyDescent="0.2">
      <c r="A2667" s="13"/>
    </row>
    <row r="2668" spans="1:1" x14ac:dyDescent="0.2">
      <c r="A2668" s="13"/>
    </row>
    <row r="2669" spans="1:1" x14ac:dyDescent="0.2">
      <c r="A2669" s="13"/>
    </row>
    <row r="2670" spans="1:1" x14ac:dyDescent="0.2">
      <c r="A2670" s="13"/>
    </row>
    <row r="2671" spans="1:1" x14ac:dyDescent="0.2">
      <c r="A2671" s="13"/>
    </row>
    <row r="2672" spans="1:1" x14ac:dyDescent="0.2">
      <c r="A2672" s="13"/>
    </row>
    <row r="2673" spans="1:1" x14ac:dyDescent="0.2">
      <c r="A2673" s="13"/>
    </row>
    <row r="2674" spans="1:1" x14ac:dyDescent="0.2">
      <c r="A2674" s="13"/>
    </row>
    <row r="2675" spans="1:1" x14ac:dyDescent="0.2">
      <c r="A2675" s="13"/>
    </row>
    <row r="2676" spans="1:1" x14ac:dyDescent="0.2">
      <c r="A2676" s="13"/>
    </row>
    <row r="2677" spans="1:1" x14ac:dyDescent="0.2">
      <c r="A2677" s="13"/>
    </row>
    <row r="2678" spans="1:1" x14ac:dyDescent="0.2">
      <c r="A2678" s="13"/>
    </row>
    <row r="2679" spans="1:1" x14ac:dyDescent="0.2">
      <c r="A2679" s="13"/>
    </row>
    <row r="2680" spans="1:1" x14ac:dyDescent="0.2">
      <c r="A2680" s="13"/>
    </row>
    <row r="2681" spans="1:1" x14ac:dyDescent="0.2">
      <c r="A2681" s="13"/>
    </row>
    <row r="2682" spans="1:1" x14ac:dyDescent="0.2">
      <c r="A2682" s="13"/>
    </row>
    <row r="2683" spans="1:1" x14ac:dyDescent="0.2">
      <c r="A2683" s="13"/>
    </row>
    <row r="2684" spans="1:1" x14ac:dyDescent="0.2">
      <c r="A2684" s="13"/>
    </row>
    <row r="2685" spans="1:1" x14ac:dyDescent="0.2">
      <c r="A2685" s="13"/>
    </row>
    <row r="2686" spans="1:1" x14ac:dyDescent="0.2">
      <c r="A2686" s="13"/>
    </row>
    <row r="2687" spans="1:1" x14ac:dyDescent="0.2">
      <c r="A2687" s="13"/>
    </row>
    <row r="2688" spans="1:1" x14ac:dyDescent="0.2">
      <c r="A2688" s="13"/>
    </row>
    <row r="2689" spans="1:1" x14ac:dyDescent="0.2">
      <c r="A2689" s="13"/>
    </row>
    <row r="2690" spans="1:1" x14ac:dyDescent="0.2">
      <c r="A2690" s="13"/>
    </row>
    <row r="2691" spans="1:1" x14ac:dyDescent="0.2">
      <c r="A2691" s="13"/>
    </row>
    <row r="2692" spans="1:1" x14ac:dyDescent="0.2">
      <c r="A2692" s="13"/>
    </row>
    <row r="2693" spans="1:1" x14ac:dyDescent="0.2">
      <c r="A2693" s="13"/>
    </row>
    <row r="2694" spans="1:1" x14ac:dyDescent="0.2">
      <c r="A2694" s="13"/>
    </row>
    <row r="2695" spans="1:1" x14ac:dyDescent="0.2">
      <c r="A2695" s="13"/>
    </row>
    <row r="2696" spans="1:1" x14ac:dyDescent="0.2">
      <c r="A2696" s="13"/>
    </row>
    <row r="2697" spans="1:1" x14ac:dyDescent="0.2">
      <c r="A2697" s="13"/>
    </row>
    <row r="2698" spans="1:1" x14ac:dyDescent="0.2">
      <c r="A2698" s="13"/>
    </row>
    <row r="2699" spans="1:1" x14ac:dyDescent="0.2">
      <c r="A2699" s="13"/>
    </row>
    <row r="2700" spans="1:1" x14ac:dyDescent="0.2">
      <c r="A2700" s="13"/>
    </row>
    <row r="2701" spans="1:1" x14ac:dyDescent="0.2">
      <c r="A2701" s="13"/>
    </row>
    <row r="2702" spans="1:1" x14ac:dyDescent="0.2">
      <c r="A2702" s="13"/>
    </row>
    <row r="2703" spans="1:1" x14ac:dyDescent="0.2">
      <c r="A2703" s="13"/>
    </row>
    <row r="2704" spans="1:1" x14ac:dyDescent="0.2">
      <c r="A2704" s="13"/>
    </row>
    <row r="2705" spans="1:1" x14ac:dyDescent="0.2">
      <c r="A2705" s="13"/>
    </row>
    <row r="2706" spans="1:1" x14ac:dyDescent="0.2">
      <c r="A2706" s="13"/>
    </row>
    <row r="2707" spans="1:1" x14ac:dyDescent="0.2">
      <c r="A2707" s="13"/>
    </row>
    <row r="2708" spans="1:1" x14ac:dyDescent="0.2">
      <c r="A2708" s="13"/>
    </row>
    <row r="2709" spans="1:1" x14ac:dyDescent="0.2">
      <c r="A2709" s="13"/>
    </row>
    <row r="2710" spans="1:1" x14ac:dyDescent="0.2">
      <c r="A2710" s="13"/>
    </row>
    <row r="2711" spans="1:1" x14ac:dyDescent="0.2">
      <c r="A2711" s="13"/>
    </row>
    <row r="2712" spans="1:1" x14ac:dyDescent="0.2">
      <c r="A2712" s="13"/>
    </row>
    <row r="2713" spans="1:1" x14ac:dyDescent="0.2">
      <c r="A2713" s="13"/>
    </row>
    <row r="2714" spans="1:1" x14ac:dyDescent="0.2">
      <c r="A2714" s="13"/>
    </row>
    <row r="2715" spans="1:1" x14ac:dyDescent="0.2">
      <c r="A2715" s="13"/>
    </row>
    <row r="2716" spans="1:1" x14ac:dyDescent="0.2">
      <c r="A2716" s="13"/>
    </row>
    <row r="2717" spans="1:1" x14ac:dyDescent="0.2">
      <c r="A2717" s="13"/>
    </row>
    <row r="2718" spans="1:1" x14ac:dyDescent="0.2">
      <c r="A2718" s="13"/>
    </row>
    <row r="2719" spans="1:1" x14ac:dyDescent="0.2">
      <c r="A2719" s="13"/>
    </row>
    <row r="2720" spans="1:1" x14ac:dyDescent="0.2">
      <c r="A2720" s="13"/>
    </row>
    <row r="2721" spans="1:1" x14ac:dyDescent="0.2">
      <c r="A2721" s="13"/>
    </row>
    <row r="2722" spans="1:1" x14ac:dyDescent="0.2">
      <c r="A2722" s="13"/>
    </row>
    <row r="2723" spans="1:1" x14ac:dyDescent="0.2">
      <c r="A2723" s="13"/>
    </row>
    <row r="2724" spans="1:1" x14ac:dyDescent="0.2">
      <c r="A2724" s="13"/>
    </row>
    <row r="2725" spans="1:1" x14ac:dyDescent="0.2">
      <c r="A2725" s="13"/>
    </row>
    <row r="2726" spans="1:1" x14ac:dyDescent="0.2">
      <c r="A2726" s="13"/>
    </row>
    <row r="2727" spans="1:1" x14ac:dyDescent="0.2">
      <c r="A2727" s="13"/>
    </row>
    <row r="2728" spans="1:1" x14ac:dyDescent="0.2">
      <c r="A2728" s="13"/>
    </row>
    <row r="2729" spans="1:1" x14ac:dyDescent="0.2">
      <c r="A2729" s="13"/>
    </row>
    <row r="2730" spans="1:1" x14ac:dyDescent="0.2">
      <c r="A2730" s="13"/>
    </row>
    <row r="2731" spans="1:1" x14ac:dyDescent="0.2">
      <c r="A2731" s="13"/>
    </row>
    <row r="2732" spans="1:1" x14ac:dyDescent="0.2">
      <c r="A2732" s="13"/>
    </row>
    <row r="2733" spans="1:1" x14ac:dyDescent="0.2">
      <c r="A2733" s="13"/>
    </row>
    <row r="2734" spans="1:1" x14ac:dyDescent="0.2">
      <c r="A2734" s="13"/>
    </row>
    <row r="2735" spans="1:1" x14ac:dyDescent="0.2">
      <c r="A2735" s="13"/>
    </row>
    <row r="2736" spans="1:1" x14ac:dyDescent="0.2">
      <c r="A2736" s="13"/>
    </row>
    <row r="2737" spans="1:1" x14ac:dyDescent="0.2">
      <c r="A2737" s="13"/>
    </row>
    <row r="2738" spans="1:1" x14ac:dyDescent="0.2">
      <c r="A2738" s="13"/>
    </row>
    <row r="2739" spans="1:1" x14ac:dyDescent="0.2">
      <c r="A2739" s="13"/>
    </row>
    <row r="2740" spans="1:1" x14ac:dyDescent="0.2">
      <c r="A2740" s="13"/>
    </row>
    <row r="2741" spans="1:1" x14ac:dyDescent="0.2">
      <c r="A2741" s="13"/>
    </row>
    <row r="2742" spans="1:1" x14ac:dyDescent="0.2">
      <c r="A2742" s="13"/>
    </row>
    <row r="2743" spans="1:1" x14ac:dyDescent="0.2">
      <c r="A2743" s="13"/>
    </row>
    <row r="2744" spans="1:1" x14ac:dyDescent="0.2">
      <c r="A2744" s="13"/>
    </row>
    <row r="2745" spans="1:1" x14ac:dyDescent="0.2">
      <c r="A2745" s="13"/>
    </row>
    <row r="2746" spans="1:1" x14ac:dyDescent="0.2">
      <c r="A2746" s="13"/>
    </row>
    <row r="2747" spans="1:1" x14ac:dyDescent="0.2">
      <c r="A2747" s="13"/>
    </row>
    <row r="2748" spans="1:1" x14ac:dyDescent="0.2">
      <c r="A2748" s="13"/>
    </row>
    <row r="2749" spans="1:1" x14ac:dyDescent="0.2">
      <c r="A2749" s="13"/>
    </row>
    <row r="2750" spans="1:1" x14ac:dyDescent="0.2">
      <c r="A2750" s="13"/>
    </row>
    <row r="2751" spans="1:1" x14ac:dyDescent="0.2">
      <c r="A2751" s="13"/>
    </row>
    <row r="2752" spans="1:1" x14ac:dyDescent="0.2">
      <c r="A2752" s="13"/>
    </row>
    <row r="2753" spans="1:1" x14ac:dyDescent="0.2">
      <c r="A2753" s="13"/>
    </row>
    <row r="2754" spans="1:1" x14ac:dyDescent="0.2">
      <c r="A2754" s="13"/>
    </row>
    <row r="2755" spans="1:1" x14ac:dyDescent="0.2">
      <c r="A2755" s="13"/>
    </row>
    <row r="2756" spans="1:1" x14ac:dyDescent="0.2">
      <c r="A2756" s="13"/>
    </row>
    <row r="2757" spans="1:1" x14ac:dyDescent="0.2">
      <c r="A2757" s="13"/>
    </row>
    <row r="2758" spans="1:1" x14ac:dyDescent="0.2">
      <c r="A2758" s="13"/>
    </row>
    <row r="2759" spans="1:1" x14ac:dyDescent="0.2">
      <c r="A2759" s="13"/>
    </row>
    <row r="2760" spans="1:1" x14ac:dyDescent="0.2">
      <c r="A2760" s="13"/>
    </row>
    <row r="2761" spans="1:1" x14ac:dyDescent="0.2">
      <c r="A2761" s="13"/>
    </row>
    <row r="2762" spans="1:1" x14ac:dyDescent="0.2">
      <c r="A2762" s="13"/>
    </row>
    <row r="2763" spans="1:1" x14ac:dyDescent="0.2">
      <c r="A2763" s="13"/>
    </row>
    <row r="2764" spans="1:1" x14ac:dyDescent="0.2">
      <c r="A2764" s="13"/>
    </row>
    <row r="2765" spans="1:1" x14ac:dyDescent="0.2">
      <c r="A2765" s="13"/>
    </row>
    <row r="2766" spans="1:1" x14ac:dyDescent="0.2">
      <c r="A2766" s="13"/>
    </row>
    <row r="2767" spans="1:1" x14ac:dyDescent="0.2">
      <c r="A2767" s="13"/>
    </row>
    <row r="2768" spans="1:1" x14ac:dyDescent="0.2">
      <c r="A2768" s="13"/>
    </row>
    <row r="2769" spans="1:1" x14ac:dyDescent="0.2">
      <c r="A2769" s="13"/>
    </row>
    <row r="2770" spans="1:1" x14ac:dyDescent="0.2">
      <c r="A2770" s="13"/>
    </row>
    <row r="2771" spans="1:1" x14ac:dyDescent="0.2">
      <c r="A2771" s="13"/>
    </row>
    <row r="2772" spans="1:1" x14ac:dyDescent="0.2">
      <c r="A2772" s="13"/>
    </row>
    <row r="2773" spans="1:1" x14ac:dyDescent="0.2">
      <c r="A2773" s="13"/>
    </row>
    <row r="2774" spans="1:1" x14ac:dyDescent="0.2">
      <c r="A2774" s="13"/>
    </row>
    <row r="2775" spans="1:1" x14ac:dyDescent="0.2">
      <c r="A2775" s="13"/>
    </row>
    <row r="2776" spans="1:1" x14ac:dyDescent="0.2">
      <c r="A2776" s="13"/>
    </row>
    <row r="2777" spans="1:1" x14ac:dyDescent="0.2">
      <c r="A2777" s="13"/>
    </row>
    <row r="2778" spans="1:1" x14ac:dyDescent="0.2">
      <c r="A2778" s="13"/>
    </row>
    <row r="2779" spans="1:1" x14ac:dyDescent="0.2">
      <c r="A2779" s="13"/>
    </row>
    <row r="2780" spans="1:1" x14ac:dyDescent="0.2">
      <c r="A2780" s="13"/>
    </row>
    <row r="2781" spans="1:1" x14ac:dyDescent="0.2">
      <c r="A2781" s="13"/>
    </row>
    <row r="2782" spans="1:1" x14ac:dyDescent="0.2">
      <c r="A2782" s="13"/>
    </row>
    <row r="2783" spans="1:1" x14ac:dyDescent="0.2">
      <c r="A2783" s="13"/>
    </row>
    <row r="2784" spans="1:1" x14ac:dyDescent="0.2">
      <c r="A2784" s="13"/>
    </row>
    <row r="2785" spans="1:1" x14ac:dyDescent="0.2">
      <c r="A2785" s="13"/>
    </row>
    <row r="2786" spans="1:1" x14ac:dyDescent="0.2">
      <c r="A2786" s="13"/>
    </row>
    <row r="2787" spans="1:1" x14ac:dyDescent="0.2">
      <c r="A2787" s="13"/>
    </row>
    <row r="2788" spans="1:1" x14ac:dyDescent="0.2">
      <c r="A2788" s="13"/>
    </row>
    <row r="2789" spans="1:1" x14ac:dyDescent="0.2">
      <c r="A2789" s="13"/>
    </row>
    <row r="2790" spans="1:1" x14ac:dyDescent="0.2">
      <c r="A2790" s="13"/>
    </row>
    <row r="2791" spans="1:1" x14ac:dyDescent="0.2">
      <c r="A2791" s="13"/>
    </row>
    <row r="2792" spans="1:1" x14ac:dyDescent="0.2">
      <c r="A2792" s="13"/>
    </row>
    <row r="2793" spans="1:1" x14ac:dyDescent="0.2">
      <c r="A2793" s="13"/>
    </row>
    <row r="2794" spans="1:1" x14ac:dyDescent="0.2">
      <c r="A2794" s="13"/>
    </row>
    <row r="2795" spans="1:1" x14ac:dyDescent="0.2">
      <c r="A2795" s="13"/>
    </row>
    <row r="2796" spans="1:1" x14ac:dyDescent="0.2">
      <c r="A2796" s="13"/>
    </row>
    <row r="2797" spans="1:1" x14ac:dyDescent="0.2">
      <c r="A2797" s="13"/>
    </row>
    <row r="2798" spans="1:1" x14ac:dyDescent="0.2">
      <c r="A2798" s="13"/>
    </row>
    <row r="2799" spans="1:1" x14ac:dyDescent="0.2">
      <c r="A2799" s="13"/>
    </row>
    <row r="2800" spans="1:1" x14ac:dyDescent="0.2">
      <c r="A2800" s="13"/>
    </row>
    <row r="2801" spans="1:1" x14ac:dyDescent="0.2">
      <c r="A2801" s="13"/>
    </row>
    <row r="2802" spans="1:1" x14ac:dyDescent="0.2">
      <c r="A2802" s="13"/>
    </row>
    <row r="2803" spans="1:1" x14ac:dyDescent="0.2">
      <c r="A2803" s="13"/>
    </row>
    <row r="2804" spans="1:1" x14ac:dyDescent="0.2">
      <c r="A2804" s="13"/>
    </row>
    <row r="2805" spans="1:1" x14ac:dyDescent="0.2">
      <c r="A2805" s="13"/>
    </row>
    <row r="2806" spans="1:1" x14ac:dyDescent="0.2">
      <c r="A2806" s="13"/>
    </row>
    <row r="2807" spans="1:1" x14ac:dyDescent="0.2">
      <c r="A2807" s="13"/>
    </row>
    <row r="2808" spans="1:1" x14ac:dyDescent="0.2">
      <c r="A2808" s="13"/>
    </row>
    <row r="2809" spans="1:1" x14ac:dyDescent="0.2">
      <c r="A2809" s="13"/>
    </row>
    <row r="2810" spans="1:1" x14ac:dyDescent="0.2">
      <c r="A2810" s="13"/>
    </row>
    <row r="2811" spans="1:1" x14ac:dyDescent="0.2">
      <c r="A2811" s="13"/>
    </row>
    <row r="2812" spans="1:1" x14ac:dyDescent="0.2">
      <c r="A2812" s="13"/>
    </row>
    <row r="2813" spans="1:1" x14ac:dyDescent="0.2">
      <c r="A2813" s="13"/>
    </row>
    <row r="2814" spans="1:1" x14ac:dyDescent="0.2">
      <c r="A2814" s="13"/>
    </row>
    <row r="2815" spans="1:1" x14ac:dyDescent="0.2">
      <c r="A2815" s="13"/>
    </row>
    <row r="2816" spans="1:1" x14ac:dyDescent="0.2">
      <c r="A2816" s="13"/>
    </row>
    <row r="2817" spans="1:1" x14ac:dyDescent="0.2">
      <c r="A2817" s="13"/>
    </row>
    <row r="2818" spans="1:1" x14ac:dyDescent="0.2">
      <c r="A2818" s="13"/>
    </row>
    <row r="2819" spans="1:1" x14ac:dyDescent="0.2">
      <c r="A2819" s="13"/>
    </row>
    <row r="2820" spans="1:1" x14ac:dyDescent="0.2">
      <c r="A2820" s="13"/>
    </row>
    <row r="2821" spans="1:1" x14ac:dyDescent="0.2">
      <c r="A2821" s="13"/>
    </row>
    <row r="2822" spans="1:1" x14ac:dyDescent="0.2">
      <c r="A2822" s="13"/>
    </row>
    <row r="2823" spans="1:1" x14ac:dyDescent="0.2">
      <c r="A2823" s="13"/>
    </row>
    <row r="2824" spans="1:1" x14ac:dyDescent="0.2">
      <c r="A2824" s="13"/>
    </row>
    <row r="2825" spans="1:1" x14ac:dyDescent="0.2">
      <c r="A2825" s="13"/>
    </row>
    <row r="2826" spans="1:1" x14ac:dyDescent="0.2">
      <c r="A2826" s="13"/>
    </row>
    <row r="2827" spans="1:1" x14ac:dyDescent="0.2">
      <c r="A2827" s="13"/>
    </row>
    <row r="2828" spans="1:1" x14ac:dyDescent="0.2">
      <c r="A2828" s="13"/>
    </row>
    <row r="2829" spans="1:1" x14ac:dyDescent="0.2">
      <c r="A2829" s="13"/>
    </row>
    <row r="2830" spans="1:1" x14ac:dyDescent="0.2">
      <c r="A2830" s="13"/>
    </row>
    <row r="2831" spans="1:1" x14ac:dyDescent="0.2">
      <c r="A2831" s="13"/>
    </row>
    <row r="2832" spans="1:1" x14ac:dyDescent="0.2">
      <c r="A2832" s="13"/>
    </row>
    <row r="2833" spans="1:1" x14ac:dyDescent="0.2">
      <c r="A2833" s="13"/>
    </row>
    <row r="2834" spans="1:1" x14ac:dyDescent="0.2">
      <c r="A2834" s="13"/>
    </row>
    <row r="2835" spans="1:1" x14ac:dyDescent="0.2">
      <c r="A2835" s="13"/>
    </row>
    <row r="2836" spans="1:1" x14ac:dyDescent="0.2">
      <c r="A2836" s="13"/>
    </row>
    <row r="2837" spans="1:1" x14ac:dyDescent="0.2">
      <c r="A2837" s="13"/>
    </row>
    <row r="2838" spans="1:1" x14ac:dyDescent="0.2">
      <c r="A2838" s="13"/>
    </row>
    <row r="2839" spans="1:1" x14ac:dyDescent="0.2">
      <c r="A2839" s="13"/>
    </row>
    <row r="2840" spans="1:1" x14ac:dyDescent="0.2">
      <c r="A2840" s="13"/>
    </row>
    <row r="2841" spans="1:1" x14ac:dyDescent="0.2">
      <c r="A2841" s="13"/>
    </row>
    <row r="2842" spans="1:1" x14ac:dyDescent="0.2">
      <c r="A2842" s="13"/>
    </row>
    <row r="2843" spans="1:1" x14ac:dyDescent="0.2">
      <c r="A2843" s="13"/>
    </row>
    <row r="2844" spans="1:1" x14ac:dyDescent="0.2">
      <c r="A2844" s="13"/>
    </row>
    <row r="2845" spans="1:1" x14ac:dyDescent="0.2">
      <c r="A2845" s="13"/>
    </row>
    <row r="2846" spans="1:1" x14ac:dyDescent="0.2">
      <c r="A2846" s="13"/>
    </row>
    <row r="2847" spans="1:1" x14ac:dyDescent="0.2">
      <c r="A2847" s="13"/>
    </row>
    <row r="2848" spans="1:1" x14ac:dyDescent="0.2">
      <c r="A2848" s="13"/>
    </row>
    <row r="2849" spans="1:1" x14ac:dyDescent="0.2">
      <c r="A2849" s="13"/>
    </row>
    <row r="2850" spans="1:1" x14ac:dyDescent="0.2">
      <c r="A2850" s="13"/>
    </row>
    <row r="2851" spans="1:1" x14ac:dyDescent="0.2">
      <c r="A2851" s="13"/>
    </row>
    <row r="2852" spans="1:1" x14ac:dyDescent="0.2">
      <c r="A2852" s="13"/>
    </row>
    <row r="2853" spans="1:1" x14ac:dyDescent="0.2">
      <c r="A2853" s="13"/>
    </row>
    <row r="2854" spans="1:1" x14ac:dyDescent="0.2">
      <c r="A2854" s="13"/>
    </row>
    <row r="2855" spans="1:1" x14ac:dyDescent="0.2">
      <c r="A2855" s="13"/>
    </row>
    <row r="2856" spans="1:1" x14ac:dyDescent="0.2">
      <c r="A2856" s="13"/>
    </row>
    <row r="2857" spans="1:1" x14ac:dyDescent="0.2">
      <c r="A2857" s="13"/>
    </row>
    <row r="2858" spans="1:1" x14ac:dyDescent="0.2">
      <c r="A2858" s="13"/>
    </row>
    <row r="2859" spans="1:1" x14ac:dyDescent="0.2">
      <c r="A2859" s="13"/>
    </row>
    <row r="2860" spans="1:1" x14ac:dyDescent="0.2">
      <c r="A2860" s="13"/>
    </row>
    <row r="2861" spans="1:1" x14ac:dyDescent="0.2">
      <c r="A2861" s="13"/>
    </row>
    <row r="2862" spans="1:1" x14ac:dyDescent="0.2">
      <c r="A2862" s="13"/>
    </row>
    <row r="2863" spans="1:1" x14ac:dyDescent="0.2">
      <c r="A2863" s="13"/>
    </row>
    <row r="2864" spans="1:1" x14ac:dyDescent="0.2">
      <c r="A2864" s="13"/>
    </row>
    <row r="2865" spans="1:1" x14ac:dyDescent="0.2">
      <c r="A2865" s="13"/>
    </row>
    <row r="2866" spans="1:1" x14ac:dyDescent="0.2">
      <c r="A2866" s="13"/>
    </row>
    <row r="2867" spans="1:1" x14ac:dyDescent="0.2">
      <c r="A2867" s="13"/>
    </row>
    <row r="2868" spans="1:1" x14ac:dyDescent="0.2">
      <c r="A2868" s="13"/>
    </row>
    <row r="2869" spans="1:1" x14ac:dyDescent="0.2">
      <c r="A2869" s="13"/>
    </row>
    <row r="2870" spans="1:1" x14ac:dyDescent="0.2">
      <c r="A2870" s="13"/>
    </row>
    <row r="2871" spans="1:1" x14ac:dyDescent="0.2">
      <c r="A2871" s="13"/>
    </row>
    <row r="2872" spans="1:1" x14ac:dyDescent="0.2">
      <c r="A2872" s="13"/>
    </row>
    <row r="2873" spans="1:1" x14ac:dyDescent="0.2">
      <c r="A2873" s="13"/>
    </row>
    <row r="2874" spans="1:1" x14ac:dyDescent="0.2">
      <c r="A2874" s="13"/>
    </row>
    <row r="2875" spans="1:1" x14ac:dyDescent="0.2">
      <c r="A2875" s="13"/>
    </row>
    <row r="2876" spans="1:1" x14ac:dyDescent="0.2">
      <c r="A2876" s="13"/>
    </row>
    <row r="2877" spans="1:1" x14ac:dyDescent="0.2">
      <c r="A2877" s="13"/>
    </row>
    <row r="2878" spans="1:1" x14ac:dyDescent="0.2">
      <c r="A2878" s="13"/>
    </row>
    <row r="2879" spans="1:1" x14ac:dyDescent="0.2">
      <c r="A2879" s="13"/>
    </row>
    <row r="2880" spans="1:1" x14ac:dyDescent="0.2">
      <c r="A2880" s="13"/>
    </row>
    <row r="2881" spans="1:1" x14ac:dyDescent="0.2">
      <c r="A2881" s="13"/>
    </row>
    <row r="2882" spans="1:1" x14ac:dyDescent="0.2">
      <c r="A2882" s="13"/>
    </row>
    <row r="2883" spans="1:1" x14ac:dyDescent="0.2">
      <c r="A2883" s="13"/>
    </row>
    <row r="2884" spans="1:1" x14ac:dyDescent="0.2">
      <c r="A2884" s="13"/>
    </row>
    <row r="2885" spans="1:1" x14ac:dyDescent="0.2">
      <c r="A2885" s="13"/>
    </row>
    <row r="2886" spans="1:1" x14ac:dyDescent="0.2">
      <c r="A2886" s="13"/>
    </row>
    <row r="2887" spans="1:1" x14ac:dyDescent="0.2">
      <c r="A2887" s="13"/>
    </row>
    <row r="2888" spans="1:1" x14ac:dyDescent="0.2">
      <c r="A2888" s="13"/>
    </row>
    <row r="2889" spans="1:1" x14ac:dyDescent="0.2">
      <c r="A2889" s="13"/>
    </row>
    <row r="2890" spans="1:1" x14ac:dyDescent="0.2">
      <c r="A2890" s="13"/>
    </row>
    <row r="2891" spans="1:1" x14ac:dyDescent="0.2">
      <c r="A2891" s="13"/>
    </row>
    <row r="2892" spans="1:1" x14ac:dyDescent="0.2">
      <c r="A2892" s="13"/>
    </row>
    <row r="2893" spans="1:1" x14ac:dyDescent="0.2">
      <c r="A2893" s="13"/>
    </row>
    <row r="2894" spans="1:1" x14ac:dyDescent="0.2">
      <c r="A2894" s="13"/>
    </row>
    <row r="2895" spans="1:1" x14ac:dyDescent="0.2">
      <c r="A2895" s="13"/>
    </row>
    <row r="2896" spans="1:1" x14ac:dyDescent="0.2">
      <c r="A2896" s="13"/>
    </row>
    <row r="2897" spans="1:1" x14ac:dyDescent="0.2">
      <c r="A2897" s="13"/>
    </row>
    <row r="2898" spans="1:1" x14ac:dyDescent="0.2">
      <c r="A2898" s="13"/>
    </row>
    <row r="2899" spans="1:1" x14ac:dyDescent="0.2">
      <c r="A2899" s="13"/>
    </row>
    <row r="2900" spans="1:1" x14ac:dyDescent="0.2">
      <c r="A2900" s="13"/>
    </row>
    <row r="2901" spans="1:1" x14ac:dyDescent="0.2">
      <c r="A2901" s="13"/>
    </row>
    <row r="2902" spans="1:1" x14ac:dyDescent="0.2">
      <c r="A2902" s="13"/>
    </row>
    <row r="2903" spans="1:1" x14ac:dyDescent="0.2">
      <c r="A2903" s="13"/>
    </row>
    <row r="2904" spans="1:1" x14ac:dyDescent="0.2">
      <c r="A2904" s="13"/>
    </row>
    <row r="2905" spans="1:1" x14ac:dyDescent="0.2">
      <c r="A2905" s="13"/>
    </row>
    <row r="2906" spans="1:1" x14ac:dyDescent="0.2">
      <c r="A2906" s="13"/>
    </row>
    <row r="2907" spans="1:1" x14ac:dyDescent="0.2">
      <c r="A2907" s="13"/>
    </row>
    <row r="2908" spans="1:1" x14ac:dyDescent="0.2">
      <c r="A2908" s="13"/>
    </row>
    <row r="2909" spans="1:1" x14ac:dyDescent="0.2">
      <c r="A2909" s="13"/>
    </row>
    <row r="2910" spans="1:1" x14ac:dyDescent="0.2">
      <c r="A2910" s="13"/>
    </row>
    <row r="2911" spans="1:1" x14ac:dyDescent="0.2">
      <c r="A2911" s="13"/>
    </row>
    <row r="2912" spans="1:1" x14ac:dyDescent="0.2">
      <c r="A2912" s="13"/>
    </row>
    <row r="2913" spans="1:1" x14ac:dyDescent="0.2">
      <c r="A2913" s="13"/>
    </row>
    <row r="2914" spans="1:1" x14ac:dyDescent="0.2">
      <c r="A2914" s="13"/>
    </row>
    <row r="2915" spans="1:1" x14ac:dyDescent="0.2">
      <c r="A2915" s="13"/>
    </row>
    <row r="2916" spans="1:1" x14ac:dyDescent="0.2">
      <c r="A2916" s="13"/>
    </row>
    <row r="2917" spans="1:1" x14ac:dyDescent="0.2">
      <c r="A2917" s="13"/>
    </row>
    <row r="2918" spans="1:1" x14ac:dyDescent="0.2">
      <c r="A2918" s="13"/>
    </row>
    <row r="2919" spans="1:1" x14ac:dyDescent="0.2">
      <c r="A2919" s="13"/>
    </row>
    <row r="2920" spans="1:1" x14ac:dyDescent="0.2">
      <c r="A2920" s="13"/>
    </row>
    <row r="2921" spans="1:1" x14ac:dyDescent="0.2">
      <c r="A2921" s="13"/>
    </row>
    <row r="2922" spans="1:1" x14ac:dyDescent="0.2">
      <c r="A2922" s="13"/>
    </row>
    <row r="2923" spans="1:1" x14ac:dyDescent="0.2">
      <c r="A2923" s="13"/>
    </row>
    <row r="2924" spans="1:1" x14ac:dyDescent="0.2">
      <c r="A2924" s="13"/>
    </row>
    <row r="2925" spans="1:1" x14ac:dyDescent="0.2">
      <c r="A2925" s="13"/>
    </row>
    <row r="2926" spans="1:1" x14ac:dyDescent="0.2">
      <c r="A2926" s="13"/>
    </row>
    <row r="2927" spans="1:1" x14ac:dyDescent="0.2">
      <c r="A2927" s="13"/>
    </row>
    <row r="2928" spans="1:1" x14ac:dyDescent="0.2">
      <c r="A2928" s="13"/>
    </row>
    <row r="2929" spans="1:1" x14ac:dyDescent="0.2">
      <c r="A2929" s="13"/>
    </row>
    <row r="2930" spans="1:1" x14ac:dyDescent="0.2">
      <c r="A2930" s="13"/>
    </row>
    <row r="2931" spans="1:1" x14ac:dyDescent="0.2">
      <c r="A2931" s="13"/>
    </row>
    <row r="2932" spans="1:1" x14ac:dyDescent="0.2">
      <c r="A2932" s="13"/>
    </row>
    <row r="2933" spans="1:1" x14ac:dyDescent="0.2">
      <c r="A2933" s="13"/>
    </row>
    <row r="2934" spans="1:1" x14ac:dyDescent="0.2">
      <c r="A2934" s="13"/>
    </row>
    <row r="2935" spans="1:1" x14ac:dyDescent="0.2">
      <c r="A2935" s="13"/>
    </row>
    <row r="2936" spans="1:1" x14ac:dyDescent="0.2">
      <c r="A2936" s="13"/>
    </row>
    <row r="2937" spans="1:1" x14ac:dyDescent="0.2">
      <c r="A2937" s="13"/>
    </row>
    <row r="2938" spans="1:1" x14ac:dyDescent="0.2">
      <c r="A2938" s="13"/>
    </row>
    <row r="2939" spans="1:1" x14ac:dyDescent="0.2">
      <c r="A2939" s="13"/>
    </row>
    <row r="2940" spans="1:1" x14ac:dyDescent="0.2">
      <c r="A2940" s="13"/>
    </row>
    <row r="2941" spans="1:1" x14ac:dyDescent="0.2">
      <c r="A2941" s="13"/>
    </row>
    <row r="2942" spans="1:1" x14ac:dyDescent="0.2">
      <c r="A2942" s="13"/>
    </row>
    <row r="2943" spans="1:1" x14ac:dyDescent="0.2">
      <c r="A2943" s="13"/>
    </row>
    <row r="2944" spans="1:1" x14ac:dyDescent="0.2">
      <c r="A2944" s="13"/>
    </row>
    <row r="2945" spans="1:1" x14ac:dyDescent="0.2">
      <c r="A2945" s="13"/>
    </row>
    <row r="2946" spans="1:1" x14ac:dyDescent="0.2">
      <c r="A2946" s="13"/>
    </row>
    <row r="2947" spans="1:1" x14ac:dyDescent="0.2">
      <c r="A2947" s="13"/>
    </row>
    <row r="2948" spans="1:1" x14ac:dyDescent="0.2">
      <c r="A2948" s="13"/>
    </row>
    <row r="2949" spans="1:1" x14ac:dyDescent="0.2">
      <c r="A2949" s="13"/>
    </row>
    <row r="2950" spans="1:1" x14ac:dyDescent="0.2">
      <c r="A2950" s="13"/>
    </row>
    <row r="2951" spans="1:1" x14ac:dyDescent="0.2">
      <c r="A2951" s="13"/>
    </row>
    <row r="2952" spans="1:1" x14ac:dyDescent="0.2">
      <c r="A2952" s="13"/>
    </row>
    <row r="2953" spans="1:1" x14ac:dyDescent="0.2">
      <c r="A2953" s="13"/>
    </row>
    <row r="2954" spans="1:1" x14ac:dyDescent="0.2">
      <c r="A2954" s="13"/>
    </row>
    <row r="2955" spans="1:1" x14ac:dyDescent="0.2">
      <c r="A2955" s="13"/>
    </row>
    <row r="2956" spans="1:1" x14ac:dyDescent="0.2">
      <c r="A2956" s="13"/>
    </row>
    <row r="2957" spans="1:1" x14ac:dyDescent="0.2">
      <c r="A2957" s="13"/>
    </row>
    <row r="2958" spans="1:1" x14ac:dyDescent="0.2">
      <c r="A2958" s="13"/>
    </row>
    <row r="2959" spans="1:1" x14ac:dyDescent="0.2">
      <c r="A2959" s="13"/>
    </row>
    <row r="2960" spans="1:1" x14ac:dyDescent="0.2">
      <c r="A2960" s="13"/>
    </row>
    <row r="2961" spans="1:1" x14ac:dyDescent="0.2">
      <c r="A2961" s="13"/>
    </row>
    <row r="2962" spans="1:1" x14ac:dyDescent="0.2">
      <c r="A2962" s="13"/>
    </row>
    <row r="2963" spans="1:1" x14ac:dyDescent="0.2">
      <c r="A2963" s="13"/>
    </row>
    <row r="2964" spans="1:1" x14ac:dyDescent="0.2">
      <c r="A2964" s="13"/>
    </row>
    <row r="2965" spans="1:1" x14ac:dyDescent="0.2">
      <c r="A2965" s="13"/>
    </row>
    <row r="2966" spans="1:1" x14ac:dyDescent="0.2">
      <c r="A2966" s="13"/>
    </row>
    <row r="2967" spans="1:1" x14ac:dyDescent="0.2">
      <c r="A2967" s="13"/>
    </row>
    <row r="2968" spans="1:1" x14ac:dyDescent="0.2">
      <c r="A2968" s="13"/>
    </row>
    <row r="2969" spans="1:1" x14ac:dyDescent="0.2">
      <c r="A2969" s="13"/>
    </row>
    <row r="2970" spans="1:1" x14ac:dyDescent="0.2">
      <c r="A2970" s="13"/>
    </row>
    <row r="2971" spans="1:1" x14ac:dyDescent="0.2">
      <c r="A2971" s="13"/>
    </row>
    <row r="2972" spans="1:1" x14ac:dyDescent="0.2">
      <c r="A2972" s="13"/>
    </row>
    <row r="2973" spans="1:1" x14ac:dyDescent="0.2">
      <c r="A2973" s="13"/>
    </row>
    <row r="2974" spans="1:1" x14ac:dyDescent="0.2">
      <c r="A2974" s="13"/>
    </row>
    <row r="2975" spans="1:1" x14ac:dyDescent="0.2">
      <c r="A2975" s="13"/>
    </row>
    <row r="2976" spans="1:1" x14ac:dyDescent="0.2">
      <c r="A2976" s="13"/>
    </row>
    <row r="2977" spans="1:1" x14ac:dyDescent="0.2">
      <c r="A2977" s="13"/>
    </row>
    <row r="2978" spans="1:1" x14ac:dyDescent="0.2">
      <c r="A2978" s="13"/>
    </row>
    <row r="2979" spans="1:1" x14ac:dyDescent="0.2">
      <c r="A2979" s="13"/>
    </row>
    <row r="2980" spans="1:1" x14ac:dyDescent="0.2">
      <c r="A2980" s="13"/>
    </row>
    <row r="2981" spans="1:1" x14ac:dyDescent="0.2">
      <c r="A2981" s="13"/>
    </row>
    <row r="2982" spans="1:1" x14ac:dyDescent="0.2">
      <c r="A2982" s="13"/>
    </row>
    <row r="2983" spans="1:1" x14ac:dyDescent="0.2">
      <c r="A2983" s="13"/>
    </row>
    <row r="2984" spans="1:1" x14ac:dyDescent="0.2">
      <c r="A2984" s="13"/>
    </row>
    <row r="2985" spans="1:1" x14ac:dyDescent="0.2">
      <c r="A2985" s="13"/>
    </row>
    <row r="2986" spans="1:1" x14ac:dyDescent="0.2">
      <c r="A2986" s="13"/>
    </row>
    <row r="2987" spans="1:1" x14ac:dyDescent="0.2">
      <c r="A2987" s="13"/>
    </row>
    <row r="2988" spans="1:1" x14ac:dyDescent="0.2">
      <c r="A2988" s="13"/>
    </row>
    <row r="2989" spans="1:1" x14ac:dyDescent="0.2">
      <c r="A2989" s="13"/>
    </row>
    <row r="2990" spans="1:1" x14ac:dyDescent="0.2">
      <c r="A2990" s="13"/>
    </row>
    <row r="2991" spans="1:1" x14ac:dyDescent="0.2">
      <c r="A2991" s="13"/>
    </row>
    <row r="2992" spans="1:1" x14ac:dyDescent="0.2">
      <c r="A2992" s="13"/>
    </row>
    <row r="2993" spans="1:1" x14ac:dyDescent="0.2">
      <c r="A2993" s="13"/>
    </row>
    <row r="2994" spans="1:1" x14ac:dyDescent="0.2">
      <c r="A2994" s="13"/>
    </row>
    <row r="2995" spans="1:1" x14ac:dyDescent="0.2">
      <c r="A2995" s="13"/>
    </row>
    <row r="2996" spans="1:1" x14ac:dyDescent="0.2">
      <c r="A2996" s="13"/>
    </row>
    <row r="2997" spans="1:1" x14ac:dyDescent="0.2">
      <c r="A2997" s="13"/>
    </row>
    <row r="2998" spans="1:1" x14ac:dyDescent="0.2">
      <c r="A2998" s="13"/>
    </row>
    <row r="2999" spans="1:1" x14ac:dyDescent="0.2">
      <c r="A2999" s="13"/>
    </row>
    <row r="3000" spans="1:1" x14ac:dyDescent="0.2">
      <c r="A3000" s="13"/>
    </row>
    <row r="3001" spans="1:1" x14ac:dyDescent="0.2">
      <c r="A3001" s="13"/>
    </row>
    <row r="3002" spans="1:1" x14ac:dyDescent="0.2">
      <c r="A3002" s="13"/>
    </row>
    <row r="3003" spans="1:1" x14ac:dyDescent="0.2">
      <c r="A3003" s="13"/>
    </row>
    <row r="3004" spans="1:1" x14ac:dyDescent="0.2">
      <c r="A3004" s="13"/>
    </row>
    <row r="3005" spans="1:1" x14ac:dyDescent="0.2">
      <c r="A3005" s="13"/>
    </row>
    <row r="3006" spans="1:1" x14ac:dyDescent="0.2">
      <c r="A3006" s="13"/>
    </row>
    <row r="3007" spans="1:1" x14ac:dyDescent="0.2">
      <c r="A3007" s="13"/>
    </row>
    <row r="3008" spans="1:1" x14ac:dyDescent="0.2">
      <c r="A3008" s="13"/>
    </row>
    <row r="3009" spans="1:1" x14ac:dyDescent="0.2">
      <c r="A3009" s="13"/>
    </row>
    <row r="3010" spans="1:1" x14ac:dyDescent="0.2">
      <c r="A3010" s="13"/>
    </row>
    <row r="3011" spans="1:1" x14ac:dyDescent="0.2">
      <c r="A3011" s="13"/>
    </row>
    <row r="3012" spans="1:1" x14ac:dyDescent="0.2">
      <c r="A3012" s="13"/>
    </row>
    <row r="3013" spans="1:1" x14ac:dyDescent="0.2">
      <c r="A3013" s="13"/>
    </row>
    <row r="3014" spans="1:1" x14ac:dyDescent="0.2">
      <c r="A3014" s="13"/>
    </row>
    <row r="3015" spans="1:1" x14ac:dyDescent="0.2">
      <c r="A3015" s="13"/>
    </row>
    <row r="3016" spans="1:1" x14ac:dyDescent="0.2">
      <c r="A3016" s="13"/>
    </row>
    <row r="3017" spans="1:1" x14ac:dyDescent="0.2">
      <c r="A3017" s="13"/>
    </row>
    <row r="3018" spans="1:1" x14ac:dyDescent="0.2">
      <c r="A3018" s="13"/>
    </row>
    <row r="3019" spans="1:1" x14ac:dyDescent="0.2">
      <c r="A3019" s="13"/>
    </row>
    <row r="3020" spans="1:1" x14ac:dyDescent="0.2">
      <c r="A3020" s="13"/>
    </row>
    <row r="3021" spans="1:1" x14ac:dyDescent="0.2">
      <c r="A3021" s="13"/>
    </row>
    <row r="3022" spans="1:1" x14ac:dyDescent="0.2">
      <c r="A3022" s="13"/>
    </row>
    <row r="3023" spans="1:1" x14ac:dyDescent="0.2">
      <c r="A3023" s="13"/>
    </row>
    <row r="3024" spans="1:1" x14ac:dyDescent="0.2">
      <c r="A3024" s="13"/>
    </row>
    <row r="3025" spans="1:1" x14ac:dyDescent="0.2">
      <c r="A3025" s="13"/>
    </row>
    <row r="3026" spans="1:1" x14ac:dyDescent="0.2">
      <c r="A3026" s="13"/>
    </row>
    <row r="3027" spans="1:1" x14ac:dyDescent="0.2">
      <c r="A3027" s="13"/>
    </row>
    <row r="3028" spans="1:1" x14ac:dyDescent="0.2">
      <c r="A3028" s="13"/>
    </row>
    <row r="3029" spans="1:1" x14ac:dyDescent="0.2">
      <c r="A3029" s="13"/>
    </row>
    <row r="3030" spans="1:1" x14ac:dyDescent="0.2">
      <c r="A3030" s="13"/>
    </row>
    <row r="3031" spans="1:1" x14ac:dyDescent="0.2">
      <c r="A3031" s="13"/>
    </row>
    <row r="3032" spans="1:1" x14ac:dyDescent="0.2">
      <c r="A3032" s="13"/>
    </row>
    <row r="3033" spans="1:1" x14ac:dyDescent="0.2">
      <c r="A3033" s="13"/>
    </row>
    <row r="3034" spans="1:1" x14ac:dyDescent="0.2">
      <c r="A3034" s="13"/>
    </row>
    <row r="3035" spans="1:1" x14ac:dyDescent="0.2">
      <c r="A3035" s="13"/>
    </row>
    <row r="3036" spans="1:1" x14ac:dyDescent="0.2">
      <c r="A3036" s="13"/>
    </row>
    <row r="3037" spans="1:1" x14ac:dyDescent="0.2">
      <c r="A3037" s="13"/>
    </row>
    <row r="3038" spans="1:1" x14ac:dyDescent="0.2">
      <c r="A3038" s="13"/>
    </row>
    <row r="3039" spans="1:1" x14ac:dyDescent="0.2">
      <c r="A3039" s="13"/>
    </row>
    <row r="3040" spans="1:1" x14ac:dyDescent="0.2">
      <c r="A3040" s="13"/>
    </row>
    <row r="3041" spans="1:1" x14ac:dyDescent="0.2">
      <c r="A3041" s="13"/>
    </row>
    <row r="3042" spans="1:1" x14ac:dyDescent="0.2">
      <c r="A3042" s="13"/>
    </row>
    <row r="3043" spans="1:1" x14ac:dyDescent="0.2">
      <c r="A3043" s="13"/>
    </row>
    <row r="3044" spans="1:1" x14ac:dyDescent="0.2">
      <c r="A3044" s="13"/>
    </row>
    <row r="3045" spans="1:1" x14ac:dyDescent="0.2">
      <c r="A3045" s="13"/>
    </row>
    <row r="3046" spans="1:1" x14ac:dyDescent="0.2">
      <c r="A3046" s="13"/>
    </row>
    <row r="3047" spans="1:1" x14ac:dyDescent="0.2">
      <c r="A3047" s="13"/>
    </row>
    <row r="3048" spans="1:1" x14ac:dyDescent="0.2">
      <c r="A3048" s="13"/>
    </row>
    <row r="3049" spans="1:1" x14ac:dyDescent="0.2">
      <c r="A3049" s="13"/>
    </row>
    <row r="3050" spans="1:1" x14ac:dyDescent="0.2">
      <c r="A3050" s="13"/>
    </row>
    <row r="3051" spans="1:1" x14ac:dyDescent="0.2">
      <c r="A3051" s="13"/>
    </row>
    <row r="3052" spans="1:1" x14ac:dyDescent="0.2">
      <c r="A3052" s="13"/>
    </row>
    <row r="3053" spans="1:1" x14ac:dyDescent="0.2">
      <c r="A3053" s="13"/>
    </row>
    <row r="3054" spans="1:1" x14ac:dyDescent="0.2">
      <c r="A3054" s="13"/>
    </row>
    <row r="3055" spans="1:1" x14ac:dyDescent="0.2">
      <c r="A3055" s="13"/>
    </row>
    <row r="3056" spans="1:1" x14ac:dyDescent="0.2">
      <c r="A3056" s="13"/>
    </row>
    <row r="3057" spans="1:1" x14ac:dyDescent="0.2">
      <c r="A3057" s="13"/>
    </row>
    <row r="3058" spans="1:1" x14ac:dyDescent="0.2">
      <c r="A3058" s="13"/>
    </row>
    <row r="3059" spans="1:1" x14ac:dyDescent="0.2">
      <c r="A3059" s="13"/>
    </row>
    <row r="3060" spans="1:1" x14ac:dyDescent="0.2">
      <c r="A3060" s="13"/>
    </row>
    <row r="3061" spans="1:1" x14ac:dyDescent="0.2">
      <c r="A3061" s="13"/>
    </row>
    <row r="3062" spans="1:1" x14ac:dyDescent="0.2">
      <c r="A3062" s="13"/>
    </row>
    <row r="3063" spans="1:1" x14ac:dyDescent="0.2">
      <c r="A3063" s="13"/>
    </row>
    <row r="3064" spans="1:1" x14ac:dyDescent="0.2">
      <c r="A3064" s="13"/>
    </row>
    <row r="3065" spans="1:1" x14ac:dyDescent="0.2">
      <c r="A3065" s="13"/>
    </row>
    <row r="3066" spans="1:1" x14ac:dyDescent="0.2">
      <c r="A3066" s="13"/>
    </row>
    <row r="3067" spans="1:1" x14ac:dyDescent="0.2">
      <c r="A3067" s="13"/>
    </row>
    <row r="3068" spans="1:1" x14ac:dyDescent="0.2">
      <c r="A3068" s="13"/>
    </row>
    <row r="3069" spans="1:1" x14ac:dyDescent="0.2">
      <c r="A3069" s="13"/>
    </row>
    <row r="3070" spans="1:1" x14ac:dyDescent="0.2">
      <c r="A3070" s="13"/>
    </row>
    <row r="3071" spans="1:1" x14ac:dyDescent="0.2">
      <c r="A3071" s="13"/>
    </row>
    <row r="3072" spans="1:1" x14ac:dyDescent="0.2">
      <c r="A3072" s="13"/>
    </row>
    <row r="3073" spans="1:1" x14ac:dyDescent="0.2">
      <c r="A3073" s="13"/>
    </row>
    <row r="3074" spans="1:1" x14ac:dyDescent="0.2">
      <c r="A3074" s="13"/>
    </row>
    <row r="3075" spans="1:1" x14ac:dyDescent="0.2">
      <c r="A3075" s="13"/>
    </row>
    <row r="3076" spans="1:1" x14ac:dyDescent="0.2">
      <c r="A3076" s="13"/>
    </row>
    <row r="3077" spans="1:1" x14ac:dyDescent="0.2">
      <c r="A3077" s="13"/>
    </row>
    <row r="3078" spans="1:1" x14ac:dyDescent="0.2">
      <c r="A3078" s="13"/>
    </row>
    <row r="3079" spans="1:1" x14ac:dyDescent="0.2">
      <c r="A3079" s="13"/>
    </row>
    <row r="3080" spans="1:1" x14ac:dyDescent="0.2">
      <c r="A3080" s="13"/>
    </row>
    <row r="3081" spans="1:1" x14ac:dyDescent="0.2">
      <c r="A3081" s="13"/>
    </row>
    <row r="3082" spans="1:1" x14ac:dyDescent="0.2">
      <c r="A3082" s="13"/>
    </row>
    <row r="3083" spans="1:1" x14ac:dyDescent="0.2">
      <c r="A3083" s="13"/>
    </row>
    <row r="3084" spans="1:1" x14ac:dyDescent="0.2">
      <c r="A3084" s="13"/>
    </row>
    <row r="3085" spans="1:1" x14ac:dyDescent="0.2">
      <c r="A3085" s="13"/>
    </row>
    <row r="3086" spans="1:1" x14ac:dyDescent="0.2">
      <c r="A3086" s="13"/>
    </row>
    <row r="3087" spans="1:1" x14ac:dyDescent="0.2">
      <c r="A3087" s="13"/>
    </row>
    <row r="3088" spans="1:1" x14ac:dyDescent="0.2">
      <c r="A3088" s="13"/>
    </row>
    <row r="3089" spans="1:1" x14ac:dyDescent="0.2">
      <c r="A3089" s="13"/>
    </row>
    <row r="3090" spans="1:1" x14ac:dyDescent="0.2">
      <c r="A3090" s="13"/>
    </row>
    <row r="3091" spans="1:1" x14ac:dyDescent="0.2">
      <c r="A3091" s="13"/>
    </row>
    <row r="3092" spans="1:1" x14ac:dyDescent="0.2">
      <c r="A3092" s="13"/>
    </row>
    <row r="3093" spans="1:1" x14ac:dyDescent="0.2">
      <c r="A3093" s="13"/>
    </row>
    <row r="3094" spans="1:1" x14ac:dyDescent="0.2">
      <c r="A3094" s="13"/>
    </row>
    <row r="3095" spans="1:1" x14ac:dyDescent="0.2">
      <c r="A3095" s="13"/>
    </row>
    <row r="3096" spans="1:1" x14ac:dyDescent="0.2">
      <c r="A3096" s="13"/>
    </row>
    <row r="3097" spans="1:1" x14ac:dyDescent="0.2">
      <c r="A3097" s="13"/>
    </row>
    <row r="3098" spans="1:1" x14ac:dyDescent="0.2">
      <c r="A3098" s="13"/>
    </row>
    <row r="3099" spans="1:1" x14ac:dyDescent="0.2">
      <c r="A3099" s="13"/>
    </row>
    <row r="3100" spans="1:1" x14ac:dyDescent="0.2">
      <c r="A3100" s="13"/>
    </row>
    <row r="3101" spans="1:1" x14ac:dyDescent="0.2">
      <c r="A3101" s="13"/>
    </row>
    <row r="3102" spans="1:1" x14ac:dyDescent="0.2">
      <c r="A3102" s="13"/>
    </row>
    <row r="3103" spans="1:1" x14ac:dyDescent="0.2">
      <c r="A3103" s="13"/>
    </row>
    <row r="3104" spans="1:1" x14ac:dyDescent="0.2">
      <c r="A3104" s="13"/>
    </row>
    <row r="3105" spans="1:1" x14ac:dyDescent="0.2">
      <c r="A3105" s="13"/>
    </row>
    <row r="3106" spans="1:1" x14ac:dyDescent="0.2">
      <c r="A3106" s="13"/>
    </row>
    <row r="3107" spans="1:1" x14ac:dyDescent="0.2">
      <c r="A3107" s="13"/>
    </row>
    <row r="3108" spans="1:1" x14ac:dyDescent="0.2">
      <c r="A3108" s="13"/>
    </row>
    <row r="3109" spans="1:1" x14ac:dyDescent="0.2">
      <c r="A3109" s="13"/>
    </row>
    <row r="3110" spans="1:1" x14ac:dyDescent="0.2">
      <c r="A3110" s="13"/>
    </row>
    <row r="3111" spans="1:1" x14ac:dyDescent="0.2">
      <c r="A3111" s="13"/>
    </row>
    <row r="3112" spans="1:1" x14ac:dyDescent="0.2">
      <c r="A3112" s="13"/>
    </row>
    <row r="3113" spans="1:1" x14ac:dyDescent="0.2">
      <c r="A3113" s="13"/>
    </row>
    <row r="3114" spans="1:1" x14ac:dyDescent="0.2">
      <c r="A3114" s="13"/>
    </row>
    <row r="3115" spans="1:1" x14ac:dyDescent="0.2">
      <c r="A3115" s="13"/>
    </row>
    <row r="3116" spans="1:1" x14ac:dyDescent="0.2">
      <c r="A3116" s="13"/>
    </row>
    <row r="3117" spans="1:1" x14ac:dyDescent="0.2">
      <c r="A3117" s="13"/>
    </row>
    <row r="3118" spans="1:1" x14ac:dyDescent="0.2">
      <c r="A3118" s="13"/>
    </row>
    <row r="3119" spans="1:1" x14ac:dyDescent="0.2">
      <c r="A3119" s="13"/>
    </row>
    <row r="3120" spans="1:1" x14ac:dyDescent="0.2">
      <c r="A3120" s="13"/>
    </row>
    <row r="3121" spans="1:1" x14ac:dyDescent="0.2">
      <c r="A3121" s="13"/>
    </row>
    <row r="3122" spans="1:1" x14ac:dyDescent="0.2">
      <c r="A3122" s="13"/>
    </row>
    <row r="3123" spans="1:1" x14ac:dyDescent="0.2">
      <c r="A3123" s="13"/>
    </row>
    <row r="3124" spans="1:1" x14ac:dyDescent="0.2">
      <c r="A3124" s="13"/>
    </row>
    <row r="3125" spans="1:1" x14ac:dyDescent="0.2">
      <c r="A3125" s="13"/>
    </row>
    <row r="3126" spans="1:1" x14ac:dyDescent="0.2">
      <c r="A3126" s="13"/>
    </row>
    <row r="3127" spans="1:1" x14ac:dyDescent="0.2">
      <c r="A3127" s="13"/>
    </row>
    <row r="3128" spans="1:1" x14ac:dyDescent="0.2">
      <c r="A3128" s="13"/>
    </row>
    <row r="3129" spans="1:1" x14ac:dyDescent="0.2">
      <c r="A3129" s="13"/>
    </row>
    <row r="3130" spans="1:1" x14ac:dyDescent="0.2">
      <c r="A3130" s="13"/>
    </row>
    <row r="3131" spans="1:1" x14ac:dyDescent="0.2">
      <c r="A3131" s="13"/>
    </row>
    <row r="3132" spans="1:1" x14ac:dyDescent="0.2">
      <c r="A3132" s="13"/>
    </row>
    <row r="3133" spans="1:1" x14ac:dyDescent="0.2">
      <c r="A3133" s="13"/>
    </row>
    <row r="3134" spans="1:1" x14ac:dyDescent="0.2">
      <c r="A3134" s="13"/>
    </row>
    <row r="3135" spans="1:1" x14ac:dyDescent="0.2">
      <c r="A3135" s="13"/>
    </row>
    <row r="3136" spans="1:1" x14ac:dyDescent="0.2">
      <c r="A3136" s="13"/>
    </row>
    <row r="3137" spans="1:1" x14ac:dyDescent="0.2">
      <c r="A3137" s="13"/>
    </row>
    <row r="3138" spans="1:1" x14ac:dyDescent="0.2">
      <c r="A3138" s="13"/>
    </row>
    <row r="3139" spans="1:1" x14ac:dyDescent="0.2">
      <c r="A3139" s="13"/>
    </row>
    <row r="3140" spans="1:1" x14ac:dyDescent="0.2">
      <c r="A3140" s="13"/>
    </row>
    <row r="3141" spans="1:1" x14ac:dyDescent="0.2">
      <c r="A3141" s="13"/>
    </row>
    <row r="3142" spans="1:1" x14ac:dyDescent="0.2">
      <c r="A3142" s="13"/>
    </row>
    <row r="3143" spans="1:1" x14ac:dyDescent="0.2">
      <c r="A3143" s="13"/>
    </row>
    <row r="3144" spans="1:1" x14ac:dyDescent="0.2">
      <c r="A3144" s="13"/>
    </row>
    <row r="3145" spans="1:1" x14ac:dyDescent="0.2">
      <c r="A3145" s="13"/>
    </row>
    <row r="3146" spans="1:1" x14ac:dyDescent="0.2">
      <c r="A3146" s="13"/>
    </row>
    <row r="3147" spans="1:1" x14ac:dyDescent="0.2">
      <c r="A3147" s="13"/>
    </row>
    <row r="3148" spans="1:1" x14ac:dyDescent="0.2">
      <c r="A3148" s="13"/>
    </row>
    <row r="3149" spans="1:1" x14ac:dyDescent="0.2">
      <c r="A3149" s="13"/>
    </row>
    <row r="3150" spans="1:1" x14ac:dyDescent="0.2">
      <c r="A3150" s="13"/>
    </row>
    <row r="3151" spans="1:1" x14ac:dyDescent="0.2">
      <c r="A3151" s="13"/>
    </row>
    <row r="3152" spans="1:1" x14ac:dyDescent="0.2">
      <c r="A3152" s="13"/>
    </row>
    <row r="3153" spans="1:1" x14ac:dyDescent="0.2">
      <c r="A3153" s="13"/>
    </row>
    <row r="3154" spans="1:1" x14ac:dyDescent="0.2">
      <c r="A3154" s="13"/>
    </row>
    <row r="3155" spans="1:1" x14ac:dyDescent="0.2">
      <c r="A3155" s="13"/>
    </row>
    <row r="3156" spans="1:1" x14ac:dyDescent="0.2">
      <c r="A3156" s="13"/>
    </row>
    <row r="3157" spans="1:1" x14ac:dyDescent="0.2">
      <c r="A3157" s="13"/>
    </row>
    <row r="3158" spans="1:1" x14ac:dyDescent="0.2">
      <c r="A3158" s="13"/>
    </row>
    <row r="3159" spans="1:1" x14ac:dyDescent="0.2">
      <c r="A3159" s="13"/>
    </row>
    <row r="3160" spans="1:1" x14ac:dyDescent="0.2">
      <c r="A3160" s="13"/>
    </row>
    <row r="3161" spans="1:1" x14ac:dyDescent="0.2">
      <c r="A3161" s="13"/>
    </row>
    <row r="3162" spans="1:1" x14ac:dyDescent="0.2">
      <c r="A3162" s="13"/>
    </row>
    <row r="3163" spans="1:1" x14ac:dyDescent="0.2">
      <c r="A3163" s="13"/>
    </row>
    <row r="3164" spans="1:1" x14ac:dyDescent="0.2">
      <c r="A3164" s="13"/>
    </row>
    <row r="3165" spans="1:1" x14ac:dyDescent="0.2">
      <c r="A3165" s="13"/>
    </row>
    <row r="3166" spans="1:1" x14ac:dyDescent="0.2">
      <c r="A3166" s="13"/>
    </row>
    <row r="3167" spans="1:1" x14ac:dyDescent="0.2">
      <c r="A3167" s="13"/>
    </row>
    <row r="3168" spans="1:1" x14ac:dyDescent="0.2">
      <c r="A3168" s="13"/>
    </row>
    <row r="3169" spans="1:1" x14ac:dyDescent="0.2">
      <c r="A3169" s="13"/>
    </row>
    <row r="3170" spans="1:1" x14ac:dyDescent="0.2">
      <c r="A3170" s="13"/>
    </row>
    <row r="3171" spans="1:1" x14ac:dyDescent="0.2">
      <c r="A3171" s="13"/>
    </row>
    <row r="3172" spans="1:1" x14ac:dyDescent="0.2">
      <c r="A3172" s="13"/>
    </row>
    <row r="3173" spans="1:1" x14ac:dyDescent="0.2">
      <c r="A3173" s="13"/>
    </row>
    <row r="3174" spans="1:1" x14ac:dyDescent="0.2">
      <c r="A3174" s="13"/>
    </row>
    <row r="3175" spans="1:1" x14ac:dyDescent="0.2">
      <c r="A3175" s="13"/>
    </row>
    <row r="3176" spans="1:1" x14ac:dyDescent="0.2">
      <c r="A3176" s="13"/>
    </row>
    <row r="3177" spans="1:1" x14ac:dyDescent="0.2">
      <c r="A3177" s="13"/>
    </row>
    <row r="3178" spans="1:1" x14ac:dyDescent="0.2">
      <c r="A3178" s="13"/>
    </row>
    <row r="3179" spans="1:1" x14ac:dyDescent="0.2">
      <c r="A3179" s="13"/>
    </row>
    <row r="3180" spans="1:1" x14ac:dyDescent="0.2">
      <c r="A3180" s="13"/>
    </row>
    <row r="3181" spans="1:1" x14ac:dyDescent="0.2">
      <c r="A3181" s="13"/>
    </row>
    <row r="3182" spans="1:1" x14ac:dyDescent="0.2">
      <c r="A3182" s="13"/>
    </row>
    <row r="3183" spans="1:1" x14ac:dyDescent="0.2">
      <c r="A3183" s="13"/>
    </row>
    <row r="3184" spans="1:1" x14ac:dyDescent="0.2">
      <c r="A3184" s="13"/>
    </row>
    <row r="3185" spans="1:1" x14ac:dyDescent="0.2">
      <c r="A3185" s="13"/>
    </row>
    <row r="3186" spans="1:1" x14ac:dyDescent="0.2">
      <c r="A3186" s="13"/>
    </row>
    <row r="3187" spans="1:1" x14ac:dyDescent="0.2">
      <c r="A3187" s="13"/>
    </row>
    <row r="3188" spans="1:1" x14ac:dyDescent="0.2">
      <c r="A3188" s="13"/>
    </row>
    <row r="3189" spans="1:1" x14ac:dyDescent="0.2">
      <c r="A3189" s="13"/>
    </row>
    <row r="3190" spans="1:1" x14ac:dyDescent="0.2">
      <c r="A3190" s="13"/>
    </row>
    <row r="3191" spans="1:1" x14ac:dyDescent="0.2">
      <c r="A3191" s="13"/>
    </row>
    <row r="3192" spans="1:1" x14ac:dyDescent="0.2">
      <c r="A3192" s="13"/>
    </row>
    <row r="3193" spans="1:1" x14ac:dyDescent="0.2">
      <c r="A3193" s="13"/>
    </row>
    <row r="3194" spans="1:1" x14ac:dyDescent="0.2">
      <c r="A3194" s="13"/>
    </row>
    <row r="3195" spans="1:1" x14ac:dyDescent="0.2">
      <c r="A3195" s="13"/>
    </row>
    <row r="3196" spans="1:1" x14ac:dyDescent="0.2">
      <c r="A3196" s="13"/>
    </row>
    <row r="3197" spans="1:1" x14ac:dyDescent="0.2">
      <c r="A3197" s="13"/>
    </row>
    <row r="3198" spans="1:1" x14ac:dyDescent="0.2">
      <c r="A3198" s="13"/>
    </row>
    <row r="3199" spans="1:1" x14ac:dyDescent="0.2">
      <c r="A3199" s="13"/>
    </row>
    <row r="3200" spans="1:1" x14ac:dyDescent="0.2">
      <c r="A3200" s="13"/>
    </row>
    <row r="3201" spans="1:1" x14ac:dyDescent="0.2">
      <c r="A3201" s="13"/>
    </row>
    <row r="3202" spans="1:1" x14ac:dyDescent="0.2">
      <c r="A3202" s="13"/>
    </row>
    <row r="3203" spans="1:1" x14ac:dyDescent="0.2">
      <c r="A3203" s="13"/>
    </row>
    <row r="3204" spans="1:1" x14ac:dyDescent="0.2">
      <c r="A3204" s="13"/>
    </row>
    <row r="3205" spans="1:1" x14ac:dyDescent="0.2">
      <c r="A3205" s="13"/>
    </row>
    <row r="3206" spans="1:1" x14ac:dyDescent="0.2">
      <c r="A3206" s="13"/>
    </row>
    <row r="3207" spans="1:1" x14ac:dyDescent="0.2">
      <c r="A3207" s="13"/>
    </row>
    <row r="3208" spans="1:1" x14ac:dyDescent="0.2">
      <c r="A3208" s="13"/>
    </row>
    <row r="3209" spans="1:1" x14ac:dyDescent="0.2">
      <c r="A3209" s="13"/>
    </row>
    <row r="3210" spans="1:1" x14ac:dyDescent="0.2">
      <c r="A3210" s="13"/>
    </row>
    <row r="3211" spans="1:1" x14ac:dyDescent="0.2">
      <c r="A3211" s="13"/>
    </row>
    <row r="3212" spans="1:1" x14ac:dyDescent="0.2">
      <c r="A3212" s="13"/>
    </row>
    <row r="3213" spans="1:1" x14ac:dyDescent="0.2">
      <c r="A3213" s="13"/>
    </row>
    <row r="3214" spans="1:1" x14ac:dyDescent="0.2">
      <c r="A3214" s="13"/>
    </row>
    <row r="3215" spans="1:1" x14ac:dyDescent="0.2">
      <c r="A3215" s="13"/>
    </row>
    <row r="3216" spans="1:1" x14ac:dyDescent="0.2">
      <c r="A3216" s="13"/>
    </row>
    <row r="3217" spans="1:1" x14ac:dyDescent="0.2">
      <c r="A3217" s="13"/>
    </row>
    <row r="3218" spans="1:1" x14ac:dyDescent="0.2">
      <c r="A3218" s="13"/>
    </row>
    <row r="3219" spans="1:1" x14ac:dyDescent="0.2">
      <c r="A3219" s="13"/>
    </row>
    <row r="3220" spans="1:1" x14ac:dyDescent="0.2">
      <c r="A3220" s="13"/>
    </row>
    <row r="3221" spans="1:1" x14ac:dyDescent="0.2">
      <c r="A3221" s="13"/>
    </row>
    <row r="3222" spans="1:1" x14ac:dyDescent="0.2">
      <c r="A3222" s="13"/>
    </row>
    <row r="3223" spans="1:1" x14ac:dyDescent="0.2">
      <c r="A3223" s="13"/>
    </row>
    <row r="3224" spans="1:1" x14ac:dyDescent="0.2">
      <c r="A3224" s="13"/>
    </row>
    <row r="3225" spans="1:1" x14ac:dyDescent="0.2">
      <c r="A3225" s="13"/>
    </row>
    <row r="3226" spans="1:1" x14ac:dyDescent="0.2">
      <c r="A3226" s="13"/>
    </row>
    <row r="3227" spans="1:1" x14ac:dyDescent="0.2">
      <c r="A3227" s="13"/>
    </row>
    <row r="3228" spans="1:1" x14ac:dyDescent="0.2">
      <c r="A3228" s="13"/>
    </row>
    <row r="3229" spans="1:1" x14ac:dyDescent="0.2">
      <c r="A3229" s="13"/>
    </row>
    <row r="3230" spans="1:1" x14ac:dyDescent="0.2">
      <c r="A3230" s="13"/>
    </row>
    <row r="3231" spans="1:1" x14ac:dyDescent="0.2">
      <c r="A3231" s="13"/>
    </row>
    <row r="3232" spans="1:1" x14ac:dyDescent="0.2">
      <c r="A3232" s="13"/>
    </row>
    <row r="3233" spans="1:1" x14ac:dyDescent="0.2">
      <c r="A3233" s="13"/>
    </row>
    <row r="3234" spans="1:1" x14ac:dyDescent="0.2">
      <c r="A3234" s="13"/>
    </row>
    <row r="3235" spans="1:1" x14ac:dyDescent="0.2">
      <c r="A3235" s="13"/>
    </row>
    <row r="3236" spans="1:1" x14ac:dyDescent="0.2">
      <c r="A3236" s="13"/>
    </row>
    <row r="3237" spans="1:1" x14ac:dyDescent="0.2">
      <c r="A3237" s="13"/>
    </row>
    <row r="3238" spans="1:1" x14ac:dyDescent="0.2">
      <c r="A3238" s="13"/>
    </row>
    <row r="3239" spans="1:1" x14ac:dyDescent="0.2">
      <c r="A3239" s="13"/>
    </row>
    <row r="3240" spans="1:1" x14ac:dyDescent="0.2">
      <c r="A3240" s="13"/>
    </row>
    <row r="3241" spans="1:1" x14ac:dyDescent="0.2">
      <c r="A3241" s="13"/>
    </row>
    <row r="3242" spans="1:1" x14ac:dyDescent="0.2">
      <c r="A3242" s="13"/>
    </row>
    <row r="3243" spans="1:1" x14ac:dyDescent="0.2">
      <c r="A3243" s="13"/>
    </row>
    <row r="3244" spans="1:1" x14ac:dyDescent="0.2">
      <c r="A3244" s="13"/>
    </row>
    <row r="3245" spans="1:1" x14ac:dyDescent="0.2">
      <c r="A3245" s="13"/>
    </row>
    <row r="3246" spans="1:1" x14ac:dyDescent="0.2">
      <c r="A3246" s="13"/>
    </row>
    <row r="3247" spans="1:1" x14ac:dyDescent="0.2">
      <c r="A3247" s="13"/>
    </row>
    <row r="3248" spans="1:1" x14ac:dyDescent="0.2">
      <c r="A3248" s="13"/>
    </row>
    <row r="3249" spans="1:1" x14ac:dyDescent="0.2">
      <c r="A3249" s="13"/>
    </row>
    <row r="3250" spans="1:1" x14ac:dyDescent="0.2">
      <c r="A3250" s="13"/>
    </row>
    <row r="3251" spans="1:1" x14ac:dyDescent="0.2">
      <c r="A3251" s="13"/>
    </row>
    <row r="3252" spans="1:1" x14ac:dyDescent="0.2">
      <c r="A3252" s="13"/>
    </row>
    <row r="3253" spans="1:1" x14ac:dyDescent="0.2">
      <c r="A3253" s="13"/>
    </row>
    <row r="3254" spans="1:1" x14ac:dyDescent="0.2">
      <c r="A3254" s="13"/>
    </row>
    <row r="3255" spans="1:1" x14ac:dyDescent="0.2">
      <c r="A3255" s="13"/>
    </row>
    <row r="3256" spans="1:1" x14ac:dyDescent="0.2">
      <c r="A3256" s="13"/>
    </row>
    <row r="3257" spans="1:1" x14ac:dyDescent="0.2">
      <c r="A3257" s="13"/>
    </row>
    <row r="3258" spans="1:1" x14ac:dyDescent="0.2">
      <c r="A3258" s="13"/>
    </row>
    <row r="3259" spans="1:1" x14ac:dyDescent="0.2">
      <c r="A3259" s="13"/>
    </row>
    <row r="3260" spans="1:1" x14ac:dyDescent="0.2">
      <c r="A3260" s="13"/>
    </row>
    <row r="3261" spans="1:1" x14ac:dyDescent="0.2">
      <c r="A3261" s="13"/>
    </row>
    <row r="3262" spans="1:1" x14ac:dyDescent="0.2">
      <c r="A3262" s="13"/>
    </row>
    <row r="3263" spans="1:1" x14ac:dyDescent="0.2">
      <c r="A3263" s="13"/>
    </row>
    <row r="3264" spans="1:1" x14ac:dyDescent="0.2">
      <c r="A3264" s="13"/>
    </row>
    <row r="3265" spans="1:1" x14ac:dyDescent="0.2">
      <c r="A3265" s="13"/>
    </row>
    <row r="3266" spans="1:1" x14ac:dyDescent="0.2">
      <c r="A3266" s="13"/>
    </row>
    <row r="3267" spans="1:1" x14ac:dyDescent="0.2">
      <c r="A3267" s="13"/>
    </row>
    <row r="3268" spans="1:1" x14ac:dyDescent="0.2">
      <c r="A3268" s="13"/>
    </row>
    <row r="3269" spans="1:1" x14ac:dyDescent="0.2">
      <c r="A3269" s="13"/>
    </row>
    <row r="3270" spans="1:1" x14ac:dyDescent="0.2">
      <c r="A3270" s="13"/>
    </row>
    <row r="3271" spans="1:1" x14ac:dyDescent="0.2">
      <c r="A3271" s="13"/>
    </row>
    <row r="3272" spans="1:1" x14ac:dyDescent="0.2">
      <c r="A3272" s="13"/>
    </row>
    <row r="3273" spans="1:1" x14ac:dyDescent="0.2">
      <c r="A3273" s="13"/>
    </row>
    <row r="3274" spans="1:1" x14ac:dyDescent="0.2">
      <c r="A3274" s="13"/>
    </row>
    <row r="3275" spans="1:1" x14ac:dyDescent="0.2">
      <c r="A3275" s="13"/>
    </row>
    <row r="3276" spans="1:1" x14ac:dyDescent="0.2">
      <c r="A3276" s="13"/>
    </row>
    <row r="3277" spans="1:1" x14ac:dyDescent="0.2">
      <c r="A3277" s="13"/>
    </row>
    <row r="3278" spans="1:1" x14ac:dyDescent="0.2">
      <c r="A3278" s="13"/>
    </row>
    <row r="3279" spans="1:1" x14ac:dyDescent="0.2">
      <c r="A3279" s="13"/>
    </row>
    <row r="3280" spans="1:1" x14ac:dyDescent="0.2">
      <c r="A3280" s="13"/>
    </row>
    <row r="3281" spans="1:1" x14ac:dyDescent="0.2">
      <c r="A3281" s="13"/>
    </row>
    <row r="3282" spans="1:1" x14ac:dyDescent="0.2">
      <c r="A3282" s="13"/>
    </row>
    <row r="3283" spans="1:1" x14ac:dyDescent="0.2">
      <c r="A3283" s="13"/>
    </row>
    <row r="3284" spans="1:1" x14ac:dyDescent="0.2">
      <c r="A3284" s="13"/>
    </row>
    <row r="3285" spans="1:1" x14ac:dyDescent="0.2">
      <c r="A3285" s="13"/>
    </row>
    <row r="3286" spans="1:1" x14ac:dyDescent="0.2">
      <c r="A3286" s="1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7" tint="0.79998168889431442"/>
  </sheetPr>
  <dimension ref="A3:Q80"/>
  <sheetViews>
    <sheetView topLeftCell="A49" workbookViewId="0">
      <selection activeCell="J21" sqref="J21"/>
    </sheetView>
  </sheetViews>
  <sheetFormatPr defaultRowHeight="15" x14ac:dyDescent="0.25"/>
  <cols>
    <col min="1" max="1" width="22.33203125" style="34" bestFit="1" customWidth="1"/>
    <col min="2" max="2" width="14.5" style="31" bestFit="1" customWidth="1"/>
    <col min="3" max="7" width="15.5" style="30" customWidth="1"/>
    <col min="8" max="9" width="13.33203125" style="30" bestFit="1" customWidth="1"/>
    <col min="10" max="10" width="16.5" style="30" customWidth="1"/>
    <col min="11" max="14" width="14.6640625" style="30" customWidth="1"/>
    <col min="15" max="15" width="14.33203125" style="30" customWidth="1"/>
    <col min="16" max="16" width="12.83203125" style="30" bestFit="1" customWidth="1"/>
    <col min="17" max="17" width="13.1640625" style="30" customWidth="1"/>
    <col min="18" max="16384" width="9.33203125" style="30"/>
  </cols>
  <sheetData>
    <row r="3" spans="1:15" x14ac:dyDescent="0.25">
      <c r="A3" s="34" t="s">
        <v>52</v>
      </c>
      <c r="B3" s="31" t="s">
        <v>53</v>
      </c>
      <c r="C3" s="30" t="s">
        <v>33</v>
      </c>
      <c r="D3" s="30" t="s">
        <v>43</v>
      </c>
      <c r="E3" s="30" t="s">
        <v>44</v>
      </c>
      <c r="F3" s="30" t="s">
        <v>45</v>
      </c>
      <c r="G3" s="30" t="s">
        <v>46</v>
      </c>
      <c r="J3" s="30" t="s">
        <v>33</v>
      </c>
      <c r="K3" s="30" t="s">
        <v>43</v>
      </c>
      <c r="L3" s="30" t="s">
        <v>44</v>
      </c>
      <c r="M3" s="30" t="s">
        <v>45</v>
      </c>
      <c r="N3" s="30" t="s">
        <v>46</v>
      </c>
    </row>
    <row r="5" spans="1:15" x14ac:dyDescent="0.25">
      <c r="A5" s="34">
        <v>2011</v>
      </c>
      <c r="B5" s="31">
        <v>2011</v>
      </c>
      <c r="C5" s="32">
        <v>2177819.4275356326</v>
      </c>
      <c r="D5" s="32">
        <v>1109600.0384866183</v>
      </c>
      <c r="E5" s="32">
        <v>4438826.2264580447</v>
      </c>
      <c r="F5" s="32">
        <v>0</v>
      </c>
      <c r="G5" s="32">
        <v>0</v>
      </c>
      <c r="H5" s="183">
        <f>SUM(C5:G5)</f>
        <v>7726245.6924802959</v>
      </c>
      <c r="I5" s="30">
        <v>2010</v>
      </c>
      <c r="J5" s="156"/>
      <c r="K5" s="156"/>
      <c r="L5" s="156"/>
      <c r="M5" s="156"/>
      <c r="N5" s="156"/>
    </row>
    <row r="6" spans="1:15" x14ac:dyDescent="0.25">
      <c r="A6" s="33"/>
      <c r="B6" s="33">
        <v>2012</v>
      </c>
      <c r="C6" s="32">
        <v>2176920.4275356326</v>
      </c>
      <c r="D6" s="32">
        <v>1061664.4884866183</v>
      </c>
      <c r="E6" s="32">
        <v>4438826.2264580447</v>
      </c>
      <c r="F6" s="32">
        <v>0</v>
      </c>
      <c r="G6" s="32">
        <v>0</v>
      </c>
      <c r="H6" s="183">
        <f t="shared" ref="H6:H69" si="0">SUM(C6:G6)</f>
        <v>7677411.1424802952</v>
      </c>
      <c r="I6" s="30">
        <v>2011</v>
      </c>
      <c r="J6" s="32">
        <f t="shared" ref="J6:J14" si="1">SUMIFS(C:C,$B:$B,$I6)-SUMIFS(C:C,$A:$A,$I6)/2</f>
        <v>1088909.7137678163</v>
      </c>
      <c r="K6" s="32">
        <f t="shared" ref="K6:K16" si="2">SUMIFS(D:D,$B:$B,$I6)-SUMIFS(D:D,$A:$A,$I6)/2</f>
        <v>554800.01924330916</v>
      </c>
      <c r="L6" s="32">
        <f t="shared" ref="L6:L16" si="3">SUMIFS(E:E,$B:$B,$I6)-SUMIFS(E:E,$A:$A,$I6)/2</f>
        <v>2219413.1132290224</v>
      </c>
      <c r="M6" s="32">
        <f t="shared" ref="M6:M16" si="4">SUMIFS(F:F,$B:$B,$I6)-SUMIFS(F:F,$A:$A,$I6)/2</f>
        <v>0</v>
      </c>
      <c r="N6" s="32">
        <f t="shared" ref="N6:N16" si="5">SUMIFS(G:G,$B:$B,$I6)-SUMIFS(G:G,$A:$A,$I6)/2</f>
        <v>0</v>
      </c>
      <c r="O6" s="183">
        <f>SUM(J6:N6)</f>
        <v>3863122.8462401479</v>
      </c>
    </row>
    <row r="7" spans="1:15" x14ac:dyDescent="0.25">
      <c r="A7" s="33"/>
      <c r="B7" s="33">
        <v>2013</v>
      </c>
      <c r="C7" s="32">
        <v>2177911.6235356326</v>
      </c>
      <c r="D7" s="32">
        <v>1061664.4884866183</v>
      </c>
      <c r="E7" s="32">
        <v>4438826.2264580447</v>
      </c>
      <c r="F7" s="32">
        <v>0</v>
      </c>
      <c r="G7" s="32">
        <v>0</v>
      </c>
      <c r="H7" s="183">
        <f t="shared" si="0"/>
        <v>7678402.3384802956</v>
      </c>
      <c r="I7" s="30">
        <v>2012</v>
      </c>
      <c r="J7" s="32">
        <f t="shared" si="1"/>
        <v>2905438.7671886566</v>
      </c>
      <c r="K7" s="32">
        <f t="shared" si="2"/>
        <v>1372275.3798865979</v>
      </c>
      <c r="L7" s="32">
        <f t="shared" si="3"/>
        <v>7938587.5560582206</v>
      </c>
      <c r="M7" s="32">
        <f t="shared" si="4"/>
        <v>0</v>
      </c>
      <c r="N7" s="32">
        <f t="shared" si="5"/>
        <v>0</v>
      </c>
      <c r="O7" s="183">
        <f t="shared" ref="O7:O16" si="6">SUM(J7:N7)</f>
        <v>12216301.703133475</v>
      </c>
    </row>
    <row r="8" spans="1:15" x14ac:dyDescent="0.25">
      <c r="A8" s="33"/>
      <c r="B8" s="31">
        <v>2014</v>
      </c>
      <c r="C8" s="32">
        <v>2174258.8650059439</v>
      </c>
      <c r="D8" s="32">
        <v>961685.79457132961</v>
      </c>
      <c r="E8" s="32">
        <v>4438826.2264580447</v>
      </c>
      <c r="F8" s="32">
        <v>0</v>
      </c>
      <c r="G8" s="32">
        <v>0</v>
      </c>
      <c r="H8" s="183">
        <f t="shared" si="0"/>
        <v>7574770.8860353185</v>
      </c>
      <c r="I8" s="30">
        <v>2013</v>
      </c>
      <c r="J8" s="32">
        <f t="shared" si="1"/>
        <v>4435088.6506171562</v>
      </c>
      <c r="K8" s="32">
        <f t="shared" si="2"/>
        <v>2174491.4721336304</v>
      </c>
      <c r="L8" s="32">
        <f t="shared" si="3"/>
        <v>14675098.739299666</v>
      </c>
      <c r="M8" s="32">
        <f t="shared" si="4"/>
        <v>0</v>
      </c>
      <c r="N8" s="32">
        <f t="shared" si="5"/>
        <v>0</v>
      </c>
      <c r="O8" s="183">
        <f t="shared" si="6"/>
        <v>21284678.862050451</v>
      </c>
    </row>
    <row r="9" spans="1:15" x14ac:dyDescent="0.25">
      <c r="A9" s="33"/>
      <c r="B9" s="33">
        <v>2015</v>
      </c>
      <c r="C9" s="32">
        <v>1998359.3107464202</v>
      </c>
      <c r="D9" s="32">
        <v>958019.67271432956</v>
      </c>
      <c r="E9" s="32">
        <v>4438826.2264580447</v>
      </c>
      <c r="F9" s="32">
        <v>0</v>
      </c>
      <c r="G9" s="32">
        <v>0</v>
      </c>
      <c r="H9" s="183">
        <f t="shared" si="0"/>
        <v>7395205.2099187942</v>
      </c>
      <c r="I9" s="30">
        <v>2014</v>
      </c>
      <c r="J9" s="32">
        <f t="shared" si="1"/>
        <v>6994830.8620939618</v>
      </c>
      <c r="K9" s="32">
        <f t="shared" si="2"/>
        <v>3084511.7297402788</v>
      </c>
      <c r="L9" s="32">
        <f t="shared" si="3"/>
        <v>20152767.537717268</v>
      </c>
      <c r="M9" s="32">
        <f t="shared" si="4"/>
        <v>0</v>
      </c>
      <c r="N9" s="32">
        <f t="shared" si="5"/>
        <v>0</v>
      </c>
      <c r="O9" s="183">
        <f t="shared" si="6"/>
        <v>30232110.129551508</v>
      </c>
    </row>
    <row r="10" spans="1:15" x14ac:dyDescent="0.25">
      <c r="A10" s="33"/>
      <c r="B10" s="33">
        <v>2016</v>
      </c>
      <c r="C10" s="32">
        <v>1663041.7300875976</v>
      </c>
      <c r="D10" s="32">
        <v>882490.90932664042</v>
      </c>
      <c r="E10" s="32">
        <v>4438826.2264580447</v>
      </c>
      <c r="F10" s="32">
        <v>0</v>
      </c>
      <c r="G10" s="32">
        <v>0</v>
      </c>
      <c r="H10" s="183">
        <f t="shared" si="0"/>
        <v>6984358.8658722825</v>
      </c>
      <c r="I10" s="30">
        <v>2015</v>
      </c>
      <c r="J10" s="32">
        <f t="shared" si="1"/>
        <v>10177948.606862321</v>
      </c>
      <c r="K10" s="32">
        <f t="shared" si="2"/>
        <v>5518520.3890786031</v>
      </c>
      <c r="L10" s="32">
        <f t="shared" si="3"/>
        <v>25607530.815657511</v>
      </c>
      <c r="M10" s="32">
        <f t="shared" si="4"/>
        <v>0</v>
      </c>
      <c r="N10" s="32">
        <f t="shared" si="5"/>
        <v>0</v>
      </c>
      <c r="O10" s="183">
        <f t="shared" si="6"/>
        <v>41303999.811598435</v>
      </c>
    </row>
    <row r="11" spans="1:15" x14ac:dyDescent="0.25">
      <c r="A11" s="33"/>
      <c r="B11" s="31">
        <v>2017</v>
      </c>
      <c r="C11" s="32">
        <v>1519958.5705224022</v>
      </c>
      <c r="D11" s="32">
        <v>749070.99105943076</v>
      </c>
      <c r="E11" s="32">
        <v>4438826.2264580447</v>
      </c>
      <c r="F11" s="32">
        <v>0</v>
      </c>
      <c r="G11" s="32">
        <v>0</v>
      </c>
      <c r="H11" s="183">
        <f t="shared" si="0"/>
        <v>6707855.788039878</v>
      </c>
      <c r="I11" s="30">
        <v>2016</v>
      </c>
      <c r="J11" s="32">
        <f t="shared" si="1"/>
        <v>15147695.810655469</v>
      </c>
      <c r="K11" s="32">
        <f t="shared" si="2"/>
        <v>8433291.6475767009</v>
      </c>
      <c r="L11" s="32">
        <f t="shared" si="3"/>
        <v>33797597.423412576</v>
      </c>
      <c r="M11" s="32">
        <f t="shared" si="4"/>
        <v>0</v>
      </c>
      <c r="N11" s="32">
        <f t="shared" si="5"/>
        <v>0</v>
      </c>
      <c r="O11" s="183">
        <f t="shared" si="6"/>
        <v>57378584.881644748</v>
      </c>
    </row>
    <row r="12" spans="1:15" x14ac:dyDescent="0.25">
      <c r="A12" s="33"/>
      <c r="B12" s="33">
        <v>2018</v>
      </c>
      <c r="C12" s="32">
        <v>1517961.5568696046</v>
      </c>
      <c r="D12" s="32">
        <v>749070.99105943076</v>
      </c>
      <c r="E12" s="32">
        <v>4438826.2264580447</v>
      </c>
      <c r="F12" s="32">
        <v>0</v>
      </c>
      <c r="G12" s="32">
        <v>0</v>
      </c>
      <c r="H12" s="183">
        <f t="shared" si="0"/>
        <v>6705858.7743870802</v>
      </c>
      <c r="I12" s="30">
        <v>2017</v>
      </c>
      <c r="J12" s="32">
        <f t="shared" si="1"/>
        <v>28746497.150071193</v>
      </c>
      <c r="K12" s="32">
        <f t="shared" si="2"/>
        <v>9671900.595605839</v>
      </c>
      <c r="L12" s="32">
        <f t="shared" si="3"/>
        <v>40578631.99749627</v>
      </c>
      <c r="M12" s="32">
        <f t="shared" si="4"/>
        <v>0</v>
      </c>
      <c r="N12" s="32">
        <f t="shared" si="5"/>
        <v>2191341.94</v>
      </c>
      <c r="O12" s="183">
        <f t="shared" si="6"/>
        <v>81188371.683173299</v>
      </c>
    </row>
    <row r="13" spans="1:15" x14ac:dyDescent="0.25">
      <c r="A13" s="33"/>
      <c r="B13" s="33">
        <v>2019</v>
      </c>
      <c r="C13" s="32">
        <v>1634760.4719205208</v>
      </c>
      <c r="D13" s="32">
        <v>703480.40114250057</v>
      </c>
      <c r="E13" s="32">
        <v>3960433.5250010295</v>
      </c>
      <c r="F13" s="32">
        <v>0</v>
      </c>
      <c r="G13" s="32">
        <v>0</v>
      </c>
      <c r="H13" s="183">
        <f t="shared" si="0"/>
        <v>6298674.3980640508</v>
      </c>
      <c r="I13" s="30">
        <v>2018</v>
      </c>
      <c r="J13" s="156">
        <f t="shared" si="1"/>
        <v>36457766.657361992</v>
      </c>
      <c r="K13" s="156">
        <f t="shared" si="2"/>
        <v>12127348.408072388</v>
      </c>
      <c r="L13" s="156">
        <f t="shared" si="3"/>
        <v>47485519.882111035</v>
      </c>
      <c r="M13" s="156">
        <f t="shared" si="4"/>
        <v>0</v>
      </c>
      <c r="N13" s="156">
        <f t="shared" si="5"/>
        <v>5263381.38</v>
      </c>
      <c r="O13" s="183">
        <f t="shared" si="6"/>
        <v>101334016.3275454</v>
      </c>
    </row>
    <row r="14" spans="1:15" x14ac:dyDescent="0.25">
      <c r="A14" s="33"/>
      <c r="B14" s="31">
        <v>2020</v>
      </c>
      <c r="C14" s="32">
        <v>1271345.9715948922</v>
      </c>
      <c r="D14" s="32">
        <v>703480.40114250057</v>
      </c>
      <c r="E14" s="32">
        <v>3960433.5250010295</v>
      </c>
      <c r="F14" s="32">
        <v>0</v>
      </c>
      <c r="G14" s="32">
        <v>0</v>
      </c>
      <c r="H14" s="183">
        <f t="shared" si="0"/>
        <v>5935259.8977384223</v>
      </c>
      <c r="I14" s="30">
        <v>2019</v>
      </c>
      <c r="J14" s="155">
        <f t="shared" si="1"/>
        <v>38326730.720622472</v>
      </c>
      <c r="K14" s="155">
        <f t="shared" si="2"/>
        <v>14162688.792944528</v>
      </c>
      <c r="L14" s="155">
        <f t="shared" si="3"/>
        <v>52682514.813684784</v>
      </c>
      <c r="M14" s="155">
        <f t="shared" si="4"/>
        <v>0</v>
      </c>
      <c r="N14" s="155">
        <f t="shared" si="5"/>
        <v>6144078.8799999999</v>
      </c>
      <c r="O14" s="183">
        <f t="shared" si="6"/>
        <v>111316013.20725179</v>
      </c>
    </row>
    <row r="15" spans="1:15" x14ac:dyDescent="0.25">
      <c r="B15" s="31">
        <v>2021</v>
      </c>
      <c r="C15" s="32">
        <v>1142097.7628561878</v>
      </c>
      <c r="D15" s="32">
        <v>392837.74496438564</v>
      </c>
      <c r="E15" s="32">
        <v>2825159.4770503002</v>
      </c>
      <c r="F15" s="32"/>
      <c r="G15" s="32"/>
      <c r="H15" s="183">
        <f t="shared" si="0"/>
        <v>4360094.9848708734</v>
      </c>
      <c r="I15" s="30">
        <v>2020</v>
      </c>
      <c r="J15" s="155">
        <f>SUMIFS(C:C,$B:$B,$I15)-SUMIFS(C:C,$A:$A,$I15)/2</f>
        <v>37950635.567019001</v>
      </c>
      <c r="K15" s="155">
        <f t="shared" si="2"/>
        <v>14708873.453328418</v>
      </c>
      <c r="L15" s="155">
        <f>SUMIFS(E:E,$B:$B,$I15)-SUMIFS(E:E,$A:$A,$I15)/2</f>
        <v>55806414.657135405</v>
      </c>
      <c r="M15" s="155">
        <f t="shared" si="4"/>
        <v>0</v>
      </c>
      <c r="N15" s="155">
        <f t="shared" si="5"/>
        <v>6144078.8799999999</v>
      </c>
      <c r="O15" s="183">
        <f t="shared" si="6"/>
        <v>114610002.55748281</v>
      </c>
    </row>
    <row r="16" spans="1:15" x14ac:dyDescent="0.25">
      <c r="C16" s="32"/>
      <c r="D16" s="32"/>
      <c r="E16" s="32"/>
      <c r="F16" s="32"/>
      <c r="G16" s="32"/>
      <c r="H16" s="183"/>
      <c r="I16" s="30">
        <v>2021</v>
      </c>
      <c r="J16" s="155">
        <f>SUMIFS(C:C,$B:$B,$I16)-SUMIFS(C:C,$A:$A,$I16)/2</f>
        <v>37491693.702602401</v>
      </c>
      <c r="K16" s="155">
        <f t="shared" si="2"/>
        <v>14287293.859045632</v>
      </c>
      <c r="L16" s="155">
        <f t="shared" si="3"/>
        <v>54305762.030901104</v>
      </c>
      <c r="M16" s="155">
        <f t="shared" si="4"/>
        <v>0</v>
      </c>
      <c r="N16" s="155">
        <f t="shared" si="5"/>
        <v>6144078.8799999999</v>
      </c>
      <c r="O16" s="183">
        <f t="shared" si="6"/>
        <v>112228828.47254914</v>
      </c>
    </row>
    <row r="17" spans="1:14" x14ac:dyDescent="0.25">
      <c r="A17" s="34">
        <v>2012</v>
      </c>
      <c r="B17" s="33">
        <v>2012</v>
      </c>
      <c r="C17" s="32">
        <v>1457036.679306048</v>
      </c>
      <c r="D17" s="32">
        <v>621221.78279995918</v>
      </c>
      <c r="E17" s="32">
        <v>6999522.6592003545</v>
      </c>
      <c r="F17" s="32">
        <v>0</v>
      </c>
      <c r="G17" s="32">
        <v>0</v>
      </c>
      <c r="H17" s="183">
        <f t="shared" si="0"/>
        <v>9077781.1213063616</v>
      </c>
    </row>
    <row r="18" spans="1:14" x14ac:dyDescent="0.25">
      <c r="B18" s="33">
        <v>2013</v>
      </c>
      <c r="C18" s="32">
        <v>1438396.8505830478</v>
      </c>
      <c r="D18" s="32">
        <v>613915.71214625717</v>
      </c>
      <c r="E18" s="32">
        <v>6821478.3521262007</v>
      </c>
      <c r="F18" s="32">
        <v>0</v>
      </c>
      <c r="G18" s="32">
        <v>0</v>
      </c>
      <c r="H18" s="183">
        <f t="shared" si="0"/>
        <v>8873790.9148555063</v>
      </c>
    </row>
    <row r="19" spans="1:14" x14ac:dyDescent="0.25">
      <c r="B19" s="31">
        <v>2014</v>
      </c>
      <c r="C19" s="32">
        <v>1436792.4475830479</v>
      </c>
      <c r="D19" s="32">
        <v>607216.29934718087</v>
      </c>
      <c r="E19" s="32">
        <v>6712640.6443046136</v>
      </c>
      <c r="F19" s="32">
        <v>0</v>
      </c>
      <c r="G19" s="32">
        <v>0</v>
      </c>
      <c r="H19" s="183">
        <f t="shared" si="0"/>
        <v>8756649.3912348431</v>
      </c>
    </row>
    <row r="20" spans="1:14" x14ac:dyDescent="0.25">
      <c r="B20" s="33">
        <v>2015</v>
      </c>
      <c r="C20" s="32">
        <v>1436257.1496757376</v>
      </c>
      <c r="D20" s="32">
        <v>557921.83179249312</v>
      </c>
      <c r="E20" s="32">
        <v>6324171.7276996393</v>
      </c>
      <c r="F20" s="32">
        <v>0</v>
      </c>
      <c r="G20" s="32">
        <v>0</v>
      </c>
      <c r="H20" s="183">
        <f t="shared" si="0"/>
        <v>8318350.7091678698</v>
      </c>
      <c r="J20" s="30" t="str">
        <f>J3</f>
        <v>Residential</v>
      </c>
      <c r="K20" s="30" t="str">
        <f t="shared" ref="K20:N20" si="7">K3</f>
        <v>GS&lt;50</v>
      </c>
      <c r="L20" s="30" t="str">
        <f t="shared" si="7"/>
        <v>GS&gt;50</v>
      </c>
      <c r="M20" s="30" t="str">
        <f t="shared" si="7"/>
        <v>USL</v>
      </c>
      <c r="N20" s="30" t="str">
        <f t="shared" si="7"/>
        <v>Streetlight</v>
      </c>
    </row>
    <row r="21" spans="1:14" x14ac:dyDescent="0.25">
      <c r="B21" s="33">
        <v>2016</v>
      </c>
      <c r="C21" s="32">
        <v>1280059.3916617814</v>
      </c>
      <c r="D21" s="32">
        <v>557921.83179249312</v>
      </c>
      <c r="E21" s="32">
        <v>6089898.8996725706</v>
      </c>
      <c r="F21" s="32">
        <v>0</v>
      </c>
      <c r="G21" s="32">
        <v>0</v>
      </c>
      <c r="H21" s="183">
        <f t="shared" si="0"/>
        <v>7927880.1231268449</v>
      </c>
      <c r="I21" s="30">
        <v>2019</v>
      </c>
      <c r="J21" s="155">
        <f>SUMIFS(C$5:C$75,$B$5:$B$75,$I21)</f>
        <v>38340865.6225667</v>
      </c>
      <c r="K21" s="155">
        <f t="shared" ref="K21:N23" si="8">SUMIFS(D$5:D$75,$B$5:$B$75,$I21)</f>
        <v>14966130.432053635</v>
      </c>
      <c r="L21" s="155">
        <f t="shared" si="8"/>
        <v>55070079.991972238</v>
      </c>
      <c r="M21" s="155">
        <f t="shared" si="8"/>
        <v>0</v>
      </c>
      <c r="N21" s="155">
        <f t="shared" si="8"/>
        <v>6144078.8799999999</v>
      </c>
    </row>
    <row r="22" spans="1:14" x14ac:dyDescent="0.25">
      <c r="B22" s="31">
        <v>2017</v>
      </c>
      <c r="C22" s="32">
        <v>1092108.5356761559</v>
      </c>
      <c r="D22" s="32">
        <v>419802.60682307382</v>
      </c>
      <c r="E22" s="32">
        <v>5936297.3236654056</v>
      </c>
      <c r="F22" s="32">
        <v>0</v>
      </c>
      <c r="G22" s="32">
        <v>0</v>
      </c>
      <c r="H22" s="183">
        <f t="shared" si="0"/>
        <v>7448208.4661646355</v>
      </c>
      <c r="I22" s="30">
        <v>2020</v>
      </c>
      <c r="J22" s="155">
        <f t="shared" ref="J22:J23" si="9">SUMIFS(C$5:C$75,$B$5:$B$75,$I22)</f>
        <v>37950635.567019001</v>
      </c>
      <c r="K22" s="155">
        <f t="shared" si="8"/>
        <v>14647571.655614007</v>
      </c>
      <c r="L22" s="155">
        <f t="shared" si="8"/>
        <v>54709947.517272115</v>
      </c>
      <c r="M22" s="155">
        <f t="shared" si="8"/>
        <v>0</v>
      </c>
      <c r="N22" s="155">
        <f t="shared" si="8"/>
        <v>6144078.8799999999</v>
      </c>
    </row>
    <row r="23" spans="1:14" x14ac:dyDescent="0.25">
      <c r="B23" s="33">
        <v>2018</v>
      </c>
      <c r="C23" s="32">
        <v>996472.30505704239</v>
      </c>
      <c r="D23" s="32">
        <v>413101.73985464429</v>
      </c>
      <c r="E23" s="32">
        <v>5827435.9916152582</v>
      </c>
      <c r="F23" s="32">
        <v>0</v>
      </c>
      <c r="G23" s="32">
        <v>0</v>
      </c>
      <c r="H23" s="183">
        <f t="shared" si="0"/>
        <v>7237010.0365269445</v>
      </c>
      <c r="I23" s="30">
        <v>2021</v>
      </c>
      <c r="J23" s="155">
        <f t="shared" si="9"/>
        <v>37491693.702602401</v>
      </c>
      <c r="K23" s="155">
        <f t="shared" si="8"/>
        <v>14164690.263616811</v>
      </c>
      <c r="L23" s="155">
        <f t="shared" si="8"/>
        <v>52112827.751174524</v>
      </c>
      <c r="M23" s="155">
        <f t="shared" si="8"/>
        <v>0</v>
      </c>
      <c r="N23" s="155">
        <f t="shared" si="8"/>
        <v>6144078.8799999999</v>
      </c>
    </row>
    <row r="24" spans="1:14" x14ac:dyDescent="0.25">
      <c r="B24" s="33">
        <v>2019</v>
      </c>
      <c r="C24" s="32">
        <v>996041.22348473803</v>
      </c>
      <c r="D24" s="32">
        <v>413101.73985464429</v>
      </c>
      <c r="E24" s="32">
        <v>5827435.9916152582</v>
      </c>
      <c r="F24" s="32">
        <v>0</v>
      </c>
      <c r="G24" s="32">
        <v>0</v>
      </c>
      <c r="H24" s="183">
        <f t="shared" si="0"/>
        <v>7236578.9549546409</v>
      </c>
      <c r="J24" s="32"/>
    </row>
    <row r="25" spans="1:14" x14ac:dyDescent="0.25">
      <c r="B25" s="31">
        <v>2020</v>
      </c>
      <c r="C25" s="32">
        <v>996041.22348473803</v>
      </c>
      <c r="D25" s="32">
        <v>408372.24356381141</v>
      </c>
      <c r="E25" s="32">
        <v>5750601.267306895</v>
      </c>
      <c r="F25" s="32">
        <v>0</v>
      </c>
      <c r="G25" s="32">
        <v>0</v>
      </c>
      <c r="H25" s="183">
        <f t="shared" si="0"/>
        <v>7155014.7343554441</v>
      </c>
      <c r="J25" s="32"/>
    </row>
    <row r="26" spans="1:14" x14ac:dyDescent="0.25">
      <c r="B26" s="31">
        <v>2021</v>
      </c>
      <c r="C26" s="32">
        <v>905837.19442117948</v>
      </c>
      <c r="D26" s="32">
        <v>320033.89088787028</v>
      </c>
      <c r="E26" s="32">
        <v>4315468.9495446626</v>
      </c>
      <c r="F26" s="32">
        <v>0</v>
      </c>
      <c r="G26" s="32">
        <v>0</v>
      </c>
      <c r="H26" s="183">
        <f t="shared" si="0"/>
        <v>5541340.0348537127</v>
      </c>
      <c r="J26" s="32"/>
    </row>
    <row r="27" spans="1:14" x14ac:dyDescent="0.25">
      <c r="C27" s="32"/>
      <c r="D27" s="32"/>
      <c r="E27" s="32"/>
      <c r="F27" s="32"/>
      <c r="G27" s="32"/>
      <c r="H27" s="183"/>
      <c r="J27" s="32"/>
    </row>
    <row r="28" spans="1:14" x14ac:dyDescent="0.25">
      <c r="A28" s="34">
        <v>2013</v>
      </c>
      <c r="B28" s="33">
        <v>2013</v>
      </c>
      <c r="C28" s="32">
        <v>1637560.352996951</v>
      </c>
      <c r="D28" s="32">
        <v>997822.5430015109</v>
      </c>
      <c r="E28" s="32">
        <v>6829588.3214308396</v>
      </c>
      <c r="F28" s="32">
        <v>0</v>
      </c>
      <c r="G28" s="32">
        <v>0</v>
      </c>
      <c r="H28" s="183">
        <f t="shared" si="0"/>
        <v>9464971.2174293026</v>
      </c>
      <c r="J28" s="32"/>
    </row>
    <row r="29" spans="1:14" x14ac:dyDescent="0.25">
      <c r="A29" s="35"/>
      <c r="B29" s="31">
        <v>2014</v>
      </c>
      <c r="C29" s="32">
        <v>1625352.0286562277</v>
      </c>
      <c r="D29" s="32">
        <v>995881.30875366856</v>
      </c>
      <c r="E29" s="32">
        <v>6701956.6631227108</v>
      </c>
      <c r="F29" s="32">
        <v>0</v>
      </c>
      <c r="G29" s="32">
        <v>0</v>
      </c>
      <c r="H29" s="183">
        <f t="shared" si="0"/>
        <v>9323190.0005326066</v>
      </c>
      <c r="J29" s="32"/>
    </row>
    <row r="30" spans="1:14" x14ac:dyDescent="0.25">
      <c r="A30" s="35"/>
      <c r="B30" s="33">
        <v>2015</v>
      </c>
      <c r="C30" s="32">
        <v>1590454.1846366548</v>
      </c>
      <c r="D30" s="32">
        <v>995846.92305761727</v>
      </c>
      <c r="E30" s="32">
        <v>6701657.8588187629</v>
      </c>
      <c r="F30" s="32">
        <v>0</v>
      </c>
      <c r="G30" s="32">
        <v>0</v>
      </c>
      <c r="H30" s="183">
        <f t="shared" si="0"/>
        <v>9287958.966513034</v>
      </c>
      <c r="J30" s="32"/>
    </row>
    <row r="31" spans="1:14" x14ac:dyDescent="0.25">
      <c r="A31" s="35"/>
      <c r="B31" s="33">
        <v>2016</v>
      </c>
      <c r="C31" s="32">
        <v>1483227.105972376</v>
      </c>
      <c r="D31" s="32">
        <v>985534.32702199218</v>
      </c>
      <c r="E31" s="32">
        <v>6701657.8588187629</v>
      </c>
      <c r="F31" s="32">
        <v>0</v>
      </c>
      <c r="G31" s="32">
        <v>0</v>
      </c>
      <c r="H31" s="183">
        <f t="shared" si="0"/>
        <v>9170419.2918131314</v>
      </c>
    </row>
    <row r="32" spans="1:14" x14ac:dyDescent="0.25">
      <c r="A32" s="35"/>
      <c r="B32" s="31">
        <v>2017</v>
      </c>
      <c r="C32" s="32">
        <v>1384534.794751433</v>
      </c>
      <c r="D32" s="32">
        <v>570525.01273379498</v>
      </c>
      <c r="E32" s="32">
        <v>5052660.4746261798</v>
      </c>
      <c r="F32" s="32">
        <v>0</v>
      </c>
      <c r="G32" s="32">
        <v>0</v>
      </c>
      <c r="H32" s="183">
        <f t="shared" si="0"/>
        <v>7007720.2821114082</v>
      </c>
    </row>
    <row r="33" spans="1:17" x14ac:dyDescent="0.25">
      <c r="A33" s="35"/>
      <c r="B33" s="33">
        <v>2018</v>
      </c>
      <c r="C33" s="32">
        <v>1299845.9805817171</v>
      </c>
      <c r="D33" s="32">
        <v>560412.10780510213</v>
      </c>
      <c r="E33" s="32">
        <v>4964781.5056034122</v>
      </c>
      <c r="F33" s="32">
        <v>0</v>
      </c>
      <c r="G33" s="32">
        <v>0</v>
      </c>
      <c r="H33" s="183">
        <f t="shared" si="0"/>
        <v>6825039.5939902309</v>
      </c>
      <c r="K33" s="32"/>
      <c r="L33" s="32"/>
      <c r="M33" s="32"/>
      <c r="N33" s="32"/>
      <c r="O33" s="32"/>
      <c r="P33" s="32"/>
      <c r="Q33" s="32"/>
    </row>
    <row r="34" spans="1:17" x14ac:dyDescent="0.25">
      <c r="A34" s="35"/>
      <c r="B34" s="33">
        <v>2019</v>
      </c>
      <c r="C34" s="32">
        <v>1299845.9805817171</v>
      </c>
      <c r="D34" s="32">
        <v>560412.10780510213</v>
      </c>
      <c r="E34" s="32">
        <v>4964781.5056034122</v>
      </c>
      <c r="F34" s="32">
        <v>0</v>
      </c>
      <c r="G34" s="32">
        <v>0</v>
      </c>
      <c r="H34" s="183">
        <f t="shared" si="0"/>
        <v>6825039.5939902309</v>
      </c>
      <c r="L34" s="32"/>
      <c r="M34" s="32"/>
      <c r="N34" s="32"/>
      <c r="O34" s="32"/>
      <c r="P34" s="32"/>
      <c r="Q34" s="32"/>
    </row>
    <row r="35" spans="1:17" x14ac:dyDescent="0.25">
      <c r="A35" s="35"/>
      <c r="B35" s="31">
        <v>2020</v>
      </c>
      <c r="C35" s="32">
        <v>1299569.5400020173</v>
      </c>
      <c r="D35" s="32">
        <v>559994.30624352652</v>
      </c>
      <c r="E35" s="32">
        <v>4961150.899882677</v>
      </c>
      <c r="F35" s="32">
        <v>0</v>
      </c>
      <c r="G35" s="32">
        <v>0</v>
      </c>
      <c r="H35" s="183">
        <f t="shared" si="0"/>
        <v>6820714.746128221</v>
      </c>
      <c r="M35" s="32"/>
      <c r="N35" s="32"/>
      <c r="O35" s="32"/>
      <c r="P35" s="32"/>
      <c r="Q35" s="32"/>
    </row>
    <row r="36" spans="1:17" x14ac:dyDescent="0.25">
      <c r="B36" s="31">
        <v>2021</v>
      </c>
      <c r="C36" s="32">
        <v>1066600.098142609</v>
      </c>
      <c r="D36" s="32">
        <v>549475.46943280799</v>
      </c>
      <c r="E36" s="32">
        <v>4869744.4701018557</v>
      </c>
      <c r="F36" s="32">
        <v>0</v>
      </c>
      <c r="G36" s="32">
        <v>0</v>
      </c>
      <c r="H36" s="183">
        <f t="shared" si="0"/>
        <v>6485820.0376772732</v>
      </c>
      <c r="N36" s="32"/>
      <c r="O36" s="32"/>
      <c r="P36" s="32"/>
      <c r="Q36" s="32"/>
    </row>
    <row r="37" spans="1:17" x14ac:dyDescent="0.25">
      <c r="C37" s="32"/>
      <c r="D37" s="32"/>
      <c r="E37" s="32"/>
      <c r="F37" s="32"/>
      <c r="G37" s="32"/>
      <c r="H37" s="183"/>
      <c r="O37" s="32"/>
      <c r="P37" s="32"/>
      <c r="Q37" s="32"/>
    </row>
    <row r="38" spans="1:17" x14ac:dyDescent="0.25">
      <c r="A38" s="34">
        <v>2014</v>
      </c>
      <c r="B38" s="31">
        <v>2014</v>
      </c>
      <c r="C38" s="32">
        <v>3516855.0416974854</v>
      </c>
      <c r="D38" s="32">
        <v>1039456.6541361997</v>
      </c>
      <c r="E38" s="32">
        <v>4598688.0076637994</v>
      </c>
      <c r="F38" s="32">
        <v>0</v>
      </c>
      <c r="G38" s="32">
        <v>0</v>
      </c>
      <c r="H38" s="183">
        <f t="shared" si="0"/>
        <v>9154999.7034974843</v>
      </c>
      <c r="P38" s="32"/>
      <c r="Q38" s="32"/>
    </row>
    <row r="39" spans="1:17" x14ac:dyDescent="0.25">
      <c r="B39" s="33">
        <v>2015</v>
      </c>
      <c r="C39" s="32">
        <v>3261863.7045974857</v>
      </c>
      <c r="D39" s="32">
        <v>1033951.4794044439</v>
      </c>
      <c r="E39" s="32">
        <v>4573102.1563955564</v>
      </c>
      <c r="F39" s="32">
        <v>0</v>
      </c>
      <c r="G39" s="32">
        <v>0</v>
      </c>
      <c r="H39" s="183">
        <f t="shared" si="0"/>
        <v>8868917.3403974865</v>
      </c>
    </row>
    <row r="40" spans="1:17" x14ac:dyDescent="0.25">
      <c r="B40" s="33">
        <v>2016</v>
      </c>
      <c r="C40" s="32">
        <v>3099886.9253974855</v>
      </c>
      <c r="D40" s="32">
        <v>1027580.5618044438</v>
      </c>
      <c r="E40" s="32">
        <v>4573102.1563955564</v>
      </c>
      <c r="F40" s="32">
        <v>0</v>
      </c>
      <c r="G40" s="32">
        <v>0</v>
      </c>
      <c r="H40" s="183">
        <f t="shared" si="0"/>
        <v>8700569.6435974855</v>
      </c>
    </row>
    <row r="41" spans="1:17" x14ac:dyDescent="0.25">
      <c r="B41" s="31">
        <v>2017</v>
      </c>
      <c r="C41" s="32">
        <v>3083234.3624508856</v>
      </c>
      <c r="D41" s="32">
        <v>985173.53073819273</v>
      </c>
      <c r="E41" s="32">
        <v>4514664.7307618074</v>
      </c>
      <c r="F41" s="32">
        <v>0</v>
      </c>
      <c r="G41" s="32">
        <v>0</v>
      </c>
      <c r="H41" s="183">
        <f t="shared" si="0"/>
        <v>8583072.6239508856</v>
      </c>
    </row>
    <row r="42" spans="1:17" x14ac:dyDescent="0.25">
      <c r="B42" s="33">
        <v>2018</v>
      </c>
      <c r="C42" s="32">
        <v>2990840.4381298828</v>
      </c>
      <c r="D42" s="32">
        <v>985173.53073819273</v>
      </c>
      <c r="E42" s="32">
        <v>4253570.4505618075</v>
      </c>
      <c r="F42" s="32">
        <v>0</v>
      </c>
      <c r="G42" s="32">
        <v>0</v>
      </c>
      <c r="H42" s="183">
        <f t="shared" si="0"/>
        <v>8229584.4194298834</v>
      </c>
    </row>
    <row r="43" spans="1:17" x14ac:dyDescent="0.25">
      <c r="B43" s="33">
        <v>2019</v>
      </c>
      <c r="C43" s="32">
        <v>2923022.2067879997</v>
      </c>
      <c r="D43" s="32">
        <v>985173.53073819273</v>
      </c>
      <c r="E43" s="32">
        <v>4253570.4505618075</v>
      </c>
      <c r="F43" s="32">
        <v>0</v>
      </c>
      <c r="G43" s="32">
        <v>0</v>
      </c>
      <c r="H43" s="183">
        <f t="shared" si="0"/>
        <v>8161766.1880879998</v>
      </c>
    </row>
    <row r="44" spans="1:17" x14ac:dyDescent="0.25">
      <c r="B44" s="31">
        <v>2020</v>
      </c>
      <c r="C44" s="32">
        <v>2923022.2067879997</v>
      </c>
      <c r="D44" s="32">
        <v>955349.71839653992</v>
      </c>
      <c r="E44" s="32">
        <v>4114961.2939034607</v>
      </c>
      <c r="F44" s="32">
        <v>0</v>
      </c>
      <c r="G44" s="32">
        <v>0</v>
      </c>
      <c r="H44" s="183">
        <f t="shared" si="0"/>
        <v>7993333.2190880002</v>
      </c>
      <c r="M44" s="252"/>
      <c r="N44" s="252"/>
      <c r="O44" s="252"/>
      <c r="P44" s="252"/>
      <c r="Q44" s="252"/>
    </row>
    <row r="45" spans="1:17" x14ac:dyDescent="0.25">
      <c r="B45" s="31">
        <v>2021</v>
      </c>
      <c r="C45" s="32">
        <v>2921761.2902879999</v>
      </c>
      <c r="D45" s="32">
        <v>955349.71839653992</v>
      </c>
      <c r="E45" s="32">
        <v>4114961.2939034607</v>
      </c>
      <c r="F45" s="32">
        <v>0</v>
      </c>
      <c r="G45" s="32">
        <v>0</v>
      </c>
      <c r="H45" s="183">
        <f t="shared" si="0"/>
        <v>7992072.3025880009</v>
      </c>
    </row>
    <row r="46" spans="1:17" x14ac:dyDescent="0.25">
      <c r="C46" s="32"/>
      <c r="D46" s="32"/>
      <c r="E46" s="32"/>
      <c r="F46" s="32"/>
      <c r="G46" s="32"/>
      <c r="H46" s="183"/>
    </row>
    <row r="47" spans="1:17" x14ac:dyDescent="0.25">
      <c r="A47" s="34">
        <v>2015</v>
      </c>
      <c r="B47" s="33">
        <v>2015</v>
      </c>
      <c r="C47" s="32">
        <v>3782028.5144120455</v>
      </c>
      <c r="D47" s="32">
        <v>3945560.9642194393</v>
      </c>
      <c r="E47" s="32">
        <v>7139545.6925710188</v>
      </c>
      <c r="F47" s="32">
        <v>0</v>
      </c>
      <c r="G47" s="32">
        <v>0</v>
      </c>
      <c r="H47" s="183">
        <f t="shared" si="0"/>
        <v>14867135.171202503</v>
      </c>
      <c r="O47" s="232"/>
      <c r="P47" s="232"/>
    </row>
    <row r="48" spans="1:17" x14ac:dyDescent="0.25">
      <c r="B48" s="33">
        <v>2016</v>
      </c>
      <c r="C48" s="32">
        <v>3730628.3007262293</v>
      </c>
      <c r="D48" s="32">
        <v>3945565.6030782573</v>
      </c>
      <c r="E48" s="32">
        <v>7139583.6733974852</v>
      </c>
      <c r="F48" s="32">
        <v>0</v>
      </c>
      <c r="G48" s="32">
        <v>0</v>
      </c>
      <c r="H48" s="183">
        <f t="shared" si="0"/>
        <v>14815777.577201972</v>
      </c>
    </row>
    <row r="49" spans="1:10" x14ac:dyDescent="0.25">
      <c r="B49" s="31">
        <v>2017</v>
      </c>
      <c r="C49" s="32">
        <v>3727477.0870404132</v>
      </c>
      <c r="D49" s="32">
        <v>3924895.120463571</v>
      </c>
      <c r="E49" s="32">
        <v>7160298.7756974585</v>
      </c>
      <c r="F49" s="32">
        <v>0</v>
      </c>
      <c r="G49" s="32">
        <v>0</v>
      </c>
      <c r="H49" s="183">
        <f t="shared" si="0"/>
        <v>14812670.983201442</v>
      </c>
    </row>
    <row r="50" spans="1:10" x14ac:dyDescent="0.25">
      <c r="B50" s="33">
        <v>2018</v>
      </c>
      <c r="C50" s="32">
        <v>3725378.873354597</v>
      </c>
      <c r="D50" s="32">
        <v>3918917.804297009</v>
      </c>
      <c r="E50" s="32">
        <v>7164490.7115493063</v>
      </c>
      <c r="F50" s="32">
        <v>0</v>
      </c>
      <c r="G50" s="32">
        <v>0</v>
      </c>
      <c r="H50" s="183">
        <f t="shared" si="0"/>
        <v>14808787.389200913</v>
      </c>
    </row>
    <row r="51" spans="1:10" x14ac:dyDescent="0.25">
      <c r="B51" s="33">
        <v>2019</v>
      </c>
      <c r="C51" s="32">
        <v>3711017.6596687809</v>
      </c>
      <c r="D51" s="32">
        <v>3918922.443155827</v>
      </c>
      <c r="E51" s="32">
        <v>7164528.6923757736</v>
      </c>
      <c r="F51" s="32">
        <v>0</v>
      </c>
      <c r="G51" s="32">
        <v>0</v>
      </c>
      <c r="H51" s="183">
        <f t="shared" si="0"/>
        <v>14794468.795200381</v>
      </c>
    </row>
    <row r="52" spans="1:10" x14ac:dyDescent="0.25">
      <c r="B52" s="31">
        <v>2020</v>
      </c>
      <c r="C52" s="32">
        <v>3695040.4459829647</v>
      </c>
      <c r="D52" s="32">
        <v>3857733.5350990603</v>
      </c>
      <c r="E52" s="32">
        <v>7072343.2201178269</v>
      </c>
      <c r="F52" s="32">
        <v>0</v>
      </c>
      <c r="G52" s="32">
        <v>0</v>
      </c>
      <c r="H52" s="183">
        <f t="shared" si="0"/>
        <v>14625117.201199852</v>
      </c>
    </row>
    <row r="53" spans="1:10" x14ac:dyDescent="0.25">
      <c r="B53" s="31">
        <v>2021</v>
      </c>
      <c r="C53" s="32">
        <v>3691900.4076581127</v>
      </c>
      <c r="D53" s="32">
        <v>3787088.5105253998</v>
      </c>
      <c r="E53" s="32">
        <v>7142989.2446914883</v>
      </c>
      <c r="F53" s="32">
        <v>0</v>
      </c>
      <c r="G53" s="32">
        <v>0</v>
      </c>
      <c r="H53" s="183">
        <f t="shared" si="0"/>
        <v>14621978.162875</v>
      </c>
    </row>
    <row r="54" spans="1:10" x14ac:dyDescent="0.25">
      <c r="C54" s="32"/>
      <c r="D54" s="32"/>
      <c r="E54" s="32"/>
      <c r="F54" s="32"/>
      <c r="G54" s="32"/>
      <c r="H54" s="183"/>
    </row>
    <row r="55" spans="1:10" x14ac:dyDescent="0.25">
      <c r="A55" s="34">
        <v>2016</v>
      </c>
      <c r="B55" s="33">
        <v>2016</v>
      </c>
      <c r="C55" s="32">
        <v>7781704.7136200033</v>
      </c>
      <c r="D55" s="32">
        <v>2068396.8291057493</v>
      </c>
      <c r="E55" s="32">
        <v>9709057.2173403129</v>
      </c>
      <c r="F55" s="32">
        <v>0</v>
      </c>
      <c r="G55" s="32">
        <v>0</v>
      </c>
      <c r="H55" s="183">
        <f t="shared" si="0"/>
        <v>19559158.760066066</v>
      </c>
    </row>
    <row r="56" spans="1:10" x14ac:dyDescent="0.25">
      <c r="A56" s="36"/>
      <c r="B56" s="31">
        <v>2017</v>
      </c>
      <c r="C56" s="32">
        <v>7781062.6154171564</v>
      </c>
      <c r="D56" s="32">
        <v>2049671.1401314195</v>
      </c>
      <c r="E56" s="32">
        <v>9728247.7577986699</v>
      </c>
      <c r="F56" s="32">
        <v>0</v>
      </c>
      <c r="G56" s="32">
        <v>0</v>
      </c>
      <c r="H56" s="183">
        <f t="shared" si="0"/>
        <v>19558981.513347246</v>
      </c>
    </row>
    <row r="57" spans="1:10" x14ac:dyDescent="0.25">
      <c r="A57" s="36"/>
      <c r="B57" s="33">
        <v>2018</v>
      </c>
      <c r="C57" s="32">
        <v>7780967.5893561887</v>
      </c>
      <c r="D57" s="32">
        <v>2094513.2056580712</v>
      </c>
      <c r="E57" s="32">
        <v>10015990.471614165</v>
      </c>
      <c r="F57" s="32">
        <v>0</v>
      </c>
      <c r="G57" s="32">
        <v>0</v>
      </c>
      <c r="H57" s="183">
        <f t="shared" si="0"/>
        <v>19891471.266628426</v>
      </c>
    </row>
    <row r="58" spans="1:10" x14ac:dyDescent="0.25">
      <c r="A58" s="36"/>
      <c r="B58" s="33">
        <v>2019</v>
      </c>
      <c r="C58" s="32">
        <v>7780872.563295221</v>
      </c>
      <c r="D58" s="32">
        <v>2094502.1199308939</v>
      </c>
      <c r="E58" s="32">
        <v>10015919.336683489</v>
      </c>
      <c r="F58" s="32">
        <v>0</v>
      </c>
      <c r="G58" s="32">
        <v>0</v>
      </c>
      <c r="H58" s="183">
        <f t="shared" si="0"/>
        <v>19891294.019909605</v>
      </c>
    </row>
    <row r="59" spans="1:10" x14ac:dyDescent="0.25">
      <c r="A59" s="36"/>
      <c r="B59" s="31">
        <v>2020</v>
      </c>
      <c r="C59" s="32">
        <v>7780777.5372342533</v>
      </c>
      <c r="D59" s="32">
        <v>2094491.0342037166</v>
      </c>
      <c r="E59" s="32">
        <v>10015848.201752814</v>
      </c>
      <c r="F59" s="32">
        <v>0</v>
      </c>
      <c r="G59" s="32">
        <v>0</v>
      </c>
      <c r="H59" s="183">
        <f t="shared" si="0"/>
        <v>19891116.773190781</v>
      </c>
    </row>
    <row r="60" spans="1:10" x14ac:dyDescent="0.25">
      <c r="B60" s="31">
        <v>2021</v>
      </c>
      <c r="C60" s="32">
        <v>7780746.3073041784</v>
      </c>
      <c r="D60" s="32">
        <v>2092929.3901261347</v>
      </c>
      <c r="E60" s="32">
        <v>10010865.896629591</v>
      </c>
      <c r="F60" s="32">
        <v>0</v>
      </c>
      <c r="G60" s="32">
        <v>0</v>
      </c>
      <c r="H60" s="183">
        <f t="shared" si="0"/>
        <v>19884541.594059903</v>
      </c>
    </row>
    <row r="61" spans="1:10" x14ac:dyDescent="0.25">
      <c r="C61" s="235"/>
      <c r="D61" s="235"/>
      <c r="E61" s="235"/>
      <c r="F61" s="235"/>
      <c r="G61" s="235"/>
      <c r="H61" s="183"/>
    </row>
    <row r="62" spans="1:10" x14ac:dyDescent="0.25">
      <c r="A62" s="34">
        <v>2017</v>
      </c>
      <c r="B62" s="31">
        <v>2017</v>
      </c>
      <c r="C62" s="235">
        <v>20316242.368425496</v>
      </c>
      <c r="D62" s="235">
        <v>1945524.3873127077</v>
      </c>
      <c r="E62" s="235">
        <v>7495273.4169774046</v>
      </c>
      <c r="F62" s="235">
        <v>0</v>
      </c>
      <c r="G62" s="235">
        <v>4382683.88</v>
      </c>
      <c r="H62" s="183">
        <f t="shared" si="0"/>
        <v>34139724.052715607</v>
      </c>
      <c r="I62" s="32"/>
      <c r="J62" s="32"/>
    </row>
    <row r="63" spans="1:10" x14ac:dyDescent="0.25">
      <c r="B63" s="33">
        <v>2018</v>
      </c>
      <c r="C63" s="235">
        <v>16315097.240191065</v>
      </c>
      <c r="D63" s="235">
        <v>1946736.9327149717</v>
      </c>
      <c r="E63" s="235">
        <v>7489121.9449044969</v>
      </c>
      <c r="F63" s="235">
        <v>0</v>
      </c>
      <c r="G63" s="235">
        <v>4382683.88</v>
      </c>
      <c r="H63" s="183">
        <f t="shared" si="0"/>
        <v>30133639.997810531</v>
      </c>
    </row>
    <row r="64" spans="1:10" x14ac:dyDescent="0.25">
      <c r="B64" s="33">
        <v>2019</v>
      </c>
      <c r="C64" s="235">
        <v>16315078.111956632</v>
      </c>
      <c r="D64" s="235">
        <v>1945852.7882584871</v>
      </c>
      <c r="E64" s="235">
        <v>7485788.1626903396</v>
      </c>
      <c r="F64" s="235">
        <v>0</v>
      </c>
      <c r="G64" s="235">
        <v>4382683.88</v>
      </c>
      <c r="H64" s="183">
        <f t="shared" si="0"/>
        <v>30129402.94290546</v>
      </c>
    </row>
    <row r="65" spans="1:12" x14ac:dyDescent="0.25">
      <c r="B65" s="31">
        <v>2020</v>
      </c>
      <c r="C65" s="235">
        <v>16315058.983722199</v>
      </c>
      <c r="D65" s="235">
        <v>1944968.6438020028</v>
      </c>
      <c r="E65" s="235">
        <v>7482454.3804761823</v>
      </c>
      <c r="F65" s="235">
        <v>0</v>
      </c>
      <c r="G65" s="235">
        <v>4382683.88</v>
      </c>
      <c r="H65" s="183">
        <f t="shared" si="0"/>
        <v>30125165.88800038</v>
      </c>
    </row>
    <row r="66" spans="1:12" x14ac:dyDescent="0.25">
      <c r="B66" s="31">
        <v>2021</v>
      </c>
      <c r="C66" s="235">
        <v>16312970.983722199</v>
      </c>
      <c r="D66" s="235">
        <v>1943793.7661208238</v>
      </c>
      <c r="E66" s="235">
        <v>7481837.2581573613</v>
      </c>
      <c r="F66" s="235">
        <v>0</v>
      </c>
      <c r="G66" s="235">
        <v>4382683.88</v>
      </c>
      <c r="H66" s="183">
        <f t="shared" si="0"/>
        <v>30121285.888000384</v>
      </c>
    </row>
    <row r="67" spans="1:12" x14ac:dyDescent="0.25">
      <c r="C67" s="235"/>
      <c r="D67" s="235"/>
      <c r="E67" s="235"/>
      <c r="F67" s="235"/>
      <c r="G67" s="235"/>
      <c r="H67" s="183"/>
    </row>
    <row r="68" spans="1:12" x14ac:dyDescent="0.25">
      <c r="A68" s="34">
        <v>2018</v>
      </c>
      <c r="B68" s="33">
        <v>2018</v>
      </c>
      <c r="C68" s="235">
        <v>3662405.3476437954</v>
      </c>
      <c r="D68" s="235">
        <v>2918844.1918899282</v>
      </c>
      <c r="E68" s="235">
        <v>6662605.1596090794</v>
      </c>
      <c r="F68" s="235">
        <v>0</v>
      </c>
      <c r="G68" s="235">
        <v>1761395</v>
      </c>
      <c r="H68" s="183">
        <f t="shared" si="0"/>
        <v>15005249.699142803</v>
      </c>
      <c r="I68" s="32"/>
      <c r="J68" s="32"/>
    </row>
    <row r="69" spans="1:12" x14ac:dyDescent="0.25">
      <c r="B69" s="33">
        <v>2019</v>
      </c>
      <c r="C69" s="235">
        <v>3651957.6009826367</v>
      </c>
      <c r="D69" s="235">
        <v>2737802.0229497734</v>
      </c>
      <c r="E69" s="235">
        <v>6622491.9708662182</v>
      </c>
      <c r="F69" s="235">
        <v>0</v>
      </c>
      <c r="G69" s="235">
        <v>1761395</v>
      </c>
      <c r="H69" s="183">
        <f t="shared" si="0"/>
        <v>14773646.594798628</v>
      </c>
    </row>
    <row r="70" spans="1:12" x14ac:dyDescent="0.25">
      <c r="B70" s="31">
        <v>2020</v>
      </c>
      <c r="C70" s="235">
        <v>3641509.8543214784</v>
      </c>
      <c r="D70" s="235">
        <v>2556759.8540096157</v>
      </c>
      <c r="E70" s="235">
        <v>6582378.7821233505</v>
      </c>
      <c r="F70" s="235">
        <v>0</v>
      </c>
      <c r="G70" s="235">
        <v>1761395</v>
      </c>
      <c r="H70" s="183">
        <f t="shared" ref="H70:H80" si="10">SUM(C70:G70)</f>
        <v>14542043.490454445</v>
      </c>
    </row>
    <row r="71" spans="1:12" x14ac:dyDescent="0.25">
      <c r="B71" s="31">
        <v>2021</v>
      </c>
      <c r="C71" s="235">
        <v>3641509.8543214784</v>
      </c>
      <c r="D71" s="235">
        <v>2556759.8540096157</v>
      </c>
      <c r="E71" s="235">
        <v>6582378.7821233505</v>
      </c>
      <c r="F71" s="235">
        <v>0</v>
      </c>
      <c r="G71" s="235">
        <v>1761395</v>
      </c>
      <c r="H71" s="183">
        <f t="shared" si="10"/>
        <v>14542043.490454445</v>
      </c>
    </row>
    <row r="72" spans="1:12" x14ac:dyDescent="0.25">
      <c r="C72" s="235"/>
      <c r="D72" s="235"/>
      <c r="E72" s="235"/>
      <c r="F72" s="235"/>
      <c r="G72" s="235"/>
      <c r="H72" s="183"/>
      <c r="I72" s="185"/>
      <c r="J72" s="185"/>
    </row>
    <row r="73" spans="1:12" x14ac:dyDescent="0.25">
      <c r="A73" s="34">
        <v>2019</v>
      </c>
      <c r="B73" s="31">
        <v>2019</v>
      </c>
      <c r="C73" s="235">
        <v>28269.803888456387</v>
      </c>
      <c r="D73" s="235">
        <v>1606883.2782182135</v>
      </c>
      <c r="E73" s="235">
        <v>4775130.3565749116</v>
      </c>
      <c r="F73" s="235">
        <v>0</v>
      </c>
      <c r="G73" s="34">
        <v>0</v>
      </c>
      <c r="H73" s="183">
        <f t="shared" si="10"/>
        <v>6410283.438681582</v>
      </c>
      <c r="K73" s="183"/>
      <c r="L73" s="184"/>
    </row>
    <row r="74" spans="1:12" x14ac:dyDescent="0.25">
      <c r="B74" s="31">
        <v>2020</v>
      </c>
      <c r="C74" s="235">
        <v>28269.803888456387</v>
      </c>
      <c r="D74" s="235">
        <v>1566421.9191532335</v>
      </c>
      <c r="E74" s="235">
        <v>4769775.9467078708</v>
      </c>
      <c r="F74" s="235">
        <v>0</v>
      </c>
      <c r="G74" s="34">
        <v>0</v>
      </c>
      <c r="H74" s="183">
        <f t="shared" si="10"/>
        <v>6364467.6697495608</v>
      </c>
      <c r="I74" s="183"/>
      <c r="J74" s="32"/>
    </row>
    <row r="75" spans="1:12" x14ac:dyDescent="0.25">
      <c r="B75" s="31">
        <v>2021</v>
      </c>
      <c r="C75" s="235">
        <v>28269.803888456387</v>
      </c>
      <c r="D75" s="235">
        <v>1566421.9191532335</v>
      </c>
      <c r="E75" s="235">
        <v>4769422.3789724587</v>
      </c>
      <c r="F75" s="235">
        <v>0</v>
      </c>
      <c r="G75" s="34">
        <v>0</v>
      </c>
      <c r="H75" s="183">
        <f t="shared" si="10"/>
        <v>6364114.1020141486</v>
      </c>
      <c r="I75" s="184"/>
      <c r="J75" s="32"/>
    </row>
    <row r="76" spans="1:12" x14ac:dyDescent="0.25">
      <c r="C76" s="235"/>
      <c r="D76" s="235"/>
      <c r="E76" s="235"/>
      <c r="F76" s="235"/>
      <c r="G76" s="235"/>
      <c r="H76" s="183"/>
    </row>
    <row r="77" spans="1:12" x14ac:dyDescent="0.25">
      <c r="A77" s="34">
        <v>2020</v>
      </c>
      <c r="B77" s="31">
        <v>2020</v>
      </c>
      <c r="C77" s="156"/>
      <c r="D77" s="156">
        <v>122603.59542882007</v>
      </c>
      <c r="E77" s="156">
        <v>2192934.2797265826</v>
      </c>
      <c r="F77" s="32"/>
      <c r="G77" s="32"/>
      <c r="H77" s="183">
        <f t="shared" si="10"/>
        <v>2315537.8751554028</v>
      </c>
    </row>
    <row r="78" spans="1:12" x14ac:dyDescent="0.25">
      <c r="B78" s="31">
        <v>2021</v>
      </c>
      <c r="C78" s="156"/>
      <c r="D78" s="156">
        <v>122603.59542882007</v>
      </c>
      <c r="E78" s="156">
        <v>2192934.2797265826</v>
      </c>
      <c r="F78" s="32"/>
      <c r="G78" s="32"/>
      <c r="H78" s="183">
        <f t="shared" si="10"/>
        <v>2315537.8751554028</v>
      </c>
    </row>
    <row r="79" spans="1:12" x14ac:dyDescent="0.25">
      <c r="C79" s="156"/>
      <c r="D79" s="156"/>
      <c r="E79" s="156"/>
      <c r="F79" s="32"/>
      <c r="G79" s="32"/>
      <c r="H79" s="183"/>
    </row>
    <row r="80" spans="1:12" x14ac:dyDescent="0.25">
      <c r="A80" s="34">
        <v>2021</v>
      </c>
      <c r="B80" s="31">
        <v>2021</v>
      </c>
      <c r="C80" s="156">
        <v>0</v>
      </c>
      <c r="D80" s="156">
        <v>0</v>
      </c>
      <c r="E80" s="156">
        <v>0</v>
      </c>
      <c r="F80" s="32"/>
      <c r="G80" s="32"/>
      <c r="H80" s="183">
        <f t="shared" si="1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N18"/>
  <sheetViews>
    <sheetView workbookViewId="0">
      <selection sqref="A1:E19"/>
    </sheetView>
  </sheetViews>
  <sheetFormatPr defaultRowHeight="12.75" x14ac:dyDescent="0.2"/>
  <cols>
    <col min="1" max="1" width="16.83203125" style="174" customWidth="1"/>
    <col min="2" max="16384" width="9.33203125" style="174"/>
  </cols>
  <sheetData>
    <row r="1" spans="1:14" x14ac:dyDescent="0.2">
      <c r="A1" s="174" t="s">
        <v>233</v>
      </c>
    </row>
    <row r="2" spans="1:14" x14ac:dyDescent="0.2">
      <c r="A2" s="174" t="s">
        <v>207</v>
      </c>
    </row>
    <row r="3" spans="1:14" x14ac:dyDescent="0.2">
      <c r="A3" s="174" t="s">
        <v>263</v>
      </c>
    </row>
    <row r="5" spans="1:14" x14ac:dyDescent="0.2">
      <c r="B5" s="174" t="s">
        <v>72</v>
      </c>
      <c r="C5" s="174" t="s">
        <v>73</v>
      </c>
      <c r="D5" s="174" t="s">
        <v>74</v>
      </c>
      <c r="E5" s="174" t="s">
        <v>75</v>
      </c>
    </row>
    <row r="6" spans="1:14" x14ac:dyDescent="0.2">
      <c r="A6" s="174" t="s">
        <v>76</v>
      </c>
      <c r="B6" s="240">
        <v>-4.4351669087570498</v>
      </c>
      <c r="C6" s="240">
        <v>13.0006671661881</v>
      </c>
      <c r="D6" s="240">
        <v>-0.341149177350834</v>
      </c>
      <c r="E6" s="240">
        <v>0.733619243125058</v>
      </c>
      <c r="L6" s="43"/>
      <c r="N6" s="43"/>
    </row>
    <row r="7" spans="1:14" x14ac:dyDescent="0.2">
      <c r="A7" s="174" t="s">
        <v>41</v>
      </c>
      <c r="B7" s="240">
        <v>7.9089363009228197E-3</v>
      </c>
      <c r="C7" s="240">
        <v>7.6968552677107304E-4</v>
      </c>
      <c r="D7" s="240">
        <v>10.275542446668799</v>
      </c>
      <c r="E7" s="240">
        <v>6.3038252683664798E-18</v>
      </c>
      <c r="L7" s="43"/>
      <c r="N7" s="43"/>
    </row>
    <row r="8" spans="1:14" x14ac:dyDescent="0.2">
      <c r="A8" s="174" t="s">
        <v>40</v>
      </c>
      <c r="B8" s="240">
        <v>3.87431003486787E-2</v>
      </c>
      <c r="C8" s="240">
        <v>1.47741579172036E-3</v>
      </c>
      <c r="D8" s="240">
        <v>26.223559113013501</v>
      </c>
      <c r="E8" s="240">
        <v>4.1772820593113002E-50</v>
      </c>
      <c r="L8" s="43"/>
      <c r="N8" s="43"/>
    </row>
    <row r="9" spans="1:14" x14ac:dyDescent="0.2">
      <c r="A9" s="174" t="s">
        <v>69</v>
      </c>
      <c r="B9" s="240">
        <v>-4.45429829012765E-2</v>
      </c>
      <c r="C9" s="240">
        <v>1.54628609122021E-2</v>
      </c>
      <c r="D9" s="240">
        <v>-2.8806430552658302</v>
      </c>
      <c r="E9" s="240">
        <v>4.7423975444001497E-3</v>
      </c>
      <c r="L9" s="43"/>
      <c r="N9" s="43"/>
    </row>
    <row r="10" spans="1:14" x14ac:dyDescent="0.2">
      <c r="A10" s="174" t="s">
        <v>18</v>
      </c>
      <c r="B10" s="240">
        <v>4.15469130485315E-3</v>
      </c>
      <c r="C10" s="240">
        <v>2.0087034754022598E-3</v>
      </c>
      <c r="D10" s="240">
        <v>2.0683447585617998</v>
      </c>
      <c r="E10" s="240">
        <v>4.0869686969275003E-2</v>
      </c>
      <c r="L10" s="43"/>
      <c r="N10" s="43"/>
    </row>
    <row r="11" spans="1:14" x14ac:dyDescent="0.2">
      <c r="A11" s="174" t="s">
        <v>68</v>
      </c>
      <c r="B11" s="240">
        <v>-1.18560218277844</v>
      </c>
      <c r="C11" s="240">
        <v>0.20415844320321699</v>
      </c>
      <c r="D11" s="240">
        <v>-5.8072650054365198</v>
      </c>
      <c r="E11" s="240">
        <v>5.8377211946463602E-8</v>
      </c>
      <c r="L11" s="43"/>
    </row>
    <row r="12" spans="1:14" x14ac:dyDescent="0.2">
      <c r="B12" s="43"/>
      <c r="C12" s="43"/>
    </row>
    <row r="13" spans="1:14" x14ac:dyDescent="0.2">
      <c r="A13" s="174" t="s">
        <v>199</v>
      </c>
    </row>
    <row r="14" spans="1:14" x14ac:dyDescent="0.2">
      <c r="A14" s="174" t="s">
        <v>77</v>
      </c>
      <c r="B14" s="174">
        <v>25.188562656761</v>
      </c>
      <c r="C14" s="174" t="s">
        <v>78</v>
      </c>
      <c r="D14" s="174">
        <v>3.5830546472423999</v>
      </c>
    </row>
    <row r="15" spans="1:14" x14ac:dyDescent="0.2">
      <c r="A15" s="174" t="s">
        <v>79</v>
      </c>
      <c r="B15" s="174">
        <v>72.8706724461954</v>
      </c>
      <c r="C15" s="174" t="s">
        <v>80</v>
      </c>
      <c r="D15" s="174">
        <v>0.799510115612446</v>
      </c>
      <c r="M15" s="43"/>
    </row>
    <row r="16" spans="1:14" x14ac:dyDescent="0.2">
      <c r="A16" s="174" t="s">
        <v>81</v>
      </c>
      <c r="B16" s="174">
        <v>0.95233748985972699</v>
      </c>
      <c r="C16" s="174" t="s">
        <v>82</v>
      </c>
      <c r="D16" s="174">
        <v>0.95024702888866197</v>
      </c>
    </row>
    <row r="17" spans="1:4" x14ac:dyDescent="0.2">
      <c r="A17" s="174" t="s">
        <v>88</v>
      </c>
      <c r="B17" s="174">
        <v>342.084391648566</v>
      </c>
      <c r="C17" s="174" t="s">
        <v>83</v>
      </c>
      <c r="D17" s="43">
        <v>6.9574162897401994E-67</v>
      </c>
    </row>
    <row r="18" spans="1:4" x14ac:dyDescent="0.2">
      <c r="A18" s="174" t="s">
        <v>84</v>
      </c>
      <c r="B18" s="174">
        <v>-9.5453580858629108E-3</v>
      </c>
      <c r="C18" s="174" t="s">
        <v>85</v>
      </c>
      <c r="D18" s="43">
        <v>1.9929561516449701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C195"/>
  <sheetViews>
    <sheetView topLeftCell="A85" workbookViewId="0">
      <selection activeCell="Q2" sqref="Q2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14.6640625" style="29" bestFit="1" customWidth="1"/>
    <col min="5" max="7" width="9.33203125" style="29"/>
    <col min="8" max="9" width="9.6640625" style="29" customWidth="1"/>
    <col min="10" max="10" width="9.33203125" style="29"/>
    <col min="11" max="11" width="11.83203125" style="29" bestFit="1" customWidth="1"/>
    <col min="12" max="13" width="9.33203125" style="29"/>
    <col min="14" max="16" width="12.5" style="29" customWidth="1"/>
    <col min="17" max="17" width="13.5" style="29" customWidth="1"/>
    <col min="18" max="18" width="12.5" style="29" bestFit="1" customWidth="1"/>
    <col min="19" max="19" width="14.1640625" style="29" bestFit="1" customWidth="1"/>
    <col min="20" max="20" width="13.83203125" style="29" bestFit="1" customWidth="1"/>
    <col min="21" max="21" width="9.33203125" style="29"/>
    <col min="22" max="22" width="15.1640625" style="29" bestFit="1" customWidth="1"/>
    <col min="23" max="23" width="9.33203125" style="29"/>
    <col min="24" max="24" width="12.1640625" style="29" bestFit="1" customWidth="1"/>
    <col min="25" max="26" width="9.33203125" style="29"/>
    <col min="27" max="27" width="12.5" style="29" bestFit="1" customWidth="1"/>
    <col min="28" max="28" width="15.6640625" style="29" customWidth="1"/>
    <col min="29" max="29" width="13.33203125" style="29" bestFit="1" customWidth="1"/>
    <col min="30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Data'!E1</f>
        <v>Res_NoCDM</v>
      </c>
      <c r="E1" s="46" t="str">
        <f>'Monthly Data'!AL1</f>
        <v>HDD12</v>
      </c>
      <c r="F1" s="46" t="str">
        <f>'Monthly Data'!AK1</f>
        <v>CDD14</v>
      </c>
      <c r="G1" s="29" t="str">
        <f>'Monthly Data'!BG1</f>
        <v>Trend</v>
      </c>
      <c r="H1" s="29" t="str">
        <f>'Monthly Data'!W1</f>
        <v>Ont_FTEAdj</v>
      </c>
      <c r="I1" s="29" t="str">
        <f>'Monthly Data'!BF1</f>
        <v>Shoulder</v>
      </c>
      <c r="K1" s="29" t="s">
        <v>76</v>
      </c>
      <c r="L1" s="46" t="str">
        <f>E1</f>
        <v>HDD12</v>
      </c>
      <c r="M1" s="46" t="str">
        <f>F1</f>
        <v>CDD14</v>
      </c>
      <c r="N1" s="46" t="str">
        <f>G1</f>
        <v>Trend</v>
      </c>
      <c r="O1" s="46" t="str">
        <f>H1</f>
        <v>Ont_FTEAdj</v>
      </c>
      <c r="P1" s="46" t="str">
        <f>I1</f>
        <v>Shoulder</v>
      </c>
      <c r="Q1" s="44" t="str">
        <f>'Monthly Data'!F1</f>
        <v>Residential_Customers</v>
      </c>
      <c r="R1" s="46" t="str">
        <f>'Monthly Data'!BH1</f>
        <v>Month Days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158">
        <f>'Monthly Data'!E2</f>
        <v>49397907</v>
      </c>
      <c r="E2" s="46">
        <f>'Monthly Data'!AL2</f>
        <v>483.20000000000005</v>
      </c>
      <c r="F2" s="46">
        <f>'Monthly Data'!AK2</f>
        <v>0</v>
      </c>
      <c r="G2" s="29">
        <f>'Monthly Data'!BG2</f>
        <v>1</v>
      </c>
      <c r="H2" s="29">
        <f>'Monthly Data'!W2</f>
        <v>6466.9</v>
      </c>
      <c r="I2" s="29">
        <f>'Monthly Data'!BF2</f>
        <v>0</v>
      </c>
      <c r="K2" s="29">
        <f>'Res PW'!$B$6</f>
        <v>-4.4351669087570498</v>
      </c>
      <c r="L2" s="29">
        <f>E2*'Res PW'!$B$7</f>
        <v>3.821598020605907</v>
      </c>
      <c r="M2" s="29">
        <f>F2*'Res PW'!$B$8</f>
        <v>0</v>
      </c>
      <c r="N2" s="29">
        <f>G2*'Res PW'!$B$9</f>
        <v>-4.45429829012765E-2</v>
      </c>
      <c r="O2" s="163">
        <f>H2*'Res PW'!$B$10</f>
        <v>26.867973199354832</v>
      </c>
      <c r="P2" s="29">
        <f>I2*'Res PW'!$B$11</f>
        <v>0</v>
      </c>
      <c r="Q2" s="44">
        <f>'Monthly Data'!F2</f>
        <v>57642</v>
      </c>
      <c r="R2" s="46">
        <f>'Monthly Data'!BH2</f>
        <v>31</v>
      </c>
      <c r="S2" s="158">
        <f>SUM(K2:P2)*R2*Q2</f>
        <v>46834453.627266236</v>
      </c>
      <c r="T2" s="44">
        <f t="shared" ref="T2:T33" si="2">S2-D2</f>
        <v>-2563453.3727337644</v>
      </c>
      <c r="U2" s="48">
        <f t="shared" ref="U2:U33" si="3">ABS(T2/D2)</f>
        <v>5.1893967344279673E-2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158">
        <f>'Monthly Data'!E3</f>
        <v>40768686</v>
      </c>
      <c r="E3" s="46">
        <f>'Monthly Data'!AL3</f>
        <v>392.59999999999997</v>
      </c>
      <c r="F3" s="46">
        <f>'Monthly Data'!AK3</f>
        <v>0</v>
      </c>
      <c r="G3" s="29">
        <f>'Monthly Data'!BG3</f>
        <v>2</v>
      </c>
      <c r="H3" s="29">
        <f>'Monthly Data'!W3</f>
        <v>6471</v>
      </c>
      <c r="I3" s="29">
        <f>'Monthly Data'!BF3</f>
        <v>0</v>
      </c>
      <c r="K3" s="29">
        <f>'Res PW'!$B$6</f>
        <v>-4.4351669087570498</v>
      </c>
      <c r="L3" s="29">
        <f>E3*'Res PW'!$B$7</f>
        <v>3.1050483917422986</v>
      </c>
      <c r="M3" s="29">
        <f>F3*'Res PW'!$B$8</f>
        <v>0</v>
      </c>
      <c r="N3" s="29">
        <f>G3*'Res PW'!$B$9</f>
        <v>-8.9085965802552999E-2</v>
      </c>
      <c r="O3" s="163">
        <f>H3*'Res PW'!$B$10</f>
        <v>26.885007433704732</v>
      </c>
      <c r="P3" s="29">
        <f>I3*'Res PW'!$B$11</f>
        <v>0</v>
      </c>
      <c r="Q3" s="44">
        <f>'Monthly Data'!F3</f>
        <v>57677</v>
      </c>
      <c r="R3" s="46">
        <f>'Monthly Data'!BH3</f>
        <v>28</v>
      </c>
      <c r="S3" s="158">
        <f t="shared" ref="S3:S66" si="4">SUM(K3:P3)*R3*Q3</f>
        <v>41126151.270353362</v>
      </c>
      <c r="T3" s="44">
        <f t="shared" si="2"/>
        <v>357465.27035336196</v>
      </c>
      <c r="U3" s="48">
        <f t="shared" si="3"/>
        <v>8.7681332273834376E-3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158">
        <f>'Monthly Data'!E4</f>
        <v>40910014</v>
      </c>
      <c r="E4" s="46">
        <f>'Monthly Data'!AL4</f>
        <v>232.39999999999995</v>
      </c>
      <c r="F4" s="46">
        <f>'Monthly Data'!AK4</f>
        <v>0</v>
      </c>
      <c r="G4" s="29">
        <f>'Monthly Data'!BG4</f>
        <v>3</v>
      </c>
      <c r="H4" s="29">
        <f>'Monthly Data'!W4</f>
        <v>6477.5</v>
      </c>
      <c r="I4" s="29">
        <f>'Monthly Data'!BF4</f>
        <v>1</v>
      </c>
      <c r="K4" s="29">
        <f>'Res PW'!$B$6</f>
        <v>-4.4351669087570498</v>
      </c>
      <c r="L4" s="29">
        <f>E4*'Res PW'!$B$7</f>
        <v>1.8380367963344628</v>
      </c>
      <c r="M4" s="29">
        <f>F4*'Res PW'!$B$8</f>
        <v>0</v>
      </c>
      <c r="N4" s="29">
        <f>G4*'Res PW'!$B$9</f>
        <v>-0.13362894870382949</v>
      </c>
      <c r="O4" s="163">
        <f>H4*'Res PW'!$B$10</f>
        <v>26.912012927186279</v>
      </c>
      <c r="P4" s="29">
        <f>I4*'Res PW'!$B$11</f>
        <v>-1.18560218277844</v>
      </c>
      <c r="Q4" s="44">
        <f>'Monthly Data'!F4</f>
        <v>57709</v>
      </c>
      <c r="R4" s="46">
        <f>'Monthly Data'!BH4</f>
        <v>31</v>
      </c>
      <c r="S4" s="158">
        <f t="shared" si="4"/>
        <v>41138737.952705123</v>
      </c>
      <c r="T4" s="44">
        <f t="shared" si="2"/>
        <v>228723.95270512253</v>
      </c>
      <c r="U4" s="48">
        <f t="shared" si="3"/>
        <v>5.5909037993759313E-3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158">
        <f>'Monthly Data'!E5</f>
        <v>36681881</v>
      </c>
      <c r="E5" s="46">
        <f>'Monthly Data'!AL5</f>
        <v>78.500000000000014</v>
      </c>
      <c r="F5" s="46">
        <f>'Monthly Data'!AK5</f>
        <v>1.4000000000000004</v>
      </c>
      <c r="G5" s="29">
        <f>'Monthly Data'!BG5</f>
        <v>4</v>
      </c>
      <c r="H5" s="29">
        <f>'Monthly Data'!W5</f>
        <v>6485</v>
      </c>
      <c r="I5" s="29">
        <f>'Monthly Data'!BF5</f>
        <v>1</v>
      </c>
      <c r="K5" s="29">
        <f>'Res PW'!$B$6</f>
        <v>-4.4351669087570498</v>
      </c>
      <c r="L5" s="29">
        <f>E5*'Res PW'!$B$7</f>
        <v>0.62085149962244146</v>
      </c>
      <c r="M5" s="29">
        <f>F5*'Res PW'!$B$8</f>
        <v>5.4240340488150192E-2</v>
      </c>
      <c r="N5" s="29">
        <f>G5*'Res PW'!$B$9</f>
        <v>-0.178171931605106</v>
      </c>
      <c r="O5" s="163">
        <f>H5*'Res PW'!$B$10</f>
        <v>26.943173111972676</v>
      </c>
      <c r="P5" s="29">
        <f>I5*'Res PW'!$B$11</f>
        <v>-1.18560218277844</v>
      </c>
      <c r="Q5" s="44">
        <f>'Monthly Data'!F5</f>
        <v>57751</v>
      </c>
      <c r="R5" s="46">
        <f>'Monthly Data'!BH5</f>
        <v>30</v>
      </c>
      <c r="S5" s="158">
        <f t="shared" si="4"/>
        <v>37802633.28661105</v>
      </c>
      <c r="T5" s="44">
        <f t="shared" si="2"/>
        <v>1120752.2866110504</v>
      </c>
      <c r="U5" s="48">
        <f t="shared" si="3"/>
        <v>3.0553293780410291E-2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158">
        <f>'Monthly Data'!E6</f>
        <v>44687288</v>
      </c>
      <c r="E6" s="46">
        <f>'Monthly Data'!AL6</f>
        <v>36.5</v>
      </c>
      <c r="F6" s="46">
        <f>'Monthly Data'!AK6</f>
        <v>76.900000000000006</v>
      </c>
      <c r="G6" s="29">
        <f>'Monthly Data'!BG6</f>
        <v>5</v>
      </c>
      <c r="H6" s="29">
        <f>'Monthly Data'!W6</f>
        <v>6506.8</v>
      </c>
      <c r="I6" s="29">
        <f>'Monthly Data'!BF6</f>
        <v>1</v>
      </c>
      <c r="K6" s="29">
        <f>'Res PW'!$B$6</f>
        <v>-4.4351669087570498</v>
      </c>
      <c r="L6" s="29">
        <f>E6*'Res PW'!$B$7</f>
        <v>0.28867617498368292</v>
      </c>
      <c r="M6" s="29">
        <f>F6*'Res PW'!$B$8</f>
        <v>2.979344416813392</v>
      </c>
      <c r="N6" s="29">
        <f>G6*'Res PW'!$B$9</f>
        <v>-0.22271491450638251</v>
      </c>
      <c r="O6" s="163">
        <f>H6*'Res PW'!$B$10</f>
        <v>27.033745382418477</v>
      </c>
      <c r="P6" s="29">
        <f>I6*'Res PW'!$B$11</f>
        <v>-1.18560218277844</v>
      </c>
      <c r="Q6" s="44">
        <f>'Monthly Data'!F6</f>
        <v>57814</v>
      </c>
      <c r="R6" s="46">
        <f>'Monthly Data'!BH6</f>
        <v>31</v>
      </c>
      <c r="S6" s="158">
        <f t="shared" si="4"/>
        <v>43834964.524947785</v>
      </c>
      <c r="T6" s="44">
        <f t="shared" si="2"/>
        <v>-852323.47505221516</v>
      </c>
      <c r="U6" s="48">
        <f t="shared" si="3"/>
        <v>1.9073063351980883E-2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158">
        <f>'Monthly Data'!E7</f>
        <v>51533466</v>
      </c>
      <c r="E7" s="46">
        <f>'Monthly Data'!AL7</f>
        <v>0</v>
      </c>
      <c r="F7" s="46">
        <f>'Monthly Data'!AK7</f>
        <v>161.1</v>
      </c>
      <c r="G7" s="29">
        <f>'Monthly Data'!BG7</f>
        <v>6</v>
      </c>
      <c r="H7" s="29">
        <f>'Monthly Data'!W7</f>
        <v>6540.8</v>
      </c>
      <c r="I7" s="29">
        <f>'Monthly Data'!BF7</f>
        <v>0</v>
      </c>
      <c r="K7" s="29">
        <f>'Res PW'!$B$6</f>
        <v>-4.4351669087570498</v>
      </c>
      <c r="L7" s="29">
        <f>E7*'Res PW'!$B$7</f>
        <v>0</v>
      </c>
      <c r="M7" s="29">
        <f>F7*'Res PW'!$B$8</f>
        <v>6.2415134661721385</v>
      </c>
      <c r="N7" s="29">
        <f>G7*'Res PW'!$B$9</f>
        <v>-0.26725789740765898</v>
      </c>
      <c r="O7" s="163">
        <f>H7*'Res PW'!$B$10</f>
        <v>27.175004886783483</v>
      </c>
      <c r="P7" s="29">
        <f>I7*'Res PW'!$B$11</f>
        <v>0</v>
      </c>
      <c r="Q7" s="44">
        <f>'Monthly Data'!F7</f>
        <v>57809</v>
      </c>
      <c r="R7" s="46">
        <f>'Monthly Data'!BH7</f>
        <v>30</v>
      </c>
      <c r="S7" s="158">
        <f t="shared" si="4"/>
        <v>49797991.015393071</v>
      </c>
      <c r="T7" s="44">
        <f t="shared" si="2"/>
        <v>-1735474.9846069291</v>
      </c>
      <c r="U7" s="48">
        <f t="shared" si="3"/>
        <v>3.3676659447026698E-2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158">
        <f>'Monthly Data'!E8</f>
        <v>61497459</v>
      </c>
      <c r="E8" s="46">
        <f>'Monthly Data'!AL8</f>
        <v>0</v>
      </c>
      <c r="F8" s="46">
        <f>'Monthly Data'!AK8</f>
        <v>291.7999999999999</v>
      </c>
      <c r="G8" s="29">
        <f>'Monthly Data'!BG8</f>
        <v>7</v>
      </c>
      <c r="H8" s="29">
        <f>'Monthly Data'!W8</f>
        <v>6561</v>
      </c>
      <c r="I8" s="29">
        <f>'Monthly Data'!BF8</f>
        <v>0</v>
      </c>
      <c r="K8" s="29">
        <f>'Res PW'!$B$6</f>
        <v>-4.4351669087570498</v>
      </c>
      <c r="L8" s="29">
        <f>E8*'Res PW'!$B$7</f>
        <v>0</v>
      </c>
      <c r="M8" s="29">
        <f>F8*'Res PW'!$B$8</f>
        <v>11.305236681744441</v>
      </c>
      <c r="N8" s="29">
        <f>G8*'Res PW'!$B$9</f>
        <v>-0.31180088030893549</v>
      </c>
      <c r="O8" s="163">
        <f>H8*'Res PW'!$B$10</f>
        <v>27.258929651141518</v>
      </c>
      <c r="P8" s="29">
        <f>I8*'Res PW'!$B$11</f>
        <v>0</v>
      </c>
      <c r="Q8" s="44">
        <f>'Monthly Data'!F8</f>
        <v>57987</v>
      </c>
      <c r="R8" s="46">
        <f>'Monthly Data'!BH8</f>
        <v>31</v>
      </c>
      <c r="S8" s="158">
        <f t="shared" si="4"/>
        <v>60789694.650775142</v>
      </c>
      <c r="T8" s="44">
        <f t="shared" si="2"/>
        <v>-707764.34922485799</v>
      </c>
      <c r="U8" s="48">
        <f t="shared" si="3"/>
        <v>1.1508838913569713E-2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158">
        <f>'Monthly Data'!E9</f>
        <v>57219511</v>
      </c>
      <c r="E9" s="46">
        <f>'Monthly Data'!AL9</f>
        <v>0</v>
      </c>
      <c r="F9" s="46">
        <f>'Monthly Data'!AK9</f>
        <v>269.7</v>
      </c>
      <c r="G9" s="29">
        <f>'Monthly Data'!BG9</f>
        <v>8</v>
      </c>
      <c r="H9" s="29">
        <f>'Monthly Data'!W9</f>
        <v>6568.9</v>
      </c>
      <c r="I9" s="29">
        <f>'Monthly Data'!BF9</f>
        <v>0</v>
      </c>
      <c r="K9" s="29">
        <f>'Res PW'!$B$6</f>
        <v>-4.4351669087570498</v>
      </c>
      <c r="L9" s="29">
        <f>E9*'Res PW'!$B$7</f>
        <v>0</v>
      </c>
      <c r="M9" s="29">
        <f>F9*'Res PW'!$B$8</f>
        <v>10.449014164038644</v>
      </c>
      <c r="N9" s="29">
        <f>G9*'Res PW'!$B$9</f>
        <v>-0.356343863210212</v>
      </c>
      <c r="O9" s="163">
        <f>H9*'Res PW'!$B$10</f>
        <v>27.291751712449855</v>
      </c>
      <c r="P9" s="29">
        <f>I9*'Res PW'!$B$11</f>
        <v>0</v>
      </c>
      <c r="Q9" s="44">
        <f>'Monthly Data'!F9</f>
        <v>58018</v>
      </c>
      <c r="R9" s="46">
        <f>'Monthly Data'!BH9</f>
        <v>31</v>
      </c>
      <c r="S9" s="158">
        <f t="shared" si="4"/>
        <v>59261146.3622775</v>
      </c>
      <c r="T9" s="44">
        <f t="shared" si="2"/>
        <v>2041635.3622775003</v>
      </c>
      <c r="U9" s="48">
        <f t="shared" si="3"/>
        <v>3.5680755158454612E-2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158">
        <f>'Monthly Data'!E10</f>
        <v>45833578</v>
      </c>
      <c r="E10" s="46">
        <f>'Monthly Data'!AL10</f>
        <v>9.9999999999999645E-2</v>
      </c>
      <c r="F10" s="46">
        <f>'Monthly Data'!AK10</f>
        <v>94.4</v>
      </c>
      <c r="G10" s="29">
        <f>'Monthly Data'!BG10</f>
        <v>9</v>
      </c>
      <c r="H10" s="29">
        <f>'Monthly Data'!W10</f>
        <v>6556</v>
      </c>
      <c r="I10" s="29">
        <f>'Monthly Data'!BF10</f>
        <v>1</v>
      </c>
      <c r="K10" s="29">
        <f>'Res PW'!$B$6</f>
        <v>-4.4351669087570498</v>
      </c>
      <c r="L10" s="29">
        <f>E10*'Res PW'!$B$7</f>
        <v>7.9089363009227911E-4</v>
      </c>
      <c r="M10" s="29">
        <f>F10*'Res PW'!$B$8</f>
        <v>3.6573486729152695</v>
      </c>
      <c r="N10" s="29">
        <f>G10*'Res PW'!$B$9</f>
        <v>-0.4008868461114885</v>
      </c>
      <c r="O10" s="163">
        <f>H10*'Res PW'!$B$10</f>
        <v>27.23815619461725</v>
      </c>
      <c r="P10" s="29">
        <f>I10*'Res PW'!$B$11</f>
        <v>-1.18560218277844</v>
      </c>
      <c r="Q10" s="44">
        <f>'Monthly Data'!F10</f>
        <v>58071</v>
      </c>
      <c r="R10" s="46">
        <f>'Monthly Data'!BH10</f>
        <v>30</v>
      </c>
      <c r="S10" s="158">
        <f t="shared" si="4"/>
        <v>43334856.275741294</v>
      </c>
      <c r="T10" s="44">
        <f t="shared" si="2"/>
        <v>-2498721.724258706</v>
      </c>
      <c r="U10" s="48">
        <f t="shared" si="3"/>
        <v>5.4517273869797073E-2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158">
        <f>'Monthly Data'!E11</f>
        <v>41340554</v>
      </c>
      <c r="E11" s="46">
        <f>'Monthly Data'!AL11</f>
        <v>44.2</v>
      </c>
      <c r="F11" s="46">
        <f>'Monthly Data'!AK11</f>
        <v>13.500000000000002</v>
      </c>
      <c r="G11" s="29">
        <f>'Monthly Data'!BG11</f>
        <v>10</v>
      </c>
      <c r="H11" s="29">
        <f>'Monthly Data'!W11</f>
        <v>6551.6</v>
      </c>
      <c r="I11" s="29">
        <f>'Monthly Data'!BF11</f>
        <v>1</v>
      </c>
      <c r="K11" s="29">
        <f>'Res PW'!$B$6</f>
        <v>-4.4351669087570498</v>
      </c>
      <c r="L11" s="29">
        <f>E11*'Res PW'!$B$7</f>
        <v>0.34957498450078867</v>
      </c>
      <c r="M11" s="29">
        <f>F11*'Res PW'!$B$8</f>
        <v>0.52303185470716251</v>
      </c>
      <c r="N11" s="29">
        <f>G11*'Res PW'!$B$9</f>
        <v>-0.44542982901276501</v>
      </c>
      <c r="O11" s="163">
        <f>H11*'Res PW'!$B$10</f>
        <v>27.219875552875898</v>
      </c>
      <c r="P11" s="29">
        <f>I11*'Res PW'!$B$11</f>
        <v>-1.18560218277844</v>
      </c>
      <c r="Q11" s="44">
        <f>'Monthly Data'!F11</f>
        <v>58121</v>
      </c>
      <c r="R11" s="46">
        <f>'Monthly Data'!BH11</f>
        <v>31</v>
      </c>
      <c r="S11" s="158">
        <f t="shared" si="4"/>
        <v>39685878.271122731</v>
      </c>
      <c r="T11" s="44">
        <f t="shared" si="2"/>
        <v>-1654675.7288772687</v>
      </c>
      <c r="U11" s="48">
        <f t="shared" si="3"/>
        <v>4.0025485117525732E-2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158">
        <f>'Monthly Data'!E12</f>
        <v>39815993</v>
      </c>
      <c r="E12" s="46">
        <f>'Monthly Data'!AL12</f>
        <v>202.7</v>
      </c>
      <c r="F12" s="46">
        <f>'Monthly Data'!AK12</f>
        <v>0</v>
      </c>
      <c r="G12" s="29">
        <f>'Monthly Data'!BG12</f>
        <v>11</v>
      </c>
      <c r="H12" s="29">
        <f>'Monthly Data'!W12</f>
        <v>6555.7</v>
      </c>
      <c r="I12" s="29">
        <f>'Monthly Data'!BF12</f>
        <v>1</v>
      </c>
      <c r="K12" s="29">
        <f>'Res PW'!$B$6</f>
        <v>-4.4351669087570498</v>
      </c>
      <c r="L12" s="29">
        <f>E12*'Res PW'!$B$7</f>
        <v>1.6031413881970555</v>
      </c>
      <c r="M12" s="29">
        <f>F12*'Res PW'!$B$8</f>
        <v>0</v>
      </c>
      <c r="N12" s="29">
        <f>G12*'Res PW'!$B$9</f>
        <v>-0.48997281191404152</v>
      </c>
      <c r="O12" s="163">
        <f>H12*'Res PW'!$B$10</f>
        <v>27.236909787225795</v>
      </c>
      <c r="P12" s="29">
        <f>I12*'Res PW'!$B$11</f>
        <v>-1.18560218277844</v>
      </c>
      <c r="Q12" s="44">
        <f>'Monthly Data'!F12</f>
        <v>58162</v>
      </c>
      <c r="R12" s="46">
        <f>'Monthly Data'!BH12</f>
        <v>30</v>
      </c>
      <c r="S12" s="158">
        <f t="shared" si="4"/>
        <v>39659462.576295368</v>
      </c>
      <c r="T12" s="44">
        <f t="shared" si="2"/>
        <v>-156530.42370463163</v>
      </c>
      <c r="U12" s="48">
        <f t="shared" si="3"/>
        <v>3.9313454697621538E-3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158">
        <f>'Monthly Data'!E13</f>
        <v>47209999</v>
      </c>
      <c r="E13" s="46">
        <f>'Monthly Data'!AL13</f>
        <v>447.59999999999997</v>
      </c>
      <c r="F13" s="46">
        <f>'Monthly Data'!AK13</f>
        <v>0</v>
      </c>
      <c r="G13" s="29">
        <f>'Monthly Data'!BG13</f>
        <v>12</v>
      </c>
      <c r="H13" s="29">
        <f>'Monthly Data'!W13</f>
        <v>6578.3</v>
      </c>
      <c r="I13" s="29">
        <f>'Monthly Data'!BF13</f>
        <v>0</v>
      </c>
      <c r="K13" s="29">
        <f>'Res PW'!$B$6</f>
        <v>-4.4351669087570498</v>
      </c>
      <c r="L13" s="29">
        <f>E13*'Res PW'!$B$7</f>
        <v>3.5400398882930539</v>
      </c>
      <c r="M13" s="29">
        <f>F13*'Res PW'!$B$8</f>
        <v>0</v>
      </c>
      <c r="N13" s="29">
        <f>G13*'Res PW'!$B$9</f>
        <v>-0.53451579481531797</v>
      </c>
      <c r="O13" s="163">
        <f>H13*'Res PW'!$B$10</f>
        <v>27.330805810715479</v>
      </c>
      <c r="P13" s="29">
        <f>I13*'Res PW'!$B$11</f>
        <v>0</v>
      </c>
      <c r="Q13" s="44">
        <f>'Monthly Data'!F13</f>
        <v>58247</v>
      </c>
      <c r="R13" s="46">
        <f>'Monthly Data'!BH13</f>
        <v>31</v>
      </c>
      <c r="S13" s="158">
        <f t="shared" si="4"/>
        <v>46768616.270850286</v>
      </c>
      <c r="T13" s="44">
        <f t="shared" si="2"/>
        <v>-441382.72914971411</v>
      </c>
      <c r="U13" s="48">
        <f t="shared" si="3"/>
        <v>9.3493484113336689E-3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158">
        <f>'Monthly Data'!E14</f>
        <v>49456916.476147316</v>
      </c>
      <c r="E14" s="46">
        <f>'Monthly Data'!AL14</f>
        <v>540.69999999999993</v>
      </c>
      <c r="F14" s="46">
        <f>'Monthly Data'!AK14</f>
        <v>0</v>
      </c>
      <c r="G14" s="29">
        <f>'Monthly Data'!BG14</f>
        <v>13</v>
      </c>
      <c r="H14" s="29">
        <f>'Monthly Data'!W14</f>
        <v>6606.3</v>
      </c>
      <c r="I14" s="29">
        <f>'Monthly Data'!BF14</f>
        <v>0</v>
      </c>
      <c r="K14" s="29">
        <f>'Res PW'!$B$6</f>
        <v>-4.4351669087570498</v>
      </c>
      <c r="L14" s="29">
        <f>E14*'Res PW'!$B$7</f>
        <v>4.2763618579089684</v>
      </c>
      <c r="M14" s="29">
        <f>F14*'Res PW'!$B$8</f>
        <v>0</v>
      </c>
      <c r="N14" s="29">
        <f>G14*'Res PW'!$B$9</f>
        <v>-0.57905877771659453</v>
      </c>
      <c r="O14" s="163">
        <f>H14*'Res PW'!$B$10</f>
        <v>27.447137167251366</v>
      </c>
      <c r="P14" s="29">
        <f>I14*'Res PW'!$B$11</f>
        <v>0</v>
      </c>
      <c r="Q14" s="44">
        <f>'Monthly Data'!F14</f>
        <v>58273</v>
      </c>
      <c r="R14" s="46">
        <f>'Monthly Data'!BH14</f>
        <v>31</v>
      </c>
      <c r="S14" s="158">
        <f t="shared" si="4"/>
        <v>48249314.04322397</v>
      </c>
      <c r="T14" s="44">
        <f t="shared" si="2"/>
        <v>-1207602.4329233468</v>
      </c>
      <c r="U14" s="48">
        <f t="shared" si="3"/>
        <v>2.4417260900318441E-2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158">
        <f>'Monthly Data'!E15</f>
        <v>41737382.476147316</v>
      </c>
      <c r="E15" s="46">
        <f>'Monthly Data'!AL15</f>
        <v>437.20000000000005</v>
      </c>
      <c r="F15" s="46">
        <f>'Monthly Data'!AK15</f>
        <v>0</v>
      </c>
      <c r="G15" s="29">
        <f>'Monthly Data'!BG15</f>
        <v>14</v>
      </c>
      <c r="H15" s="29">
        <f>'Monthly Data'!W15</f>
        <v>6619.5</v>
      </c>
      <c r="I15" s="29">
        <f>'Monthly Data'!BF15</f>
        <v>0</v>
      </c>
      <c r="K15" s="29">
        <f>'Res PW'!$B$6</f>
        <v>-4.4351669087570498</v>
      </c>
      <c r="L15" s="29">
        <f>E15*'Res PW'!$B$7</f>
        <v>3.4577869507634573</v>
      </c>
      <c r="M15" s="29">
        <f>F15*'Res PW'!$B$8</f>
        <v>0</v>
      </c>
      <c r="N15" s="29">
        <f>G15*'Res PW'!$B$9</f>
        <v>-0.62360176061787098</v>
      </c>
      <c r="O15" s="163">
        <f>H15*'Res PW'!$B$10</f>
        <v>27.501979092475427</v>
      </c>
      <c r="P15" s="29">
        <f>I15*'Res PW'!$B$11</f>
        <v>0</v>
      </c>
      <c r="Q15" s="44">
        <f>'Monthly Data'!F15</f>
        <v>58299</v>
      </c>
      <c r="R15" s="46">
        <f>'Monthly Data'!BH15</f>
        <v>28</v>
      </c>
      <c r="S15" s="158">
        <f t="shared" si="4"/>
        <v>42280062.885169066</v>
      </c>
      <c r="T15" s="44">
        <f t="shared" si="2"/>
        <v>542680.40902175009</v>
      </c>
      <c r="U15" s="48">
        <f t="shared" si="3"/>
        <v>1.3002262643851443E-2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158">
        <f>'Monthly Data'!E16</f>
        <v>42523489.476147316</v>
      </c>
      <c r="E16" s="46">
        <f>'Monthly Data'!AL16</f>
        <v>359.50000000000006</v>
      </c>
      <c r="F16" s="46">
        <f>'Monthly Data'!AK16</f>
        <v>0</v>
      </c>
      <c r="G16" s="29">
        <f>'Monthly Data'!BG16</f>
        <v>15</v>
      </c>
      <c r="H16" s="29">
        <f>'Monthly Data'!W16</f>
        <v>6628.6</v>
      </c>
      <c r="I16" s="29">
        <f>'Monthly Data'!BF16</f>
        <v>1</v>
      </c>
      <c r="K16" s="29">
        <f>'Res PW'!$B$6</f>
        <v>-4.4351669087570498</v>
      </c>
      <c r="L16" s="29">
        <f>E16*'Res PW'!$B$7</f>
        <v>2.8432626001817543</v>
      </c>
      <c r="M16" s="29">
        <f>F16*'Res PW'!$B$8</f>
        <v>0</v>
      </c>
      <c r="N16" s="29">
        <f>G16*'Res PW'!$B$9</f>
        <v>-0.66814474351914754</v>
      </c>
      <c r="O16" s="163">
        <f>H16*'Res PW'!$B$10</f>
        <v>27.539786783349591</v>
      </c>
      <c r="P16" s="29">
        <f>I16*'Res PW'!$B$11</f>
        <v>-1.18560218277844</v>
      </c>
      <c r="Q16" s="44">
        <f>'Monthly Data'!F16</f>
        <v>58318</v>
      </c>
      <c r="R16" s="46">
        <f>'Monthly Data'!BH16</f>
        <v>31</v>
      </c>
      <c r="S16" s="158">
        <f t="shared" si="4"/>
        <v>43558775.704397999</v>
      </c>
      <c r="T16" s="44">
        <f t="shared" si="2"/>
        <v>1035286.2282506824</v>
      </c>
      <c r="U16" s="48">
        <f t="shared" si="3"/>
        <v>2.4346219959944845E-2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158">
        <f>'Monthly Data'!E17</f>
        <v>38514761.476147316</v>
      </c>
      <c r="E17" s="46">
        <f>'Monthly Data'!AL17</f>
        <v>177.5</v>
      </c>
      <c r="F17" s="46">
        <f>'Monthly Data'!AK17</f>
        <v>0</v>
      </c>
      <c r="G17" s="29">
        <f>'Monthly Data'!BG17</f>
        <v>16</v>
      </c>
      <c r="H17" s="29">
        <f>'Monthly Data'!W17</f>
        <v>6635.5</v>
      </c>
      <c r="I17" s="29">
        <f>'Monthly Data'!BF17</f>
        <v>1</v>
      </c>
      <c r="K17" s="29">
        <f>'Res PW'!$B$6</f>
        <v>-4.4351669087570498</v>
      </c>
      <c r="L17" s="29">
        <f>E17*'Res PW'!$B$7</f>
        <v>1.4038361934138006</v>
      </c>
      <c r="M17" s="29">
        <f>F17*'Res PW'!$B$8</f>
        <v>0</v>
      </c>
      <c r="N17" s="29">
        <f>G17*'Res PW'!$B$9</f>
        <v>-0.71268772642042399</v>
      </c>
      <c r="O17" s="163">
        <f>H17*'Res PW'!$B$10</f>
        <v>27.568454153353077</v>
      </c>
      <c r="P17" s="29">
        <f>I17*'Res PW'!$B$11</f>
        <v>-1.18560218277844</v>
      </c>
      <c r="Q17" s="44">
        <f>'Monthly Data'!F17</f>
        <v>58345</v>
      </c>
      <c r="R17" s="46">
        <f>'Monthly Data'!BH17</f>
        <v>30</v>
      </c>
      <c r="S17" s="158">
        <f t="shared" si="4"/>
        <v>39625882.267154269</v>
      </c>
      <c r="T17" s="44">
        <f t="shared" si="2"/>
        <v>1111120.7910069525</v>
      </c>
      <c r="U17" s="48">
        <f t="shared" si="3"/>
        <v>2.8849219063581216E-2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158">
        <f>'Monthly Data'!E18</f>
        <v>42499355.476147316</v>
      </c>
      <c r="E18" s="46">
        <f>'Monthly Data'!AL18</f>
        <v>42.399999999999991</v>
      </c>
      <c r="F18" s="46">
        <f>'Monthly Data'!AK18</f>
        <v>22.700000000000003</v>
      </c>
      <c r="G18" s="29">
        <f>'Monthly Data'!BG18</f>
        <v>17</v>
      </c>
      <c r="H18" s="29">
        <f>'Monthly Data'!W18</f>
        <v>6645.8</v>
      </c>
      <c r="I18" s="29">
        <f>'Monthly Data'!BF18</f>
        <v>1</v>
      </c>
      <c r="K18" s="29">
        <f>'Res PW'!$B$6</f>
        <v>-4.4351669087570498</v>
      </c>
      <c r="L18" s="29">
        <f>E18*'Res PW'!$B$7</f>
        <v>0.33533889915912751</v>
      </c>
      <c r="M18" s="29">
        <f>F18*'Res PW'!$B$8</f>
        <v>0.87946837791500654</v>
      </c>
      <c r="N18" s="29">
        <f>G18*'Res PW'!$B$9</f>
        <v>-0.75723070932170045</v>
      </c>
      <c r="O18" s="163">
        <f>H18*'Res PW'!$B$10</f>
        <v>27.611247473793064</v>
      </c>
      <c r="P18" s="29">
        <f>I18*'Res PW'!$B$11</f>
        <v>-1.18560218277844</v>
      </c>
      <c r="Q18" s="44">
        <f>'Monthly Data'!F18</f>
        <v>58385</v>
      </c>
      <c r="R18" s="46">
        <f>'Monthly Data'!BH18</f>
        <v>31</v>
      </c>
      <c r="S18" s="158">
        <f t="shared" si="4"/>
        <v>40629520.335946366</v>
      </c>
      <c r="T18" s="44">
        <f t="shared" si="2"/>
        <v>-1869835.1402009502</v>
      </c>
      <c r="U18" s="48">
        <f t="shared" si="3"/>
        <v>4.3996788168949801E-2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158">
        <f>'Monthly Data'!E19</f>
        <v>49779830.476147316</v>
      </c>
      <c r="E19" s="46">
        <f>'Monthly Data'!AL19</f>
        <v>0</v>
      </c>
      <c r="F19" s="46">
        <f>'Monthly Data'!AK19</f>
        <v>139.9</v>
      </c>
      <c r="G19" s="29">
        <f>'Monthly Data'!BG19</f>
        <v>18</v>
      </c>
      <c r="H19" s="29">
        <f>'Monthly Data'!W19</f>
        <v>6662</v>
      </c>
      <c r="I19" s="29">
        <f>'Monthly Data'!BF19</f>
        <v>0</v>
      </c>
      <c r="K19" s="29">
        <f>'Res PW'!$B$6</f>
        <v>-4.4351669087570498</v>
      </c>
      <c r="L19" s="29">
        <f>E19*'Res PW'!$B$7</f>
        <v>0</v>
      </c>
      <c r="M19" s="29">
        <f>F19*'Res PW'!$B$8</f>
        <v>5.4201597387801499</v>
      </c>
      <c r="N19" s="29">
        <f>G19*'Res PW'!$B$9</f>
        <v>-0.80177369222297701</v>
      </c>
      <c r="O19" s="163">
        <f>H19*'Res PW'!$B$10</f>
        <v>27.678553472931686</v>
      </c>
      <c r="P19" s="29">
        <f>I19*'Res PW'!$B$11</f>
        <v>0</v>
      </c>
      <c r="Q19" s="44">
        <f>'Monthly Data'!F19</f>
        <v>58495</v>
      </c>
      <c r="R19" s="46">
        <f>'Monthly Data'!BH19</f>
        <v>30</v>
      </c>
      <c r="S19" s="158">
        <f t="shared" si="4"/>
        <v>48893231.665942714</v>
      </c>
      <c r="T19" s="44">
        <f t="shared" si="2"/>
        <v>-886598.81020460278</v>
      </c>
      <c r="U19" s="48">
        <f t="shared" si="3"/>
        <v>1.781040236023762E-2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158">
        <f>'Monthly Data'!E20</f>
        <v>61715744.476147316</v>
      </c>
      <c r="E20" s="46">
        <f>'Monthly Data'!AL20</f>
        <v>0</v>
      </c>
      <c r="F20" s="46">
        <f>'Monthly Data'!AK20</f>
        <v>313.90000000000003</v>
      </c>
      <c r="G20" s="29">
        <f>'Monthly Data'!BG20</f>
        <v>19</v>
      </c>
      <c r="H20" s="29">
        <f>'Monthly Data'!W20</f>
        <v>6665.8</v>
      </c>
      <c r="I20" s="29">
        <f>'Monthly Data'!BF20</f>
        <v>0</v>
      </c>
      <c r="K20" s="29">
        <f>'Res PW'!$B$6</f>
        <v>-4.4351669087570498</v>
      </c>
      <c r="L20" s="29">
        <f>E20*'Res PW'!$B$7</f>
        <v>0</v>
      </c>
      <c r="M20" s="29">
        <f>F20*'Res PW'!$B$8</f>
        <v>12.161459199450245</v>
      </c>
      <c r="N20" s="29">
        <f>G20*'Res PW'!$B$9</f>
        <v>-0.84631667512425346</v>
      </c>
      <c r="O20" s="163">
        <f>H20*'Res PW'!$B$10</f>
        <v>27.694341299890127</v>
      </c>
      <c r="P20" s="29">
        <f>I20*'Res PW'!$B$11</f>
        <v>0</v>
      </c>
      <c r="Q20" s="44">
        <f>'Monthly Data'!F20</f>
        <v>58515</v>
      </c>
      <c r="R20" s="46">
        <f>'Monthly Data'!BH20</f>
        <v>31</v>
      </c>
      <c r="S20" s="158">
        <f t="shared" si="4"/>
        <v>62716600.783550709</v>
      </c>
      <c r="T20" s="44">
        <f t="shared" si="2"/>
        <v>1000856.3074033931</v>
      </c>
      <c r="U20" s="48">
        <f t="shared" si="3"/>
        <v>1.6217195723697651E-2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158">
        <f>'Monthly Data'!E21</f>
        <v>56143271.476147316</v>
      </c>
      <c r="E21" s="46">
        <f>'Monthly Data'!AL21</f>
        <v>0</v>
      </c>
      <c r="F21" s="46">
        <f>'Monthly Data'!AK21</f>
        <v>242.40000000000003</v>
      </c>
      <c r="G21" s="29">
        <f>'Monthly Data'!BG21</f>
        <v>20</v>
      </c>
      <c r="H21" s="29">
        <f>'Monthly Data'!W21</f>
        <v>6677.5</v>
      </c>
      <c r="I21" s="29">
        <f>'Monthly Data'!BF21</f>
        <v>0</v>
      </c>
      <c r="K21" s="29">
        <f>'Res PW'!$B$6</f>
        <v>-4.4351669087570498</v>
      </c>
      <c r="L21" s="29">
        <f>E21*'Res PW'!$B$7</f>
        <v>0</v>
      </c>
      <c r="M21" s="29">
        <f>F21*'Res PW'!$B$8</f>
        <v>9.3913275245197188</v>
      </c>
      <c r="N21" s="29">
        <f>G21*'Res PW'!$B$9</f>
        <v>-0.89085965802553002</v>
      </c>
      <c r="O21" s="163">
        <f>H21*'Res PW'!$B$10</f>
        <v>27.742951188156908</v>
      </c>
      <c r="P21" s="29">
        <f>I21*'Res PW'!$B$11</f>
        <v>0</v>
      </c>
      <c r="Q21" s="44">
        <f>'Monthly Data'!F21</f>
        <v>58526</v>
      </c>
      <c r="R21" s="46">
        <f>'Monthly Data'!BH21</f>
        <v>31</v>
      </c>
      <c r="S21" s="158">
        <f t="shared" si="4"/>
        <v>57709902.717808448</v>
      </c>
      <c r="T21" s="44">
        <f t="shared" si="2"/>
        <v>1566631.2416611314</v>
      </c>
      <c r="U21" s="48">
        <f t="shared" si="3"/>
        <v>2.7904167328879664E-2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158">
        <f>'Monthly Data'!E22</f>
        <v>44393787.476147316</v>
      </c>
      <c r="E22" s="46">
        <f>'Monthly Data'!AL22</f>
        <v>0.40000000000000036</v>
      </c>
      <c r="F22" s="46">
        <f>'Monthly Data'!AK22</f>
        <v>114.19999999999996</v>
      </c>
      <c r="G22" s="29">
        <f>'Monthly Data'!BG22</f>
        <v>21</v>
      </c>
      <c r="H22" s="29">
        <f>'Monthly Data'!W22</f>
        <v>6674.4</v>
      </c>
      <c r="I22" s="29">
        <f>'Monthly Data'!BF22</f>
        <v>1</v>
      </c>
      <c r="K22" s="29">
        <f>'Res PW'!$B$6</f>
        <v>-4.4351669087570498</v>
      </c>
      <c r="L22" s="29">
        <f>E22*'Res PW'!$B$7</f>
        <v>3.1635745203691308E-3</v>
      </c>
      <c r="M22" s="29">
        <f>F22*'Res PW'!$B$8</f>
        <v>4.4244620598191062</v>
      </c>
      <c r="N22" s="29">
        <f>G22*'Res PW'!$B$9</f>
        <v>-0.93540264092680647</v>
      </c>
      <c r="O22" s="163">
        <f>H22*'Res PW'!$B$10</f>
        <v>27.730071645111863</v>
      </c>
      <c r="P22" s="29">
        <f>I22*'Res PW'!$B$11</f>
        <v>-1.18560218277844</v>
      </c>
      <c r="Q22" s="44">
        <f>'Monthly Data'!F22</f>
        <v>58615</v>
      </c>
      <c r="R22" s="46">
        <f>'Monthly Data'!BH22</f>
        <v>30</v>
      </c>
      <c r="S22" s="158">
        <f t="shared" si="4"/>
        <v>45019002.59810289</v>
      </c>
      <c r="T22" s="44">
        <f t="shared" si="2"/>
        <v>625215.12195557356</v>
      </c>
      <c r="U22" s="48">
        <f t="shared" si="3"/>
        <v>1.4083392237967987E-2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158">
        <f>'Monthly Data'!E23</f>
        <v>41972796.476147316</v>
      </c>
      <c r="E23" s="46">
        <f>'Monthly Data'!AL23</f>
        <v>61.1</v>
      </c>
      <c r="F23" s="46">
        <f>'Monthly Data'!AK23</f>
        <v>27.4</v>
      </c>
      <c r="G23" s="29">
        <f>'Monthly Data'!BG23</f>
        <v>22</v>
      </c>
      <c r="H23" s="29">
        <f>'Monthly Data'!W23</f>
        <v>6668.1</v>
      </c>
      <c r="I23" s="29">
        <f>'Monthly Data'!BF23</f>
        <v>1</v>
      </c>
      <c r="K23" s="29">
        <f>'Res PW'!$B$6</f>
        <v>-4.4351669087570498</v>
      </c>
      <c r="L23" s="29">
        <f>E23*'Res PW'!$B$7</f>
        <v>0.48323600798638428</v>
      </c>
      <c r="M23" s="29">
        <f>F23*'Res PW'!$B$8</f>
        <v>1.0615609495537963</v>
      </c>
      <c r="N23" s="29">
        <f>G23*'Res PW'!$B$9</f>
        <v>-0.97994562382808303</v>
      </c>
      <c r="O23" s="163">
        <f>H23*'Res PW'!$B$10</f>
        <v>27.703897089891292</v>
      </c>
      <c r="P23" s="29">
        <f>I23*'Res PW'!$B$11</f>
        <v>-1.18560218277844</v>
      </c>
      <c r="Q23" s="44">
        <f>'Monthly Data'!F23</f>
        <v>58637</v>
      </c>
      <c r="R23" s="46">
        <f>'Monthly Data'!BH23</f>
        <v>31</v>
      </c>
      <c r="S23" s="158">
        <f t="shared" si="4"/>
        <v>41168296.486928433</v>
      </c>
      <c r="T23" s="44">
        <f t="shared" si="2"/>
        <v>-804499.98921888322</v>
      </c>
      <c r="U23" s="48">
        <f t="shared" si="3"/>
        <v>1.9167176284669806E-2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158">
        <f>'Monthly Data'!E24</f>
        <v>39897288.476147316</v>
      </c>
      <c r="E24" s="46">
        <f>'Monthly Data'!AL24</f>
        <v>127.09999999999998</v>
      </c>
      <c r="F24" s="46">
        <f>'Monthly Data'!AK24</f>
        <v>0.99999999999999822</v>
      </c>
      <c r="G24" s="29">
        <f>'Monthly Data'!BG24</f>
        <v>23</v>
      </c>
      <c r="H24" s="29">
        <f>'Monthly Data'!W24</f>
        <v>6662.8</v>
      </c>
      <c r="I24" s="29">
        <f>'Monthly Data'!BF24</f>
        <v>1</v>
      </c>
      <c r="K24" s="29">
        <f>'Res PW'!$B$6</f>
        <v>-4.4351669087570498</v>
      </c>
      <c r="L24" s="29">
        <f>E24*'Res PW'!$B$7</f>
        <v>1.0052258038472903</v>
      </c>
      <c r="M24" s="29">
        <f>F24*'Res PW'!$B$8</f>
        <v>3.874310034867863E-2</v>
      </c>
      <c r="N24" s="29">
        <f>G24*'Res PW'!$B$9</f>
        <v>-1.0244886067293595</v>
      </c>
      <c r="O24" s="163">
        <f>H24*'Res PW'!$B$10</f>
        <v>27.681877225975569</v>
      </c>
      <c r="P24" s="29">
        <f>I24*'Res PW'!$B$11</f>
        <v>-1.18560218277844</v>
      </c>
      <c r="Q24" s="44">
        <f>'Monthly Data'!F24</f>
        <v>58706</v>
      </c>
      <c r="R24" s="46">
        <f>'Monthly Data'!BH24</f>
        <v>30</v>
      </c>
      <c r="S24" s="158">
        <f t="shared" si="4"/>
        <v>38887890.73450543</v>
      </c>
      <c r="T24" s="44">
        <f t="shared" si="2"/>
        <v>-1009397.7416418865</v>
      </c>
      <c r="U24" s="48">
        <f t="shared" si="3"/>
        <v>2.5299908344532166E-2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158">
        <f>'Monthly Data'!E25</f>
        <v>43807291.476147316</v>
      </c>
      <c r="E25" s="46">
        <f>'Monthly Data'!AL25</f>
        <v>295.3</v>
      </c>
      <c r="F25" s="46">
        <f>'Monthly Data'!AK25</f>
        <v>0</v>
      </c>
      <c r="G25" s="29">
        <f>'Monthly Data'!BG25</f>
        <v>24</v>
      </c>
      <c r="H25" s="29">
        <f>'Monthly Data'!W25</f>
        <v>6667.5</v>
      </c>
      <c r="I25" s="29">
        <f>'Monthly Data'!BF25</f>
        <v>0</v>
      </c>
      <c r="K25" s="29">
        <f>'Res PW'!$B$6</f>
        <v>-4.4351669087570498</v>
      </c>
      <c r="L25" s="29">
        <f>E25*'Res PW'!$B$7</f>
        <v>2.3355088896625089</v>
      </c>
      <c r="M25" s="29">
        <f>F25*'Res PW'!$B$8</f>
        <v>0</v>
      </c>
      <c r="N25" s="29">
        <f>G25*'Res PW'!$B$9</f>
        <v>-1.0690315896306359</v>
      </c>
      <c r="O25" s="163">
        <f>H25*'Res PW'!$B$10</f>
        <v>27.701404275108377</v>
      </c>
      <c r="P25" s="29">
        <f>I25*'Res PW'!$B$11</f>
        <v>0</v>
      </c>
      <c r="Q25" s="44">
        <f>'Monthly Data'!F25</f>
        <v>58745</v>
      </c>
      <c r="R25" s="46">
        <f>'Monthly Data'!BH25</f>
        <v>31</v>
      </c>
      <c r="S25" s="158">
        <f t="shared" si="4"/>
        <v>44676404.015377112</v>
      </c>
      <c r="T25" s="44">
        <f t="shared" si="2"/>
        <v>869112.53922979534</v>
      </c>
      <c r="U25" s="48">
        <f t="shared" si="3"/>
        <v>1.9839449323248378E-2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158">
        <f>'Monthly Data'!E26</f>
        <v>47070680.897265725</v>
      </c>
      <c r="E26" s="46">
        <f>'Monthly Data'!AL26</f>
        <v>382.7000000000001</v>
      </c>
      <c r="F26" s="46">
        <f>'Monthly Data'!AK26</f>
        <v>0</v>
      </c>
      <c r="G26" s="29">
        <f>'Monthly Data'!BG26</f>
        <v>25</v>
      </c>
      <c r="H26" s="29">
        <f>'Monthly Data'!W26</f>
        <v>6673.6</v>
      </c>
      <c r="I26" s="29">
        <f>'Monthly Data'!BF26</f>
        <v>0</v>
      </c>
      <c r="K26" s="29">
        <f>'Res PW'!$B$6</f>
        <v>-4.4351669087570498</v>
      </c>
      <c r="L26" s="29">
        <f>E26*'Res PW'!$B$7</f>
        <v>3.0267499223631638</v>
      </c>
      <c r="M26" s="29">
        <f>F26*'Res PW'!$B$8</f>
        <v>0</v>
      </c>
      <c r="N26" s="29">
        <f>G26*'Res PW'!$B$9</f>
        <v>-1.1135745725319124</v>
      </c>
      <c r="O26" s="163">
        <f>H26*'Res PW'!$B$10</f>
        <v>27.726747892067984</v>
      </c>
      <c r="P26" s="29">
        <f>I26*'Res PW'!$B$11</f>
        <v>0</v>
      </c>
      <c r="Q26" s="44">
        <f>'Monthly Data'!F26</f>
        <v>58846</v>
      </c>
      <c r="R26" s="46">
        <f>'Monthly Data'!BH26</f>
        <v>31</v>
      </c>
      <c r="S26" s="158">
        <f t="shared" si="4"/>
        <v>45979171.826582633</v>
      </c>
      <c r="T26" s="44">
        <f t="shared" si="2"/>
        <v>-1091509.0706830919</v>
      </c>
      <c r="U26" s="48">
        <f t="shared" si="3"/>
        <v>2.3188724910637445E-2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158">
        <f>'Monthly Data'!E27</f>
        <v>40386842.897265725</v>
      </c>
      <c r="E27" s="46">
        <f>'Monthly Data'!AL27</f>
        <v>323.39999999999998</v>
      </c>
      <c r="F27" s="46">
        <f>'Monthly Data'!AK27</f>
        <v>0</v>
      </c>
      <c r="G27" s="29">
        <f>'Monthly Data'!BG27</f>
        <v>26</v>
      </c>
      <c r="H27" s="29">
        <f>'Monthly Data'!W27</f>
        <v>6670.7</v>
      </c>
      <c r="I27" s="29">
        <f>'Monthly Data'!BF27</f>
        <v>0</v>
      </c>
      <c r="K27" s="29">
        <f>'Res PW'!$B$6</f>
        <v>-4.4351669087570498</v>
      </c>
      <c r="L27" s="29">
        <f>E27*'Res PW'!$B$7</f>
        <v>2.5577499997184399</v>
      </c>
      <c r="M27" s="29">
        <f>F27*'Res PW'!$B$8</f>
        <v>0</v>
      </c>
      <c r="N27" s="29">
        <f>G27*'Res PW'!$B$9</f>
        <v>-1.1581175554331891</v>
      </c>
      <c r="O27" s="163">
        <f>H27*'Res PW'!$B$10</f>
        <v>27.714699287283906</v>
      </c>
      <c r="P27" s="29">
        <f>I27*'Res PW'!$B$11</f>
        <v>0</v>
      </c>
      <c r="Q27" s="44">
        <f>'Monthly Data'!F27</f>
        <v>58886</v>
      </c>
      <c r="R27" s="46">
        <f>'Monthly Data'!BH27</f>
        <v>29</v>
      </c>
      <c r="S27" s="158">
        <f t="shared" si="4"/>
        <v>42144461.692927301</v>
      </c>
      <c r="T27" s="44">
        <f t="shared" si="2"/>
        <v>1757618.7956615761</v>
      </c>
      <c r="U27" s="48">
        <f t="shared" si="3"/>
        <v>4.3519588796097027E-2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158">
        <f>'Monthly Data'!E28</f>
        <v>39034538.897265725</v>
      </c>
      <c r="E28" s="46">
        <f>'Monthly Data'!AL28</f>
        <v>184.89999999999998</v>
      </c>
      <c r="F28" s="46">
        <f>'Monthly Data'!AK28</f>
        <v>0.30000000000000071</v>
      </c>
      <c r="G28" s="29">
        <f>'Monthly Data'!BG28</f>
        <v>27</v>
      </c>
      <c r="H28" s="29">
        <f>'Monthly Data'!W28</f>
        <v>6674</v>
      </c>
      <c r="I28" s="29">
        <f>'Monthly Data'!BF28</f>
        <v>1</v>
      </c>
      <c r="K28" s="29">
        <f>'Res PW'!$B$6</f>
        <v>-4.4351669087570498</v>
      </c>
      <c r="L28" s="29">
        <f>E28*'Res PW'!$B$7</f>
        <v>1.4623623220406292</v>
      </c>
      <c r="M28" s="29">
        <f>F28*'Res PW'!$B$8</f>
        <v>1.1622930104603637E-2</v>
      </c>
      <c r="N28" s="29">
        <f>G28*'Res PW'!$B$9</f>
        <v>-1.2026605383344655</v>
      </c>
      <c r="O28" s="163">
        <f>H28*'Res PW'!$B$10</f>
        <v>27.728409768589923</v>
      </c>
      <c r="P28" s="29">
        <f>I28*'Res PW'!$B$11</f>
        <v>-1.18560218277844</v>
      </c>
      <c r="Q28" s="44">
        <f>'Monthly Data'!F28</f>
        <v>58950</v>
      </c>
      <c r="R28" s="46">
        <f>'Monthly Data'!BH28</f>
        <v>31</v>
      </c>
      <c r="S28" s="158">
        <f t="shared" si="4"/>
        <v>40896440.303536616</v>
      </c>
      <c r="T28" s="44">
        <f t="shared" si="2"/>
        <v>1861901.4062708914</v>
      </c>
      <c r="U28" s="48">
        <f t="shared" si="3"/>
        <v>4.769881901695304E-2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158">
        <f>'Monthly Data'!E29</f>
        <v>37958885.897265725</v>
      </c>
      <c r="E29" s="46">
        <f>'Monthly Data'!AL29</f>
        <v>134.19999999999999</v>
      </c>
      <c r="F29" s="46">
        <f>'Monthly Data'!AK29</f>
        <v>2.4000000000000004</v>
      </c>
      <c r="G29" s="29">
        <f>'Monthly Data'!BG29</f>
        <v>28</v>
      </c>
      <c r="H29" s="29">
        <f>'Monthly Data'!W29</f>
        <v>6685.8</v>
      </c>
      <c r="I29" s="29">
        <f>'Monthly Data'!BF29</f>
        <v>1</v>
      </c>
      <c r="K29" s="29">
        <f>'Res PW'!$B$6</f>
        <v>-4.4351669087570498</v>
      </c>
      <c r="L29" s="29">
        <f>E29*'Res PW'!$B$7</f>
        <v>1.0613792515838423</v>
      </c>
      <c r="M29" s="29">
        <f>F29*'Res PW'!$B$8</f>
        <v>9.2983440836828898E-2</v>
      </c>
      <c r="N29" s="29">
        <f>G29*'Res PW'!$B$9</f>
        <v>-1.247203521235742</v>
      </c>
      <c r="O29" s="163">
        <f>H29*'Res PW'!$B$10</f>
        <v>27.777435125987189</v>
      </c>
      <c r="P29" s="29">
        <f>I29*'Res PW'!$B$11</f>
        <v>-1.18560218277844</v>
      </c>
      <c r="Q29" s="44">
        <f>'Monthly Data'!F29</f>
        <v>59035</v>
      </c>
      <c r="R29" s="46">
        <f>'Monthly Data'!BH29</f>
        <v>30</v>
      </c>
      <c r="S29" s="158">
        <f t="shared" si="4"/>
        <v>39076137.630442753</v>
      </c>
      <c r="T29" s="44">
        <f t="shared" si="2"/>
        <v>1117251.7331770286</v>
      </c>
      <c r="U29" s="48">
        <f t="shared" si="3"/>
        <v>2.9433206659458547E-2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158">
        <f>'Monthly Data'!E30</f>
        <v>43107352.897265725</v>
      </c>
      <c r="E30" s="46">
        <f>'Monthly Data'!AL30</f>
        <v>11.399999999999997</v>
      </c>
      <c r="F30" s="46">
        <f>'Monthly Data'!AK30</f>
        <v>77.3</v>
      </c>
      <c r="G30" s="29">
        <f>'Monthly Data'!BG30</f>
        <v>29</v>
      </c>
      <c r="H30" s="29">
        <f>'Monthly Data'!W30</f>
        <v>6690.1</v>
      </c>
      <c r="I30" s="29">
        <f>'Monthly Data'!BF30</f>
        <v>1</v>
      </c>
      <c r="K30" s="29">
        <f>'Res PW'!$B$6</f>
        <v>-4.4351669087570498</v>
      </c>
      <c r="L30" s="29">
        <f>E30*'Res PW'!$B$7</f>
        <v>9.0161873830520115E-2</v>
      </c>
      <c r="M30" s="29">
        <f>F30*'Res PW'!$B$8</f>
        <v>2.9948416569528633</v>
      </c>
      <c r="N30" s="29">
        <f>G30*'Res PW'!$B$9</f>
        <v>-1.2917465041370184</v>
      </c>
      <c r="O30" s="163">
        <f>H30*'Res PW'!$B$10</f>
        <v>27.795300298598061</v>
      </c>
      <c r="P30" s="29">
        <f>I30*'Res PW'!$B$11</f>
        <v>-1.18560218277844</v>
      </c>
      <c r="Q30" s="44">
        <f>'Monthly Data'!F30</f>
        <v>59072</v>
      </c>
      <c r="R30" s="46">
        <f>'Monthly Data'!BH30</f>
        <v>31</v>
      </c>
      <c r="S30" s="158">
        <f t="shared" si="4"/>
        <v>43890580.782791287</v>
      </c>
      <c r="T30" s="44">
        <f t="shared" si="2"/>
        <v>783227.88552556187</v>
      </c>
      <c r="U30" s="48">
        <f t="shared" si="3"/>
        <v>1.8169241043219833E-2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158">
        <f>'Monthly Data'!E31</f>
        <v>53239807.897265725</v>
      </c>
      <c r="E31" s="46">
        <f>'Monthly Data'!AL31</f>
        <v>0</v>
      </c>
      <c r="F31" s="46">
        <f>'Monthly Data'!AK31</f>
        <v>200.09999999999997</v>
      </c>
      <c r="G31" s="29">
        <f>'Monthly Data'!BG31</f>
        <v>30</v>
      </c>
      <c r="H31" s="29">
        <f>'Monthly Data'!W31</f>
        <v>6693.3</v>
      </c>
      <c r="I31" s="29">
        <f>'Monthly Data'!BF31</f>
        <v>0</v>
      </c>
      <c r="K31" s="29">
        <f>'Res PW'!$B$6</f>
        <v>-4.4351669087570498</v>
      </c>
      <c r="L31" s="29">
        <f>E31*'Res PW'!$B$7</f>
        <v>0</v>
      </c>
      <c r="M31" s="29">
        <f>F31*'Res PW'!$B$8</f>
        <v>7.7524943797706065</v>
      </c>
      <c r="N31" s="29">
        <f>G31*'Res PW'!$B$9</f>
        <v>-1.3362894870382951</v>
      </c>
      <c r="O31" s="163">
        <f>H31*'Res PW'!$B$10</f>
        <v>27.80859531077359</v>
      </c>
      <c r="P31" s="29">
        <f>I31*'Res PW'!$B$11</f>
        <v>0</v>
      </c>
      <c r="Q31" s="44">
        <f>'Monthly Data'!F31</f>
        <v>59132</v>
      </c>
      <c r="R31" s="46">
        <f>'Monthly Data'!BH31</f>
        <v>30</v>
      </c>
      <c r="S31" s="158">
        <f t="shared" si="4"/>
        <v>52845617.879552677</v>
      </c>
      <c r="T31" s="44">
        <f t="shared" si="2"/>
        <v>-394190.01771304756</v>
      </c>
      <c r="U31" s="48">
        <f t="shared" si="3"/>
        <v>7.4040465824688345E-3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158">
        <f>'Monthly Data'!E32</f>
        <v>63475935.897265725</v>
      </c>
      <c r="E32" s="46">
        <f>'Monthly Data'!AL32</f>
        <v>0</v>
      </c>
      <c r="F32" s="46">
        <f>'Monthly Data'!AK32</f>
        <v>317</v>
      </c>
      <c r="G32" s="29">
        <f>'Monthly Data'!BG32</f>
        <v>31</v>
      </c>
      <c r="H32" s="29">
        <f>'Monthly Data'!W32</f>
        <v>6694.6</v>
      </c>
      <c r="I32" s="29">
        <f>'Monthly Data'!BF32</f>
        <v>0</v>
      </c>
      <c r="K32" s="29">
        <f>'Res PW'!$B$6</f>
        <v>-4.4351669087570498</v>
      </c>
      <c r="L32" s="29">
        <f>E32*'Res PW'!$B$7</f>
        <v>0</v>
      </c>
      <c r="M32" s="29">
        <f>F32*'Res PW'!$B$8</f>
        <v>12.281562810531147</v>
      </c>
      <c r="N32" s="29">
        <f>G32*'Res PW'!$B$9</f>
        <v>-1.3808324699395715</v>
      </c>
      <c r="O32" s="163">
        <f>H32*'Res PW'!$B$10</f>
        <v>27.813996409469897</v>
      </c>
      <c r="P32" s="29">
        <f>I32*'Res PW'!$B$11</f>
        <v>0</v>
      </c>
      <c r="Q32" s="44">
        <f>'Monthly Data'!F32</f>
        <v>59180</v>
      </c>
      <c r="R32" s="46">
        <f>'Monthly Data'!BH32</f>
        <v>31</v>
      </c>
      <c r="S32" s="158">
        <f t="shared" si="4"/>
        <v>62888594.89366027</v>
      </c>
      <c r="T32" s="44">
        <f t="shared" si="2"/>
        <v>-587341.00360545516</v>
      </c>
      <c r="U32" s="48">
        <f t="shared" si="3"/>
        <v>9.2529711504538113E-3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158">
        <f>'Monthly Data'!E33</f>
        <v>57530370.897265725</v>
      </c>
      <c r="E33" s="46">
        <f>'Monthly Data'!AL33</f>
        <v>0</v>
      </c>
      <c r="F33" s="46">
        <f>'Monthly Data'!AK33</f>
        <v>254.8</v>
      </c>
      <c r="G33" s="29">
        <f>'Monthly Data'!BG33</f>
        <v>32</v>
      </c>
      <c r="H33" s="29">
        <f>'Monthly Data'!W33</f>
        <v>6703.3</v>
      </c>
      <c r="I33" s="29">
        <f>'Monthly Data'!BF33</f>
        <v>0</v>
      </c>
      <c r="K33" s="29">
        <f>'Res PW'!$B$6</f>
        <v>-4.4351669087570498</v>
      </c>
      <c r="L33" s="29">
        <f>E33*'Res PW'!$B$7</f>
        <v>0</v>
      </c>
      <c r="M33" s="29">
        <f>F33*'Res PW'!$B$8</f>
        <v>9.8717419688433328</v>
      </c>
      <c r="N33" s="29">
        <f>G33*'Res PW'!$B$9</f>
        <v>-1.425375452840848</v>
      </c>
      <c r="O33" s="163">
        <f>H33*'Res PW'!$B$10</f>
        <v>27.850142223822122</v>
      </c>
      <c r="P33" s="29">
        <f>I33*'Res PW'!$B$11</f>
        <v>0</v>
      </c>
      <c r="Q33" s="44">
        <f>'Monthly Data'!F33</f>
        <v>59175</v>
      </c>
      <c r="R33" s="46">
        <f>'Monthly Data'!BH33</f>
        <v>31</v>
      </c>
      <c r="S33" s="158">
        <f t="shared" si="4"/>
        <v>58447241.9884561</v>
      </c>
      <c r="T33" s="44">
        <f t="shared" si="2"/>
        <v>916871.09119037539</v>
      </c>
      <c r="U33" s="48">
        <f t="shared" si="3"/>
        <v>1.593716635040766E-2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158">
        <f>'Monthly Data'!E34</f>
        <v>46622905.897265725</v>
      </c>
      <c r="E34" s="46">
        <f>'Monthly Data'!AL34</f>
        <v>0.90000000000000036</v>
      </c>
      <c r="F34" s="46">
        <f>'Monthly Data'!AK34</f>
        <v>112.89999999999999</v>
      </c>
      <c r="G34" s="29">
        <f>'Monthly Data'!BG34</f>
        <v>33</v>
      </c>
      <c r="H34" s="29">
        <f>'Monthly Data'!W34</f>
        <v>6707.4</v>
      </c>
      <c r="I34" s="29">
        <f>'Monthly Data'!BF34</f>
        <v>1</v>
      </c>
      <c r="K34" s="29">
        <f>'Res PW'!$B$6</f>
        <v>-4.4351669087570498</v>
      </c>
      <c r="L34" s="29">
        <f>E34*'Res PW'!$B$7</f>
        <v>7.1180426708305402E-3</v>
      </c>
      <c r="M34" s="29">
        <f>F34*'Res PW'!$B$8</f>
        <v>4.3740960293658251</v>
      </c>
      <c r="N34" s="29">
        <f>G34*'Res PW'!$B$9</f>
        <v>-1.4699184357421244</v>
      </c>
      <c r="O34" s="163">
        <f>H34*'Res PW'!$B$10</f>
        <v>27.867176458172018</v>
      </c>
      <c r="P34" s="29">
        <f>I34*'Res PW'!$B$11</f>
        <v>-1.18560218277844</v>
      </c>
      <c r="Q34" s="44">
        <f>'Monthly Data'!F34</f>
        <v>59185</v>
      </c>
      <c r="R34" s="46">
        <f>'Monthly Data'!BH34</f>
        <v>30</v>
      </c>
      <c r="S34" s="158">
        <f t="shared" si="4"/>
        <v>44668759.566854246</v>
      </c>
      <c r="T34" s="44">
        <f t="shared" ref="T34:T65" si="5">S34-D34</f>
        <v>-1954146.3304114789</v>
      </c>
      <c r="U34" s="48">
        <f t="shared" ref="U34:U65" si="6">ABS(T34/D34)</f>
        <v>4.1913868147074956E-2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158">
        <f>'Monthly Data'!E35</f>
        <v>41986598.897265725</v>
      </c>
      <c r="E35" s="46">
        <f>'Monthly Data'!AL35</f>
        <v>66.599999999999994</v>
      </c>
      <c r="F35" s="46">
        <f>'Monthly Data'!AK35</f>
        <v>11.9</v>
      </c>
      <c r="G35" s="29">
        <f>'Monthly Data'!BG35</f>
        <v>34</v>
      </c>
      <c r="H35" s="29">
        <f>'Monthly Data'!W35</f>
        <v>6710</v>
      </c>
      <c r="I35" s="29">
        <f>'Monthly Data'!BF35</f>
        <v>1</v>
      </c>
      <c r="K35" s="29">
        <f>'Res PW'!$B$6</f>
        <v>-4.4351669087570498</v>
      </c>
      <c r="L35" s="29">
        <f>E35*'Res PW'!$B$7</f>
        <v>0.52673515764145973</v>
      </c>
      <c r="M35" s="29">
        <f>F35*'Res PW'!$B$8</f>
        <v>0.46104289414927652</v>
      </c>
      <c r="N35" s="29">
        <f>G35*'Res PW'!$B$9</f>
        <v>-1.5144614186434009</v>
      </c>
      <c r="O35" s="163">
        <f>H35*'Res PW'!$B$10</f>
        <v>27.877978655564636</v>
      </c>
      <c r="P35" s="29">
        <f>I35*'Res PW'!$B$11</f>
        <v>-1.18560218277844</v>
      </c>
      <c r="Q35" s="44">
        <f>'Monthly Data'!F35</f>
        <v>59026</v>
      </c>
      <c r="R35" s="46">
        <f>'Monthly Data'!BH35</f>
        <v>31</v>
      </c>
      <c r="S35" s="158">
        <f t="shared" si="4"/>
        <v>39762647.218750708</v>
      </c>
      <c r="T35" s="44">
        <f t="shared" si="5"/>
        <v>-2223951.678515017</v>
      </c>
      <c r="U35" s="48">
        <f t="shared" si="6"/>
        <v>5.2968131187683468E-2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158">
        <f>'Monthly Data'!E36</f>
        <v>39489997.897265725</v>
      </c>
      <c r="E36" s="46">
        <f>'Monthly Data'!AL36</f>
        <v>216.80000000000004</v>
      </c>
      <c r="F36" s="46">
        <f>'Monthly Data'!AK36</f>
        <v>0</v>
      </c>
      <c r="G36" s="29">
        <f>'Monthly Data'!BG36</f>
        <v>35</v>
      </c>
      <c r="H36" s="29">
        <f>'Monthly Data'!W36</f>
        <v>6722.4</v>
      </c>
      <c r="I36" s="29">
        <f>'Monthly Data'!BF36</f>
        <v>1</v>
      </c>
      <c r="K36" s="29">
        <f>'Res PW'!$B$6</f>
        <v>-4.4351669087570498</v>
      </c>
      <c r="L36" s="29">
        <f>E36*'Res PW'!$B$7</f>
        <v>1.7146573900400677</v>
      </c>
      <c r="M36" s="29">
        <f>F36*'Res PW'!$B$8</f>
        <v>0</v>
      </c>
      <c r="N36" s="29">
        <f>G36*'Res PW'!$B$9</f>
        <v>-1.5590044015446776</v>
      </c>
      <c r="O36" s="163">
        <f>H36*'Res PW'!$B$10</f>
        <v>27.929496827744813</v>
      </c>
      <c r="P36" s="29">
        <f>I36*'Res PW'!$B$11</f>
        <v>-1.18560218277844</v>
      </c>
      <c r="Q36" s="44">
        <f>'Monthly Data'!F36</f>
        <v>59073</v>
      </c>
      <c r="R36" s="46">
        <f>'Monthly Data'!BH36</f>
        <v>30</v>
      </c>
      <c r="S36" s="158">
        <f t="shared" si="4"/>
        <v>39811150.87651445</v>
      </c>
      <c r="T36" s="44">
        <f t="shared" si="5"/>
        <v>321152.97924872488</v>
      </c>
      <c r="U36" s="48">
        <f t="shared" si="6"/>
        <v>8.132514468200602E-3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158">
        <f>'Monthly Data'!E37</f>
        <v>44841090.897265725</v>
      </c>
      <c r="E37" s="46">
        <f>'Monthly Data'!AL37</f>
        <v>293.39999999999998</v>
      </c>
      <c r="F37" s="46">
        <f>'Monthly Data'!AK37</f>
        <v>0</v>
      </c>
      <c r="G37" s="29">
        <f>'Monthly Data'!BG37</f>
        <v>36</v>
      </c>
      <c r="H37" s="29">
        <f>'Monthly Data'!W37</f>
        <v>6740.6</v>
      </c>
      <c r="I37" s="29">
        <f>'Monthly Data'!BF37</f>
        <v>0</v>
      </c>
      <c r="K37" s="29">
        <f>'Res PW'!$B$6</f>
        <v>-4.4351669087570498</v>
      </c>
      <c r="L37" s="29">
        <f>E37*'Res PW'!$B$7</f>
        <v>2.3204819106907553</v>
      </c>
      <c r="M37" s="29">
        <f>F37*'Res PW'!$B$8</f>
        <v>0</v>
      </c>
      <c r="N37" s="29">
        <f>G37*'Res PW'!$B$9</f>
        <v>-1.603547384445954</v>
      </c>
      <c r="O37" s="163">
        <f>H37*'Res PW'!$B$10</f>
        <v>28.005112209493145</v>
      </c>
      <c r="P37" s="29">
        <f>I37*'Res PW'!$B$11</f>
        <v>0</v>
      </c>
      <c r="Q37" s="44">
        <f>'Monthly Data'!F37</f>
        <v>59257</v>
      </c>
      <c r="R37" s="46">
        <f>'Monthly Data'!BH37</f>
        <v>31</v>
      </c>
      <c r="S37" s="158">
        <f t="shared" si="4"/>
        <v>44614196.775129616</v>
      </c>
      <c r="T37" s="44">
        <f t="shared" si="5"/>
        <v>-226894.12213610858</v>
      </c>
      <c r="U37" s="48">
        <f t="shared" si="6"/>
        <v>5.0599599072185799E-3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158">
        <f>'Monthly Data'!E38</f>
        <v>47995321.720884763</v>
      </c>
      <c r="E38" s="46">
        <f>'Monthly Data'!AL38</f>
        <v>395.20000000000005</v>
      </c>
      <c r="F38" s="46">
        <f>'Monthly Data'!AK38</f>
        <v>0</v>
      </c>
      <c r="G38" s="29">
        <f>'Monthly Data'!BG38</f>
        <v>37</v>
      </c>
      <c r="H38" s="29">
        <f>'Monthly Data'!W38</f>
        <v>6758.8</v>
      </c>
      <c r="I38" s="29">
        <f>'Monthly Data'!BF38</f>
        <v>0</v>
      </c>
      <c r="K38" s="29">
        <f>'Res PW'!$B$6</f>
        <v>-4.4351669087570498</v>
      </c>
      <c r="L38" s="29">
        <f>E38*'Res PW'!$B$7</f>
        <v>3.1256116261246989</v>
      </c>
      <c r="M38" s="29">
        <f>F38*'Res PW'!$B$8</f>
        <v>0</v>
      </c>
      <c r="N38" s="29">
        <f>G38*'Res PW'!$B$9</f>
        <v>-1.6480903673472305</v>
      </c>
      <c r="O38" s="163">
        <f>H38*'Res PW'!$B$10</f>
        <v>28.08072759124147</v>
      </c>
      <c r="P38" s="29">
        <f>I38*'Res PW'!$B$11</f>
        <v>0</v>
      </c>
      <c r="Q38" s="44">
        <f>'Monthly Data'!F38</f>
        <v>59206</v>
      </c>
      <c r="R38" s="46">
        <f>'Monthly Data'!BH38</f>
        <v>31</v>
      </c>
      <c r="S38" s="158">
        <f t="shared" si="4"/>
        <v>46110552.871844888</v>
      </c>
      <c r="T38" s="44">
        <f t="shared" si="5"/>
        <v>-1884768.849039875</v>
      </c>
      <c r="U38" s="48">
        <f t="shared" si="6"/>
        <v>3.9269845090333745E-2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158">
        <f>'Monthly Data'!E39</f>
        <v>41164712.720884763</v>
      </c>
      <c r="E39" s="46">
        <f>'Monthly Data'!AL39</f>
        <v>419.5</v>
      </c>
      <c r="F39" s="46">
        <f>'Monthly Data'!AK39</f>
        <v>0</v>
      </c>
      <c r="G39" s="29">
        <f>'Monthly Data'!BG39</f>
        <v>38</v>
      </c>
      <c r="H39" s="29">
        <f>'Monthly Data'!W39</f>
        <v>6775.5</v>
      </c>
      <c r="I39" s="29">
        <f>'Monthly Data'!BF39</f>
        <v>0</v>
      </c>
      <c r="K39" s="29">
        <f>'Res PW'!$B$6</f>
        <v>-4.4351669087570498</v>
      </c>
      <c r="L39" s="29">
        <f>E39*'Res PW'!$B$7</f>
        <v>3.317798778237123</v>
      </c>
      <c r="M39" s="29">
        <f>F39*'Res PW'!$B$8</f>
        <v>0</v>
      </c>
      <c r="N39" s="29">
        <f>G39*'Res PW'!$B$9</f>
        <v>-1.6926333502485069</v>
      </c>
      <c r="O39" s="163">
        <f>H39*'Res PW'!$B$10</f>
        <v>28.150110936032519</v>
      </c>
      <c r="P39" s="29">
        <f>I39*'Res PW'!$B$11</f>
        <v>0</v>
      </c>
      <c r="Q39" s="44">
        <f>'Monthly Data'!F39</f>
        <v>59219</v>
      </c>
      <c r="R39" s="46">
        <f>'Monthly Data'!BH39</f>
        <v>28</v>
      </c>
      <c r="S39" s="158">
        <f t="shared" si="4"/>
        <v>42017246.371275946</v>
      </c>
      <c r="T39" s="44">
        <f t="shared" si="5"/>
        <v>852533.65039118379</v>
      </c>
      <c r="U39" s="48">
        <f t="shared" si="6"/>
        <v>2.0710302442087831E-2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158">
        <f>'Monthly Data'!E40</f>
        <v>42435047.720884763</v>
      </c>
      <c r="E40" s="46">
        <f>'Monthly Data'!AL40</f>
        <v>337.3</v>
      </c>
      <c r="F40" s="46">
        <f>'Monthly Data'!AK40</f>
        <v>0</v>
      </c>
      <c r="G40" s="29">
        <f>'Monthly Data'!BG40</f>
        <v>39</v>
      </c>
      <c r="H40" s="29">
        <f>'Monthly Data'!W40</f>
        <v>6781.1</v>
      </c>
      <c r="I40" s="29">
        <f>'Monthly Data'!BF40</f>
        <v>1</v>
      </c>
      <c r="K40" s="29">
        <f>'Res PW'!$B$6</f>
        <v>-4.4351669087570498</v>
      </c>
      <c r="L40" s="29">
        <f>E40*'Res PW'!$B$7</f>
        <v>2.6676842143012673</v>
      </c>
      <c r="M40" s="29">
        <f>F40*'Res PW'!$B$8</f>
        <v>0</v>
      </c>
      <c r="N40" s="29">
        <f>G40*'Res PW'!$B$9</f>
        <v>-1.7371763331497836</v>
      </c>
      <c r="O40" s="163">
        <f>H40*'Res PW'!$B$10</f>
        <v>28.173377207339698</v>
      </c>
      <c r="P40" s="29">
        <f>I40*'Res PW'!$B$11</f>
        <v>-1.18560218277844</v>
      </c>
      <c r="Q40" s="44">
        <f>'Monthly Data'!F40</f>
        <v>59221</v>
      </c>
      <c r="R40" s="46">
        <f>'Monthly Data'!BH40</f>
        <v>31</v>
      </c>
      <c r="S40" s="158">
        <f t="shared" si="4"/>
        <v>43111501.986127108</v>
      </c>
      <c r="T40" s="44">
        <f t="shared" si="5"/>
        <v>676454.26524234563</v>
      </c>
      <c r="U40" s="48">
        <f t="shared" si="6"/>
        <v>1.5940933298619175E-2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158">
        <f>'Monthly Data'!E41</f>
        <v>38570561.720884763</v>
      </c>
      <c r="E41" s="46">
        <f>'Monthly Data'!AL41</f>
        <v>182.99999999999997</v>
      </c>
      <c r="F41" s="46">
        <f>'Monthly Data'!AK41</f>
        <v>1.5999999999999996</v>
      </c>
      <c r="G41" s="29">
        <f>'Monthly Data'!BG41</f>
        <v>40</v>
      </c>
      <c r="H41" s="29">
        <f>'Monthly Data'!W41</f>
        <v>6788.9</v>
      </c>
      <c r="I41" s="29">
        <f>'Monthly Data'!BF41</f>
        <v>1</v>
      </c>
      <c r="K41" s="29">
        <f>'Res PW'!$B$6</f>
        <v>-4.4351669087570498</v>
      </c>
      <c r="L41" s="29">
        <f>E41*'Res PW'!$B$7</f>
        <v>1.4473353430688758</v>
      </c>
      <c r="M41" s="29">
        <f>F41*'Res PW'!$B$8</f>
        <v>6.1988960557885907E-2</v>
      </c>
      <c r="N41" s="29">
        <f>G41*'Res PW'!$B$9</f>
        <v>-1.78171931605106</v>
      </c>
      <c r="O41" s="163">
        <f>H41*'Res PW'!$B$10</f>
        <v>28.205783799517548</v>
      </c>
      <c r="P41" s="29">
        <f>I41*'Res PW'!$B$11</f>
        <v>-1.18560218277844</v>
      </c>
      <c r="Q41" s="44">
        <f>'Monthly Data'!F41</f>
        <v>59208</v>
      </c>
      <c r="R41" s="46">
        <f>'Monthly Data'!BH41</f>
        <v>30</v>
      </c>
      <c r="S41" s="158">
        <f t="shared" si="4"/>
        <v>39632567.608037516</v>
      </c>
      <c r="T41" s="44">
        <f t="shared" si="5"/>
        <v>1062005.8871527538</v>
      </c>
      <c r="U41" s="48">
        <f t="shared" si="6"/>
        <v>2.7534104762018816E-2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158">
        <f>'Monthly Data'!E42</f>
        <v>41401216.720884763</v>
      </c>
      <c r="E42" s="46">
        <f>'Monthly Data'!AL42</f>
        <v>28.200000000000003</v>
      </c>
      <c r="F42" s="46">
        <f>'Monthly Data'!AK42</f>
        <v>43.3</v>
      </c>
      <c r="G42" s="29">
        <f>'Monthly Data'!BG42</f>
        <v>41</v>
      </c>
      <c r="H42" s="29">
        <f>'Monthly Data'!W42</f>
        <v>6801.1</v>
      </c>
      <c r="I42" s="29">
        <f>'Monthly Data'!BF42</f>
        <v>1</v>
      </c>
      <c r="K42" s="29">
        <f>'Res PW'!$B$6</f>
        <v>-4.4351669087570498</v>
      </c>
      <c r="L42" s="29">
        <f>E42*'Res PW'!$B$7</f>
        <v>0.22303200368602355</v>
      </c>
      <c r="M42" s="29">
        <f>F42*'Res PW'!$B$8</f>
        <v>1.6775762450977876</v>
      </c>
      <c r="N42" s="29">
        <f>G42*'Res PW'!$B$9</f>
        <v>-1.8262622989523365</v>
      </c>
      <c r="O42" s="163">
        <f>H42*'Res PW'!$B$10</f>
        <v>28.25647103343676</v>
      </c>
      <c r="P42" s="29">
        <f>I42*'Res PW'!$B$11</f>
        <v>-1.18560218277844</v>
      </c>
      <c r="Q42" s="44">
        <f>'Monthly Data'!F42</f>
        <v>59245</v>
      </c>
      <c r="R42" s="46">
        <f>'Monthly Data'!BH42</f>
        <v>31</v>
      </c>
      <c r="S42" s="158">
        <f t="shared" si="4"/>
        <v>41709160.4077169</v>
      </c>
      <c r="T42" s="44">
        <f t="shared" si="5"/>
        <v>307943.68683213741</v>
      </c>
      <c r="U42" s="48">
        <f t="shared" si="6"/>
        <v>7.4380347057963593E-3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158">
        <f>'Monthly Data'!E43</f>
        <v>47845491.720884763</v>
      </c>
      <c r="E43" s="46">
        <f>'Monthly Data'!AL43</f>
        <v>9.9999999999999645E-2</v>
      </c>
      <c r="F43" s="46">
        <f>'Monthly Data'!AK43</f>
        <v>137.6</v>
      </c>
      <c r="G43" s="29">
        <f>'Monthly Data'!BG43</f>
        <v>42</v>
      </c>
      <c r="H43" s="29">
        <f>'Monthly Data'!W43</f>
        <v>6815.2</v>
      </c>
      <c r="I43" s="29">
        <f>'Monthly Data'!BF43</f>
        <v>0</v>
      </c>
      <c r="K43" s="29">
        <f>'Res PW'!$B$6</f>
        <v>-4.4351669087570498</v>
      </c>
      <c r="L43" s="29">
        <f>E43*'Res PW'!$B$7</f>
        <v>7.9089363009227911E-4</v>
      </c>
      <c r="M43" s="29">
        <f>F43*'Res PW'!$B$8</f>
        <v>5.331050607978189</v>
      </c>
      <c r="N43" s="29">
        <f>G43*'Res PW'!$B$9</f>
        <v>-1.8708052818536129</v>
      </c>
      <c r="O43" s="163">
        <f>H43*'Res PW'!$B$10</f>
        <v>28.315052180835188</v>
      </c>
      <c r="P43" s="29">
        <f>I43*'Res PW'!$B$11</f>
        <v>0</v>
      </c>
      <c r="Q43" s="44">
        <f>'Monthly Data'!F43</f>
        <v>59259</v>
      </c>
      <c r="R43" s="46">
        <f>'Monthly Data'!BH43</f>
        <v>30</v>
      </c>
      <c r="S43" s="158">
        <f t="shared" si="4"/>
        <v>48605870.0005356</v>
      </c>
      <c r="T43" s="44">
        <f t="shared" si="5"/>
        <v>760378.27965083718</v>
      </c>
      <c r="U43" s="48">
        <f t="shared" si="6"/>
        <v>1.5892370467977212E-2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158">
        <f>'Monthly Data'!E44</f>
        <v>56314814.720884763</v>
      </c>
      <c r="E44" s="46">
        <f>'Monthly Data'!AL44</f>
        <v>0</v>
      </c>
      <c r="F44" s="46">
        <f>'Monthly Data'!AK44</f>
        <v>254.90000000000003</v>
      </c>
      <c r="G44" s="29">
        <f>'Monthly Data'!BG44</f>
        <v>43</v>
      </c>
      <c r="H44" s="29">
        <f>'Monthly Data'!W44</f>
        <v>6826.2</v>
      </c>
      <c r="I44" s="29">
        <f>'Monthly Data'!BF44</f>
        <v>0</v>
      </c>
      <c r="K44" s="29">
        <f>'Res PW'!$B$6</f>
        <v>-4.4351669087570498</v>
      </c>
      <c r="L44" s="29">
        <f>E44*'Res PW'!$B$7</f>
        <v>0</v>
      </c>
      <c r="M44" s="29">
        <f>F44*'Res PW'!$B$8</f>
        <v>9.8756162788782014</v>
      </c>
      <c r="N44" s="29">
        <f>G44*'Res PW'!$B$9</f>
        <v>-1.9153482647548894</v>
      </c>
      <c r="O44" s="163">
        <f>H44*'Res PW'!$B$10</f>
        <v>28.360753785188571</v>
      </c>
      <c r="P44" s="29">
        <f>I44*'Res PW'!$B$11</f>
        <v>0</v>
      </c>
      <c r="Q44" s="44">
        <f>'Monthly Data'!F44</f>
        <v>59290</v>
      </c>
      <c r="R44" s="46">
        <f>'Monthly Data'!BH44</f>
        <v>31</v>
      </c>
      <c r="S44" s="158">
        <f t="shared" si="4"/>
        <v>58605882.430290878</v>
      </c>
      <c r="T44" s="44">
        <f t="shared" si="5"/>
        <v>2291067.7094061151</v>
      </c>
      <c r="U44" s="48">
        <f t="shared" si="6"/>
        <v>4.0683214901112971E-2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158">
        <f>'Monthly Data'!E45</f>
        <v>53136083.720884763</v>
      </c>
      <c r="E45" s="46">
        <f>'Monthly Data'!AL45</f>
        <v>0</v>
      </c>
      <c r="F45" s="46">
        <f>'Monthly Data'!AK45</f>
        <v>213</v>
      </c>
      <c r="G45" s="29">
        <f>'Monthly Data'!BG45</f>
        <v>44</v>
      </c>
      <c r="H45" s="29">
        <f>'Monthly Data'!W45</f>
        <v>6833.9</v>
      </c>
      <c r="I45" s="29">
        <f>'Monthly Data'!BF45</f>
        <v>0</v>
      </c>
      <c r="K45" s="29">
        <f>'Res PW'!$B$6</f>
        <v>-4.4351669087570498</v>
      </c>
      <c r="L45" s="29">
        <f>E45*'Res PW'!$B$7</f>
        <v>0</v>
      </c>
      <c r="M45" s="29">
        <f>F45*'Res PW'!$B$8</f>
        <v>8.2522803742685635</v>
      </c>
      <c r="N45" s="29">
        <f>G45*'Res PW'!$B$9</f>
        <v>-1.9598912476561661</v>
      </c>
      <c r="O45" s="163">
        <f>H45*'Res PW'!$B$10</f>
        <v>28.39274490823594</v>
      </c>
      <c r="P45" s="29">
        <f>I45*'Res PW'!$B$11</f>
        <v>0</v>
      </c>
      <c r="Q45" s="44">
        <f>'Monthly Data'!F45</f>
        <v>59297</v>
      </c>
      <c r="R45" s="46">
        <f>'Monthly Data'!BH45</f>
        <v>31</v>
      </c>
      <c r="S45" s="158">
        <f t="shared" si="4"/>
        <v>55605701.320950888</v>
      </c>
      <c r="T45" s="44">
        <f t="shared" si="5"/>
        <v>2469617.6000661254</v>
      </c>
      <c r="U45" s="48">
        <f t="shared" si="6"/>
        <v>4.6477222767086608E-2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158">
        <f>'Monthly Data'!E46</f>
        <v>45426909.720884763</v>
      </c>
      <c r="E46" s="46">
        <f>'Monthly Data'!AL46</f>
        <v>1.9000000000000004</v>
      </c>
      <c r="F46" s="46">
        <f>'Monthly Data'!AK46</f>
        <v>95.4</v>
      </c>
      <c r="G46" s="29">
        <f>'Monthly Data'!BG46</f>
        <v>45</v>
      </c>
      <c r="H46" s="29">
        <f>'Monthly Data'!W46</f>
        <v>6843.3</v>
      </c>
      <c r="I46" s="29">
        <f>'Monthly Data'!BF46</f>
        <v>1</v>
      </c>
      <c r="K46" s="29">
        <f>'Res PW'!$B$6</f>
        <v>-4.4351669087570498</v>
      </c>
      <c r="L46" s="29">
        <f>E46*'Res PW'!$B$7</f>
        <v>1.502697897175336E-2</v>
      </c>
      <c r="M46" s="29">
        <f>F46*'Res PW'!$B$8</f>
        <v>3.696091773263948</v>
      </c>
      <c r="N46" s="29">
        <f>G46*'Res PW'!$B$9</f>
        <v>-2.0044342305574423</v>
      </c>
      <c r="O46" s="163">
        <f>H46*'Res PW'!$B$10</f>
        <v>28.431799006501564</v>
      </c>
      <c r="P46" s="29">
        <f>I46*'Res PW'!$B$11</f>
        <v>-1.18560218277844</v>
      </c>
      <c r="Q46" s="44">
        <f>'Monthly Data'!F46</f>
        <v>59374</v>
      </c>
      <c r="R46" s="46">
        <f>'Monthly Data'!BH46</f>
        <v>30</v>
      </c>
      <c r="S46" s="158">
        <f t="shared" si="4"/>
        <v>43671443.308839619</v>
      </c>
      <c r="T46" s="44">
        <f t="shared" si="5"/>
        <v>-1755466.4120451435</v>
      </c>
      <c r="U46" s="48">
        <f t="shared" si="6"/>
        <v>3.8643755933018657E-2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158">
        <f>'Monthly Data'!E47</f>
        <v>42344925.720884763</v>
      </c>
      <c r="E47" s="46">
        <f>'Monthly Data'!AL47</f>
        <v>62.400000000000006</v>
      </c>
      <c r="F47" s="46">
        <f>'Monthly Data'!AK47</f>
        <v>26.6</v>
      </c>
      <c r="G47" s="29">
        <f>'Monthly Data'!BG47</f>
        <v>46</v>
      </c>
      <c r="H47" s="29">
        <f>'Monthly Data'!W47</f>
        <v>6850.3</v>
      </c>
      <c r="I47" s="29">
        <f>'Monthly Data'!BF47</f>
        <v>1</v>
      </c>
      <c r="K47" s="29">
        <f>'Res PW'!$B$6</f>
        <v>-4.4351669087570498</v>
      </c>
      <c r="L47" s="29">
        <f>E47*'Res PW'!$B$7</f>
        <v>0.49351762517758402</v>
      </c>
      <c r="M47" s="29">
        <f>F47*'Res PW'!$B$8</f>
        <v>1.0305664692748535</v>
      </c>
      <c r="N47" s="29">
        <f>G47*'Res PW'!$B$9</f>
        <v>-2.048977213458719</v>
      </c>
      <c r="O47" s="163">
        <f>H47*'Res PW'!$B$10</f>
        <v>28.460881845635534</v>
      </c>
      <c r="P47" s="29">
        <f>I47*'Res PW'!$B$11</f>
        <v>-1.18560218277844</v>
      </c>
      <c r="Q47" s="44">
        <f>'Monthly Data'!F47</f>
        <v>59424</v>
      </c>
      <c r="R47" s="46">
        <f>'Monthly Data'!BH47</f>
        <v>31</v>
      </c>
      <c r="S47" s="158">
        <f t="shared" si="4"/>
        <v>41107847.95947016</v>
      </c>
      <c r="T47" s="44">
        <f t="shared" si="5"/>
        <v>-1237077.7614146024</v>
      </c>
      <c r="U47" s="48">
        <f t="shared" si="6"/>
        <v>2.9214309397276105E-2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158">
        <f>'Monthly Data'!E48</f>
        <v>41292979.720884763</v>
      </c>
      <c r="E48" s="46">
        <f>'Monthly Data'!AL48</f>
        <v>249.59999999999997</v>
      </c>
      <c r="F48" s="46">
        <f>'Monthly Data'!AK48</f>
        <v>0</v>
      </c>
      <c r="G48" s="29">
        <f>'Monthly Data'!BG48</f>
        <v>47</v>
      </c>
      <c r="H48" s="29">
        <f>'Monthly Data'!W48</f>
        <v>6854</v>
      </c>
      <c r="I48" s="29">
        <f>'Monthly Data'!BF48</f>
        <v>1</v>
      </c>
      <c r="K48" s="29">
        <f>'Res PW'!$B$6</f>
        <v>-4.4351669087570498</v>
      </c>
      <c r="L48" s="29">
        <f>E48*'Res PW'!$B$7</f>
        <v>1.9740705007103356</v>
      </c>
      <c r="M48" s="29">
        <f>F48*'Res PW'!$B$8</f>
        <v>0</v>
      </c>
      <c r="N48" s="29">
        <f>G48*'Res PW'!$B$9</f>
        <v>-2.0935201963599956</v>
      </c>
      <c r="O48" s="163">
        <f>H48*'Res PW'!$B$10</f>
        <v>28.47625420346349</v>
      </c>
      <c r="P48" s="29">
        <f>I48*'Res PW'!$B$11</f>
        <v>-1.18560218277844</v>
      </c>
      <c r="Q48" s="44">
        <f>'Monthly Data'!F48</f>
        <v>59441</v>
      </c>
      <c r="R48" s="46">
        <f>'Monthly Data'!BH48</f>
        <v>30</v>
      </c>
      <c r="S48" s="158">
        <f t="shared" si="4"/>
        <v>40543580.435370021</v>
      </c>
      <c r="T48" s="44">
        <f t="shared" si="5"/>
        <v>-749399.28551474214</v>
      </c>
      <c r="U48" s="48">
        <f t="shared" si="6"/>
        <v>1.8148346052530528E-2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158">
        <f>'Monthly Data'!E49</f>
        <v>46594417.720884763</v>
      </c>
      <c r="E49" s="46">
        <f>'Monthly Data'!AL49</f>
        <v>438.00000000000006</v>
      </c>
      <c r="F49" s="46">
        <f>'Monthly Data'!AK49</f>
        <v>0</v>
      </c>
      <c r="G49" s="29">
        <f>'Monthly Data'!BG49</f>
        <v>48</v>
      </c>
      <c r="H49" s="29">
        <f>'Monthly Data'!W49</f>
        <v>6850.4</v>
      </c>
      <c r="I49" s="29">
        <f>'Monthly Data'!BF49</f>
        <v>0</v>
      </c>
      <c r="K49" s="29">
        <f>'Res PW'!$B$6</f>
        <v>-4.4351669087570498</v>
      </c>
      <c r="L49" s="29">
        <f>E49*'Res PW'!$B$7</f>
        <v>3.4641140998041955</v>
      </c>
      <c r="M49" s="29">
        <f>F49*'Res PW'!$B$8</f>
        <v>0</v>
      </c>
      <c r="N49" s="29">
        <f>G49*'Res PW'!$B$9</f>
        <v>-2.1380631792612719</v>
      </c>
      <c r="O49" s="163">
        <f>H49*'Res PW'!$B$10</f>
        <v>28.461297314766018</v>
      </c>
      <c r="P49" s="29">
        <f>I49*'Res PW'!$B$11</f>
        <v>0</v>
      </c>
      <c r="Q49" s="44">
        <f>'Monthly Data'!F49</f>
        <v>59649</v>
      </c>
      <c r="R49" s="46">
        <f>'Monthly Data'!BH49</f>
        <v>31</v>
      </c>
      <c r="S49" s="158">
        <f t="shared" si="4"/>
        <v>46879200.182372309</v>
      </c>
      <c r="T49" s="44">
        <f t="shared" si="5"/>
        <v>284782.46148754656</v>
      </c>
      <c r="U49" s="48">
        <f t="shared" si="6"/>
        <v>6.1119437781899794E-3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158">
        <f>'Monthly Data'!E50</f>
        <v>51200778.571841165</v>
      </c>
      <c r="E50" s="46">
        <f>'Monthly Data'!AL50</f>
        <v>586.09999999999991</v>
      </c>
      <c r="F50" s="46">
        <f>'Monthly Data'!AK50</f>
        <v>0</v>
      </c>
      <c r="G50" s="29">
        <f>'Monthly Data'!BG50</f>
        <v>49</v>
      </c>
      <c r="H50" s="29">
        <f>'Monthly Data'!W50</f>
        <v>6848.3</v>
      </c>
      <c r="I50" s="29">
        <f>'Monthly Data'!BF50</f>
        <v>0</v>
      </c>
      <c r="K50" s="29">
        <f>'Res PW'!$B$6</f>
        <v>-4.4351669087570498</v>
      </c>
      <c r="L50" s="29">
        <f>E50*'Res PW'!$B$7</f>
        <v>4.6354275659708639</v>
      </c>
      <c r="M50" s="29">
        <f>F50*'Res PW'!$B$8</f>
        <v>0</v>
      </c>
      <c r="N50" s="29">
        <f>G50*'Res PW'!$B$9</f>
        <v>-2.1826061621625485</v>
      </c>
      <c r="O50" s="163">
        <f>H50*'Res PW'!$B$10</f>
        <v>28.452572463025827</v>
      </c>
      <c r="P50" s="29">
        <f>I50*'Res PW'!$B$11</f>
        <v>0</v>
      </c>
      <c r="Q50" s="44">
        <f>'Monthly Data'!F50</f>
        <v>59671</v>
      </c>
      <c r="R50" s="46">
        <f>'Monthly Data'!BH50</f>
        <v>31</v>
      </c>
      <c r="S50" s="158">
        <f t="shared" si="4"/>
        <v>48964652.297277965</v>
      </c>
      <c r="T50" s="44">
        <f t="shared" si="5"/>
        <v>-2236126.2745632008</v>
      </c>
      <c r="U50" s="48">
        <f t="shared" si="6"/>
        <v>4.3673677177108405E-2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158">
        <f>'Monthly Data'!E51</f>
        <v>43486614.571841165</v>
      </c>
      <c r="E51" s="46">
        <f>'Monthly Data'!AL51</f>
        <v>528.60000000000014</v>
      </c>
      <c r="F51" s="46">
        <f>'Monthly Data'!AK51</f>
        <v>0</v>
      </c>
      <c r="G51" s="29">
        <f>'Monthly Data'!BG51</f>
        <v>50</v>
      </c>
      <c r="H51" s="29">
        <f>'Monthly Data'!W51</f>
        <v>6850</v>
      </c>
      <c r="I51" s="29">
        <f>'Monthly Data'!BF51</f>
        <v>0</v>
      </c>
      <c r="K51" s="29">
        <f>'Res PW'!$B$6</f>
        <v>-4.4351669087570498</v>
      </c>
      <c r="L51" s="29">
        <f>E51*'Res PW'!$B$7</f>
        <v>4.1806637286678034</v>
      </c>
      <c r="M51" s="29">
        <f>F51*'Res PW'!$B$8</f>
        <v>0</v>
      </c>
      <c r="N51" s="29">
        <f>G51*'Res PW'!$B$9</f>
        <v>-2.2271491450638248</v>
      </c>
      <c r="O51" s="163">
        <f>H51*'Res PW'!$B$10</f>
        <v>28.459635438244078</v>
      </c>
      <c r="P51" s="29">
        <f>I51*'Res PW'!$B$11</f>
        <v>0</v>
      </c>
      <c r="Q51" s="44">
        <f>'Monthly Data'!F51</f>
        <v>59674</v>
      </c>
      <c r="R51" s="46">
        <f>'Monthly Data'!BH51</f>
        <v>28</v>
      </c>
      <c r="S51" s="158">
        <f t="shared" si="4"/>
        <v>43405884.6001366</v>
      </c>
      <c r="T51" s="44">
        <f t="shared" si="5"/>
        <v>-80729.971704564989</v>
      </c>
      <c r="U51" s="48">
        <f t="shared" si="6"/>
        <v>1.8564326632324231E-3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158">
        <f>'Monthly Data'!E52</f>
        <v>44184194.571841165</v>
      </c>
      <c r="E52" s="46">
        <f>'Monthly Data'!AL52</f>
        <v>464.4</v>
      </c>
      <c r="F52" s="46">
        <f>'Monthly Data'!AK52</f>
        <v>0</v>
      </c>
      <c r="G52" s="29">
        <f>'Monthly Data'!BG52</f>
        <v>51</v>
      </c>
      <c r="H52" s="29">
        <f>'Monthly Data'!W52</f>
        <v>6856.4</v>
      </c>
      <c r="I52" s="29">
        <f>'Monthly Data'!BF52</f>
        <v>1</v>
      </c>
      <c r="K52" s="29">
        <f>'Res PW'!$B$6</f>
        <v>-4.4351669087570498</v>
      </c>
      <c r="L52" s="29">
        <f>E52*'Res PW'!$B$7</f>
        <v>3.6729100181485572</v>
      </c>
      <c r="M52" s="29">
        <f>F52*'Res PW'!$B$8</f>
        <v>0</v>
      </c>
      <c r="N52" s="29">
        <f>G52*'Res PW'!$B$9</f>
        <v>-2.2716921279651014</v>
      </c>
      <c r="O52" s="163">
        <f>H52*'Res PW'!$B$10</f>
        <v>28.486225462595137</v>
      </c>
      <c r="P52" s="29">
        <f>I52*'Res PW'!$B$11</f>
        <v>-1.18560218277844</v>
      </c>
      <c r="Q52" s="44">
        <f>'Monthly Data'!F52</f>
        <v>59687</v>
      </c>
      <c r="R52" s="46">
        <f>'Monthly Data'!BH52</f>
        <v>31</v>
      </c>
      <c r="S52" s="158">
        <f t="shared" si="4"/>
        <v>44900554.58555533</v>
      </c>
      <c r="T52" s="44">
        <f t="shared" si="5"/>
        <v>716360.0137141645</v>
      </c>
      <c r="U52" s="48">
        <f t="shared" si="6"/>
        <v>1.6213037731159747E-2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158">
        <f>'Monthly Data'!E53</f>
        <v>38731453.571841165</v>
      </c>
      <c r="E53" s="46">
        <f>'Monthly Data'!AL53</f>
        <v>185.89999999999995</v>
      </c>
      <c r="F53" s="46">
        <f>'Monthly Data'!AK53</f>
        <v>0</v>
      </c>
      <c r="G53" s="29">
        <f>'Monthly Data'!BG53</f>
        <v>52</v>
      </c>
      <c r="H53" s="29">
        <f>'Monthly Data'!W53</f>
        <v>6869.6</v>
      </c>
      <c r="I53" s="29">
        <f>'Monthly Data'!BF53</f>
        <v>1</v>
      </c>
      <c r="K53" s="29">
        <f>'Res PW'!$B$6</f>
        <v>-4.4351669087570498</v>
      </c>
      <c r="L53" s="29">
        <f>E53*'Res PW'!$B$7</f>
        <v>1.4702712583415518</v>
      </c>
      <c r="M53" s="29">
        <f>F53*'Res PW'!$B$8</f>
        <v>0</v>
      </c>
      <c r="N53" s="29">
        <f>G53*'Res PW'!$B$9</f>
        <v>-2.3162351108663781</v>
      </c>
      <c r="O53" s="163">
        <f>H53*'Res PW'!$B$10</f>
        <v>28.541067387819201</v>
      </c>
      <c r="P53" s="29">
        <f>I53*'Res PW'!$B$11</f>
        <v>-1.18560218277844</v>
      </c>
      <c r="Q53" s="44">
        <f>'Monthly Data'!F53</f>
        <v>59679</v>
      </c>
      <c r="R53" s="46">
        <f>'Monthly Data'!BH53</f>
        <v>30</v>
      </c>
      <c r="S53" s="158">
        <f t="shared" si="4"/>
        <v>39521226.158072598</v>
      </c>
      <c r="T53" s="44">
        <f t="shared" si="5"/>
        <v>789772.58623143286</v>
      </c>
      <c r="U53" s="48">
        <f t="shared" si="6"/>
        <v>2.0390987515263803E-2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158">
        <f>'Monthly Data'!E54</f>
        <v>40675001.571841165</v>
      </c>
      <c r="E54" s="46">
        <f>'Monthly Data'!AL54</f>
        <v>33.899999999999991</v>
      </c>
      <c r="F54" s="46">
        <f>'Monthly Data'!AK54</f>
        <v>35.799999999999997</v>
      </c>
      <c r="G54" s="29">
        <f>'Monthly Data'!BG54</f>
        <v>53</v>
      </c>
      <c r="H54" s="29">
        <f>'Monthly Data'!W54</f>
        <v>6870.6</v>
      </c>
      <c r="I54" s="29">
        <f>'Monthly Data'!BF54</f>
        <v>1</v>
      </c>
      <c r="K54" s="29">
        <f>'Res PW'!$B$6</f>
        <v>-4.4351669087570498</v>
      </c>
      <c r="L54" s="29">
        <f>E54*'Res PW'!$B$7</f>
        <v>0.26811294060128354</v>
      </c>
      <c r="M54" s="29">
        <f>F54*'Res PW'!$B$8</f>
        <v>1.3870029924826974</v>
      </c>
      <c r="N54" s="29">
        <f>G54*'Res PW'!$B$9</f>
        <v>-2.3607780937676544</v>
      </c>
      <c r="O54" s="163">
        <f>H54*'Res PW'!$B$10</f>
        <v>28.545222079124052</v>
      </c>
      <c r="P54" s="29">
        <f>I54*'Res PW'!$B$11</f>
        <v>-1.18560218277844</v>
      </c>
      <c r="Q54" s="44">
        <f>'Monthly Data'!F54</f>
        <v>59689</v>
      </c>
      <c r="R54" s="46">
        <f>'Monthly Data'!BH54</f>
        <v>31</v>
      </c>
      <c r="S54" s="158">
        <f t="shared" si="4"/>
        <v>41112739.575680904</v>
      </c>
      <c r="T54" s="44">
        <f t="shared" si="5"/>
        <v>437738.00383973867</v>
      </c>
      <c r="U54" s="48">
        <f t="shared" si="6"/>
        <v>1.076184356297062E-2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158">
        <f>'Monthly Data'!E55</f>
        <v>45459103.571841165</v>
      </c>
      <c r="E55" s="46">
        <f>'Monthly Data'!AL55</f>
        <v>0</v>
      </c>
      <c r="F55" s="46">
        <f>'Monthly Data'!AK55</f>
        <v>137.30000000000001</v>
      </c>
      <c r="G55" s="29">
        <f>'Monthly Data'!BG55</f>
        <v>54</v>
      </c>
      <c r="H55" s="29">
        <f>'Monthly Data'!W55</f>
        <v>6865.4</v>
      </c>
      <c r="I55" s="29">
        <f>'Monthly Data'!BF55</f>
        <v>0</v>
      </c>
      <c r="K55" s="29">
        <f>'Res PW'!$B$6</f>
        <v>-4.4351669087570498</v>
      </c>
      <c r="L55" s="29">
        <f>E55*'Res PW'!$B$7</f>
        <v>0</v>
      </c>
      <c r="M55" s="29">
        <f>F55*'Res PW'!$B$8</f>
        <v>5.3194276778735858</v>
      </c>
      <c r="N55" s="29">
        <f>G55*'Res PW'!$B$9</f>
        <v>-2.405321076668931</v>
      </c>
      <c r="O55" s="163">
        <f>H55*'Res PW'!$B$10</f>
        <v>28.523617684338813</v>
      </c>
      <c r="P55" s="29">
        <f>I55*'Res PW'!$B$11</f>
        <v>0</v>
      </c>
      <c r="Q55" s="44">
        <f>'Monthly Data'!F55</f>
        <v>59798</v>
      </c>
      <c r="R55" s="46">
        <f>'Monthly Data'!BH55</f>
        <v>30</v>
      </c>
      <c r="S55" s="158">
        <f t="shared" si="4"/>
        <v>48440967.780512229</v>
      </c>
      <c r="T55" s="44">
        <f t="shared" si="5"/>
        <v>2981864.2086710632</v>
      </c>
      <c r="U55" s="48">
        <f t="shared" si="6"/>
        <v>6.5594434873945159E-2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158">
        <f>'Monthly Data'!E56</f>
        <v>51897622.571841165</v>
      </c>
      <c r="E56" s="46">
        <f>'Monthly Data'!AL56</f>
        <v>0</v>
      </c>
      <c r="F56" s="46">
        <f>'Monthly Data'!AK56</f>
        <v>180.6</v>
      </c>
      <c r="G56" s="29">
        <f>'Monthly Data'!BG56</f>
        <v>55</v>
      </c>
      <c r="H56" s="29">
        <f>'Monthly Data'!W56</f>
        <v>6864.4</v>
      </c>
      <c r="I56" s="29">
        <f>'Monthly Data'!BF56</f>
        <v>0</v>
      </c>
      <c r="K56" s="29">
        <f>'Res PW'!$B$6</f>
        <v>-4.4351669087570498</v>
      </c>
      <c r="L56" s="29">
        <f>E56*'Res PW'!$B$7</f>
        <v>0</v>
      </c>
      <c r="M56" s="29">
        <f>F56*'Res PW'!$B$8</f>
        <v>6.9970039229713725</v>
      </c>
      <c r="N56" s="29">
        <f>G56*'Res PW'!$B$9</f>
        <v>-2.4498640595702077</v>
      </c>
      <c r="O56" s="163">
        <f>H56*'Res PW'!$B$10</f>
        <v>28.519462993033962</v>
      </c>
      <c r="P56" s="29">
        <f>I56*'Res PW'!$B$11</f>
        <v>0</v>
      </c>
      <c r="Q56" s="44">
        <f>'Monthly Data'!F56</f>
        <v>59907</v>
      </c>
      <c r="R56" s="46">
        <f>'Monthly Data'!BH56</f>
        <v>31</v>
      </c>
      <c r="S56" s="158">
        <f t="shared" si="4"/>
        <v>53171926.432844073</v>
      </c>
      <c r="T56" s="44">
        <f t="shared" si="5"/>
        <v>1274303.8610029072</v>
      </c>
      <c r="U56" s="48">
        <f t="shared" si="6"/>
        <v>2.4554185680450119E-2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158">
        <f>'Monthly Data'!E57</f>
        <v>50248064.571841165</v>
      </c>
      <c r="E57" s="46">
        <f>'Monthly Data'!AL57</f>
        <v>0</v>
      </c>
      <c r="F57" s="46">
        <f>'Monthly Data'!AK57</f>
        <v>188.19999999999996</v>
      </c>
      <c r="G57" s="29">
        <f>'Monthly Data'!BG57</f>
        <v>56</v>
      </c>
      <c r="H57" s="29">
        <f>'Monthly Data'!W57</f>
        <v>6869.9</v>
      </c>
      <c r="I57" s="29">
        <f>'Monthly Data'!BF57</f>
        <v>0</v>
      </c>
      <c r="K57" s="29">
        <f>'Res PW'!$B$6</f>
        <v>-4.4351669087570498</v>
      </c>
      <c r="L57" s="29">
        <f>E57*'Res PW'!$B$7</f>
        <v>0</v>
      </c>
      <c r="M57" s="29">
        <f>F57*'Res PW'!$B$8</f>
        <v>7.2914514856213293</v>
      </c>
      <c r="N57" s="29">
        <f>G57*'Res PW'!$B$9</f>
        <v>-2.4944070424714839</v>
      </c>
      <c r="O57" s="163">
        <f>H57*'Res PW'!$B$10</f>
        <v>28.542313795210653</v>
      </c>
      <c r="P57" s="29">
        <f>I57*'Res PW'!$B$11</f>
        <v>0</v>
      </c>
      <c r="Q57" s="44">
        <f>'Monthly Data'!F57</f>
        <v>59924</v>
      </c>
      <c r="R57" s="46">
        <f>'Monthly Data'!BH57</f>
        <v>31</v>
      </c>
      <c r="S57" s="158">
        <f t="shared" si="4"/>
        <v>53693697.59828987</v>
      </c>
      <c r="T57" s="44">
        <f t="shared" si="5"/>
        <v>3445633.0264487043</v>
      </c>
      <c r="U57" s="48">
        <f t="shared" si="6"/>
        <v>6.8572452607052747E-2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158">
        <f>'Monthly Data'!E58</f>
        <v>43927568.571841165</v>
      </c>
      <c r="E58" s="46">
        <f>'Monthly Data'!AL58</f>
        <v>0.59999999999999964</v>
      </c>
      <c r="F58" s="46">
        <f>'Monthly Data'!AK58</f>
        <v>108.9</v>
      </c>
      <c r="G58" s="29">
        <f>'Monthly Data'!BG58</f>
        <v>57</v>
      </c>
      <c r="H58" s="29">
        <f>'Monthly Data'!W58</f>
        <v>6884.5</v>
      </c>
      <c r="I58" s="29">
        <f>'Monthly Data'!BF58</f>
        <v>1</v>
      </c>
      <c r="K58" s="29">
        <f>'Res PW'!$B$6</f>
        <v>-4.4351669087570498</v>
      </c>
      <c r="L58" s="29">
        <f>E58*'Res PW'!$B$7</f>
        <v>4.7453617805536894E-3</v>
      </c>
      <c r="M58" s="29">
        <f>F58*'Res PW'!$B$8</f>
        <v>4.2191236279711104</v>
      </c>
      <c r="N58" s="29">
        <f>G58*'Res PW'!$B$9</f>
        <v>-2.5389500253727606</v>
      </c>
      <c r="O58" s="163">
        <f>H58*'Res PW'!$B$10</f>
        <v>28.602972288261512</v>
      </c>
      <c r="P58" s="29">
        <f>I58*'Res PW'!$B$11</f>
        <v>-1.18560218277844</v>
      </c>
      <c r="Q58" s="44">
        <f>'Monthly Data'!F58</f>
        <v>59924</v>
      </c>
      <c r="R58" s="46">
        <f>'Monthly Data'!BH58</f>
        <v>30</v>
      </c>
      <c r="S58" s="158">
        <f t="shared" si="4"/>
        <v>44344578.851461552</v>
      </c>
      <c r="T58" s="44">
        <f t="shared" si="5"/>
        <v>417010.27962038666</v>
      </c>
      <c r="U58" s="48">
        <f t="shared" si="6"/>
        <v>9.4931336556538272E-3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158">
        <f>'Monthly Data'!E59</f>
        <v>41698922.571841165</v>
      </c>
      <c r="E59" s="46">
        <f>'Monthly Data'!AL59</f>
        <v>50.6</v>
      </c>
      <c r="F59" s="46">
        <f>'Monthly Data'!AK59</f>
        <v>19.899999999999999</v>
      </c>
      <c r="G59" s="29">
        <f>'Monthly Data'!BG59</f>
        <v>58</v>
      </c>
      <c r="H59" s="29">
        <f>'Monthly Data'!W59</f>
        <v>6901.5</v>
      </c>
      <c r="I59" s="29">
        <f>'Monthly Data'!BF59</f>
        <v>1</v>
      </c>
      <c r="K59" s="29">
        <f>'Res PW'!$B$6</f>
        <v>-4.4351669087570498</v>
      </c>
      <c r="L59" s="29">
        <f>E59*'Res PW'!$B$7</f>
        <v>0.40019217682669467</v>
      </c>
      <c r="M59" s="29">
        <f>F59*'Res PW'!$B$8</f>
        <v>0.77098769693870606</v>
      </c>
      <c r="N59" s="29">
        <f>G59*'Res PW'!$B$9</f>
        <v>-2.5834930082740368</v>
      </c>
      <c r="O59" s="163">
        <f>H59*'Res PW'!$B$10</f>
        <v>28.673602040444013</v>
      </c>
      <c r="P59" s="29">
        <f>I59*'Res PW'!$B$11</f>
        <v>-1.18560218277844</v>
      </c>
      <c r="Q59" s="44">
        <f>'Monthly Data'!F59</f>
        <v>59943</v>
      </c>
      <c r="R59" s="46">
        <f>'Monthly Data'!BH59</f>
        <v>31</v>
      </c>
      <c r="S59" s="158">
        <f t="shared" si="4"/>
        <v>40213128.056271747</v>
      </c>
      <c r="T59" s="44">
        <f t="shared" si="5"/>
        <v>-1485794.5155694187</v>
      </c>
      <c r="U59" s="48">
        <f t="shared" si="6"/>
        <v>3.5631484554777437E-2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158">
        <f>'Monthly Data'!E60</f>
        <v>40599034.571841165</v>
      </c>
      <c r="E60" s="46">
        <f>'Monthly Data'!AL60</f>
        <v>261.60000000000002</v>
      </c>
      <c r="F60" s="46">
        <f>'Monthly Data'!AK60</f>
        <v>0</v>
      </c>
      <c r="G60" s="29">
        <f>'Monthly Data'!BG60</f>
        <v>59</v>
      </c>
      <c r="H60" s="29">
        <f>'Monthly Data'!W60</f>
        <v>6907.5</v>
      </c>
      <c r="I60" s="29">
        <f>'Monthly Data'!BF60</f>
        <v>1</v>
      </c>
      <c r="K60" s="29">
        <f>'Res PW'!$B$6</f>
        <v>-4.4351669087570498</v>
      </c>
      <c r="L60" s="29">
        <f>E60*'Res PW'!$B$7</f>
        <v>2.0689777363214099</v>
      </c>
      <c r="M60" s="29">
        <f>F60*'Res PW'!$B$8</f>
        <v>0</v>
      </c>
      <c r="N60" s="29">
        <f>G60*'Res PW'!$B$9</f>
        <v>-2.6280359911753135</v>
      </c>
      <c r="O60" s="163">
        <f>H60*'Res PW'!$B$10</f>
        <v>28.698530188273132</v>
      </c>
      <c r="P60" s="29">
        <f>I60*'Res PW'!$B$11</f>
        <v>-1.18560218277844</v>
      </c>
      <c r="Q60" s="44">
        <f>'Monthly Data'!F60</f>
        <v>59983</v>
      </c>
      <c r="R60" s="46">
        <f>'Monthly Data'!BH60</f>
        <v>30</v>
      </c>
      <c r="S60" s="158">
        <f t="shared" si="4"/>
        <v>40522180.576941371</v>
      </c>
      <c r="T60" s="44">
        <f t="shared" si="5"/>
        <v>-76853.994899794459</v>
      </c>
      <c r="U60" s="48">
        <f t="shared" si="6"/>
        <v>1.8930005530993377E-3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158">
        <f>'Monthly Data'!E61</f>
        <v>45189588.571841165</v>
      </c>
      <c r="E61" s="46">
        <f>'Monthly Data'!AL61</f>
        <v>333.1</v>
      </c>
      <c r="F61" s="46">
        <f>'Monthly Data'!AK61</f>
        <v>0</v>
      </c>
      <c r="G61" s="29">
        <f>'Monthly Data'!BG61</f>
        <v>60</v>
      </c>
      <c r="H61" s="29">
        <f>'Monthly Data'!W61</f>
        <v>6903.1</v>
      </c>
      <c r="I61" s="29">
        <f>'Monthly Data'!BF61</f>
        <v>0</v>
      </c>
      <c r="K61" s="29">
        <f>'Res PW'!$B$6</f>
        <v>-4.4351669087570498</v>
      </c>
      <c r="L61" s="29">
        <f>E61*'Res PW'!$B$7</f>
        <v>2.6344666818373916</v>
      </c>
      <c r="M61" s="29">
        <f>F61*'Res PW'!$B$8</f>
        <v>0</v>
      </c>
      <c r="N61" s="29">
        <f>G61*'Res PW'!$B$9</f>
        <v>-2.6725789740765902</v>
      </c>
      <c r="O61" s="163">
        <f>H61*'Res PW'!$B$10</f>
        <v>28.68024954653178</v>
      </c>
      <c r="P61" s="29">
        <f>I61*'Res PW'!$B$11</f>
        <v>0</v>
      </c>
      <c r="Q61" s="44">
        <f>'Monthly Data'!F61</f>
        <v>60014</v>
      </c>
      <c r="R61" s="46">
        <f>'Monthly Data'!BH61</f>
        <v>31</v>
      </c>
      <c r="S61" s="158">
        <f t="shared" si="4"/>
        <v>45035470.667826049</v>
      </c>
      <c r="T61" s="44">
        <f t="shared" si="5"/>
        <v>-154117.90401511639</v>
      </c>
      <c r="U61" s="48">
        <f t="shared" si="6"/>
        <v>3.4104737149820248E-3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158">
        <f>'Monthly Data'!E62</f>
        <v>49884340.383905195</v>
      </c>
      <c r="E62" s="46">
        <f>'Monthly Data'!AL62</f>
        <v>553.59999999999991</v>
      </c>
      <c r="F62" s="46">
        <f>'Monthly Data'!AK62</f>
        <v>0</v>
      </c>
      <c r="G62" s="29">
        <f>'Monthly Data'!BG62</f>
        <v>61</v>
      </c>
      <c r="H62" s="29">
        <f>'Monthly Data'!W62</f>
        <v>6885.7</v>
      </c>
      <c r="I62" s="29">
        <f>'Monthly Data'!BF62</f>
        <v>0</v>
      </c>
      <c r="K62" s="29">
        <f>'Res PW'!$B$6</f>
        <v>-4.4351669087570498</v>
      </c>
      <c r="L62" s="29">
        <f>E62*'Res PW'!$B$7</f>
        <v>4.3783871361908719</v>
      </c>
      <c r="M62" s="29">
        <f>F62*'Res PW'!$B$8</f>
        <v>0</v>
      </c>
      <c r="N62" s="29">
        <f>G62*'Res PW'!$B$9</f>
        <v>-2.7171219569778664</v>
      </c>
      <c r="O62" s="163">
        <f>H62*'Res PW'!$B$10</f>
        <v>28.607957917827335</v>
      </c>
      <c r="P62" s="29">
        <f>I62*'Res PW'!$B$11</f>
        <v>0</v>
      </c>
      <c r="Q62" s="44">
        <f>'Monthly Data'!F62</f>
        <v>60019</v>
      </c>
      <c r="R62" s="46">
        <f>'Monthly Data'!BH62</f>
        <v>31</v>
      </c>
      <c r="S62" s="158">
        <f t="shared" si="4"/>
        <v>48066560.769301824</v>
      </c>
      <c r="T62" s="44">
        <f t="shared" si="5"/>
        <v>-1817779.6146033704</v>
      </c>
      <c r="U62" s="48">
        <f t="shared" si="6"/>
        <v>3.6439884753690421E-2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158">
        <f>'Monthly Data'!E63</f>
        <v>42980985.383905195</v>
      </c>
      <c r="E63" s="46">
        <f>'Monthly Data'!AL63</f>
        <v>647.9</v>
      </c>
      <c r="F63" s="46">
        <f>'Monthly Data'!AK63</f>
        <v>0</v>
      </c>
      <c r="G63" s="29">
        <f>'Monthly Data'!BG63</f>
        <v>62</v>
      </c>
      <c r="H63" s="29">
        <f>'Monthly Data'!W63</f>
        <v>6885.3</v>
      </c>
      <c r="I63" s="29">
        <f>'Monthly Data'!BF63</f>
        <v>0</v>
      </c>
      <c r="K63" s="29">
        <f>'Res PW'!$B$6</f>
        <v>-4.4351669087570498</v>
      </c>
      <c r="L63" s="29">
        <f>E63*'Res PW'!$B$7</f>
        <v>5.1241998293678943</v>
      </c>
      <c r="M63" s="29">
        <f>F63*'Res PW'!$B$8</f>
        <v>0</v>
      </c>
      <c r="N63" s="29">
        <f>G63*'Res PW'!$B$9</f>
        <v>-2.7616649398791431</v>
      </c>
      <c r="O63" s="163">
        <f>H63*'Res PW'!$B$10</f>
        <v>28.606296041305395</v>
      </c>
      <c r="P63" s="29">
        <f>I63*'Res PW'!$B$11</f>
        <v>0</v>
      </c>
      <c r="Q63" s="44">
        <f>'Monthly Data'!F63</f>
        <v>60029</v>
      </c>
      <c r="R63" s="46">
        <f>'Monthly Data'!BH63</f>
        <v>28</v>
      </c>
      <c r="S63" s="158">
        <f t="shared" si="4"/>
        <v>44598100.892208219</v>
      </c>
      <c r="T63" s="44">
        <f t="shared" si="5"/>
        <v>1617115.5083030239</v>
      </c>
      <c r="U63" s="48">
        <f t="shared" si="6"/>
        <v>3.7623974738107663E-2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158">
        <f>'Monthly Data'!E64</f>
        <v>43419024.383905195</v>
      </c>
      <c r="E64" s="46">
        <f>'Monthly Data'!AL64</f>
        <v>408</v>
      </c>
      <c r="F64" s="46">
        <f>'Monthly Data'!AK64</f>
        <v>0</v>
      </c>
      <c r="G64" s="29">
        <f>'Monthly Data'!BG64</f>
        <v>63</v>
      </c>
      <c r="H64" s="29">
        <f>'Monthly Data'!W64</f>
        <v>6892.1</v>
      </c>
      <c r="I64" s="29">
        <f>'Monthly Data'!BF64</f>
        <v>1</v>
      </c>
      <c r="K64" s="29">
        <f>'Res PW'!$B$6</f>
        <v>-4.4351669087570498</v>
      </c>
      <c r="L64" s="29">
        <f>E64*'Res PW'!$B$7</f>
        <v>3.2268460107765105</v>
      </c>
      <c r="M64" s="29">
        <f>F64*'Res PW'!$B$8</f>
        <v>0</v>
      </c>
      <c r="N64" s="29">
        <f>G64*'Res PW'!$B$9</f>
        <v>-2.8062079227804193</v>
      </c>
      <c r="O64" s="163">
        <f>H64*'Res PW'!$B$10</f>
        <v>28.634547942178397</v>
      </c>
      <c r="P64" s="29">
        <f>I64*'Res PW'!$B$11</f>
        <v>-1.18560218277844</v>
      </c>
      <c r="Q64" s="44">
        <f>'Monthly Data'!F64</f>
        <v>60053</v>
      </c>
      <c r="R64" s="46">
        <f>'Monthly Data'!BH64</f>
        <v>31</v>
      </c>
      <c r="S64" s="158">
        <f t="shared" si="4"/>
        <v>43626518.25289873</v>
      </c>
      <c r="T64" s="44">
        <f t="shared" si="5"/>
        <v>207493.86899353564</v>
      </c>
      <c r="U64" s="48">
        <f t="shared" si="6"/>
        <v>4.7788699064009975E-3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158">
        <f>'Monthly Data'!E65</f>
        <v>38613457.383905195</v>
      </c>
      <c r="E65" s="46">
        <f>'Monthly Data'!AL65</f>
        <v>149.69999999999996</v>
      </c>
      <c r="F65" s="46">
        <f>'Monthly Data'!AK65</f>
        <v>1.5999999999999996</v>
      </c>
      <c r="G65" s="29">
        <f>'Monthly Data'!BG65</f>
        <v>64</v>
      </c>
      <c r="H65" s="29">
        <f>'Monthly Data'!W65</f>
        <v>6897.3</v>
      </c>
      <c r="I65" s="29">
        <f>'Monthly Data'!BF65</f>
        <v>1</v>
      </c>
      <c r="K65" s="29">
        <f>'Res PW'!$B$6</f>
        <v>-4.4351669087570498</v>
      </c>
      <c r="L65" s="29">
        <f>E65*'Res PW'!$B$7</f>
        <v>1.1839677642481459</v>
      </c>
      <c r="M65" s="29">
        <f>F65*'Res PW'!$B$8</f>
        <v>6.1988960557885907E-2</v>
      </c>
      <c r="N65" s="29">
        <f>G65*'Res PW'!$B$9</f>
        <v>-2.850750905681696</v>
      </c>
      <c r="O65" s="163">
        <f>H65*'Res PW'!$B$10</f>
        <v>28.656152336963633</v>
      </c>
      <c r="P65" s="29">
        <f>I65*'Res PW'!$B$11</f>
        <v>-1.18560218277844</v>
      </c>
      <c r="Q65" s="44">
        <f>'Monthly Data'!F65</f>
        <v>60058</v>
      </c>
      <c r="R65" s="46">
        <f>'Monthly Data'!BH65</f>
        <v>30</v>
      </c>
      <c r="S65" s="158">
        <f t="shared" si="4"/>
        <v>38612349.541166782</v>
      </c>
      <c r="T65" s="44">
        <f t="shared" si="5"/>
        <v>-1107.8427384123206</v>
      </c>
      <c r="U65" s="48">
        <f t="shared" si="6"/>
        <v>2.8690586481232578E-5</v>
      </c>
    </row>
    <row r="66" spans="1:21" x14ac:dyDescent="0.2">
      <c r="A66" s="45">
        <f>'Monthly Data'!A66</f>
        <v>42125</v>
      </c>
      <c r="B66" s="29">
        <f t="shared" ref="B66:B121" si="7">YEAR(A66)</f>
        <v>2015</v>
      </c>
      <c r="C66" s="29">
        <f t="shared" ref="C66:C121" si="8">MONTH(A66)</f>
        <v>5</v>
      </c>
      <c r="D66" s="158">
        <f>'Monthly Data'!E66</f>
        <v>40763108.383905195</v>
      </c>
      <c r="E66" s="46">
        <f>'Monthly Data'!AL66</f>
        <v>18.3</v>
      </c>
      <c r="F66" s="46">
        <f>'Monthly Data'!AK66</f>
        <v>60.8</v>
      </c>
      <c r="G66" s="29">
        <f>'Monthly Data'!BG66</f>
        <v>65</v>
      </c>
      <c r="H66" s="29">
        <f>'Monthly Data'!W66</f>
        <v>6906.5</v>
      </c>
      <c r="I66" s="29">
        <f>'Monthly Data'!BF66</f>
        <v>1</v>
      </c>
      <c r="K66" s="29">
        <f>'Res PW'!$B$6</f>
        <v>-4.4351669087570498</v>
      </c>
      <c r="L66" s="29">
        <f>E66*'Res PW'!$B$7</f>
        <v>0.1447335343068876</v>
      </c>
      <c r="M66" s="29">
        <f>F66*'Res PW'!$B$8</f>
        <v>2.3555805011996647</v>
      </c>
      <c r="N66" s="29">
        <f>G66*'Res PW'!$B$9</f>
        <v>-2.8952938885829727</v>
      </c>
      <c r="O66" s="163">
        <f>H66*'Res PW'!$B$10</f>
        <v>28.694375496968281</v>
      </c>
      <c r="P66" s="29">
        <f>I66*'Res PW'!$B$11</f>
        <v>-1.18560218277844</v>
      </c>
      <c r="Q66" s="44">
        <f>'Monthly Data'!F66</f>
        <v>60068</v>
      </c>
      <c r="R66" s="46">
        <f>'Monthly Data'!BH66</f>
        <v>31</v>
      </c>
      <c r="S66" s="158">
        <f t="shared" si="4"/>
        <v>42230051.932155214</v>
      </c>
      <c r="T66" s="44">
        <f t="shared" ref="T66:T97" si="9">S66-D66</f>
        <v>1466943.5482500196</v>
      </c>
      <c r="U66" s="48">
        <f t="shared" ref="U66:U97" si="10">ABS(T66/D66)</f>
        <v>3.5987038437658103E-2</v>
      </c>
    </row>
    <row r="67" spans="1:21" x14ac:dyDescent="0.2">
      <c r="A67" s="45">
        <f>'Monthly Data'!A67</f>
        <v>42156</v>
      </c>
      <c r="B67" s="29">
        <f t="shared" si="7"/>
        <v>2015</v>
      </c>
      <c r="C67" s="29">
        <f t="shared" si="8"/>
        <v>6</v>
      </c>
      <c r="D67" s="158">
        <f>'Monthly Data'!E67</f>
        <v>46119249.383905195</v>
      </c>
      <c r="E67" s="46">
        <f>'Monthly Data'!AL67</f>
        <v>3.5</v>
      </c>
      <c r="F67" s="46">
        <f>'Monthly Data'!AK67</f>
        <v>98.000000000000028</v>
      </c>
      <c r="G67" s="29">
        <f>'Monthly Data'!BG67</f>
        <v>66</v>
      </c>
      <c r="H67" s="29">
        <f>'Monthly Data'!W67</f>
        <v>6921.3</v>
      </c>
      <c r="I67" s="29">
        <f>'Monthly Data'!BF67</f>
        <v>0</v>
      </c>
      <c r="K67" s="29">
        <f>'Res PW'!$B$6</f>
        <v>-4.4351669087570498</v>
      </c>
      <c r="L67" s="29">
        <f>E67*'Res PW'!$B$7</f>
        <v>2.7681277053229869E-2</v>
      </c>
      <c r="M67" s="29">
        <f>F67*'Res PW'!$B$8</f>
        <v>3.7968238341705138</v>
      </c>
      <c r="N67" s="29">
        <f>G67*'Res PW'!$B$9</f>
        <v>-2.9398368714842489</v>
      </c>
      <c r="O67" s="163">
        <f>H67*'Res PW'!$B$10</f>
        <v>28.755864928280108</v>
      </c>
      <c r="P67" s="29">
        <f>I67*'Res PW'!$B$11</f>
        <v>0</v>
      </c>
      <c r="Q67" s="44">
        <f>'Monthly Data'!F67</f>
        <v>60094</v>
      </c>
      <c r="R67" s="46">
        <f>'Monthly Data'!BH67</f>
        <v>30</v>
      </c>
      <c r="S67" s="158">
        <f t="shared" ref="S67:S121" si="11">SUM(K67:P67)*R67*Q67</f>
        <v>45440738.399523713</v>
      </c>
      <c r="T67" s="44">
        <f t="shared" si="9"/>
        <v>-678510.98438148201</v>
      </c>
      <c r="U67" s="48">
        <f t="shared" si="10"/>
        <v>1.4712099469213617E-2</v>
      </c>
    </row>
    <row r="68" spans="1:21" x14ac:dyDescent="0.2">
      <c r="A68" s="45">
        <f>'Monthly Data'!A68</f>
        <v>42186</v>
      </c>
      <c r="B68" s="29">
        <f t="shared" si="7"/>
        <v>2015</v>
      </c>
      <c r="C68" s="29">
        <f t="shared" si="8"/>
        <v>7</v>
      </c>
      <c r="D68" s="158">
        <f>'Monthly Data'!E68</f>
        <v>54424085.383905195</v>
      </c>
      <c r="E68" s="46">
        <f>'Monthly Data'!AL68</f>
        <v>0</v>
      </c>
      <c r="F68" s="46">
        <f>'Monthly Data'!AK68</f>
        <v>244.9</v>
      </c>
      <c r="G68" s="29">
        <f>'Monthly Data'!BG68</f>
        <v>67</v>
      </c>
      <c r="H68" s="29">
        <f>'Monthly Data'!W68</f>
        <v>6941.2</v>
      </c>
      <c r="I68" s="29">
        <f>'Monthly Data'!BF68</f>
        <v>0</v>
      </c>
      <c r="K68" s="29">
        <f>'Res PW'!$B$6</f>
        <v>-4.4351669087570498</v>
      </c>
      <c r="L68" s="29">
        <f>E68*'Res PW'!$B$7</f>
        <v>0</v>
      </c>
      <c r="M68" s="29">
        <f>F68*'Res PW'!$B$8</f>
        <v>9.4881852753914142</v>
      </c>
      <c r="N68" s="29">
        <f>G68*'Res PW'!$B$9</f>
        <v>-2.9843798543855256</v>
      </c>
      <c r="O68" s="163">
        <f>H68*'Res PW'!$B$10</f>
        <v>28.838543285246683</v>
      </c>
      <c r="P68" s="29">
        <f>I68*'Res PW'!$B$11</f>
        <v>0</v>
      </c>
      <c r="Q68" s="44">
        <f>'Monthly Data'!F68</f>
        <v>60096</v>
      </c>
      <c r="R68" s="46">
        <f>'Monthly Data'!BH68</f>
        <v>31</v>
      </c>
      <c r="S68" s="158">
        <f t="shared" si="11"/>
        <v>57579337.916371018</v>
      </c>
      <c r="T68" s="44">
        <f t="shared" si="9"/>
        <v>3155252.532465823</v>
      </c>
      <c r="U68" s="48">
        <f t="shared" si="10"/>
        <v>5.7975297337728417E-2</v>
      </c>
    </row>
    <row r="69" spans="1:21" x14ac:dyDescent="0.2">
      <c r="A69" s="45">
        <f>'Monthly Data'!A69</f>
        <v>42217</v>
      </c>
      <c r="B69" s="29">
        <f t="shared" si="7"/>
        <v>2015</v>
      </c>
      <c r="C69" s="29">
        <f t="shared" si="8"/>
        <v>8</v>
      </c>
      <c r="D69" s="158">
        <f>'Monthly Data'!E69</f>
        <v>55134636.383905195</v>
      </c>
      <c r="E69" s="46">
        <f>'Monthly Data'!AL69</f>
        <v>0</v>
      </c>
      <c r="F69" s="46">
        <f>'Monthly Data'!AK69</f>
        <v>210.70000000000002</v>
      </c>
      <c r="G69" s="29">
        <f>'Monthly Data'!BG69</f>
        <v>68</v>
      </c>
      <c r="H69" s="29">
        <f>'Monthly Data'!W69</f>
        <v>6949.2</v>
      </c>
      <c r="I69" s="29">
        <f>'Monthly Data'!BF69</f>
        <v>0</v>
      </c>
      <c r="K69" s="29">
        <f>'Res PW'!$B$6</f>
        <v>-4.4351669087570498</v>
      </c>
      <c r="L69" s="29">
        <f>E69*'Res PW'!$B$7</f>
        <v>0</v>
      </c>
      <c r="M69" s="29">
        <f>F69*'Res PW'!$B$8</f>
        <v>8.1631712434666035</v>
      </c>
      <c r="N69" s="29">
        <f>G69*'Res PW'!$B$9</f>
        <v>-3.0289228372868018</v>
      </c>
      <c r="O69" s="163">
        <f>H69*'Res PW'!$B$10</f>
        <v>28.871780815685508</v>
      </c>
      <c r="P69" s="29">
        <f>I69*'Res PW'!$B$11</f>
        <v>0</v>
      </c>
      <c r="Q69" s="44">
        <f>'Monthly Data'!F69</f>
        <v>60131</v>
      </c>
      <c r="R69" s="46">
        <f>'Monthly Data'!BH69</f>
        <v>31</v>
      </c>
      <c r="S69" s="158">
        <f t="shared" si="11"/>
        <v>55121891.174234897</v>
      </c>
      <c r="T69" s="44">
        <f t="shared" si="9"/>
        <v>-12745.209670297801</v>
      </c>
      <c r="U69" s="48">
        <f t="shared" si="10"/>
        <v>2.3116520768455383E-4</v>
      </c>
    </row>
    <row r="70" spans="1:21" x14ac:dyDescent="0.2">
      <c r="A70" s="45">
        <f>'Monthly Data'!A70</f>
        <v>42248</v>
      </c>
      <c r="B70" s="29">
        <f t="shared" si="7"/>
        <v>2015</v>
      </c>
      <c r="C70" s="29">
        <f t="shared" si="8"/>
        <v>9</v>
      </c>
      <c r="D70" s="158">
        <f>'Monthly Data'!E70</f>
        <v>47798131.383905195</v>
      </c>
      <c r="E70" s="46">
        <f>'Monthly Data'!AL70</f>
        <v>0</v>
      </c>
      <c r="F70" s="46">
        <f>'Monthly Data'!AK70</f>
        <v>181</v>
      </c>
      <c r="G70" s="29">
        <f>'Monthly Data'!BG70</f>
        <v>69</v>
      </c>
      <c r="H70" s="29">
        <f>'Monthly Data'!W70</f>
        <v>6941.1</v>
      </c>
      <c r="I70" s="29">
        <f>'Monthly Data'!BF70</f>
        <v>1</v>
      </c>
      <c r="K70" s="29">
        <f>'Res PW'!$B$6</f>
        <v>-4.4351669087570498</v>
      </c>
      <c r="L70" s="29">
        <f>E70*'Res PW'!$B$7</f>
        <v>0</v>
      </c>
      <c r="M70" s="29">
        <f>F70*'Res PW'!$B$8</f>
        <v>7.0125011631108443</v>
      </c>
      <c r="N70" s="29">
        <f>G70*'Res PW'!$B$9</f>
        <v>-3.0734658201880785</v>
      </c>
      <c r="O70" s="163">
        <f>H70*'Res PW'!$B$10</f>
        <v>28.838127816116202</v>
      </c>
      <c r="P70" s="29">
        <f>I70*'Res PW'!$B$11</f>
        <v>-1.18560218277844</v>
      </c>
      <c r="Q70" s="44">
        <f>'Monthly Data'!F70</f>
        <v>60165</v>
      </c>
      <c r="R70" s="46">
        <f>'Monthly Data'!BH70</f>
        <v>30</v>
      </c>
      <c r="S70" s="158">
        <f t="shared" si="11"/>
        <v>49015933.472140409</v>
      </c>
      <c r="T70" s="44">
        <f t="shared" si="9"/>
        <v>1217802.0882352144</v>
      </c>
      <c r="U70" s="48">
        <f t="shared" si="10"/>
        <v>2.5478027131522515E-2</v>
      </c>
    </row>
    <row r="71" spans="1:21" x14ac:dyDescent="0.2">
      <c r="A71" s="45">
        <f>'Monthly Data'!A71</f>
        <v>42278</v>
      </c>
      <c r="B71" s="29">
        <f t="shared" si="7"/>
        <v>2015</v>
      </c>
      <c r="C71" s="29">
        <f t="shared" si="8"/>
        <v>10</v>
      </c>
      <c r="D71" s="158">
        <f>'Monthly Data'!E71</f>
        <v>41883670.383905195</v>
      </c>
      <c r="E71" s="46">
        <f>'Monthly Data'!AL71</f>
        <v>51.800000000000004</v>
      </c>
      <c r="F71" s="46">
        <f>'Monthly Data'!AK71</f>
        <v>14.399999999999997</v>
      </c>
      <c r="G71" s="29">
        <f>'Monthly Data'!BG71</f>
        <v>70</v>
      </c>
      <c r="H71" s="29">
        <f>'Monthly Data'!W71</f>
        <v>6934.8</v>
      </c>
      <c r="I71" s="29">
        <f>'Monthly Data'!BF71</f>
        <v>1</v>
      </c>
      <c r="K71" s="29">
        <f>'Res PW'!$B$6</f>
        <v>-4.4351669087570498</v>
      </c>
      <c r="L71" s="29">
        <f>E71*'Res PW'!$B$7</f>
        <v>0.40968290038780208</v>
      </c>
      <c r="M71" s="29">
        <f>F71*'Res PW'!$B$8</f>
        <v>0.55790064502097314</v>
      </c>
      <c r="N71" s="29">
        <f>G71*'Res PW'!$B$9</f>
        <v>-3.1180088030893551</v>
      </c>
      <c r="O71" s="163">
        <f>H71*'Res PW'!$B$10</f>
        <v>28.811953260895624</v>
      </c>
      <c r="P71" s="29">
        <f>I71*'Res PW'!$B$11</f>
        <v>-1.18560218277844</v>
      </c>
      <c r="Q71" s="44">
        <f>'Monthly Data'!F71</f>
        <v>60249</v>
      </c>
      <c r="R71" s="46">
        <f>'Monthly Data'!BH71</f>
        <v>31</v>
      </c>
      <c r="S71" s="158">
        <f t="shared" si="11"/>
        <v>39298225.193763226</v>
      </c>
      <c r="T71" s="44">
        <f t="shared" si="9"/>
        <v>-2585445.1901419684</v>
      </c>
      <c r="U71" s="48">
        <f t="shared" si="10"/>
        <v>6.1729193417000242E-2</v>
      </c>
    </row>
    <row r="72" spans="1:21" x14ac:dyDescent="0.2">
      <c r="A72" s="45">
        <f>'Monthly Data'!A72</f>
        <v>42309</v>
      </c>
      <c r="B72" s="29">
        <f t="shared" si="7"/>
        <v>2015</v>
      </c>
      <c r="C72" s="29">
        <f t="shared" si="8"/>
        <v>11</v>
      </c>
      <c r="D72" s="158">
        <f>'Monthly Data'!E72</f>
        <v>38353292.383905195</v>
      </c>
      <c r="E72" s="46">
        <f>'Monthly Data'!AL72</f>
        <v>133</v>
      </c>
      <c r="F72" s="46">
        <f>'Monthly Data'!AK72</f>
        <v>4.0000000000000018</v>
      </c>
      <c r="G72" s="29">
        <f>'Monthly Data'!BG72</f>
        <v>71</v>
      </c>
      <c r="H72" s="29">
        <f>'Monthly Data'!W72</f>
        <v>6928.3</v>
      </c>
      <c r="I72" s="29">
        <f>'Monthly Data'!BF72</f>
        <v>1</v>
      </c>
      <c r="K72" s="29">
        <f>'Res PW'!$B$6</f>
        <v>-4.4351669087570498</v>
      </c>
      <c r="L72" s="29">
        <f>E72*'Res PW'!$B$7</f>
        <v>1.051888528022735</v>
      </c>
      <c r="M72" s="29">
        <f>F72*'Res PW'!$B$8</f>
        <v>0.15497240139471485</v>
      </c>
      <c r="N72" s="29">
        <f>G72*'Res PW'!$B$9</f>
        <v>-3.1625517859906314</v>
      </c>
      <c r="O72" s="163">
        <f>H72*'Res PW'!$B$10</f>
        <v>28.784947767414078</v>
      </c>
      <c r="P72" s="29">
        <f>I72*'Res PW'!$B$11</f>
        <v>-1.18560218277844</v>
      </c>
      <c r="Q72" s="44">
        <f>'Monthly Data'!F72</f>
        <v>60255</v>
      </c>
      <c r="R72" s="46">
        <f>'Monthly Data'!BH72</f>
        <v>30</v>
      </c>
      <c r="S72" s="158">
        <f t="shared" si="11"/>
        <v>38337523.006567419</v>
      </c>
      <c r="T72" s="44">
        <f t="shared" si="9"/>
        <v>-15769.377337776124</v>
      </c>
      <c r="U72" s="48">
        <f t="shared" si="10"/>
        <v>4.1116098143359605E-4</v>
      </c>
    </row>
    <row r="73" spans="1:21" x14ac:dyDescent="0.2">
      <c r="A73" s="45">
        <f>'Monthly Data'!A73</f>
        <v>42339</v>
      </c>
      <c r="B73" s="29">
        <f t="shared" si="7"/>
        <v>2015</v>
      </c>
      <c r="C73" s="29">
        <f t="shared" si="8"/>
        <v>12</v>
      </c>
      <c r="D73" s="158">
        <f>'Monthly Data'!E73</f>
        <v>41803813.383905195</v>
      </c>
      <c r="E73" s="46">
        <f>'Monthly Data'!AL73</f>
        <v>208.49999999999994</v>
      </c>
      <c r="F73" s="46">
        <f>'Monthly Data'!AK73</f>
        <v>0</v>
      </c>
      <c r="G73" s="29">
        <f>'Monthly Data'!BG73</f>
        <v>72</v>
      </c>
      <c r="H73" s="29">
        <f>'Monthly Data'!W73</f>
        <v>6942.8</v>
      </c>
      <c r="I73" s="29">
        <f>'Monthly Data'!BF73</f>
        <v>0</v>
      </c>
      <c r="K73" s="29">
        <f>'Res PW'!$B$6</f>
        <v>-4.4351669087570498</v>
      </c>
      <c r="L73" s="29">
        <f>E73*'Res PW'!$B$7</f>
        <v>1.6490132187424074</v>
      </c>
      <c r="M73" s="29">
        <f>F73*'Res PW'!$B$8</f>
        <v>0</v>
      </c>
      <c r="N73" s="29">
        <f>G73*'Res PW'!$B$9</f>
        <v>-3.207094768891908</v>
      </c>
      <c r="O73" s="163">
        <f>H73*'Res PW'!$B$10</f>
        <v>28.845190791334449</v>
      </c>
      <c r="P73" s="29">
        <f>I73*'Res PW'!$B$11</f>
        <v>0</v>
      </c>
      <c r="Q73" s="44">
        <f>'Monthly Data'!F73</f>
        <v>60262</v>
      </c>
      <c r="R73" s="46">
        <f>'Monthly Data'!BH73</f>
        <v>31</v>
      </c>
      <c r="S73" s="158">
        <f t="shared" si="11"/>
        <v>42690216.213939868</v>
      </c>
      <c r="T73" s="44">
        <f t="shared" si="9"/>
        <v>886402.83003467321</v>
      </c>
      <c r="U73" s="48">
        <f t="shared" si="10"/>
        <v>2.1203874916730574E-2</v>
      </c>
    </row>
    <row r="74" spans="1:21" x14ac:dyDescent="0.2">
      <c r="A74" s="45">
        <f>'Monthly Data'!A74</f>
        <v>42370</v>
      </c>
      <c r="B74" s="29">
        <f t="shared" si="7"/>
        <v>2016</v>
      </c>
      <c r="C74" s="29">
        <f t="shared" si="8"/>
        <v>1</v>
      </c>
      <c r="D74" s="158">
        <f>'Monthly Data'!E74</f>
        <v>46084693.984221287</v>
      </c>
      <c r="E74" s="46">
        <f>'Monthly Data'!AL74</f>
        <v>439</v>
      </c>
      <c r="F74" s="46">
        <f>'Monthly Data'!AK74</f>
        <v>0</v>
      </c>
      <c r="G74" s="29">
        <f>'Monthly Data'!BG74</f>
        <v>73</v>
      </c>
      <c r="H74" s="29">
        <f>'Monthly Data'!W74</f>
        <v>6957.7</v>
      </c>
      <c r="I74" s="29">
        <f>'Monthly Data'!BF74</f>
        <v>0</v>
      </c>
      <c r="K74" s="29">
        <f>'Res PW'!$B$6</f>
        <v>-4.4351669087570498</v>
      </c>
      <c r="L74" s="29">
        <f>E74*'Res PW'!$B$7</f>
        <v>3.4720230361051181</v>
      </c>
      <c r="M74" s="29">
        <f>F74*'Res PW'!$B$8</f>
        <v>0</v>
      </c>
      <c r="N74" s="29">
        <f>G74*'Res PW'!$B$9</f>
        <v>-3.2516377517931843</v>
      </c>
      <c r="O74" s="163">
        <f>H74*'Res PW'!$B$10</f>
        <v>28.90709569177676</v>
      </c>
      <c r="P74" s="29">
        <f>I74*'Res PW'!$B$11</f>
        <v>0</v>
      </c>
      <c r="Q74" s="44">
        <f>'Monthly Data'!F74</f>
        <v>60313</v>
      </c>
      <c r="R74" s="46">
        <f>'Monthly Data'!BH74</f>
        <v>31</v>
      </c>
      <c r="S74" s="158">
        <f t="shared" si="11"/>
        <v>46167293.688632175</v>
      </c>
      <c r="T74" s="44">
        <f t="shared" si="9"/>
        <v>82599.704410888255</v>
      </c>
      <c r="U74" s="48">
        <f t="shared" si="10"/>
        <v>1.7923457284791597E-3</v>
      </c>
    </row>
    <row r="75" spans="1:21" x14ac:dyDescent="0.2">
      <c r="A75" s="45">
        <f>'Monthly Data'!A75</f>
        <v>42401</v>
      </c>
      <c r="B75" s="29">
        <f t="shared" si="7"/>
        <v>2016</v>
      </c>
      <c r="C75" s="29">
        <f t="shared" si="8"/>
        <v>2</v>
      </c>
      <c r="D75" s="158">
        <f>'Monthly Data'!E75</f>
        <v>40582823.984221287</v>
      </c>
      <c r="E75" s="46">
        <f>'Monthly Data'!AL75</f>
        <v>370.3</v>
      </c>
      <c r="F75" s="46">
        <f>'Monthly Data'!AK75</f>
        <v>0</v>
      </c>
      <c r="G75" s="29">
        <f>'Monthly Data'!BG75</f>
        <v>74</v>
      </c>
      <c r="H75" s="29">
        <f>'Monthly Data'!W75</f>
        <v>6970.6</v>
      </c>
      <c r="I75" s="29">
        <f>'Monthly Data'!BF75</f>
        <v>0</v>
      </c>
      <c r="K75" s="29">
        <f>'Res PW'!$B$6</f>
        <v>-4.4351669087570498</v>
      </c>
      <c r="L75" s="29">
        <f>E75*'Res PW'!$B$7</f>
        <v>2.9286791122317202</v>
      </c>
      <c r="M75" s="29">
        <f>F75*'Res PW'!$B$8</f>
        <v>0</v>
      </c>
      <c r="N75" s="29">
        <f>G75*'Res PW'!$B$9</f>
        <v>-3.2961807346944609</v>
      </c>
      <c r="O75" s="163">
        <f>H75*'Res PW'!$B$10</f>
        <v>28.960691209609369</v>
      </c>
      <c r="P75" s="29">
        <f>I75*'Res PW'!$B$11</f>
        <v>0</v>
      </c>
      <c r="Q75" s="44">
        <f>'Monthly Data'!F75</f>
        <v>60310</v>
      </c>
      <c r="R75" s="46">
        <f>'Monthly Data'!BH75</f>
        <v>29</v>
      </c>
      <c r="S75" s="158">
        <f t="shared" si="11"/>
        <v>42252140.084276587</v>
      </c>
      <c r="T75" s="44">
        <f t="shared" si="9"/>
        <v>1669316.1000552997</v>
      </c>
      <c r="U75" s="48">
        <f t="shared" si="10"/>
        <v>4.113356184144145E-2</v>
      </c>
    </row>
    <row r="76" spans="1:21" x14ac:dyDescent="0.2">
      <c r="A76" s="45">
        <f>'Monthly Data'!A76</f>
        <v>42430</v>
      </c>
      <c r="B76" s="29">
        <f t="shared" si="7"/>
        <v>2016</v>
      </c>
      <c r="C76" s="29">
        <f t="shared" si="8"/>
        <v>3</v>
      </c>
      <c r="D76" s="158">
        <f>'Monthly Data'!E76</f>
        <v>40648907.984221287</v>
      </c>
      <c r="E76" s="46">
        <f>'Monthly Data'!AL76</f>
        <v>267</v>
      </c>
      <c r="F76" s="46">
        <f>'Monthly Data'!AK76</f>
        <v>0</v>
      </c>
      <c r="G76" s="29">
        <f>'Monthly Data'!BG76</f>
        <v>75</v>
      </c>
      <c r="H76" s="29">
        <f>'Monthly Data'!W76</f>
        <v>6978.1</v>
      </c>
      <c r="I76" s="29">
        <f>'Monthly Data'!BF76</f>
        <v>1</v>
      </c>
      <c r="K76" s="29">
        <f>'Res PW'!$B$6</f>
        <v>-4.4351669087570498</v>
      </c>
      <c r="L76" s="29">
        <f>E76*'Res PW'!$B$7</f>
        <v>2.1116859923463931</v>
      </c>
      <c r="M76" s="29">
        <f>F76*'Res PW'!$B$8</f>
        <v>0</v>
      </c>
      <c r="N76" s="29">
        <f>G76*'Res PW'!$B$9</f>
        <v>-3.3407237175957376</v>
      </c>
      <c r="O76" s="163">
        <f>H76*'Res PW'!$B$10</f>
        <v>28.991851394395766</v>
      </c>
      <c r="P76" s="29">
        <f>I76*'Res PW'!$B$11</f>
        <v>-1.18560218277844</v>
      </c>
      <c r="Q76" s="44">
        <f>'Monthly Data'!F76</f>
        <v>60323</v>
      </c>
      <c r="R76" s="46">
        <f>'Monthly Data'!BH76</f>
        <v>31</v>
      </c>
      <c r="S76" s="158">
        <f t="shared" si="11"/>
        <v>41405911.206711948</v>
      </c>
      <c r="T76" s="44">
        <f t="shared" si="9"/>
        <v>757003.22249066085</v>
      </c>
      <c r="U76" s="48">
        <f t="shared" si="10"/>
        <v>1.8622965782611117E-2</v>
      </c>
    </row>
    <row r="77" spans="1:21" x14ac:dyDescent="0.2">
      <c r="A77" s="45">
        <f>'Monthly Data'!A77</f>
        <v>42461</v>
      </c>
      <c r="B77" s="29">
        <f t="shared" si="7"/>
        <v>2016</v>
      </c>
      <c r="C77" s="29">
        <f t="shared" si="8"/>
        <v>4</v>
      </c>
      <c r="D77" s="158">
        <f>'Monthly Data'!E77</f>
        <v>38183247.984221287</v>
      </c>
      <c r="E77" s="46">
        <f>'Monthly Data'!AL77</f>
        <v>216.89999999999998</v>
      </c>
      <c r="F77" s="46">
        <f>'Monthly Data'!AK77</f>
        <v>2.8000000000000007</v>
      </c>
      <c r="G77" s="29">
        <f>'Monthly Data'!BG77</f>
        <v>76</v>
      </c>
      <c r="H77" s="29">
        <f>'Monthly Data'!W77</f>
        <v>6981.8</v>
      </c>
      <c r="I77" s="29">
        <f>'Monthly Data'!BF77</f>
        <v>1</v>
      </c>
      <c r="K77" s="29">
        <f>'Res PW'!$B$6</f>
        <v>-4.4351669087570498</v>
      </c>
      <c r="L77" s="29">
        <f>E77*'Res PW'!$B$7</f>
        <v>1.7154482836701594</v>
      </c>
      <c r="M77" s="29">
        <f>F77*'Res PW'!$B$8</f>
        <v>0.10848068097630038</v>
      </c>
      <c r="N77" s="29">
        <f>G77*'Res PW'!$B$9</f>
        <v>-3.3852667004970138</v>
      </c>
      <c r="O77" s="163">
        <f>H77*'Res PW'!$B$10</f>
        <v>29.007223752223723</v>
      </c>
      <c r="P77" s="29">
        <f>I77*'Res PW'!$B$11</f>
        <v>-1.18560218277844</v>
      </c>
      <c r="Q77" s="44">
        <f>'Monthly Data'!F77</f>
        <v>60319</v>
      </c>
      <c r="R77" s="46">
        <f>'Monthly Data'!BH77</f>
        <v>30</v>
      </c>
      <c r="S77" s="158">
        <f t="shared" si="11"/>
        <v>39494076.833678521</v>
      </c>
      <c r="T77" s="44">
        <f t="shared" si="9"/>
        <v>1310828.8494572341</v>
      </c>
      <c r="U77" s="48">
        <f t="shared" si="10"/>
        <v>3.4329946210938274E-2</v>
      </c>
    </row>
    <row r="78" spans="1:21" x14ac:dyDescent="0.2">
      <c r="A78" s="45">
        <f>'Monthly Data'!A78</f>
        <v>42491</v>
      </c>
      <c r="B78" s="29">
        <f t="shared" si="7"/>
        <v>2016</v>
      </c>
      <c r="C78" s="29">
        <f t="shared" si="8"/>
        <v>5</v>
      </c>
      <c r="D78" s="158">
        <f>'Monthly Data'!E78</f>
        <v>42648799.984221287</v>
      </c>
      <c r="E78" s="46">
        <f>'Monthly Data'!AL78</f>
        <v>41.900000000000006</v>
      </c>
      <c r="F78" s="46">
        <f>'Monthly Data'!AK78</f>
        <v>70.599999999999994</v>
      </c>
      <c r="G78" s="29">
        <f>'Monthly Data'!BG78</f>
        <v>77</v>
      </c>
      <c r="H78" s="29">
        <f>'Monthly Data'!W78</f>
        <v>6994.4</v>
      </c>
      <c r="I78" s="29">
        <f>'Monthly Data'!BF78</f>
        <v>1</v>
      </c>
      <c r="K78" s="29">
        <f>'Res PW'!$B$6</f>
        <v>-4.4351669087570498</v>
      </c>
      <c r="L78" s="29">
        <f>E78*'Res PW'!$B$7</f>
        <v>0.33138443100866621</v>
      </c>
      <c r="M78" s="29">
        <f>F78*'Res PW'!$B$8</f>
        <v>2.735262884616716</v>
      </c>
      <c r="N78" s="29">
        <f>G78*'Res PW'!$B$9</f>
        <v>-3.4298096833982905</v>
      </c>
      <c r="O78" s="163">
        <f>H78*'Res PW'!$B$10</f>
        <v>29.059572862664872</v>
      </c>
      <c r="P78" s="29">
        <f>I78*'Res PW'!$B$11</f>
        <v>-1.18560218277844</v>
      </c>
      <c r="Q78" s="44">
        <f>'Monthly Data'!F78</f>
        <v>60305</v>
      </c>
      <c r="R78" s="46">
        <f>'Monthly Data'!BH78</f>
        <v>31</v>
      </c>
      <c r="S78" s="158">
        <f t="shared" si="11"/>
        <v>43138873.199711777</v>
      </c>
      <c r="T78" s="44">
        <f t="shared" si="9"/>
        <v>490073.2154904902</v>
      </c>
      <c r="U78" s="48">
        <f t="shared" si="10"/>
        <v>1.1490902807858647E-2</v>
      </c>
    </row>
    <row r="79" spans="1:21" x14ac:dyDescent="0.2">
      <c r="A79" s="45">
        <f>'Monthly Data'!A79</f>
        <v>42522</v>
      </c>
      <c r="B79" s="29">
        <f t="shared" si="7"/>
        <v>2016</v>
      </c>
      <c r="C79" s="29">
        <f t="shared" si="8"/>
        <v>6</v>
      </c>
      <c r="D79" s="158">
        <f>'Monthly Data'!E79</f>
        <v>51837156.984221287</v>
      </c>
      <c r="E79" s="46">
        <f>'Monthly Data'!AL79</f>
        <v>0</v>
      </c>
      <c r="F79" s="46">
        <f>'Monthly Data'!AK79</f>
        <v>163.6</v>
      </c>
      <c r="G79" s="29">
        <f>'Monthly Data'!BG79</f>
        <v>78</v>
      </c>
      <c r="H79" s="29">
        <f>'Monthly Data'!W79</f>
        <v>7001.9</v>
      </c>
      <c r="I79" s="29">
        <f>'Monthly Data'!BF79</f>
        <v>0</v>
      </c>
      <c r="K79" s="29">
        <f>'Res PW'!$B$6</f>
        <v>-4.4351669087570498</v>
      </c>
      <c r="L79" s="29">
        <f>E79*'Res PW'!$B$7</f>
        <v>0</v>
      </c>
      <c r="M79" s="29">
        <f>F79*'Res PW'!$B$8</f>
        <v>6.3383712170438349</v>
      </c>
      <c r="N79" s="29">
        <f>G79*'Res PW'!$B$9</f>
        <v>-3.4743526662995672</v>
      </c>
      <c r="O79" s="163">
        <f>H79*'Res PW'!$B$10</f>
        <v>29.09073304745127</v>
      </c>
      <c r="P79" s="29">
        <f>I79*'Res PW'!$B$11</f>
        <v>0</v>
      </c>
      <c r="Q79" s="44">
        <f>'Monthly Data'!F79</f>
        <v>60308</v>
      </c>
      <c r="R79" s="46">
        <f>'Monthly Data'!BH79</f>
        <v>30</v>
      </c>
      <c r="S79" s="158">
        <f t="shared" si="11"/>
        <v>49789533.40351969</v>
      </c>
      <c r="T79" s="44">
        <f t="shared" si="9"/>
        <v>-2047623.580701597</v>
      </c>
      <c r="U79" s="48">
        <f t="shared" si="10"/>
        <v>3.9501077987839361E-2</v>
      </c>
    </row>
    <row r="80" spans="1:21" x14ac:dyDescent="0.2">
      <c r="A80" s="45">
        <f>'Monthly Data'!A80</f>
        <v>42552</v>
      </c>
      <c r="B80" s="29">
        <f t="shared" si="7"/>
        <v>2016</v>
      </c>
      <c r="C80" s="29">
        <f t="shared" si="8"/>
        <v>7</v>
      </c>
      <c r="D80" s="158">
        <f>'Monthly Data'!E80</f>
        <v>62950910.984221287</v>
      </c>
      <c r="E80" s="46">
        <f>'Monthly Data'!AL80</f>
        <v>0</v>
      </c>
      <c r="F80" s="46">
        <f>'Monthly Data'!AK80</f>
        <v>276.5</v>
      </c>
      <c r="G80" s="29">
        <f>'Monthly Data'!BG80</f>
        <v>79</v>
      </c>
      <c r="H80" s="29">
        <f>'Monthly Data'!W80</f>
        <v>6995.7</v>
      </c>
      <c r="I80" s="29">
        <f>'Monthly Data'!BF80</f>
        <v>0</v>
      </c>
      <c r="K80" s="29">
        <f>'Res PW'!$B$6</f>
        <v>-4.4351669087570498</v>
      </c>
      <c r="L80" s="29">
        <f>E80*'Res PW'!$B$7</f>
        <v>0</v>
      </c>
      <c r="M80" s="29">
        <f>F80*'Res PW'!$B$8</f>
        <v>10.712467246409661</v>
      </c>
      <c r="N80" s="29">
        <f>G80*'Res PW'!$B$9</f>
        <v>-3.5188956492008434</v>
      </c>
      <c r="O80" s="163">
        <f>H80*'Res PW'!$B$10</f>
        <v>29.064973961361179</v>
      </c>
      <c r="P80" s="29">
        <f>I80*'Res PW'!$B$11</f>
        <v>0</v>
      </c>
      <c r="Q80" s="44">
        <f>'Monthly Data'!F80</f>
        <v>60310</v>
      </c>
      <c r="R80" s="46">
        <f>'Monthly Data'!BH80</f>
        <v>31</v>
      </c>
      <c r="S80" s="158">
        <f t="shared" si="11"/>
        <v>59497306.957476787</v>
      </c>
      <c r="T80" s="44">
        <f t="shared" si="9"/>
        <v>-3453604.0267444998</v>
      </c>
      <c r="U80" s="48">
        <f t="shared" si="10"/>
        <v>5.4861859387708455E-2</v>
      </c>
    </row>
    <row r="81" spans="1:21" x14ac:dyDescent="0.2">
      <c r="A81" s="45">
        <f>'Monthly Data'!A81</f>
        <v>42583</v>
      </c>
      <c r="B81" s="29">
        <f t="shared" si="7"/>
        <v>2016</v>
      </c>
      <c r="C81" s="29">
        <f t="shared" si="8"/>
        <v>8</v>
      </c>
      <c r="D81" s="158">
        <f>'Monthly Data'!E81</f>
        <v>61477768.984221287</v>
      </c>
      <c r="E81" s="46">
        <f>'Monthly Data'!AL81</f>
        <v>0</v>
      </c>
      <c r="F81" s="46">
        <f>'Monthly Data'!AK81</f>
        <v>301.80000000000007</v>
      </c>
      <c r="G81" s="29">
        <f>'Monthly Data'!BG81</f>
        <v>80</v>
      </c>
      <c r="H81" s="29">
        <f>'Monthly Data'!W81</f>
        <v>6990.6</v>
      </c>
      <c r="I81" s="29">
        <f>'Monthly Data'!BF81</f>
        <v>0</v>
      </c>
      <c r="K81" s="29">
        <f>'Res PW'!$B$6</f>
        <v>-4.4351669087570498</v>
      </c>
      <c r="L81" s="29">
        <f>E81*'Res PW'!$B$7</f>
        <v>0</v>
      </c>
      <c r="M81" s="29">
        <f>F81*'Res PW'!$B$8</f>
        <v>11.692667685231234</v>
      </c>
      <c r="N81" s="29">
        <f>G81*'Res PW'!$B$9</f>
        <v>-3.5634386321021201</v>
      </c>
      <c r="O81" s="163">
        <f>H81*'Res PW'!$B$10</f>
        <v>29.043785035706431</v>
      </c>
      <c r="P81" s="29">
        <f>I81*'Res PW'!$B$11</f>
        <v>0</v>
      </c>
      <c r="Q81" s="44">
        <f>'Monthly Data'!F81</f>
        <v>60299</v>
      </c>
      <c r="R81" s="46">
        <f>'Monthly Data'!BH81</f>
        <v>31</v>
      </c>
      <c r="S81" s="158">
        <f t="shared" si="11"/>
        <v>61195842.860458151</v>
      </c>
      <c r="T81" s="44">
        <f t="shared" si="9"/>
        <v>-281926.12376313657</v>
      </c>
      <c r="U81" s="48">
        <f t="shared" si="10"/>
        <v>4.5858222967638095E-3</v>
      </c>
    </row>
    <row r="82" spans="1:21" x14ac:dyDescent="0.2">
      <c r="A82" s="45">
        <f>'Monthly Data'!A82</f>
        <v>42614</v>
      </c>
      <c r="B82" s="29">
        <f t="shared" si="7"/>
        <v>2016</v>
      </c>
      <c r="C82" s="29">
        <f t="shared" si="8"/>
        <v>9</v>
      </c>
      <c r="D82" s="158">
        <f>'Monthly Data'!E82</f>
        <v>50972090.984221287</v>
      </c>
      <c r="E82" s="46">
        <f>'Monthly Data'!AL82</f>
        <v>0</v>
      </c>
      <c r="F82" s="46">
        <f>'Monthly Data'!AK82</f>
        <v>181</v>
      </c>
      <c r="G82" s="29">
        <f>'Monthly Data'!BG82</f>
        <v>81</v>
      </c>
      <c r="H82" s="29">
        <f>'Monthly Data'!W82</f>
        <v>6988.9</v>
      </c>
      <c r="I82" s="29">
        <f>'Monthly Data'!BF82</f>
        <v>1</v>
      </c>
      <c r="K82" s="29">
        <f>'Res PW'!$B$6</f>
        <v>-4.4351669087570498</v>
      </c>
      <c r="L82" s="29">
        <f>E82*'Res PW'!$B$7</f>
        <v>0</v>
      </c>
      <c r="M82" s="29">
        <f>F82*'Res PW'!$B$8</f>
        <v>7.0125011631108443</v>
      </c>
      <c r="N82" s="29">
        <f>G82*'Res PW'!$B$9</f>
        <v>-3.6079816150033963</v>
      </c>
      <c r="O82" s="163">
        <f>H82*'Res PW'!$B$10</f>
        <v>29.036722060488177</v>
      </c>
      <c r="P82" s="29">
        <f>I82*'Res PW'!$B$11</f>
        <v>-1.18560218277844</v>
      </c>
      <c r="Q82" s="44">
        <f>'Monthly Data'!F82</f>
        <v>60320</v>
      </c>
      <c r="R82" s="46">
        <f>'Monthly Data'!BH82</f>
        <v>30</v>
      </c>
      <c r="S82" s="158">
        <f t="shared" si="11"/>
        <v>48534327.066872023</v>
      </c>
      <c r="T82" s="44">
        <f t="shared" si="9"/>
        <v>-2437763.917349264</v>
      </c>
      <c r="U82" s="48">
        <f t="shared" si="10"/>
        <v>4.7825464293860108E-2</v>
      </c>
    </row>
    <row r="83" spans="1:21" x14ac:dyDescent="0.2">
      <c r="A83" s="45">
        <f>'Monthly Data'!A83</f>
        <v>42644</v>
      </c>
      <c r="B83" s="29">
        <f t="shared" si="7"/>
        <v>2016</v>
      </c>
      <c r="C83" s="29">
        <f t="shared" si="8"/>
        <v>10</v>
      </c>
      <c r="D83" s="158">
        <f>'Monthly Data'!E83</f>
        <v>42378157.984221287</v>
      </c>
      <c r="E83" s="46">
        <f>'Monthly Data'!AL83</f>
        <v>50.1</v>
      </c>
      <c r="F83" s="46">
        <f>'Monthly Data'!AK83</f>
        <v>52.699999999999989</v>
      </c>
      <c r="G83" s="29">
        <f>'Monthly Data'!BG83</f>
        <v>82</v>
      </c>
      <c r="H83" s="29">
        <f>'Monthly Data'!W83</f>
        <v>7006.2</v>
      </c>
      <c r="I83" s="29">
        <f>'Monthly Data'!BF83</f>
        <v>1</v>
      </c>
      <c r="K83" s="29">
        <f>'Res PW'!$B$6</f>
        <v>-4.4351669087570498</v>
      </c>
      <c r="L83" s="29">
        <f>E83*'Res PW'!$B$7</f>
        <v>0.39623770867623326</v>
      </c>
      <c r="M83" s="29">
        <f>F83*'Res PW'!$B$8</f>
        <v>2.0417613883753671</v>
      </c>
      <c r="N83" s="29">
        <f>G83*'Res PW'!$B$9</f>
        <v>-3.652524597904673</v>
      </c>
      <c r="O83" s="163">
        <f>H83*'Res PW'!$B$10</f>
        <v>29.108598220062138</v>
      </c>
      <c r="P83" s="29">
        <f>I83*'Res PW'!$B$11</f>
        <v>-1.18560218277844</v>
      </c>
      <c r="Q83" s="44">
        <f>'Monthly Data'!F83</f>
        <v>60321</v>
      </c>
      <c r="R83" s="46">
        <f>'Monthly Data'!BH83</f>
        <v>31</v>
      </c>
      <c r="S83" s="158">
        <f t="shared" si="11"/>
        <v>41649986.391871832</v>
      </c>
      <c r="T83" s="44">
        <f t="shared" si="9"/>
        <v>-728171.59234945476</v>
      </c>
      <c r="U83" s="48">
        <f t="shared" si="10"/>
        <v>1.7182709843608018E-2</v>
      </c>
    </row>
    <row r="84" spans="1:21" x14ac:dyDescent="0.2">
      <c r="A84" s="45">
        <f>'Monthly Data'!A84</f>
        <v>42675</v>
      </c>
      <c r="B84" s="29">
        <f t="shared" si="7"/>
        <v>2016</v>
      </c>
      <c r="C84" s="29">
        <f t="shared" si="8"/>
        <v>11</v>
      </c>
      <c r="D84" s="158">
        <f>'Monthly Data'!E84</f>
        <v>38434874.984221287</v>
      </c>
      <c r="E84" s="46">
        <f>'Monthly Data'!AL84</f>
        <v>121.3</v>
      </c>
      <c r="F84" s="46">
        <f>'Monthly Data'!AK84</f>
        <v>1.9000000000000004</v>
      </c>
      <c r="G84" s="29">
        <f>'Monthly Data'!BG84</f>
        <v>83</v>
      </c>
      <c r="H84" s="29">
        <f>'Monthly Data'!W84</f>
        <v>7018.5</v>
      </c>
      <c r="I84" s="29">
        <f>'Monthly Data'!BF84</f>
        <v>1</v>
      </c>
      <c r="K84" s="29">
        <f>'Res PW'!$B$6</f>
        <v>-4.4351669087570498</v>
      </c>
      <c r="L84" s="29">
        <f>E84*'Res PW'!$B$7</f>
        <v>0.95935397330193806</v>
      </c>
      <c r="M84" s="29">
        <f>F84*'Res PW'!$B$8</f>
        <v>7.3611890662489549E-2</v>
      </c>
      <c r="N84" s="29">
        <f>G84*'Res PW'!$B$9</f>
        <v>-3.6970675808059497</v>
      </c>
      <c r="O84" s="163">
        <f>H84*'Res PW'!$B$10</f>
        <v>29.159700923111831</v>
      </c>
      <c r="P84" s="29">
        <f>I84*'Res PW'!$B$11</f>
        <v>-1.18560218277844</v>
      </c>
      <c r="Q84" s="44">
        <f>'Monthly Data'!F84</f>
        <v>60345</v>
      </c>
      <c r="R84" s="46">
        <f>'Monthly Data'!BH84</f>
        <v>30</v>
      </c>
      <c r="S84" s="158">
        <f t="shared" si="11"/>
        <v>37790748.69821018</v>
      </c>
      <c r="T84" s="44">
        <f t="shared" si="9"/>
        <v>-644126.28601110727</v>
      </c>
      <c r="U84" s="48">
        <f t="shared" si="10"/>
        <v>1.6758901551664762E-2</v>
      </c>
    </row>
    <row r="85" spans="1:21" x14ac:dyDescent="0.2">
      <c r="A85" s="45">
        <f>'Monthly Data'!A85</f>
        <v>42705</v>
      </c>
      <c r="B85" s="29">
        <f t="shared" si="7"/>
        <v>2016</v>
      </c>
      <c r="C85" s="29">
        <f t="shared" si="8"/>
        <v>12</v>
      </c>
      <c r="D85" s="158">
        <f>'Monthly Data'!E85</f>
        <v>44072140.984221287</v>
      </c>
      <c r="E85" s="46">
        <f>'Monthly Data'!AL85</f>
        <v>373</v>
      </c>
      <c r="F85" s="46">
        <f>'Monthly Data'!AK85</f>
        <v>0</v>
      </c>
      <c r="G85" s="29">
        <f>'Monthly Data'!BG85</f>
        <v>84</v>
      </c>
      <c r="H85" s="29">
        <f>'Monthly Data'!W85</f>
        <v>7028.8</v>
      </c>
      <c r="I85" s="29">
        <f>'Monthly Data'!BF85</f>
        <v>0</v>
      </c>
      <c r="K85" s="29">
        <f>'Res PW'!$B$6</f>
        <v>-4.4351669087570498</v>
      </c>
      <c r="L85" s="29">
        <f>E85*'Res PW'!$B$7</f>
        <v>2.9500332402442115</v>
      </c>
      <c r="M85" s="29">
        <f>F85*'Res PW'!$B$8</f>
        <v>0</v>
      </c>
      <c r="N85" s="29">
        <f>G85*'Res PW'!$B$9</f>
        <v>-3.7416105637072259</v>
      </c>
      <c r="O85" s="163">
        <f>H85*'Res PW'!$B$10</f>
        <v>29.202494243551822</v>
      </c>
      <c r="P85" s="29">
        <f>I85*'Res PW'!$B$11</f>
        <v>0</v>
      </c>
      <c r="Q85" s="44">
        <f>'Monthly Data'!F85</f>
        <v>60353</v>
      </c>
      <c r="R85" s="46">
        <f>'Monthly Data'!BH85</f>
        <v>31</v>
      </c>
      <c r="S85" s="158">
        <f t="shared" si="11"/>
        <v>44857261.65345107</v>
      </c>
      <c r="T85" s="44">
        <f t="shared" si="9"/>
        <v>785120.66922978312</v>
      </c>
      <c r="U85" s="48">
        <f t="shared" si="10"/>
        <v>1.7814443584913929E-2</v>
      </c>
    </row>
    <row r="86" spans="1:21" x14ac:dyDescent="0.2">
      <c r="A86" s="45">
        <f>'Monthly Data'!A86</f>
        <v>42736</v>
      </c>
      <c r="B86" s="29">
        <f t="shared" si="7"/>
        <v>2017</v>
      </c>
      <c r="C86" s="29">
        <f t="shared" si="8"/>
        <v>1</v>
      </c>
      <c r="D86" s="158">
        <f>'Monthly Data'!E86</f>
        <v>45513379.429172598</v>
      </c>
      <c r="E86" s="46">
        <f>'Monthly Data'!AL86</f>
        <v>382.60000000000008</v>
      </c>
      <c r="F86" s="46">
        <f>'Monthly Data'!AK86</f>
        <v>0</v>
      </c>
      <c r="G86" s="29">
        <f>'Monthly Data'!BG86</f>
        <v>85</v>
      </c>
      <c r="H86" s="29">
        <f>'Monthly Data'!W86</f>
        <v>7045.6</v>
      </c>
      <c r="I86" s="29">
        <f>'Monthly Data'!BF86</f>
        <v>0</v>
      </c>
      <c r="K86" s="29">
        <f>'Res PW'!$B$6</f>
        <v>-4.4351669087570498</v>
      </c>
      <c r="L86" s="29">
        <f>E86*'Res PW'!$B$7</f>
        <v>3.0259590287330713</v>
      </c>
      <c r="M86" s="29">
        <f>F86*'Res PW'!$B$8</f>
        <v>0</v>
      </c>
      <c r="N86" s="29">
        <f>G86*'Res PW'!$B$9</f>
        <v>-3.7861535466085026</v>
      </c>
      <c r="O86" s="163">
        <f>H86*'Res PW'!$B$10</f>
        <v>29.272293057473355</v>
      </c>
      <c r="P86" s="29">
        <f>I86*'Res PW'!$B$11</f>
        <v>0</v>
      </c>
      <c r="Q86" s="44">
        <f>'Monthly Data'!F86</f>
        <v>60357</v>
      </c>
      <c r="R86" s="46">
        <f>'Monthly Data'!BH86</f>
        <v>31</v>
      </c>
      <c r="S86" s="158">
        <f t="shared" si="11"/>
        <v>45049552.235722549</v>
      </c>
      <c r="T86" s="44">
        <f t="shared" si="9"/>
        <v>-463827.19345004857</v>
      </c>
      <c r="U86" s="48">
        <f t="shared" si="10"/>
        <v>1.0191007551347647E-2</v>
      </c>
    </row>
    <row r="87" spans="1:21" x14ac:dyDescent="0.2">
      <c r="A87" s="45">
        <f>'Monthly Data'!A87</f>
        <v>42767</v>
      </c>
      <c r="B87" s="29">
        <f t="shared" si="7"/>
        <v>2017</v>
      </c>
      <c r="C87" s="29">
        <f t="shared" si="8"/>
        <v>2</v>
      </c>
      <c r="D87" s="158">
        <f>'Monthly Data'!E87</f>
        <v>39003386.429172598</v>
      </c>
      <c r="E87" s="46">
        <f>'Monthly Data'!AL87</f>
        <v>303.19999999999993</v>
      </c>
      <c r="F87" s="46">
        <f>'Monthly Data'!AK87</f>
        <v>0</v>
      </c>
      <c r="G87" s="29">
        <f>'Monthly Data'!BG87</f>
        <v>86</v>
      </c>
      <c r="H87" s="29">
        <f>'Monthly Data'!W87</f>
        <v>7060.7</v>
      </c>
      <c r="I87" s="29">
        <f>'Monthly Data'!BF87</f>
        <v>0</v>
      </c>
      <c r="K87" s="29">
        <f>'Res PW'!$B$6</f>
        <v>-4.4351669087570498</v>
      </c>
      <c r="L87" s="29">
        <f>E87*'Res PW'!$B$7</f>
        <v>2.3979894864397986</v>
      </c>
      <c r="M87" s="29">
        <f>F87*'Res PW'!$B$8</f>
        <v>0</v>
      </c>
      <c r="N87" s="29">
        <f>G87*'Res PW'!$B$9</f>
        <v>-3.8306965295097788</v>
      </c>
      <c r="O87" s="163">
        <f>H87*'Res PW'!$B$10</f>
        <v>29.335028896176635</v>
      </c>
      <c r="P87" s="29">
        <f>I87*'Res PW'!$B$11</f>
        <v>0</v>
      </c>
      <c r="Q87" s="44">
        <f>'Monthly Data'!F87</f>
        <v>60440</v>
      </c>
      <c r="R87" s="46">
        <f>'Monthly Data'!BH87</f>
        <v>28</v>
      </c>
      <c r="S87" s="158">
        <f t="shared" si="11"/>
        <v>39713935.655421726</v>
      </c>
      <c r="T87" s="44">
        <f t="shared" si="9"/>
        <v>710549.22624912858</v>
      </c>
      <c r="U87" s="48">
        <f t="shared" si="10"/>
        <v>1.8217629065092486E-2</v>
      </c>
    </row>
    <row r="88" spans="1:21" x14ac:dyDescent="0.2">
      <c r="A88" s="45">
        <f>'Monthly Data'!A88</f>
        <v>42795</v>
      </c>
      <c r="B88" s="29">
        <f t="shared" si="7"/>
        <v>2017</v>
      </c>
      <c r="C88" s="29">
        <f t="shared" si="8"/>
        <v>3</v>
      </c>
      <c r="D88" s="158">
        <f>'Monthly Data'!E88</f>
        <v>40659453.429172598</v>
      </c>
      <c r="E88" s="46">
        <f>'Monthly Data'!AL88</f>
        <v>355.20000000000005</v>
      </c>
      <c r="F88" s="46">
        <f>'Monthly Data'!AK88</f>
        <v>0</v>
      </c>
      <c r="G88" s="29">
        <f>'Monthly Data'!BG88</f>
        <v>87</v>
      </c>
      <c r="H88" s="29">
        <f>'Monthly Data'!W88</f>
        <v>7074.2</v>
      </c>
      <c r="I88" s="29">
        <f>'Monthly Data'!BF88</f>
        <v>1</v>
      </c>
      <c r="K88" s="29">
        <f>'Res PW'!$B$6</f>
        <v>-4.4351669087570498</v>
      </c>
      <c r="L88" s="29">
        <f>E88*'Res PW'!$B$7</f>
        <v>2.8092541740877861</v>
      </c>
      <c r="M88" s="29">
        <f>F88*'Res PW'!$B$8</f>
        <v>0</v>
      </c>
      <c r="N88" s="29">
        <f>G88*'Res PW'!$B$9</f>
        <v>-3.8752395124110555</v>
      </c>
      <c r="O88" s="163">
        <f>H88*'Res PW'!$B$10</f>
        <v>29.391117228792151</v>
      </c>
      <c r="P88" s="29">
        <f>I88*'Res PW'!$B$11</f>
        <v>-1.18560218277844</v>
      </c>
      <c r="Q88" s="44">
        <f>'Monthly Data'!F88</f>
        <v>60475</v>
      </c>
      <c r="R88" s="46">
        <f>'Monthly Data'!BH88</f>
        <v>31</v>
      </c>
      <c r="S88" s="158">
        <f t="shared" si="11"/>
        <v>42564436.548230402</v>
      </c>
      <c r="T88" s="44">
        <f t="shared" si="9"/>
        <v>1904983.1190578043</v>
      </c>
      <c r="U88" s="48">
        <f t="shared" si="10"/>
        <v>4.6852157576988115E-2</v>
      </c>
    </row>
    <row r="89" spans="1:21" x14ac:dyDescent="0.2">
      <c r="A89" s="45">
        <f>'Monthly Data'!A89</f>
        <v>42826</v>
      </c>
      <c r="B89" s="29">
        <f t="shared" si="7"/>
        <v>2017</v>
      </c>
      <c r="C89" s="29">
        <f t="shared" si="8"/>
        <v>4</v>
      </c>
      <c r="D89" s="158">
        <f>'Monthly Data'!E89</f>
        <v>36365950.429172598</v>
      </c>
      <c r="E89" s="46">
        <f>'Monthly Data'!AL89</f>
        <v>107.10000000000002</v>
      </c>
      <c r="F89" s="46">
        <f>'Monthly Data'!AK89</f>
        <v>4.6999999999999993</v>
      </c>
      <c r="G89" s="29">
        <f>'Monthly Data'!BG89</f>
        <v>88</v>
      </c>
      <c r="H89" s="29">
        <f>'Monthly Data'!W89</f>
        <v>7074.8</v>
      </c>
      <c r="I89" s="29">
        <f>'Monthly Data'!BF89</f>
        <v>1</v>
      </c>
      <c r="K89" s="29">
        <f>'Res PW'!$B$6</f>
        <v>-4.4351669087570498</v>
      </c>
      <c r="L89" s="29">
        <f>E89*'Res PW'!$B$7</f>
        <v>0.84704707782883415</v>
      </c>
      <c r="M89" s="29">
        <f>F89*'Res PW'!$B$8</f>
        <v>0.18209257163878986</v>
      </c>
      <c r="N89" s="29">
        <f>G89*'Res PW'!$B$9</f>
        <v>-3.9197824953123321</v>
      </c>
      <c r="O89" s="163">
        <f>H89*'Res PW'!$B$10</f>
        <v>29.393610043575066</v>
      </c>
      <c r="P89" s="29">
        <f>I89*'Res PW'!$B$11</f>
        <v>-1.18560218277844</v>
      </c>
      <c r="Q89" s="44">
        <f>'Monthly Data'!F89</f>
        <v>60471</v>
      </c>
      <c r="R89" s="46">
        <f>'Monthly Data'!BH89</f>
        <v>30</v>
      </c>
      <c r="S89" s="158">
        <f t="shared" si="11"/>
        <v>37883022.050391302</v>
      </c>
      <c r="T89" s="44">
        <f t="shared" si="9"/>
        <v>1517071.6212187037</v>
      </c>
      <c r="U89" s="48">
        <f t="shared" si="10"/>
        <v>4.1716814858816828E-2</v>
      </c>
    </row>
    <row r="90" spans="1:21" x14ac:dyDescent="0.2">
      <c r="A90" s="45">
        <f>'Monthly Data'!A90</f>
        <v>42856</v>
      </c>
      <c r="B90" s="29">
        <f t="shared" si="7"/>
        <v>2017</v>
      </c>
      <c r="C90" s="29">
        <f t="shared" si="8"/>
        <v>5</v>
      </c>
      <c r="D90" s="158">
        <f>'Monthly Data'!E90</f>
        <v>39252711.429172598</v>
      </c>
      <c r="E90" s="46">
        <f>'Monthly Data'!AL90</f>
        <v>57.899999999999991</v>
      </c>
      <c r="F90" s="46">
        <f>'Monthly Data'!AK90</f>
        <v>29.9</v>
      </c>
      <c r="G90" s="29">
        <f>'Monthly Data'!BG90</f>
        <v>89</v>
      </c>
      <c r="H90" s="29">
        <f>'Monthly Data'!W90</f>
        <v>7080.7</v>
      </c>
      <c r="I90" s="29">
        <f>'Monthly Data'!BF90</f>
        <v>1</v>
      </c>
      <c r="K90" s="29">
        <f>'Res PW'!$B$6</f>
        <v>-4.4351669087570498</v>
      </c>
      <c r="L90" s="29">
        <f>E90*'Res PW'!$B$7</f>
        <v>0.45792741182343122</v>
      </c>
      <c r="M90" s="29">
        <f>F90*'Res PW'!$B$8</f>
        <v>1.1584187004254931</v>
      </c>
      <c r="N90" s="29">
        <f>G90*'Res PW'!$B$9</f>
        <v>-3.9643254782136084</v>
      </c>
      <c r="O90" s="163">
        <f>H90*'Res PW'!$B$10</f>
        <v>29.418122722273697</v>
      </c>
      <c r="P90" s="29">
        <f>I90*'Res PW'!$B$11</f>
        <v>-1.18560218277844</v>
      </c>
      <c r="Q90" s="44">
        <f>'Monthly Data'!F90</f>
        <v>60529</v>
      </c>
      <c r="R90" s="46">
        <f>'Monthly Data'!BH90</f>
        <v>31</v>
      </c>
      <c r="S90" s="158">
        <f t="shared" si="11"/>
        <v>40247584.421046779</v>
      </c>
      <c r="T90" s="44">
        <f t="shared" si="9"/>
        <v>994872.99187418073</v>
      </c>
      <c r="U90" s="48">
        <f t="shared" si="10"/>
        <v>2.5345331714710328E-2</v>
      </c>
    </row>
    <row r="91" spans="1:21" x14ac:dyDescent="0.2">
      <c r="A91" s="45">
        <f>'Monthly Data'!A91</f>
        <v>42887</v>
      </c>
      <c r="B91" s="29">
        <f t="shared" si="7"/>
        <v>2017</v>
      </c>
      <c r="C91" s="29">
        <f t="shared" si="8"/>
        <v>6</v>
      </c>
      <c r="D91" s="158">
        <f>'Monthly Data'!E91</f>
        <v>47628949.429172598</v>
      </c>
      <c r="E91" s="46">
        <f>'Monthly Data'!AL91</f>
        <v>0</v>
      </c>
      <c r="F91" s="46">
        <f>'Monthly Data'!AK91</f>
        <v>159.10000000000002</v>
      </c>
      <c r="G91" s="29">
        <f>'Monthly Data'!BG91</f>
        <v>90</v>
      </c>
      <c r="H91" s="29">
        <f>'Monthly Data'!W91</f>
        <v>7085.4</v>
      </c>
      <c r="I91" s="29">
        <f>'Monthly Data'!BF91</f>
        <v>0</v>
      </c>
      <c r="K91" s="29">
        <f>'Res PW'!$B$6</f>
        <v>-4.4351669087570498</v>
      </c>
      <c r="L91" s="29">
        <f>E91*'Res PW'!$B$7</f>
        <v>0</v>
      </c>
      <c r="M91" s="29">
        <f>F91*'Res PW'!$B$8</f>
        <v>6.1640272654747816</v>
      </c>
      <c r="N91" s="29">
        <f>G91*'Res PW'!$B$9</f>
        <v>-4.0088684611148846</v>
      </c>
      <c r="O91" s="163">
        <f>H91*'Res PW'!$B$10</f>
        <v>29.437649771406509</v>
      </c>
      <c r="P91" s="29">
        <f>I91*'Res PW'!$B$11</f>
        <v>0</v>
      </c>
      <c r="Q91" s="44">
        <f>'Monthly Data'!F91</f>
        <v>60518</v>
      </c>
      <c r="R91" s="46">
        <f>'Monthly Data'!BH91</f>
        <v>30</v>
      </c>
      <c r="S91" s="158">
        <f t="shared" si="11"/>
        <v>49305784.752122171</v>
      </c>
      <c r="T91" s="44">
        <f t="shared" si="9"/>
        <v>1676835.3229495734</v>
      </c>
      <c r="U91" s="48">
        <f t="shared" si="10"/>
        <v>3.5206221070299665E-2</v>
      </c>
    </row>
    <row r="92" spans="1:21" x14ac:dyDescent="0.2">
      <c r="A92" s="45">
        <f>'Monthly Data'!A92</f>
        <v>42917</v>
      </c>
      <c r="B92" s="29">
        <f t="shared" si="7"/>
        <v>2017</v>
      </c>
      <c r="C92" s="29">
        <f t="shared" si="8"/>
        <v>7</v>
      </c>
      <c r="D92" s="158">
        <f>'Monthly Data'!E92</f>
        <v>55795384.429172598</v>
      </c>
      <c r="E92" s="46">
        <f>'Monthly Data'!AL92</f>
        <v>0</v>
      </c>
      <c r="F92" s="46">
        <f>'Monthly Data'!AK92</f>
        <v>237.5</v>
      </c>
      <c r="G92" s="29">
        <f>'Monthly Data'!BG92</f>
        <v>91</v>
      </c>
      <c r="H92" s="29">
        <f>'Monthly Data'!W92</f>
        <v>7099.9</v>
      </c>
      <c r="I92" s="29">
        <f>'Monthly Data'!BF92</f>
        <v>0</v>
      </c>
      <c r="K92" s="29">
        <f>'Res PW'!$B$6</f>
        <v>-4.4351669087570498</v>
      </c>
      <c r="L92" s="29">
        <f>E92*'Res PW'!$B$7</f>
        <v>0</v>
      </c>
      <c r="M92" s="29">
        <f>F92*'Res PW'!$B$8</f>
        <v>9.2014863328111911</v>
      </c>
      <c r="N92" s="29">
        <f>G92*'Res PW'!$B$9</f>
        <v>-4.0534114440161613</v>
      </c>
      <c r="O92" s="163">
        <f>H92*'Res PW'!$B$10</f>
        <v>29.497892795326877</v>
      </c>
      <c r="P92" s="29">
        <f>I92*'Res PW'!$B$11</f>
        <v>0</v>
      </c>
      <c r="Q92" s="44">
        <f>'Monthly Data'!F92</f>
        <v>60509</v>
      </c>
      <c r="R92" s="46">
        <f>'Monthly Data'!BH92</f>
        <v>31</v>
      </c>
      <c r="S92" s="158">
        <f t="shared" si="11"/>
        <v>56668785.667613111</v>
      </c>
      <c r="T92" s="44">
        <f t="shared" si="9"/>
        <v>873401.23844051361</v>
      </c>
      <c r="U92" s="48">
        <f t="shared" si="10"/>
        <v>1.5653646755480657E-2</v>
      </c>
    </row>
    <row r="93" spans="1:21" x14ac:dyDescent="0.2">
      <c r="A93" s="45">
        <f>'Monthly Data'!A93</f>
        <v>42948</v>
      </c>
      <c r="B93" s="29">
        <f t="shared" si="7"/>
        <v>2017</v>
      </c>
      <c r="C93" s="29">
        <f t="shared" si="8"/>
        <v>8</v>
      </c>
      <c r="D93" s="158">
        <f>'Monthly Data'!E93</f>
        <v>52455350.429172598</v>
      </c>
      <c r="E93" s="46">
        <f>'Monthly Data'!AL93</f>
        <v>0</v>
      </c>
      <c r="F93" s="46">
        <f>'Monthly Data'!AK93</f>
        <v>202.19999999999996</v>
      </c>
      <c r="G93" s="29">
        <f>'Monthly Data'!BG93</f>
        <v>92</v>
      </c>
      <c r="H93" s="29">
        <f>'Monthly Data'!W93</f>
        <v>7121.3</v>
      </c>
      <c r="I93" s="29">
        <f>'Monthly Data'!BF93</f>
        <v>0</v>
      </c>
      <c r="K93" s="29">
        <f>'Res PW'!$B$6</f>
        <v>-4.4351669087570498</v>
      </c>
      <c r="L93" s="29">
        <f>E93*'Res PW'!$B$7</f>
        <v>0</v>
      </c>
      <c r="M93" s="29">
        <f>F93*'Res PW'!$B$8</f>
        <v>7.8338548905028311</v>
      </c>
      <c r="N93" s="29">
        <f>G93*'Res PW'!$B$9</f>
        <v>-4.0979544269174379</v>
      </c>
      <c r="O93" s="163">
        <f>H93*'Res PW'!$B$10</f>
        <v>29.586803189250737</v>
      </c>
      <c r="P93" s="29">
        <f>I93*'Res PW'!$B$11</f>
        <v>0</v>
      </c>
      <c r="Q93" s="44">
        <f>'Monthly Data'!F93</f>
        <v>60503</v>
      </c>
      <c r="R93" s="46">
        <f>'Monthly Data'!BH93</f>
        <v>31</v>
      </c>
      <c r="S93" s="158">
        <f t="shared" si="11"/>
        <v>54181261.704437517</v>
      </c>
      <c r="T93" s="44">
        <f t="shared" si="9"/>
        <v>1725911.2752649188</v>
      </c>
      <c r="U93" s="48">
        <f t="shared" si="10"/>
        <v>3.290248299065919E-2</v>
      </c>
    </row>
    <row r="94" spans="1:21" x14ac:dyDescent="0.2">
      <c r="A94" s="45">
        <f>'Monthly Data'!A94</f>
        <v>42979</v>
      </c>
      <c r="B94" s="29">
        <f t="shared" si="7"/>
        <v>2017</v>
      </c>
      <c r="C94" s="29">
        <f t="shared" si="8"/>
        <v>9</v>
      </c>
      <c r="D94" s="158">
        <f>'Monthly Data'!E94</f>
        <v>45869313.429172598</v>
      </c>
      <c r="E94" s="46">
        <f>'Monthly Data'!AL94</f>
        <v>1</v>
      </c>
      <c r="F94" s="46">
        <f>'Monthly Data'!AK94</f>
        <v>142.4</v>
      </c>
      <c r="G94" s="29">
        <f>'Monthly Data'!BG94</f>
        <v>93</v>
      </c>
      <c r="H94" s="29">
        <f>'Monthly Data'!W94</f>
        <v>7150.1</v>
      </c>
      <c r="I94" s="29">
        <f>'Monthly Data'!BF94</f>
        <v>1</v>
      </c>
      <c r="K94" s="29">
        <f>'Res PW'!$B$6</f>
        <v>-4.4351669087570498</v>
      </c>
      <c r="L94" s="29">
        <f>E94*'Res PW'!$B$7</f>
        <v>7.9089363009228197E-3</v>
      </c>
      <c r="M94" s="29">
        <f>F94*'Res PW'!$B$8</f>
        <v>5.5170174896518471</v>
      </c>
      <c r="N94" s="29">
        <f>G94*'Res PW'!$B$9</f>
        <v>-4.1424974098187146</v>
      </c>
      <c r="O94" s="163">
        <f>H94*'Res PW'!$B$10</f>
        <v>29.706458298830508</v>
      </c>
      <c r="P94" s="29">
        <f>I94*'Res PW'!$B$11</f>
        <v>-1.18560218277844</v>
      </c>
      <c r="Q94" s="44">
        <f>'Monthly Data'!F94</f>
        <v>60533</v>
      </c>
      <c r="R94" s="46">
        <f>'Monthly Data'!BH94</f>
        <v>30</v>
      </c>
      <c r="S94" s="158">
        <f t="shared" si="11"/>
        <v>46249848.012564957</v>
      </c>
      <c r="T94" s="44">
        <f t="shared" si="9"/>
        <v>380534.58339235932</v>
      </c>
      <c r="U94" s="48">
        <f t="shared" si="10"/>
        <v>8.2960601531555014E-3</v>
      </c>
    </row>
    <row r="95" spans="1:21" x14ac:dyDescent="0.2">
      <c r="A95" s="45">
        <f>'Monthly Data'!A95</f>
        <v>43009</v>
      </c>
      <c r="B95" s="29">
        <f t="shared" si="7"/>
        <v>2017</v>
      </c>
      <c r="C95" s="29">
        <f t="shared" si="8"/>
        <v>10</v>
      </c>
      <c r="D95" s="158">
        <f>'Monthly Data'!E95</f>
        <v>41241719.429172598</v>
      </c>
      <c r="E95" s="46">
        <f>'Monthly Data'!AL95</f>
        <v>26.3</v>
      </c>
      <c r="F95" s="46">
        <f>'Monthly Data'!AK95</f>
        <v>67.900000000000006</v>
      </c>
      <c r="G95" s="29">
        <f>'Monthly Data'!BG95</f>
        <v>94</v>
      </c>
      <c r="H95" s="29">
        <f>'Monthly Data'!W95</f>
        <v>7170.5</v>
      </c>
      <c r="I95" s="29">
        <f>'Monthly Data'!BF95</f>
        <v>1</v>
      </c>
      <c r="K95" s="29">
        <f>'Res PW'!$B$6</f>
        <v>-4.4351669087570498</v>
      </c>
      <c r="L95" s="29">
        <f>E95*'Res PW'!$B$7</f>
        <v>0.20800502471427015</v>
      </c>
      <c r="M95" s="29">
        <f>F95*'Res PW'!$B$8</f>
        <v>2.6306565136752837</v>
      </c>
      <c r="N95" s="29">
        <f>G95*'Res PW'!$B$9</f>
        <v>-4.1870403927199913</v>
      </c>
      <c r="O95" s="163">
        <f>H95*'Res PW'!$B$10</f>
        <v>29.791214001449511</v>
      </c>
      <c r="P95" s="29">
        <f>I95*'Res PW'!$B$11</f>
        <v>-1.18560218277844</v>
      </c>
      <c r="Q95" s="44">
        <f>'Monthly Data'!F95</f>
        <v>60537</v>
      </c>
      <c r="R95" s="46">
        <f>'Monthly Data'!BH95</f>
        <v>31</v>
      </c>
      <c r="S95" s="158">
        <f t="shared" si="11"/>
        <v>42828961.797012761</v>
      </c>
      <c r="T95" s="44">
        <f t="shared" si="9"/>
        <v>1587242.3678401634</v>
      </c>
      <c r="U95" s="48">
        <f t="shared" si="10"/>
        <v>3.8486328645100508E-2</v>
      </c>
    </row>
    <row r="96" spans="1:21" x14ac:dyDescent="0.2">
      <c r="A96" s="45">
        <f>'Monthly Data'!A96</f>
        <v>43040</v>
      </c>
      <c r="B96" s="29">
        <f t="shared" si="7"/>
        <v>2017</v>
      </c>
      <c r="C96" s="29">
        <f t="shared" si="8"/>
        <v>11</v>
      </c>
      <c r="D96" s="158">
        <f>'Monthly Data'!E96</f>
        <v>39186241.429172598</v>
      </c>
      <c r="E96" s="46">
        <f>'Monthly Data'!AL96</f>
        <v>208.10000000000005</v>
      </c>
      <c r="F96" s="46">
        <f>'Monthly Data'!AK96</f>
        <v>0</v>
      </c>
      <c r="G96" s="29">
        <f>'Monthly Data'!BG96</f>
        <v>95</v>
      </c>
      <c r="H96" s="29">
        <f>'Monthly Data'!W96</f>
        <v>7189.6</v>
      </c>
      <c r="I96" s="29">
        <f>'Monthly Data'!BF96</f>
        <v>1</v>
      </c>
      <c r="K96" s="29">
        <f>'Res PW'!$B$6</f>
        <v>-4.4351669087570498</v>
      </c>
      <c r="L96" s="29">
        <f>E96*'Res PW'!$B$7</f>
        <v>1.6458496442220392</v>
      </c>
      <c r="M96" s="29">
        <f>F96*'Res PW'!$B$8</f>
        <v>0</v>
      </c>
      <c r="N96" s="29">
        <f>G96*'Res PW'!$B$9</f>
        <v>-4.2315833756212671</v>
      </c>
      <c r="O96" s="163">
        <f>H96*'Res PW'!$B$10</f>
        <v>29.87056860537221</v>
      </c>
      <c r="P96" s="29">
        <f>I96*'Res PW'!$B$11</f>
        <v>-1.18560218277844</v>
      </c>
      <c r="Q96" s="44">
        <f>'Monthly Data'!F96</f>
        <v>60558</v>
      </c>
      <c r="R96" s="46">
        <f>'Monthly Data'!BH96</f>
        <v>30</v>
      </c>
      <c r="S96" s="158">
        <f t="shared" si="11"/>
        <v>39357974.869585492</v>
      </c>
      <c r="T96" s="44">
        <f t="shared" si="9"/>
        <v>171733.44041289389</v>
      </c>
      <c r="U96" s="48">
        <f t="shared" si="10"/>
        <v>4.3824932973807783E-3</v>
      </c>
    </row>
    <row r="97" spans="1:21" x14ac:dyDescent="0.2">
      <c r="A97" s="45">
        <f>'Monthly Data'!A97</f>
        <v>43070</v>
      </c>
      <c r="B97" s="29">
        <f t="shared" si="7"/>
        <v>2017</v>
      </c>
      <c r="C97" s="29">
        <f t="shared" si="8"/>
        <v>12</v>
      </c>
      <c r="D97" s="158">
        <f>'Monthly Data'!E97</f>
        <v>47203108.429172598</v>
      </c>
      <c r="E97" s="46">
        <f>'Monthly Data'!AL97</f>
        <v>463.20000000000005</v>
      </c>
      <c r="F97" s="46">
        <f>'Monthly Data'!AK97</f>
        <v>0</v>
      </c>
      <c r="G97" s="29">
        <f>'Monthly Data'!BG97</f>
        <v>96</v>
      </c>
      <c r="H97" s="29">
        <f>'Monthly Data'!W97</f>
        <v>7203.1</v>
      </c>
      <c r="I97" s="29">
        <f>'Monthly Data'!BF97</f>
        <v>0</v>
      </c>
      <c r="K97" s="29">
        <f>'Res PW'!$B$6</f>
        <v>-4.4351669087570498</v>
      </c>
      <c r="L97" s="29">
        <f>E97*'Res PW'!$B$7</f>
        <v>3.6634192945874506</v>
      </c>
      <c r="M97" s="29">
        <f>F97*'Res PW'!$B$8</f>
        <v>0</v>
      </c>
      <c r="N97" s="29">
        <f>G97*'Res PW'!$B$9</f>
        <v>-4.2761263585225437</v>
      </c>
      <c r="O97" s="163">
        <f>H97*'Res PW'!$B$10</f>
        <v>29.926656937987726</v>
      </c>
      <c r="P97" s="29">
        <f>I97*'Res PW'!$B$11</f>
        <v>0</v>
      </c>
      <c r="Q97" s="44">
        <f>'Monthly Data'!F97</f>
        <v>60594</v>
      </c>
      <c r="R97" s="46">
        <f>'Monthly Data'!BH97</f>
        <v>31</v>
      </c>
      <c r="S97" s="158">
        <f t="shared" si="11"/>
        <v>46732654.22497274</v>
      </c>
      <c r="T97" s="44">
        <f t="shared" si="9"/>
        <v>-470454.20419985801</v>
      </c>
      <c r="U97" s="48">
        <f t="shared" si="10"/>
        <v>9.9665937234995009E-3</v>
      </c>
    </row>
    <row r="98" spans="1:21" x14ac:dyDescent="0.2">
      <c r="A98" s="45">
        <f>'Monthly Data'!A98</f>
        <v>43101</v>
      </c>
      <c r="B98" s="29">
        <f t="shared" si="7"/>
        <v>2018</v>
      </c>
      <c r="C98" s="29">
        <f t="shared" si="8"/>
        <v>1</v>
      </c>
      <c r="D98" s="158">
        <f>'Monthly Data'!E98</f>
        <v>48558249.221446835</v>
      </c>
      <c r="E98" s="46">
        <f>'Monthly Data'!AL98</f>
        <v>494.3</v>
      </c>
      <c r="F98" s="46">
        <f>'Monthly Data'!AK98</f>
        <v>0</v>
      </c>
      <c r="G98" s="29">
        <f>'Monthly Data'!BG98</f>
        <v>97</v>
      </c>
      <c r="H98" s="29">
        <f>'Monthly Data'!W98</f>
        <v>7199.8</v>
      </c>
      <c r="I98" s="29">
        <f>'Monthly Data'!BF98</f>
        <v>0</v>
      </c>
      <c r="K98" s="29">
        <f>'Res PW'!$B$6</f>
        <v>-4.4351669087570498</v>
      </c>
      <c r="L98" s="29">
        <f>E98*'Res PW'!$B$7</f>
        <v>3.9093872135461498</v>
      </c>
      <c r="M98" s="29">
        <f>F98*'Res PW'!$B$8</f>
        <v>0</v>
      </c>
      <c r="N98" s="29">
        <f>G98*'Res PW'!$B$9</f>
        <v>-4.3206693414238204</v>
      </c>
      <c r="O98" s="163">
        <f>H98*'Res PW'!$B$10</f>
        <v>29.912946456681709</v>
      </c>
      <c r="P98" s="29">
        <f>I98*'Res PW'!$B$11</f>
        <v>0</v>
      </c>
      <c r="Q98" s="44">
        <f>'Monthly Data'!F98</f>
        <v>60779</v>
      </c>
      <c r="R98" s="46">
        <f>'Monthly Data'!BH98</f>
        <v>31</v>
      </c>
      <c r="S98" s="158">
        <f t="shared" si="11"/>
        <v>47229016.047484115</v>
      </c>
      <c r="T98" s="44">
        <f t="shared" ref="T98:T121" si="12">S98-D98</f>
        <v>-1329233.1739627197</v>
      </c>
      <c r="U98" s="48">
        <f t="shared" ref="U98:U121" si="13">ABS(T98/D98)</f>
        <v>2.7373992993463079E-2</v>
      </c>
    </row>
    <row r="99" spans="1:21" x14ac:dyDescent="0.2">
      <c r="A99" s="45">
        <f>'Monthly Data'!A99</f>
        <v>43132</v>
      </c>
      <c r="B99" s="29">
        <f t="shared" si="7"/>
        <v>2018</v>
      </c>
      <c r="C99" s="29">
        <f t="shared" si="8"/>
        <v>2</v>
      </c>
      <c r="D99" s="158">
        <f>'Monthly Data'!E99</f>
        <v>40484738.221446835</v>
      </c>
      <c r="E99" s="46">
        <f>'Monthly Data'!AL99</f>
        <v>344.10000000000008</v>
      </c>
      <c r="F99" s="46">
        <f>'Monthly Data'!AK99</f>
        <v>0</v>
      </c>
      <c r="G99" s="29">
        <f>'Monthly Data'!BG99</f>
        <v>98</v>
      </c>
      <c r="H99" s="29">
        <f>'Monthly Data'!W99</f>
        <v>7189.2</v>
      </c>
      <c r="I99" s="29">
        <f>'Monthly Data'!BF99</f>
        <v>0</v>
      </c>
      <c r="K99" s="29">
        <f>'Res PW'!$B$6</f>
        <v>-4.4351669087570498</v>
      </c>
      <c r="L99" s="29">
        <f>E99*'Res PW'!$B$7</f>
        <v>2.7214649811475429</v>
      </c>
      <c r="M99" s="29">
        <f>F99*'Res PW'!$B$8</f>
        <v>0</v>
      </c>
      <c r="N99" s="29">
        <f>G99*'Res PW'!$B$9</f>
        <v>-4.3652123243250971</v>
      </c>
      <c r="O99" s="163">
        <f>H99*'Res PW'!$B$10</f>
        <v>29.868906728850266</v>
      </c>
      <c r="P99" s="29">
        <f>I99*'Res PW'!$B$11</f>
        <v>0</v>
      </c>
      <c r="Q99" s="44">
        <f>'Monthly Data'!F99</f>
        <v>60797</v>
      </c>
      <c r="R99" s="46">
        <f>'Monthly Data'!BH99</f>
        <v>28</v>
      </c>
      <c r="S99" s="158">
        <f t="shared" si="11"/>
        <v>40498084.833333164</v>
      </c>
      <c r="T99" s="44">
        <f t="shared" si="12"/>
        <v>13346.611886329949</v>
      </c>
      <c r="U99" s="48">
        <f t="shared" si="13"/>
        <v>3.2967020345606597E-4</v>
      </c>
    </row>
    <row r="100" spans="1:21" x14ac:dyDescent="0.2">
      <c r="A100" s="45">
        <f>'Monthly Data'!A100</f>
        <v>43160</v>
      </c>
      <c r="B100" s="29">
        <f t="shared" si="7"/>
        <v>2018</v>
      </c>
      <c r="C100" s="29">
        <f t="shared" si="8"/>
        <v>3</v>
      </c>
      <c r="D100" s="158">
        <f>'Monthly Data'!E100</f>
        <v>41820516.221446835</v>
      </c>
      <c r="E100" s="46">
        <f>'Monthly Data'!AL100</f>
        <v>347.89999999999986</v>
      </c>
      <c r="F100" s="46">
        <f>'Monthly Data'!AK100</f>
        <v>0</v>
      </c>
      <c r="G100" s="29">
        <f>'Monthly Data'!BG100</f>
        <v>99</v>
      </c>
      <c r="H100" s="29">
        <f>'Monthly Data'!W100</f>
        <v>7185</v>
      </c>
      <c r="I100" s="29">
        <f>'Monthly Data'!BF100</f>
        <v>1</v>
      </c>
      <c r="K100" s="29">
        <f>'Res PW'!$B$6</f>
        <v>-4.4351669087570498</v>
      </c>
      <c r="L100" s="29">
        <f>E100*'Res PW'!$B$7</f>
        <v>2.7515189390910479</v>
      </c>
      <c r="M100" s="29">
        <f>F100*'Res PW'!$B$8</f>
        <v>0</v>
      </c>
      <c r="N100" s="29">
        <f>G100*'Res PW'!$B$9</f>
        <v>-4.4097553072263738</v>
      </c>
      <c r="O100" s="163">
        <f>H100*'Res PW'!$B$10</f>
        <v>29.851457025369882</v>
      </c>
      <c r="P100" s="29">
        <f>I100*'Res PW'!$B$11</f>
        <v>-1.18560218277844</v>
      </c>
      <c r="Q100" s="44">
        <f>'Monthly Data'!F100</f>
        <v>60798</v>
      </c>
      <c r="R100" s="46">
        <f>'Monthly Data'!BH100</f>
        <v>31</v>
      </c>
      <c r="S100" s="158">
        <f t="shared" si="11"/>
        <v>42543157.219032526</v>
      </c>
      <c r="T100" s="44">
        <f t="shared" si="12"/>
        <v>722640.99758569151</v>
      </c>
      <c r="U100" s="48">
        <f t="shared" si="13"/>
        <v>1.7279581001802633E-2</v>
      </c>
    </row>
    <row r="101" spans="1:21" x14ac:dyDescent="0.2">
      <c r="A101" s="45">
        <f>'Monthly Data'!A101</f>
        <v>43191</v>
      </c>
      <c r="B101" s="29">
        <f t="shared" si="7"/>
        <v>2018</v>
      </c>
      <c r="C101" s="29">
        <f t="shared" si="8"/>
        <v>4</v>
      </c>
      <c r="D101" s="158">
        <f>'Monthly Data'!E101</f>
        <v>38864052.221446835</v>
      </c>
      <c r="E101" s="46">
        <f>'Monthly Data'!AL101</f>
        <v>239.3</v>
      </c>
      <c r="F101" s="46">
        <f>'Monthly Data'!AK101</f>
        <v>0</v>
      </c>
      <c r="G101" s="29">
        <f>'Monthly Data'!BG101</f>
        <v>100</v>
      </c>
      <c r="H101" s="29">
        <f>'Monthly Data'!W101</f>
        <v>7198.2</v>
      </c>
      <c r="I101" s="29">
        <f>'Monthly Data'!BF101</f>
        <v>1</v>
      </c>
      <c r="K101" s="29">
        <f>'Res PW'!$B$6</f>
        <v>-4.4351669087570498</v>
      </c>
      <c r="L101" s="29">
        <f>E101*'Res PW'!$B$7</f>
        <v>1.8926084568108308</v>
      </c>
      <c r="M101" s="29">
        <f>F101*'Res PW'!$B$8</f>
        <v>0</v>
      </c>
      <c r="N101" s="29">
        <f>G101*'Res PW'!$B$9</f>
        <v>-4.4542982901276496</v>
      </c>
      <c r="O101" s="163">
        <f>H101*'Res PW'!$B$10</f>
        <v>29.906298950593943</v>
      </c>
      <c r="P101" s="29">
        <f>I101*'Res PW'!$B$11</f>
        <v>-1.18560218277844</v>
      </c>
      <c r="Q101" s="44">
        <f>'Monthly Data'!F101</f>
        <v>60792</v>
      </c>
      <c r="R101" s="46">
        <f>'Monthly Data'!BH101</f>
        <v>30</v>
      </c>
      <c r="S101" s="158">
        <f t="shared" si="11"/>
        <v>39619070.485346563</v>
      </c>
      <c r="T101" s="44">
        <f t="shared" si="12"/>
        <v>755018.26389972866</v>
      </c>
      <c r="U101" s="48">
        <f t="shared" si="13"/>
        <v>1.942716265400337E-2</v>
      </c>
    </row>
    <row r="102" spans="1:21" x14ac:dyDescent="0.2">
      <c r="A102" s="45">
        <f>'Monthly Data'!A102</f>
        <v>43221</v>
      </c>
      <c r="B102" s="29">
        <f t="shared" si="7"/>
        <v>2018</v>
      </c>
      <c r="C102" s="29">
        <f t="shared" si="8"/>
        <v>5</v>
      </c>
      <c r="D102" s="158">
        <f>'Monthly Data'!E102</f>
        <v>41888482.221446835</v>
      </c>
      <c r="E102" s="46">
        <f>'Monthly Data'!AL102</f>
        <v>25.199999999999996</v>
      </c>
      <c r="F102" s="46">
        <f>'Monthly Data'!AK102</f>
        <v>74.999999999999986</v>
      </c>
      <c r="G102" s="29">
        <f>'Monthly Data'!BG102</f>
        <v>101</v>
      </c>
      <c r="H102" s="29">
        <f>'Monthly Data'!W102</f>
        <v>7208.1</v>
      </c>
      <c r="I102" s="29">
        <f>'Monthly Data'!BF102</f>
        <v>1</v>
      </c>
      <c r="K102" s="29">
        <f>'Res PW'!$B$6</f>
        <v>-4.4351669087570498</v>
      </c>
      <c r="L102" s="29">
        <f>E102*'Res PW'!$B$7</f>
        <v>0.19930519478325504</v>
      </c>
      <c r="M102" s="29">
        <f>F102*'Res PW'!$B$8</f>
        <v>2.9057325261509019</v>
      </c>
      <c r="N102" s="29">
        <f>G102*'Res PW'!$B$9</f>
        <v>-4.4988412730289262</v>
      </c>
      <c r="O102" s="163">
        <f>H102*'Res PW'!$B$10</f>
        <v>29.94743039451199</v>
      </c>
      <c r="P102" s="29">
        <f>I102*'Res PW'!$B$11</f>
        <v>-1.18560218277844</v>
      </c>
      <c r="Q102" s="44">
        <f>'Monthly Data'!F102</f>
        <v>60822</v>
      </c>
      <c r="R102" s="46">
        <f>'Monthly Data'!BH102</f>
        <v>31</v>
      </c>
      <c r="S102" s="158">
        <f t="shared" si="11"/>
        <v>43239490.497847989</v>
      </c>
      <c r="T102" s="44">
        <f t="shared" si="12"/>
        <v>1351008.2764011547</v>
      </c>
      <c r="U102" s="48">
        <f t="shared" si="13"/>
        <v>3.2252500084842907E-2</v>
      </c>
    </row>
    <row r="103" spans="1:21" x14ac:dyDescent="0.2">
      <c r="A103" s="45">
        <f>'Monthly Data'!A103</f>
        <v>43252</v>
      </c>
      <c r="B103" s="29">
        <f t="shared" si="7"/>
        <v>2018</v>
      </c>
      <c r="C103" s="29">
        <f t="shared" si="8"/>
        <v>6</v>
      </c>
      <c r="D103" s="158">
        <f>'Monthly Data'!E103</f>
        <v>52737558.221446835</v>
      </c>
      <c r="E103" s="46">
        <f>'Monthly Data'!AL103</f>
        <v>0</v>
      </c>
      <c r="F103" s="46">
        <f>'Monthly Data'!AK103</f>
        <v>151.49999999999997</v>
      </c>
      <c r="G103" s="29">
        <f>'Monthly Data'!BG103</f>
        <v>102</v>
      </c>
      <c r="H103" s="29">
        <f>'Monthly Data'!W103</f>
        <v>7224.1</v>
      </c>
      <c r="I103" s="29">
        <f>'Monthly Data'!BF103</f>
        <v>0</v>
      </c>
      <c r="K103" s="29">
        <f>'Res PW'!$B$6</f>
        <v>-4.4351669087570498</v>
      </c>
      <c r="L103" s="29">
        <f>E103*'Res PW'!$B$7</f>
        <v>0</v>
      </c>
      <c r="M103" s="29">
        <f>F103*'Res PW'!$B$8</f>
        <v>5.8695797028248222</v>
      </c>
      <c r="N103" s="29">
        <f>G103*'Res PW'!$B$9</f>
        <v>-4.5433842559302029</v>
      </c>
      <c r="O103" s="163">
        <f>H103*'Res PW'!$B$10</f>
        <v>30.013905455389644</v>
      </c>
      <c r="P103" s="29">
        <f>I103*'Res PW'!$B$11</f>
        <v>0</v>
      </c>
      <c r="Q103" s="44">
        <f>'Monthly Data'!F103</f>
        <v>60920</v>
      </c>
      <c r="R103" s="46">
        <f>'Monthly Data'!BH103</f>
        <v>30</v>
      </c>
      <c r="S103" s="158">
        <f t="shared" si="11"/>
        <v>49171457.366570331</v>
      </c>
      <c r="T103" s="44">
        <f t="shared" si="12"/>
        <v>-3566100.8548765033</v>
      </c>
      <c r="U103" s="48">
        <f t="shared" si="13"/>
        <v>6.7619756680852044E-2</v>
      </c>
    </row>
    <row r="104" spans="1:21" x14ac:dyDescent="0.2">
      <c r="A104" s="45">
        <f>'Monthly Data'!A104</f>
        <v>43282</v>
      </c>
      <c r="B104" s="29">
        <f t="shared" si="7"/>
        <v>2018</v>
      </c>
      <c r="C104" s="29">
        <f t="shared" si="8"/>
        <v>7</v>
      </c>
      <c r="D104" s="158">
        <f>'Monthly Data'!E104</f>
        <v>65508403.221446835</v>
      </c>
      <c r="E104" s="46">
        <f>'Monthly Data'!AL104</f>
        <v>0</v>
      </c>
      <c r="F104" s="46">
        <f>'Monthly Data'!AK104</f>
        <v>288.2</v>
      </c>
      <c r="G104" s="29">
        <f>'Monthly Data'!BG104</f>
        <v>103</v>
      </c>
      <c r="H104" s="29">
        <f>'Monthly Data'!W104</f>
        <v>7258.6</v>
      </c>
      <c r="I104" s="29">
        <f>'Monthly Data'!BF104</f>
        <v>0</v>
      </c>
      <c r="K104" s="29">
        <f>'Res PW'!$B$6</f>
        <v>-4.4351669087570498</v>
      </c>
      <c r="L104" s="29">
        <f>E104*'Res PW'!$B$7</f>
        <v>0</v>
      </c>
      <c r="M104" s="29">
        <f>F104*'Res PW'!$B$8</f>
        <v>11.1657615204892</v>
      </c>
      <c r="N104" s="29">
        <f>G104*'Res PW'!$B$9</f>
        <v>-4.5879272388314796</v>
      </c>
      <c r="O104" s="163">
        <f>H104*'Res PW'!$B$10</f>
        <v>30.157242305407078</v>
      </c>
      <c r="P104" s="29">
        <f>I104*'Res PW'!$B$11</f>
        <v>0</v>
      </c>
      <c r="Q104" s="44">
        <f>'Monthly Data'!F104</f>
        <v>60944</v>
      </c>
      <c r="R104" s="46">
        <f>'Monthly Data'!BH104</f>
        <v>31</v>
      </c>
      <c r="S104" s="158">
        <f t="shared" si="11"/>
        <v>61023056.558478415</v>
      </c>
      <c r="T104" s="44">
        <f t="shared" si="12"/>
        <v>-4485346.6629684195</v>
      </c>
      <c r="U104" s="48">
        <f t="shared" si="13"/>
        <v>6.8469790780978146E-2</v>
      </c>
    </row>
    <row r="105" spans="1:21" x14ac:dyDescent="0.2">
      <c r="A105" s="45">
        <f>'Monthly Data'!A105</f>
        <v>43313</v>
      </c>
      <c r="B105" s="29">
        <f t="shared" si="7"/>
        <v>2018</v>
      </c>
      <c r="C105" s="29">
        <f t="shared" si="8"/>
        <v>8</v>
      </c>
      <c r="D105" s="158">
        <f>'Monthly Data'!E105</f>
        <v>63722566.221446835</v>
      </c>
      <c r="E105" s="46">
        <f>'Monthly Data'!AL105</f>
        <v>0</v>
      </c>
      <c r="F105" s="46">
        <f>'Monthly Data'!AK105</f>
        <v>287.79999999999995</v>
      </c>
      <c r="G105" s="29">
        <f>'Monthly Data'!BG105</f>
        <v>104</v>
      </c>
      <c r="H105" s="29">
        <f>'Monthly Data'!W105</f>
        <v>7264.8</v>
      </c>
      <c r="I105" s="29">
        <f>'Monthly Data'!BF105</f>
        <v>0</v>
      </c>
      <c r="K105" s="29">
        <f>'Res PW'!$B$6</f>
        <v>-4.4351669087570498</v>
      </c>
      <c r="L105" s="29">
        <f>E105*'Res PW'!$B$7</f>
        <v>0</v>
      </c>
      <c r="M105" s="29">
        <f>F105*'Res PW'!$B$8</f>
        <v>11.150264280349727</v>
      </c>
      <c r="N105" s="29">
        <f>G105*'Res PW'!$B$9</f>
        <v>-4.6324702217327562</v>
      </c>
      <c r="O105" s="163">
        <f>H105*'Res PW'!$B$10</f>
        <v>30.183001391497164</v>
      </c>
      <c r="P105" s="29">
        <f>I105*'Res PW'!$B$11</f>
        <v>0</v>
      </c>
      <c r="Q105" s="44">
        <f>'Monthly Data'!F105</f>
        <v>60940</v>
      </c>
      <c r="R105" s="46">
        <f>'Monthly Data'!BH105</f>
        <v>31</v>
      </c>
      <c r="S105" s="158">
        <f t="shared" si="11"/>
        <v>60954289.502619334</v>
      </c>
      <c r="T105" s="44">
        <f t="shared" si="12"/>
        <v>-2768276.7188275009</v>
      </c>
      <c r="U105" s="48">
        <f t="shared" si="13"/>
        <v>4.344264336761431E-2</v>
      </c>
    </row>
    <row r="106" spans="1:21" x14ac:dyDescent="0.2">
      <c r="A106" s="45">
        <f>'Monthly Data'!A106</f>
        <v>43344</v>
      </c>
      <c r="B106" s="29">
        <f t="shared" si="7"/>
        <v>2018</v>
      </c>
      <c r="C106" s="29">
        <f t="shared" si="8"/>
        <v>9</v>
      </c>
      <c r="D106" s="158">
        <f>'Monthly Data'!E106</f>
        <v>51294132.221446835</v>
      </c>
      <c r="E106" s="46">
        <f>'Monthly Data'!AL106</f>
        <v>0</v>
      </c>
      <c r="F106" s="46">
        <f>'Monthly Data'!AK106</f>
        <v>165.40000000000003</v>
      </c>
      <c r="G106" s="29">
        <f>'Monthly Data'!BG106</f>
        <v>105</v>
      </c>
      <c r="H106" s="29">
        <f>'Monthly Data'!W106</f>
        <v>7268.1</v>
      </c>
      <c r="I106" s="29">
        <f>'Monthly Data'!BF106</f>
        <v>1</v>
      </c>
      <c r="K106" s="29">
        <f>'Res PW'!$B$6</f>
        <v>-4.4351669087570498</v>
      </c>
      <c r="L106" s="29">
        <f>E106*'Res PW'!$B$7</f>
        <v>0</v>
      </c>
      <c r="M106" s="29">
        <f>F106*'Res PW'!$B$8</f>
        <v>6.4081087976714581</v>
      </c>
      <c r="N106" s="29">
        <f>G106*'Res PW'!$B$9</f>
        <v>-4.677013204634032</v>
      </c>
      <c r="O106" s="163">
        <f>H106*'Res PW'!$B$10</f>
        <v>30.196711872803181</v>
      </c>
      <c r="P106" s="29">
        <f>I106*'Res PW'!$B$11</f>
        <v>-1.18560218277844</v>
      </c>
      <c r="Q106" s="44">
        <f>'Monthly Data'!F106</f>
        <v>60973</v>
      </c>
      <c r="R106" s="46">
        <f>'Monthly Data'!BH106</f>
        <v>30</v>
      </c>
      <c r="S106" s="158">
        <f t="shared" si="11"/>
        <v>48120571.523895182</v>
      </c>
      <c r="T106" s="44">
        <f t="shared" si="12"/>
        <v>-3173560.6975516528</v>
      </c>
      <c r="U106" s="48">
        <f t="shared" si="13"/>
        <v>6.1869858405066071E-2</v>
      </c>
    </row>
    <row r="107" spans="1:21" x14ac:dyDescent="0.2">
      <c r="A107" s="45">
        <f>'Monthly Data'!A107</f>
        <v>43374</v>
      </c>
      <c r="B107" s="29">
        <f t="shared" si="7"/>
        <v>2018</v>
      </c>
      <c r="C107" s="29">
        <f t="shared" si="8"/>
        <v>10</v>
      </c>
      <c r="D107" s="158">
        <f>'Monthly Data'!E107</f>
        <v>41038053.221446835</v>
      </c>
      <c r="E107" s="46">
        <f>'Monthly Data'!AL107</f>
        <v>88.200000000000031</v>
      </c>
      <c r="F107" s="46">
        <f>'Monthly Data'!AK107</f>
        <v>28.7</v>
      </c>
      <c r="G107" s="29">
        <f>'Monthly Data'!BG107</f>
        <v>106</v>
      </c>
      <c r="H107" s="29">
        <f>'Monthly Data'!W107</f>
        <v>7253</v>
      </c>
      <c r="I107" s="29">
        <f>'Monthly Data'!BF107</f>
        <v>1</v>
      </c>
      <c r="K107" s="29">
        <f>'Res PW'!$B$6</f>
        <v>-4.4351669087570498</v>
      </c>
      <c r="L107" s="29">
        <f>E107*'Res PW'!$B$7</f>
        <v>0.6975681817413929</v>
      </c>
      <c r="M107" s="29">
        <f>F107*'Res PW'!$B$8</f>
        <v>1.1119269800070786</v>
      </c>
      <c r="N107" s="29">
        <f>G107*'Res PW'!$B$9</f>
        <v>-4.7215561875353087</v>
      </c>
      <c r="O107" s="163">
        <f>H107*'Res PW'!$B$10</f>
        <v>30.133976034099895</v>
      </c>
      <c r="P107" s="29">
        <f>I107*'Res PW'!$B$11</f>
        <v>-1.18560218277844</v>
      </c>
      <c r="Q107" s="44">
        <f>'Monthly Data'!F107</f>
        <v>60992</v>
      </c>
      <c r="R107" s="46">
        <f>'Monthly Data'!BH107</f>
        <v>31</v>
      </c>
      <c r="S107" s="158">
        <f t="shared" si="11"/>
        <v>40842409.844439022</v>
      </c>
      <c r="T107" s="44">
        <f t="shared" si="12"/>
        <v>-195643.37700781226</v>
      </c>
      <c r="U107" s="48">
        <f t="shared" si="13"/>
        <v>4.7673649612980998E-3</v>
      </c>
    </row>
    <row r="108" spans="1:21" x14ac:dyDescent="0.2">
      <c r="A108" s="45">
        <f>'Monthly Data'!A108</f>
        <v>43405</v>
      </c>
      <c r="B108" s="29">
        <f t="shared" si="7"/>
        <v>2018</v>
      </c>
      <c r="C108" s="29">
        <f t="shared" si="8"/>
        <v>11</v>
      </c>
      <c r="D108" s="158">
        <f>'Monthly Data'!E108</f>
        <v>41154575.221446835</v>
      </c>
      <c r="E108" s="46">
        <f>'Monthly Data'!AL108</f>
        <v>272.40000000000003</v>
      </c>
      <c r="F108" s="46">
        <f>'Monthly Data'!AK108</f>
        <v>0</v>
      </c>
      <c r="G108" s="29">
        <f>'Monthly Data'!BG108</f>
        <v>107</v>
      </c>
      <c r="H108" s="29">
        <f>'Monthly Data'!W108</f>
        <v>7273.5</v>
      </c>
      <c r="I108" s="29">
        <f>'Monthly Data'!BF108</f>
        <v>1</v>
      </c>
      <c r="K108" s="29">
        <f>'Res PW'!$B$6</f>
        <v>-4.4351669087570498</v>
      </c>
      <c r="L108" s="29">
        <f>E108*'Res PW'!$B$7</f>
        <v>2.1543942483713763</v>
      </c>
      <c r="M108" s="29">
        <f>F108*'Res PW'!$B$8</f>
        <v>0</v>
      </c>
      <c r="N108" s="29">
        <f>G108*'Res PW'!$B$9</f>
        <v>-4.7660991704365854</v>
      </c>
      <c r="O108" s="163">
        <f>H108*'Res PW'!$B$10</f>
        <v>30.219147205849385</v>
      </c>
      <c r="P108" s="29">
        <f>I108*'Res PW'!$B$11</f>
        <v>-1.18560218277844</v>
      </c>
      <c r="Q108" s="44">
        <f>'Monthly Data'!F108</f>
        <v>61031</v>
      </c>
      <c r="R108" s="46">
        <f>'Monthly Data'!BH108</f>
        <v>30</v>
      </c>
      <c r="S108" s="158">
        <f t="shared" si="11"/>
        <v>40256059.547883891</v>
      </c>
      <c r="T108" s="44">
        <f t="shared" si="12"/>
        <v>-898515.67356294394</v>
      </c>
      <c r="U108" s="48">
        <f t="shared" si="13"/>
        <v>2.1832704352509062E-2</v>
      </c>
    </row>
    <row r="109" spans="1:21" x14ac:dyDescent="0.2">
      <c r="A109" s="45">
        <f>'Monthly Data'!A109</f>
        <v>43435</v>
      </c>
      <c r="B109" s="29">
        <f t="shared" si="7"/>
        <v>2018</v>
      </c>
      <c r="C109" s="29">
        <f t="shared" si="8"/>
        <v>12</v>
      </c>
      <c r="D109" s="158">
        <f>'Monthly Data'!E109</f>
        <v>46188029.221446835</v>
      </c>
      <c r="E109" s="46">
        <f>'Monthly Data'!AL109</f>
        <v>330</v>
      </c>
      <c r="F109" s="46">
        <f>'Monthly Data'!AK109</f>
        <v>0</v>
      </c>
      <c r="G109" s="29">
        <f>'Monthly Data'!BG109</f>
        <v>108</v>
      </c>
      <c r="H109" s="29">
        <f>'Monthly Data'!W109</f>
        <v>7289.2</v>
      </c>
      <c r="I109" s="29">
        <f>'Monthly Data'!BF109</f>
        <v>0</v>
      </c>
      <c r="K109" s="29">
        <f>'Res PW'!$B$6</f>
        <v>-4.4351669087570498</v>
      </c>
      <c r="L109" s="29">
        <f>E109*'Res PW'!$B$7</f>
        <v>2.6099489793045305</v>
      </c>
      <c r="M109" s="29">
        <f>F109*'Res PW'!$B$8</f>
        <v>0</v>
      </c>
      <c r="N109" s="29">
        <f>G109*'Res PW'!$B$9</f>
        <v>-4.810642153337862</v>
      </c>
      <c r="O109" s="163">
        <f>H109*'Res PW'!$B$10</f>
        <v>30.284375859335579</v>
      </c>
      <c r="P109" s="29">
        <f>I109*'Res PW'!$B$11</f>
        <v>0</v>
      </c>
      <c r="Q109" s="44">
        <f>'Monthly Data'!F109</f>
        <v>61253</v>
      </c>
      <c r="R109" s="46">
        <f>'Monthly Data'!BH109</f>
        <v>31</v>
      </c>
      <c r="S109" s="158">
        <f t="shared" si="11"/>
        <v>44904818.642682411</v>
      </c>
      <c r="T109" s="44">
        <f t="shared" si="12"/>
        <v>-1283210.5787644237</v>
      </c>
      <c r="U109" s="48">
        <f t="shared" si="13"/>
        <v>2.7782319367040256E-2</v>
      </c>
    </row>
    <row r="110" spans="1:21" x14ac:dyDescent="0.2">
      <c r="A110" s="45">
        <f>'Monthly Data'!A110</f>
        <v>43466</v>
      </c>
      <c r="B110" s="29">
        <f t="shared" si="7"/>
        <v>2019</v>
      </c>
      <c r="C110" s="29">
        <f t="shared" si="8"/>
        <v>1</v>
      </c>
      <c r="D110" s="158">
        <f>'Monthly Data'!E110</f>
        <v>47946223.226718538</v>
      </c>
      <c r="E110" s="46">
        <f>'Monthly Data'!AL110</f>
        <v>514</v>
      </c>
      <c r="F110" s="46">
        <f>'Monthly Data'!AK110</f>
        <v>0</v>
      </c>
      <c r="G110" s="29">
        <f>'Monthly Data'!BG110</f>
        <v>109</v>
      </c>
      <c r="H110" s="29">
        <f>'Monthly Data'!W110</f>
        <v>7315.7</v>
      </c>
      <c r="I110" s="29">
        <f>'Monthly Data'!BF110</f>
        <v>0</v>
      </c>
      <c r="K110" s="29">
        <f>'Res PW'!$B$6</f>
        <v>-4.4351669087570498</v>
      </c>
      <c r="L110" s="29">
        <f>E110*'Res PW'!$B$7</f>
        <v>4.0651932586743289</v>
      </c>
      <c r="M110" s="29">
        <f>F110*'Res PW'!$B$8</f>
        <v>0</v>
      </c>
      <c r="N110" s="29">
        <f>G110*'Res PW'!$B$9</f>
        <v>-4.8551851362391387</v>
      </c>
      <c r="O110" s="163">
        <f>H110*'Res PW'!$B$10</f>
        <v>30.394475178914188</v>
      </c>
      <c r="P110" s="29">
        <f>I110*'Res PW'!$B$11</f>
        <v>0</v>
      </c>
      <c r="Q110" s="44">
        <f>'Monthly Data'!F110</f>
        <v>61267</v>
      </c>
      <c r="R110" s="46">
        <f>'Monthly Data'!BH110</f>
        <v>31</v>
      </c>
      <c r="S110" s="158">
        <f t="shared" si="11"/>
        <v>47803503.73017358</v>
      </c>
      <c r="T110" s="44">
        <f t="shared" si="12"/>
        <v>-142719.49654495716</v>
      </c>
      <c r="U110" s="48">
        <f t="shared" si="13"/>
        <v>2.9766577415304158E-3</v>
      </c>
    </row>
    <row r="111" spans="1:21" x14ac:dyDescent="0.2">
      <c r="A111" s="45">
        <f>'Monthly Data'!A111</f>
        <v>43497</v>
      </c>
      <c r="B111" s="29">
        <f t="shared" si="7"/>
        <v>2019</v>
      </c>
      <c r="C111" s="29">
        <f t="shared" si="8"/>
        <v>2</v>
      </c>
      <c r="D111" s="158">
        <f>'Monthly Data'!E111</f>
        <v>42834954.226718538</v>
      </c>
      <c r="E111" s="46">
        <f>'Monthly Data'!AL111</f>
        <v>403.70000000000005</v>
      </c>
      <c r="F111" s="46">
        <f>'Monthly Data'!AK111</f>
        <v>0</v>
      </c>
      <c r="G111" s="29">
        <f>'Monthly Data'!BG111</f>
        <v>110</v>
      </c>
      <c r="H111" s="29">
        <f>'Monthly Data'!W111</f>
        <v>7346.7</v>
      </c>
      <c r="I111" s="29">
        <f>'Monthly Data'!BF111</f>
        <v>0</v>
      </c>
      <c r="K111" s="29">
        <f>'Res PW'!$B$6</f>
        <v>-4.4351669087570498</v>
      </c>
      <c r="L111" s="29">
        <f>E111*'Res PW'!$B$7</f>
        <v>3.1928375846825428</v>
      </c>
      <c r="M111" s="29">
        <f>F111*'Res PW'!$B$8</f>
        <v>0</v>
      </c>
      <c r="N111" s="29">
        <f>G111*'Res PW'!$B$9</f>
        <v>-4.8997281191404154</v>
      </c>
      <c r="O111" s="163">
        <f>H111*'Res PW'!$B$10</f>
        <v>30.523270609364637</v>
      </c>
      <c r="P111" s="29">
        <f>I111*'Res PW'!$B$11</f>
        <v>0</v>
      </c>
      <c r="Q111" s="44">
        <f>'Monthly Data'!F111</f>
        <v>61283</v>
      </c>
      <c r="R111" s="46">
        <f>'Monthly Data'!BH111</f>
        <v>28</v>
      </c>
      <c r="S111" s="158">
        <f t="shared" si="11"/>
        <v>41836308.820912279</v>
      </c>
      <c r="T111" s="44">
        <f t="shared" si="12"/>
        <v>-998645.40580625832</v>
      </c>
      <c r="U111" s="48">
        <f t="shared" si="13"/>
        <v>2.3313796497145496E-2</v>
      </c>
    </row>
    <row r="112" spans="1:21" x14ac:dyDescent="0.2">
      <c r="A112" s="45">
        <f>'Monthly Data'!A112</f>
        <v>43525</v>
      </c>
      <c r="B112" s="29">
        <f t="shared" si="7"/>
        <v>2019</v>
      </c>
      <c r="C112" s="29">
        <f t="shared" si="8"/>
        <v>3</v>
      </c>
      <c r="D112" s="158">
        <f>'Monthly Data'!E112</f>
        <v>43153575.226718538</v>
      </c>
      <c r="E112" s="46">
        <f>'Monthly Data'!AL112</f>
        <v>370.49999999999989</v>
      </c>
      <c r="F112" s="46">
        <f>'Monthly Data'!AK112</f>
        <v>0</v>
      </c>
      <c r="G112" s="29">
        <f>'Monthly Data'!BG112</f>
        <v>111</v>
      </c>
      <c r="H112" s="29">
        <f>'Monthly Data'!W112</f>
        <v>7371</v>
      </c>
      <c r="I112" s="29">
        <f>'Monthly Data'!BF112</f>
        <v>1</v>
      </c>
      <c r="K112" s="29">
        <f>'Res PW'!$B$6</f>
        <v>-4.4351669087570498</v>
      </c>
      <c r="L112" s="29">
        <f>E112*'Res PW'!$B$7</f>
        <v>2.9302608994919037</v>
      </c>
      <c r="M112" s="29">
        <f>F112*'Res PW'!$B$8</f>
        <v>0</v>
      </c>
      <c r="N112" s="29">
        <f>G112*'Res PW'!$B$9</f>
        <v>-4.9442711020416912</v>
      </c>
      <c r="O112" s="163">
        <f>H112*'Res PW'!$B$10</f>
        <v>30.624229608072568</v>
      </c>
      <c r="P112" s="29">
        <f>I112*'Res PW'!$B$11</f>
        <v>-1.18560218277844</v>
      </c>
      <c r="Q112" s="44">
        <f>'Monthly Data'!F112</f>
        <v>61278</v>
      </c>
      <c r="R112" s="46">
        <f>'Monthly Data'!BH112</f>
        <v>31</v>
      </c>
      <c r="S112" s="158">
        <f t="shared" si="11"/>
        <v>43671173.626555912</v>
      </c>
      <c r="T112" s="44">
        <f t="shared" si="12"/>
        <v>517598.39983737469</v>
      </c>
      <c r="U112" s="48">
        <f t="shared" si="13"/>
        <v>1.1994334122214366E-2</v>
      </c>
    </row>
    <row r="113" spans="1:25" x14ac:dyDescent="0.2">
      <c r="A113" s="45">
        <f>'Monthly Data'!A113</f>
        <v>43556</v>
      </c>
      <c r="B113" s="29">
        <f t="shared" si="7"/>
        <v>2019</v>
      </c>
      <c r="C113" s="29">
        <f t="shared" si="8"/>
        <v>4</v>
      </c>
      <c r="D113" s="158">
        <f>'Monthly Data'!E113</f>
        <v>38136662.226718538</v>
      </c>
      <c r="E113" s="46">
        <f>'Monthly Data'!AL113</f>
        <v>173.29999999999998</v>
      </c>
      <c r="F113" s="46">
        <f>'Monthly Data'!AK113</f>
        <v>0</v>
      </c>
      <c r="G113" s="29">
        <f>'Monthly Data'!BG113</f>
        <v>112</v>
      </c>
      <c r="H113" s="29">
        <f>'Monthly Data'!W113</f>
        <v>7395.4</v>
      </c>
      <c r="I113" s="29">
        <f>'Monthly Data'!BF113</f>
        <v>1</v>
      </c>
      <c r="K113" s="29">
        <f>'Res PW'!$B$6</f>
        <v>-4.4351669087570498</v>
      </c>
      <c r="L113" s="29">
        <f>E113*'Res PW'!$B$7</f>
        <v>1.3706186609499245</v>
      </c>
      <c r="M113" s="29">
        <f>F113*'Res PW'!$B$8</f>
        <v>0</v>
      </c>
      <c r="N113" s="29">
        <f>G113*'Res PW'!$B$9</f>
        <v>-4.9888140849429679</v>
      </c>
      <c r="O113" s="163">
        <f>H113*'Res PW'!$B$10</f>
        <v>30.725604075910983</v>
      </c>
      <c r="P113" s="29">
        <f>I113*'Res PW'!$B$11</f>
        <v>-1.18560218277844</v>
      </c>
      <c r="Q113" s="44">
        <f>'Monthly Data'!F113</f>
        <v>61471</v>
      </c>
      <c r="R113" s="46">
        <f>'Monthly Data'!BH113</f>
        <v>30</v>
      </c>
      <c r="S113" s="158">
        <f t="shared" si="11"/>
        <v>39624156.612488084</v>
      </c>
      <c r="T113" s="44">
        <f t="shared" si="12"/>
        <v>1487494.385769546</v>
      </c>
      <c r="U113" s="48">
        <f t="shared" si="13"/>
        <v>3.9004314979809843E-2</v>
      </c>
    </row>
    <row r="114" spans="1:25" x14ac:dyDescent="0.2">
      <c r="A114" s="45">
        <f>'Monthly Data'!A114</f>
        <v>43586</v>
      </c>
      <c r="B114" s="29">
        <f t="shared" si="7"/>
        <v>2019</v>
      </c>
      <c r="C114" s="29">
        <f t="shared" si="8"/>
        <v>5</v>
      </c>
      <c r="D114" s="158">
        <f>'Monthly Data'!E114</f>
        <v>38687980.226718538</v>
      </c>
      <c r="E114" s="46">
        <f>'Monthly Data'!AL114</f>
        <v>63.5</v>
      </c>
      <c r="F114" s="46">
        <f>'Monthly Data'!AK114</f>
        <v>14.6</v>
      </c>
      <c r="G114" s="29">
        <f>'Monthly Data'!BG114</f>
        <v>113</v>
      </c>
      <c r="H114" s="29">
        <f>'Monthly Data'!W114</f>
        <v>7412.6</v>
      </c>
      <c r="I114" s="29">
        <f>'Monthly Data'!BF114</f>
        <v>1</v>
      </c>
      <c r="K114" s="29">
        <f>'Res PW'!$B$6</f>
        <v>-4.4351669087570498</v>
      </c>
      <c r="L114" s="29">
        <f>E114*'Res PW'!$B$7</f>
        <v>0.50221745510859905</v>
      </c>
      <c r="M114" s="29">
        <f>F114*'Res PW'!$B$8</f>
        <v>0.56564926509070901</v>
      </c>
      <c r="N114" s="29">
        <f>G114*'Res PW'!$B$9</f>
        <v>-5.0333570678442445</v>
      </c>
      <c r="O114" s="163">
        <f>H114*'Res PW'!$B$10</f>
        <v>30.79706476635446</v>
      </c>
      <c r="P114" s="29">
        <f>I114*'Res PW'!$B$11</f>
        <v>-1.18560218277844</v>
      </c>
      <c r="Q114" s="44">
        <f>'Monthly Data'!F114</f>
        <v>61467</v>
      </c>
      <c r="R114" s="46">
        <f>'Monthly Data'!BH114</f>
        <v>31</v>
      </c>
      <c r="S114" s="158">
        <f t="shared" si="11"/>
        <v>40416701.702407598</v>
      </c>
      <c r="T114" s="44">
        <f t="shared" si="12"/>
        <v>1728721.475689061</v>
      </c>
      <c r="U114" s="48">
        <f t="shared" si="13"/>
        <v>4.4683683809763175E-2</v>
      </c>
    </row>
    <row r="115" spans="1:25" x14ac:dyDescent="0.2">
      <c r="A115" s="45">
        <f>'Monthly Data'!A115</f>
        <v>43617</v>
      </c>
      <c r="B115" s="29">
        <f t="shared" si="7"/>
        <v>2019</v>
      </c>
      <c r="C115" s="29">
        <f t="shared" si="8"/>
        <v>6</v>
      </c>
      <c r="D115" s="158">
        <f>'Monthly Data'!E115</f>
        <v>45809796.226718538</v>
      </c>
      <c r="E115" s="46">
        <f>'Monthly Data'!AL115</f>
        <v>0.19999999999999929</v>
      </c>
      <c r="F115" s="46">
        <f>'Monthly Data'!AK115</f>
        <v>103.60000000000002</v>
      </c>
      <c r="G115" s="29">
        <f>'Monthly Data'!BG115</f>
        <v>114</v>
      </c>
      <c r="H115" s="29">
        <f>'Monthly Data'!W115</f>
        <v>7430.3</v>
      </c>
      <c r="I115" s="29">
        <f>'Monthly Data'!BF115</f>
        <v>0</v>
      </c>
      <c r="K115" s="29">
        <f>'Res PW'!$B$6</f>
        <v>-4.4351669087570498</v>
      </c>
      <c r="L115" s="29">
        <f>E115*'Res PW'!$B$7</f>
        <v>1.5817872601845582E-3</v>
      </c>
      <c r="M115" s="29">
        <f>F115*'Res PW'!$B$8</f>
        <v>4.0137851961231146</v>
      </c>
      <c r="N115" s="29">
        <f>G115*'Res PW'!$B$9</f>
        <v>-5.0779000507455212</v>
      </c>
      <c r="O115" s="163">
        <f>H115*'Res PW'!$B$10</f>
        <v>30.87060280245036</v>
      </c>
      <c r="P115" s="29">
        <f>I115*'Res PW'!$B$11</f>
        <v>0</v>
      </c>
      <c r="Q115" s="44">
        <f>'Monthly Data'!F115</f>
        <v>61472</v>
      </c>
      <c r="R115" s="46">
        <f>'Monthly Data'!BH115</f>
        <v>30</v>
      </c>
      <c r="S115" s="158">
        <f t="shared" si="11"/>
        <v>46791692.476206742</v>
      </c>
      <c r="T115" s="44">
        <f t="shared" si="12"/>
        <v>981896.24948820472</v>
      </c>
      <c r="U115" s="48">
        <f t="shared" si="13"/>
        <v>2.1434198148987057E-2</v>
      </c>
    </row>
    <row r="116" spans="1:25" x14ac:dyDescent="0.2">
      <c r="A116" s="45">
        <f>'Monthly Data'!A116</f>
        <v>43647</v>
      </c>
      <c r="B116" s="29">
        <f t="shared" si="7"/>
        <v>2019</v>
      </c>
      <c r="C116" s="29">
        <f t="shared" si="8"/>
        <v>7</v>
      </c>
      <c r="D116" s="158">
        <f>'Monthly Data'!E116</f>
        <v>63707328.226718538</v>
      </c>
      <c r="E116" s="46">
        <f>'Monthly Data'!AL116</f>
        <v>0</v>
      </c>
      <c r="F116" s="46">
        <f>'Monthly Data'!AK116</f>
        <v>276.59999999999997</v>
      </c>
      <c r="G116" s="29">
        <f>'Monthly Data'!BG116</f>
        <v>115</v>
      </c>
      <c r="H116" s="29">
        <f>'Monthly Data'!W116</f>
        <v>7432.9</v>
      </c>
      <c r="I116" s="29">
        <f>'Monthly Data'!BF116</f>
        <v>0</v>
      </c>
      <c r="K116" s="29">
        <f>'Res PW'!$B$6</f>
        <v>-4.4351669087570498</v>
      </c>
      <c r="L116" s="29">
        <f>E116*'Res PW'!$B$7</f>
        <v>0</v>
      </c>
      <c r="M116" s="29">
        <f>F116*'Res PW'!$B$8</f>
        <v>10.716341556444528</v>
      </c>
      <c r="N116" s="29">
        <f>G116*'Res PW'!$B$9</f>
        <v>-5.1224430336467979</v>
      </c>
      <c r="O116" s="163">
        <f>H116*'Res PW'!$B$10</f>
        <v>30.881404999842978</v>
      </c>
      <c r="P116" s="29">
        <f>I116*'Res PW'!$B$11</f>
        <v>0</v>
      </c>
      <c r="Q116" s="44">
        <f>'Monthly Data'!F116</f>
        <v>61470</v>
      </c>
      <c r="R116" s="46">
        <f>'Monthly Data'!BH116</f>
        <v>31</v>
      </c>
      <c r="S116" s="158">
        <f t="shared" si="11"/>
        <v>61054723.127318285</v>
      </c>
      <c r="T116" s="44">
        <f t="shared" si="12"/>
        <v>-2652605.0994002521</v>
      </c>
      <c r="U116" s="48">
        <f t="shared" si="13"/>
        <v>4.1637362187914868E-2</v>
      </c>
    </row>
    <row r="117" spans="1:25" x14ac:dyDescent="0.2">
      <c r="A117" s="45">
        <f>'Monthly Data'!A117</f>
        <v>43678</v>
      </c>
      <c r="B117" s="29">
        <f t="shared" si="7"/>
        <v>2019</v>
      </c>
      <c r="C117" s="29">
        <f t="shared" si="8"/>
        <v>8</v>
      </c>
      <c r="D117" s="158">
        <f>'Monthly Data'!E117</f>
        <v>58791766.226718538</v>
      </c>
      <c r="E117" s="46">
        <f>'Monthly Data'!AL117</f>
        <v>0</v>
      </c>
      <c r="F117" s="46">
        <f>'Monthly Data'!AK117</f>
        <v>225.29999999999998</v>
      </c>
      <c r="G117" s="29">
        <f>'Monthly Data'!BG117</f>
        <v>116</v>
      </c>
      <c r="H117" s="29">
        <f>'Monthly Data'!W117</f>
        <v>7449.6</v>
      </c>
      <c r="I117" s="29">
        <f>'Monthly Data'!BF117</f>
        <v>0</v>
      </c>
      <c r="K117" s="29">
        <f>'Res PW'!$B$6</f>
        <v>-4.4351669087570498</v>
      </c>
      <c r="L117" s="29">
        <f>E117*'Res PW'!$B$7</f>
        <v>0</v>
      </c>
      <c r="M117" s="29">
        <f>F117*'Res PW'!$B$8</f>
        <v>8.7288205085573107</v>
      </c>
      <c r="N117" s="29">
        <f>G117*'Res PW'!$B$9</f>
        <v>-5.1669860165480737</v>
      </c>
      <c r="O117" s="163">
        <f>H117*'Res PW'!$B$10</f>
        <v>30.950788344634027</v>
      </c>
      <c r="P117" s="29">
        <f>I117*'Res PW'!$B$11</f>
        <v>0</v>
      </c>
      <c r="Q117" s="44">
        <f>'Monthly Data'!F117</f>
        <v>61464</v>
      </c>
      <c r="R117" s="46">
        <f>'Monthly Data'!BH117</f>
        <v>31</v>
      </c>
      <c r="S117" s="158">
        <f t="shared" si="11"/>
        <v>57309103.285699539</v>
      </c>
      <c r="T117" s="44">
        <f t="shared" si="12"/>
        <v>-1482662.9410189986</v>
      </c>
      <c r="U117" s="48">
        <f t="shared" si="13"/>
        <v>2.5218887544582506E-2</v>
      </c>
    </row>
    <row r="118" spans="1:25" x14ac:dyDescent="0.2">
      <c r="A118" s="45">
        <f>'Monthly Data'!A118</f>
        <v>43709</v>
      </c>
      <c r="B118" s="29">
        <f t="shared" si="7"/>
        <v>2019</v>
      </c>
      <c r="C118" s="29">
        <f t="shared" si="8"/>
        <v>9</v>
      </c>
      <c r="D118" s="158">
        <f>'Monthly Data'!E118</f>
        <v>44846342.226718538</v>
      </c>
      <c r="E118" s="46">
        <f>'Monthly Data'!AL118</f>
        <v>0</v>
      </c>
      <c r="F118" s="46">
        <f>'Monthly Data'!AK118</f>
        <v>133.90000000000003</v>
      </c>
      <c r="G118" s="29">
        <f>'Monthly Data'!BG118</f>
        <v>117</v>
      </c>
      <c r="H118" s="29">
        <f>'Monthly Data'!W118</f>
        <v>7478.3</v>
      </c>
      <c r="I118" s="29">
        <f>'Monthly Data'!BF118</f>
        <v>1</v>
      </c>
      <c r="K118" s="29">
        <f>'Res PW'!$B$6</f>
        <v>-4.4351669087570498</v>
      </c>
      <c r="L118" s="29">
        <f>E118*'Res PW'!$B$7</f>
        <v>0</v>
      </c>
      <c r="M118" s="29">
        <f>F118*'Res PW'!$B$8</f>
        <v>5.1877011366880792</v>
      </c>
      <c r="N118" s="29">
        <f>G118*'Res PW'!$B$9</f>
        <v>-5.2115289994493503</v>
      </c>
      <c r="O118" s="163">
        <f>H118*'Res PW'!$B$10</f>
        <v>31.070027985083311</v>
      </c>
      <c r="P118" s="29">
        <f>I118*'Res PW'!$B$11</f>
        <v>-1.18560218277844</v>
      </c>
      <c r="Q118" s="44">
        <f>'Monthly Data'!F118</f>
        <v>61464</v>
      </c>
      <c r="R118" s="46">
        <f>'Monthly Data'!BH118</f>
        <v>30</v>
      </c>
      <c r="S118" s="158">
        <f t="shared" si="11"/>
        <v>46882460.786287934</v>
      </c>
      <c r="T118" s="44">
        <f t="shared" si="12"/>
        <v>2036118.5595693961</v>
      </c>
      <c r="U118" s="48">
        <f t="shared" si="13"/>
        <v>4.5402109926287772E-2</v>
      </c>
    </row>
    <row r="119" spans="1:25" x14ac:dyDescent="0.2">
      <c r="A119" s="45">
        <f>'Monthly Data'!A119</f>
        <v>43739</v>
      </c>
      <c r="B119" s="29">
        <f t="shared" si="7"/>
        <v>2019</v>
      </c>
      <c r="C119" s="29">
        <f t="shared" si="8"/>
        <v>10</v>
      </c>
      <c r="D119" s="158">
        <f>'Monthly Data'!E119</f>
        <v>39953556.226718538</v>
      </c>
      <c r="E119" s="46">
        <f>'Monthly Data'!AL119</f>
        <v>32</v>
      </c>
      <c r="F119" s="46">
        <f>'Monthly Data'!AK119</f>
        <v>15.999999999999998</v>
      </c>
      <c r="G119" s="29">
        <f>'Monthly Data'!BG119</f>
        <v>118</v>
      </c>
      <c r="H119" s="29">
        <f>'Monthly Data'!W119</f>
        <v>7504</v>
      </c>
      <c r="I119" s="29">
        <f>'Monthly Data'!BF119</f>
        <v>1</v>
      </c>
      <c r="K119" s="29">
        <f>'Res PW'!$B$6</f>
        <v>-4.4351669087570498</v>
      </c>
      <c r="L119" s="29">
        <f>E119*'Res PW'!$B$7</f>
        <v>0.25308596162953023</v>
      </c>
      <c r="M119" s="29">
        <f>F119*'Res PW'!$B$8</f>
        <v>0.61988960557885908</v>
      </c>
      <c r="N119" s="29">
        <f>G119*'Res PW'!$B$9</f>
        <v>-5.256071982350627</v>
      </c>
      <c r="O119" s="163">
        <f>H119*'Res PW'!$B$10</f>
        <v>31.176803551618036</v>
      </c>
      <c r="P119" s="29">
        <f>I119*'Res PW'!$B$11</f>
        <v>-1.18560218277844</v>
      </c>
      <c r="Q119" s="44">
        <f>'Monthly Data'!F119</f>
        <v>61500</v>
      </c>
      <c r="R119" s="46">
        <f>'Monthly Data'!BH119</f>
        <v>31</v>
      </c>
      <c r="S119" s="158">
        <f t="shared" si="11"/>
        <v>40366206.382678695</v>
      </c>
      <c r="T119" s="44">
        <f t="shared" si="12"/>
        <v>412650.15596015751</v>
      </c>
      <c r="U119" s="48">
        <f t="shared" si="13"/>
        <v>1.0328245966855934E-2</v>
      </c>
    </row>
    <row r="120" spans="1:25" x14ac:dyDescent="0.2">
      <c r="A120" s="45">
        <f>'Monthly Data'!A120</f>
        <v>43770</v>
      </c>
      <c r="B120" s="29">
        <f t="shared" si="7"/>
        <v>2019</v>
      </c>
      <c r="C120" s="29">
        <f t="shared" si="8"/>
        <v>11</v>
      </c>
      <c r="D120" s="158">
        <f>'Monthly Data'!E120</f>
        <v>40979024.226718538</v>
      </c>
      <c r="E120" s="46">
        <f>'Monthly Data'!AL120</f>
        <v>284</v>
      </c>
      <c r="F120" s="46">
        <f>'Monthly Data'!AK120</f>
        <v>0</v>
      </c>
      <c r="G120" s="29">
        <f>'Monthly Data'!BG120</f>
        <v>119</v>
      </c>
      <c r="H120" s="29">
        <f>'Monthly Data'!W120</f>
        <v>7517.3</v>
      </c>
      <c r="I120" s="29">
        <f>'Monthly Data'!BF120</f>
        <v>1</v>
      </c>
      <c r="K120" s="29">
        <f>'Res PW'!$B$6</f>
        <v>-4.4351669087570498</v>
      </c>
      <c r="L120" s="29">
        <f>E120*'Res PW'!$B$7</f>
        <v>2.2461379094620808</v>
      </c>
      <c r="M120" s="29">
        <f>F120*'Res PW'!$B$8</f>
        <v>0</v>
      </c>
      <c r="N120" s="29">
        <f>G120*'Res PW'!$B$9</f>
        <v>-5.3006149652519037</v>
      </c>
      <c r="O120" s="163">
        <f>H120*'Res PW'!$B$10</f>
        <v>31.232060945972584</v>
      </c>
      <c r="P120" s="29">
        <f>I120*'Res PW'!$B$11</f>
        <v>-1.18560218277844</v>
      </c>
      <c r="Q120" s="44">
        <f>'Monthly Data'!F120</f>
        <v>61496</v>
      </c>
      <c r="R120" s="46">
        <f>'Monthly Data'!BH120</f>
        <v>30</v>
      </c>
      <c r="S120" s="158">
        <f t="shared" si="11"/>
        <v>41614616.485728383</v>
      </c>
      <c r="T120" s="44">
        <f t="shared" si="12"/>
        <v>635592.25900984555</v>
      </c>
      <c r="U120" s="48">
        <f t="shared" si="13"/>
        <v>1.5510185296101708E-2</v>
      </c>
    </row>
    <row r="121" spans="1:25" x14ac:dyDescent="0.2">
      <c r="A121" s="45">
        <f>'Monthly Data'!A121</f>
        <v>43800</v>
      </c>
      <c r="B121" s="29">
        <f t="shared" si="7"/>
        <v>2019</v>
      </c>
      <c r="C121" s="29">
        <f t="shared" si="8"/>
        <v>12</v>
      </c>
      <c r="D121" s="158">
        <f>'Monthly Data'!E121</f>
        <v>46060405.226718538</v>
      </c>
      <c r="E121" s="46">
        <f>'Monthly Data'!AL121</f>
        <v>334.40000000000003</v>
      </c>
      <c r="F121" s="46">
        <f>'Monthly Data'!AK121</f>
        <v>0</v>
      </c>
      <c r="G121" s="29">
        <f>'Monthly Data'!BG121</f>
        <v>120</v>
      </c>
      <c r="H121" s="29">
        <f>'Monthly Data'!W121</f>
        <v>7525</v>
      </c>
      <c r="I121" s="29">
        <f>'Monthly Data'!BF121</f>
        <v>0</v>
      </c>
      <c r="K121" s="29">
        <f>'Res PW'!$B$6</f>
        <v>-4.4351669087570498</v>
      </c>
      <c r="L121" s="29">
        <f>E121*'Res PW'!$B$7</f>
        <v>2.6447482990285911</v>
      </c>
      <c r="M121" s="29">
        <f>F121*'Res PW'!$B$8</f>
        <v>0</v>
      </c>
      <c r="N121" s="29">
        <f>G121*'Res PW'!$B$9</f>
        <v>-5.3451579481531803</v>
      </c>
      <c r="O121" s="163">
        <f>H121*'Res PW'!$B$10</f>
        <v>31.264052069019954</v>
      </c>
      <c r="P121" s="29">
        <f>I121*'Res PW'!$B$11</f>
        <v>0</v>
      </c>
      <c r="Q121" s="44">
        <f>'Monthly Data'!F121</f>
        <v>61500</v>
      </c>
      <c r="R121" s="46">
        <f>'Monthly Data'!BH121</f>
        <v>31</v>
      </c>
      <c r="S121" s="158">
        <f t="shared" si="11"/>
        <v>46000938.561985202</v>
      </c>
      <c r="T121" s="44">
        <f t="shared" si="12"/>
        <v>-59466.664733335376</v>
      </c>
      <c r="U121" s="48">
        <f t="shared" si="13"/>
        <v>1.2910582188894897E-3</v>
      </c>
    </row>
    <row r="122" spans="1:25" x14ac:dyDescent="0.2">
      <c r="A122" s="45"/>
      <c r="U122" s="49">
        <f>AVERAGE(U2:U121)</f>
        <v>2.5460404176943972E-2</v>
      </c>
    </row>
    <row r="123" spans="1:25" x14ac:dyDescent="0.2">
      <c r="A123" s="45"/>
    </row>
    <row r="124" spans="1:25" x14ac:dyDescent="0.2">
      <c r="A124" s="45"/>
      <c r="X124" s="26"/>
      <c r="Y124" s="48"/>
    </row>
    <row r="125" spans="1:25" x14ac:dyDescent="0.2">
      <c r="A125" s="45"/>
      <c r="X125" s="26"/>
      <c r="Y125" s="48"/>
    </row>
    <row r="126" spans="1:25" x14ac:dyDescent="0.2">
      <c r="A126" s="45"/>
      <c r="X126" s="26"/>
      <c r="Y126" s="48"/>
    </row>
    <row r="127" spans="1:25" x14ac:dyDescent="0.2">
      <c r="A127" s="45"/>
      <c r="X127" s="26"/>
      <c r="Y127" s="48"/>
    </row>
    <row r="128" spans="1:25" x14ac:dyDescent="0.2">
      <c r="A128" s="45"/>
      <c r="X128" s="26"/>
      <c r="Y128" s="48"/>
    </row>
    <row r="129" spans="1:29" x14ac:dyDescent="0.2">
      <c r="A129" s="45"/>
      <c r="X129" s="26"/>
      <c r="Y129" s="48"/>
    </row>
    <row r="130" spans="1:29" x14ac:dyDescent="0.2">
      <c r="A130" s="45"/>
      <c r="X130" s="26"/>
      <c r="Y130" s="48"/>
    </row>
    <row r="131" spans="1:29" x14ac:dyDescent="0.2">
      <c r="A131" s="45"/>
      <c r="X131" s="26"/>
      <c r="Y131" s="48"/>
    </row>
    <row r="132" spans="1:29" x14ac:dyDescent="0.2">
      <c r="A132" s="45"/>
      <c r="X132" s="26"/>
      <c r="Y132" s="48"/>
    </row>
    <row r="133" spans="1:29" x14ac:dyDescent="0.2">
      <c r="A133" s="45"/>
      <c r="X133" s="26"/>
      <c r="Y133" s="48"/>
    </row>
    <row r="134" spans="1:29" x14ac:dyDescent="0.2">
      <c r="A134" s="45"/>
      <c r="X134" s="26"/>
      <c r="Y134" s="48"/>
    </row>
    <row r="135" spans="1:29" x14ac:dyDescent="0.2">
      <c r="A135" s="45"/>
      <c r="X135" s="26"/>
      <c r="Y135" s="48"/>
    </row>
    <row r="136" spans="1:29" x14ac:dyDescent="0.2">
      <c r="A136" s="45"/>
    </row>
    <row r="137" spans="1:29" x14ac:dyDescent="0.2">
      <c r="A137" s="45"/>
      <c r="X137" s="26"/>
    </row>
    <row r="138" spans="1:29" x14ac:dyDescent="0.2">
      <c r="A138" s="45"/>
      <c r="U138" s="48"/>
      <c r="X138" s="26"/>
      <c r="Y138" s="157"/>
      <c r="AA138" s="26"/>
      <c r="AB138" s="26"/>
      <c r="AC138" s="161"/>
    </row>
    <row r="139" spans="1:29" x14ac:dyDescent="0.2">
      <c r="A139" s="45"/>
      <c r="U139" s="48"/>
      <c r="X139" s="26"/>
      <c r="Y139" s="157"/>
      <c r="AA139" s="26"/>
      <c r="AB139" s="26"/>
      <c r="AC139" s="161"/>
    </row>
    <row r="140" spans="1:29" x14ac:dyDescent="0.2">
      <c r="A140" s="45"/>
      <c r="U140" s="48"/>
      <c r="X140" s="26"/>
      <c r="Y140" s="157"/>
      <c r="AA140" s="26"/>
      <c r="AB140" s="26"/>
      <c r="AC140" s="161"/>
    </row>
    <row r="141" spans="1:29" x14ac:dyDescent="0.2">
      <c r="A141" s="45"/>
      <c r="U141" s="48"/>
      <c r="X141" s="26"/>
      <c r="Y141" s="157"/>
      <c r="AA141" s="26"/>
      <c r="AB141" s="26"/>
      <c r="AC141" s="161"/>
    </row>
    <row r="142" spans="1:29" x14ac:dyDescent="0.2">
      <c r="A142" s="45"/>
      <c r="U142" s="48"/>
      <c r="X142" s="26"/>
      <c r="Y142" s="157"/>
      <c r="AA142" s="26"/>
      <c r="AB142" s="26"/>
      <c r="AC142" s="161"/>
    </row>
    <row r="143" spans="1:29" x14ac:dyDescent="0.2">
      <c r="A143" s="45"/>
      <c r="U143" s="48"/>
      <c r="X143" s="26"/>
      <c r="Y143" s="157"/>
      <c r="AA143" s="26"/>
      <c r="AB143" s="26"/>
      <c r="AC143" s="161"/>
    </row>
    <row r="144" spans="1:29" x14ac:dyDescent="0.2">
      <c r="A144" s="45"/>
      <c r="U144" s="48"/>
      <c r="X144" s="26"/>
      <c r="Y144" s="157"/>
      <c r="AA144" s="26"/>
      <c r="AB144" s="26"/>
      <c r="AC144" s="161"/>
    </row>
    <row r="145" spans="1:29" x14ac:dyDescent="0.2">
      <c r="A145" s="45"/>
      <c r="U145" s="48"/>
      <c r="X145" s="26"/>
      <c r="Y145" s="157"/>
      <c r="AA145" s="26"/>
      <c r="AB145" s="26"/>
      <c r="AC145" s="161"/>
    </row>
    <row r="146" spans="1:29" x14ac:dyDescent="0.2">
      <c r="A146" s="45"/>
      <c r="U146" s="48"/>
      <c r="X146" s="26"/>
      <c r="Y146" s="157"/>
      <c r="AA146" s="26"/>
      <c r="AB146" s="26"/>
      <c r="AC146" s="161"/>
    </row>
    <row r="147" spans="1:29" x14ac:dyDescent="0.2">
      <c r="A147" s="45"/>
      <c r="U147" s="48"/>
      <c r="X147" s="26"/>
      <c r="Y147" s="157"/>
      <c r="AA147" s="26"/>
      <c r="AB147" s="26"/>
      <c r="AC147" s="161"/>
    </row>
    <row r="148" spans="1:29" x14ac:dyDescent="0.2">
      <c r="A148" s="45"/>
      <c r="X148" s="26"/>
    </row>
    <row r="149" spans="1:29" x14ac:dyDescent="0.2">
      <c r="A149" s="45"/>
      <c r="AC149" s="162"/>
    </row>
    <row r="150" spans="1:29" x14ac:dyDescent="0.2">
      <c r="A150" s="45"/>
    </row>
    <row r="151" spans="1:29" x14ac:dyDescent="0.2">
      <c r="A151" s="45"/>
    </row>
    <row r="152" spans="1:29" x14ac:dyDescent="0.2">
      <c r="A152" s="45"/>
    </row>
    <row r="153" spans="1:29" x14ac:dyDescent="0.2">
      <c r="A153" s="45"/>
    </row>
    <row r="154" spans="1:29" x14ac:dyDescent="0.2">
      <c r="A154" s="45"/>
    </row>
    <row r="155" spans="1:29" x14ac:dyDescent="0.2">
      <c r="A155" s="45"/>
    </row>
    <row r="156" spans="1:29" x14ac:dyDescent="0.2">
      <c r="A156" s="45"/>
    </row>
    <row r="157" spans="1:29" x14ac:dyDescent="0.2">
      <c r="A157" s="45"/>
    </row>
    <row r="158" spans="1:29" x14ac:dyDescent="0.2">
      <c r="A158" s="45"/>
    </row>
    <row r="159" spans="1:29" x14ac:dyDescent="0.2">
      <c r="A159" s="45"/>
    </row>
    <row r="160" spans="1:29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E18"/>
  <sheetViews>
    <sheetView workbookViewId="0">
      <selection sqref="A1:E19"/>
    </sheetView>
  </sheetViews>
  <sheetFormatPr defaultRowHeight="12.75" x14ac:dyDescent="0.2"/>
  <cols>
    <col min="1" max="1" width="9.33203125" style="174"/>
    <col min="2" max="2" width="16.1640625" style="174" customWidth="1"/>
    <col min="3" max="4" width="10.6640625" style="174" bestFit="1" customWidth="1"/>
    <col min="5" max="5" width="9.6640625" style="174" bestFit="1" customWidth="1"/>
    <col min="6" max="16384" width="9.33203125" style="174"/>
  </cols>
  <sheetData>
    <row r="1" spans="1:5" x14ac:dyDescent="0.2">
      <c r="A1" s="174" t="s">
        <v>225</v>
      </c>
    </row>
    <row r="2" spans="1:5" x14ac:dyDescent="0.2">
      <c r="A2" s="174" t="s">
        <v>212</v>
      </c>
    </row>
    <row r="3" spans="1:5" x14ac:dyDescent="0.2">
      <c r="A3" s="174" t="s">
        <v>264</v>
      </c>
    </row>
    <row r="5" spans="1:5" x14ac:dyDescent="0.2">
      <c r="B5" s="174" t="s">
        <v>72</v>
      </c>
      <c r="C5" s="174" t="s">
        <v>73</v>
      </c>
      <c r="D5" s="174" t="s">
        <v>74</v>
      </c>
      <c r="E5" s="174" t="s">
        <v>75</v>
      </c>
    </row>
    <row r="6" spans="1:5" x14ac:dyDescent="0.2">
      <c r="A6" s="174" t="s">
        <v>76</v>
      </c>
      <c r="B6" s="27">
        <v>50.759309292559799</v>
      </c>
      <c r="C6" s="240">
        <v>14.6988281468479</v>
      </c>
      <c r="D6" s="240">
        <v>3.45328952658345</v>
      </c>
      <c r="E6" s="240">
        <v>7.7816511091209498E-4</v>
      </c>
    </row>
    <row r="7" spans="1:5" x14ac:dyDescent="0.2">
      <c r="A7" s="174" t="s">
        <v>41</v>
      </c>
      <c r="B7" s="27">
        <v>3.0709582740179899E-2</v>
      </c>
      <c r="C7" s="240">
        <v>1.4854188947113101E-3</v>
      </c>
      <c r="D7" s="240">
        <v>20.674021886700299</v>
      </c>
      <c r="E7" s="240">
        <v>2.2658155443052798E-40</v>
      </c>
    </row>
    <row r="8" spans="1:5" x14ac:dyDescent="0.2">
      <c r="A8" s="174" t="s">
        <v>38</v>
      </c>
      <c r="B8" s="27">
        <v>7.8794912928664307E-2</v>
      </c>
      <c r="C8" s="240">
        <v>3.7886221497011002E-3</v>
      </c>
      <c r="D8" s="240">
        <v>20.797775501280999</v>
      </c>
      <c r="E8" s="240">
        <v>1.32171583689837E-40</v>
      </c>
    </row>
    <row r="9" spans="1:5" x14ac:dyDescent="0.2">
      <c r="A9" s="174" t="s">
        <v>69</v>
      </c>
      <c r="B9" s="27">
        <v>-9.6359804914303293E-2</v>
      </c>
      <c r="C9" s="240">
        <v>2.83686235724359E-2</v>
      </c>
      <c r="D9" s="240">
        <v>-3.39670356823129</v>
      </c>
      <c r="E9" s="240">
        <v>9.3974731914933999E-4</v>
      </c>
    </row>
    <row r="10" spans="1:5" x14ac:dyDescent="0.2">
      <c r="A10" s="174" t="s">
        <v>19</v>
      </c>
      <c r="B10" s="27">
        <v>1.2711731167394E-2</v>
      </c>
      <c r="C10" s="240">
        <v>5.2128177805638304E-3</v>
      </c>
      <c r="D10" s="240">
        <v>2.4385527563979199</v>
      </c>
      <c r="E10" s="240">
        <v>1.6289268919608201E-2</v>
      </c>
    </row>
    <row r="11" spans="1:5" x14ac:dyDescent="0.2">
      <c r="A11" s="174" t="s">
        <v>68</v>
      </c>
      <c r="B11" s="27">
        <v>-1.9723066266223299</v>
      </c>
      <c r="C11" s="240">
        <v>0.42668570147301998</v>
      </c>
      <c r="D11" s="240">
        <v>-4.6223874383731696</v>
      </c>
      <c r="E11" s="240">
        <v>1.00638294950533E-5</v>
      </c>
    </row>
    <row r="12" spans="1:5" x14ac:dyDescent="0.2">
      <c r="B12" s="27"/>
    </row>
    <row r="13" spans="1:5" x14ac:dyDescent="0.2">
      <c r="A13" s="174" t="s">
        <v>199</v>
      </c>
    </row>
    <row r="14" spans="1:5" x14ac:dyDescent="0.2">
      <c r="A14" s="174" t="s">
        <v>77</v>
      </c>
      <c r="B14" s="240">
        <v>93.087761600079006</v>
      </c>
      <c r="C14" s="240" t="s">
        <v>78</v>
      </c>
      <c r="D14" s="240">
        <v>6.10632888948677</v>
      </c>
    </row>
    <row r="15" spans="1:5" x14ac:dyDescent="0.2">
      <c r="A15" s="174" t="s">
        <v>79</v>
      </c>
      <c r="B15" s="240">
        <v>323.57361950888298</v>
      </c>
      <c r="C15" s="240" t="s">
        <v>80</v>
      </c>
      <c r="D15" s="240">
        <v>1.68474481254915</v>
      </c>
    </row>
    <row r="16" spans="1:5" x14ac:dyDescent="0.2">
      <c r="A16" s="174" t="s">
        <v>81</v>
      </c>
      <c r="B16" s="240">
        <v>0.92740906269622103</v>
      </c>
      <c r="C16" s="240" t="s">
        <v>82</v>
      </c>
      <c r="D16" s="240">
        <v>0.92422524965658204</v>
      </c>
    </row>
    <row r="17" spans="1:4" x14ac:dyDescent="0.2">
      <c r="A17" s="174" t="s">
        <v>88</v>
      </c>
      <c r="B17" s="240">
        <v>277.99780048914999</v>
      </c>
      <c r="C17" s="240" t="s">
        <v>83</v>
      </c>
      <c r="D17" s="240">
        <v>4.1162283403949898E-62</v>
      </c>
    </row>
    <row r="18" spans="1:4" x14ac:dyDescent="0.2">
      <c r="A18" s="174" t="s">
        <v>84</v>
      </c>
      <c r="B18" s="240">
        <v>-9.7179103696310798E-4</v>
      </c>
      <c r="C18" s="240" t="s">
        <v>85</v>
      </c>
      <c r="D18" s="240">
        <v>1.9701240278216099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AB195"/>
  <sheetViews>
    <sheetView topLeftCell="A81" workbookViewId="0">
      <selection activeCell="E121" sqref="E121"/>
    </sheetView>
  </sheetViews>
  <sheetFormatPr defaultRowHeight="12.75" x14ac:dyDescent="0.2"/>
  <cols>
    <col min="1" max="3" width="9.33203125" style="29"/>
    <col min="4" max="4" width="14.6640625" style="29" bestFit="1" customWidth="1"/>
    <col min="5" max="10" width="9.33203125" style="29"/>
    <col min="11" max="11" width="11.83203125" style="29" bestFit="1" customWidth="1"/>
    <col min="12" max="13" width="9.33203125" style="29"/>
    <col min="14" max="14" width="14.1640625" style="29" bestFit="1" customWidth="1"/>
    <col min="15" max="16" width="12.5" style="29" customWidth="1"/>
    <col min="17" max="17" width="19.1640625" style="29" customWidth="1"/>
    <col min="18" max="18" width="9.33203125" style="29"/>
    <col min="19" max="19" width="14.1640625" style="29" bestFit="1" customWidth="1"/>
    <col min="20" max="20" width="13.83203125" style="29" bestFit="1" customWidth="1"/>
    <col min="21" max="22" width="9.33203125" style="29"/>
    <col min="23" max="23" width="13.83203125" style="29" bestFit="1" customWidth="1"/>
    <col min="24" max="25" width="9.33203125" style="29"/>
    <col min="26" max="28" width="12.83203125" style="29" customWidth="1"/>
    <col min="29" max="16384" width="9.33203125" style="29"/>
  </cols>
  <sheetData>
    <row r="1" spans="1:23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Data'!J1</f>
        <v>GS_lt_50_NoCDM</v>
      </c>
      <c r="E1" s="46" t="str">
        <f>'Monthly Data'!AL1</f>
        <v>HDD12</v>
      </c>
      <c r="F1" s="46" t="str">
        <f>'Monthly Data'!AI1</f>
        <v>CDD16</v>
      </c>
      <c r="G1" s="29" t="str">
        <f>'Monthly Data'!BG1</f>
        <v>Trend</v>
      </c>
      <c r="H1" s="46" t="str">
        <f>'Monthly Data'!X1</f>
        <v>Tor_FTEAdj</v>
      </c>
      <c r="I1" s="29" t="str">
        <f>'Monthly Data'!BF1</f>
        <v>Shoulder</v>
      </c>
      <c r="K1" s="29" t="s">
        <v>76</v>
      </c>
      <c r="L1" s="46" t="str">
        <f>E1</f>
        <v>HDD12</v>
      </c>
      <c r="M1" s="46" t="str">
        <f>F1</f>
        <v>CDD16</v>
      </c>
      <c r="N1" s="46" t="str">
        <f>G1</f>
        <v>Trend</v>
      </c>
      <c r="O1" s="46" t="str">
        <f>H1</f>
        <v>Tor_FTEAdj</v>
      </c>
      <c r="P1" s="46" t="str">
        <f>I1</f>
        <v>Shoulder</v>
      </c>
      <c r="Q1" s="44" t="str">
        <f>'Monthly Data'!H1</f>
        <v>GS_lt_50_Customersomers</v>
      </c>
      <c r="R1" s="29" t="str">
        <f>'Monthly Data'!BH1</f>
        <v>Month Days</v>
      </c>
      <c r="S1" s="29" t="s">
        <v>86</v>
      </c>
      <c r="T1" s="29" t="s">
        <v>87</v>
      </c>
      <c r="W1" s="29">
        <f>SUM(K2:P2)</f>
        <v>101.56245884336371</v>
      </c>
    </row>
    <row r="2" spans="1:23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158">
        <f>'Monthly Data'!J2</f>
        <v>15762767</v>
      </c>
      <c r="E2" s="251">
        <f>'Monthly Data'!AL2</f>
        <v>483.20000000000005</v>
      </c>
      <c r="F2" s="251">
        <f>'Monthly Data'!AI2</f>
        <v>0</v>
      </c>
      <c r="G2" s="29">
        <f>'Monthly Data'!BG2</f>
        <v>1</v>
      </c>
      <c r="H2" s="63">
        <f>'Monthly Data'!X2</f>
        <v>2836.8</v>
      </c>
      <c r="I2" s="29">
        <f>'Monthly Data'!BF2</f>
        <v>0</v>
      </c>
      <c r="K2" s="29">
        <f>'GS&lt;50 PW'!$B$6</f>
        <v>50.759309292559799</v>
      </c>
      <c r="L2" s="29">
        <f>E2*'GS&lt;50 PW'!$B$7</f>
        <v>14.838870380054928</v>
      </c>
      <c r="M2" s="29">
        <f>F2*'GS&lt;50 PW'!$B$8</f>
        <v>0</v>
      </c>
      <c r="N2" s="29">
        <f>G2*'GS&lt;50 PW'!$B$9</f>
        <v>-9.6359804914303293E-2</v>
      </c>
      <c r="O2" s="29">
        <f>H2*'GS&lt;50 PW'!$B$10</f>
        <v>36.060638975663302</v>
      </c>
      <c r="P2" s="29">
        <f>I2*'GS&lt;50 PW'!$B$11</f>
        <v>0</v>
      </c>
      <c r="Q2" s="158">
        <f>'Monthly Data'!H2</f>
        <v>4982</v>
      </c>
      <c r="R2" s="29">
        <f>'Monthly Data'!BH2</f>
        <v>31</v>
      </c>
      <c r="S2" s="44">
        <f>SUM(K2:P2)*Q2*R2</f>
        <v>15685509.268686779</v>
      </c>
      <c r="T2" s="44">
        <f t="shared" ref="T2:T33" si="2">S2-D2</f>
        <v>-77257.731313221157</v>
      </c>
      <c r="U2" s="48">
        <f>ABS(T2/D2)</f>
        <v>4.9012797888353709E-3</v>
      </c>
    </row>
    <row r="3" spans="1:23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158">
        <f>'Monthly Data'!J3</f>
        <v>14456043</v>
      </c>
      <c r="E3" s="251">
        <f>'Monthly Data'!AL3</f>
        <v>392.59999999999997</v>
      </c>
      <c r="F3" s="251">
        <f>'Monthly Data'!AI3</f>
        <v>0</v>
      </c>
      <c r="G3" s="29">
        <f>'Monthly Data'!BG3</f>
        <v>2</v>
      </c>
      <c r="H3" s="63">
        <f>'Monthly Data'!X3</f>
        <v>2842.3</v>
      </c>
      <c r="I3" s="29">
        <f>'Monthly Data'!BF3</f>
        <v>0</v>
      </c>
      <c r="K3" s="29">
        <f>'GS&lt;50 PW'!$B$6</f>
        <v>50.759309292559799</v>
      </c>
      <c r="L3" s="29">
        <f>E3*'GS&lt;50 PW'!$B$7</f>
        <v>12.056582183794628</v>
      </c>
      <c r="M3" s="29">
        <f>F3*'GS&lt;50 PW'!$B$8</f>
        <v>0</v>
      </c>
      <c r="N3" s="29">
        <f>G3*'GS&lt;50 PW'!$B$9</f>
        <v>-0.19271960982860659</v>
      </c>
      <c r="O3" s="29">
        <f>H3*'GS&lt;50 PW'!$B$10</f>
        <v>36.130553497083966</v>
      </c>
      <c r="P3" s="29">
        <f>I3*'GS&lt;50 PW'!$B$11</f>
        <v>0</v>
      </c>
      <c r="Q3" s="158">
        <f>'Monthly Data'!H3</f>
        <v>4991</v>
      </c>
      <c r="R3" s="29">
        <f>'Monthly Data'!BH3</f>
        <v>28</v>
      </c>
      <c r="S3" s="44">
        <f t="shared" ref="S3:S66" si="3">SUM(K3:P3)*Q3*R3</f>
        <v>13800635.61211374</v>
      </c>
      <c r="T3" s="44">
        <f t="shared" si="2"/>
        <v>-655407.3878862597</v>
      </c>
      <c r="U3" s="48">
        <f t="shared" ref="U3:U33" si="4">ABS(T3/D3)</f>
        <v>4.5337952293463692E-2</v>
      </c>
    </row>
    <row r="4" spans="1:23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158">
        <f>'Monthly Data'!J4</f>
        <v>14266604</v>
      </c>
      <c r="E4" s="251">
        <f>'Monthly Data'!AL4</f>
        <v>232.39999999999995</v>
      </c>
      <c r="F4" s="251">
        <f>'Monthly Data'!AI4</f>
        <v>0</v>
      </c>
      <c r="G4" s="29">
        <f>'Monthly Data'!BG4</f>
        <v>3</v>
      </c>
      <c r="H4" s="63">
        <f>'Monthly Data'!X4</f>
        <v>2849.8</v>
      </c>
      <c r="I4" s="29">
        <f>'Monthly Data'!BF4</f>
        <v>1</v>
      </c>
      <c r="K4" s="29">
        <f>'GS&lt;50 PW'!$B$6</f>
        <v>50.759309292559799</v>
      </c>
      <c r="L4" s="29">
        <f>E4*'GS&lt;50 PW'!$B$7</f>
        <v>7.1369070288178067</v>
      </c>
      <c r="M4" s="29">
        <f>F4*'GS&lt;50 PW'!$B$8</f>
        <v>0</v>
      </c>
      <c r="N4" s="29">
        <f>G4*'GS&lt;50 PW'!$B$9</f>
        <v>-0.28907941474290988</v>
      </c>
      <c r="O4" s="29">
        <f>H4*'GS&lt;50 PW'!$B$10</f>
        <v>36.225891480839422</v>
      </c>
      <c r="P4" s="29">
        <f>I4*'GS&lt;50 PW'!$B$11</f>
        <v>-1.9723066266223299</v>
      </c>
      <c r="Q4" s="158">
        <f>'Monthly Data'!H4</f>
        <v>4993</v>
      </c>
      <c r="R4" s="29">
        <f>'Monthly Data'!BH4</f>
        <v>31</v>
      </c>
      <c r="S4" s="44">
        <f t="shared" si="3"/>
        <v>14218478.096309923</v>
      </c>
      <c r="T4" s="44">
        <f t="shared" si="2"/>
        <v>-48125.903690077364</v>
      </c>
      <c r="U4" s="48">
        <f t="shared" si="4"/>
        <v>3.3733258237263306E-3</v>
      </c>
    </row>
    <row r="5" spans="1:23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158">
        <f>'Monthly Data'!J5</f>
        <v>12709245</v>
      </c>
      <c r="E5" s="251">
        <f>'Monthly Data'!AL5</f>
        <v>78.500000000000014</v>
      </c>
      <c r="F5" s="251">
        <f>'Monthly Data'!AI5</f>
        <v>0</v>
      </c>
      <c r="G5" s="29">
        <f>'Monthly Data'!BG5</f>
        <v>4</v>
      </c>
      <c r="H5" s="63">
        <f>'Monthly Data'!X5</f>
        <v>2844.4</v>
      </c>
      <c r="I5" s="29">
        <f>'Monthly Data'!BF5</f>
        <v>1</v>
      </c>
      <c r="K5" s="29">
        <f>'GS&lt;50 PW'!$B$6</f>
        <v>50.759309292559799</v>
      </c>
      <c r="L5" s="29">
        <f>E5*'GS&lt;50 PW'!$B$7</f>
        <v>2.4107022451041225</v>
      </c>
      <c r="M5" s="29">
        <f>F5*'GS&lt;50 PW'!$B$8</f>
        <v>0</v>
      </c>
      <c r="N5" s="29">
        <f>G5*'GS&lt;50 PW'!$B$9</f>
        <v>-0.38543921965721317</v>
      </c>
      <c r="O5" s="29">
        <f>H5*'GS&lt;50 PW'!$B$10</f>
        <v>36.157248132535493</v>
      </c>
      <c r="P5" s="29">
        <f>I5*'GS&lt;50 PW'!$B$11</f>
        <v>-1.9723066266223299</v>
      </c>
      <c r="Q5" s="158">
        <f>'Monthly Data'!H5</f>
        <v>4962</v>
      </c>
      <c r="R5" s="29">
        <f>'Monthly Data'!BH5</f>
        <v>30</v>
      </c>
      <c r="S5" s="44">
        <f t="shared" si="3"/>
        <v>12946281.827828713</v>
      </c>
      <c r="T5" s="44">
        <f t="shared" si="2"/>
        <v>237036.82782871276</v>
      </c>
      <c r="U5" s="48">
        <f t="shared" si="4"/>
        <v>1.8650740294070399E-2</v>
      </c>
    </row>
    <row r="6" spans="1:23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158">
        <f>'Monthly Data'!J6</f>
        <v>13617876</v>
      </c>
      <c r="E6" s="251">
        <f>'Monthly Data'!AL6</f>
        <v>36.5</v>
      </c>
      <c r="F6" s="251">
        <f>'Monthly Data'!AI6</f>
        <v>46.8</v>
      </c>
      <c r="G6" s="29">
        <f>'Monthly Data'!BG6</f>
        <v>5</v>
      </c>
      <c r="H6" s="63">
        <f>'Monthly Data'!X6</f>
        <v>2847.5</v>
      </c>
      <c r="I6" s="29">
        <f>'Monthly Data'!BF6</f>
        <v>1</v>
      </c>
      <c r="K6" s="29">
        <f>'GS&lt;50 PW'!$B$6</f>
        <v>50.759309292559799</v>
      </c>
      <c r="L6" s="29">
        <f>E6*'GS&lt;50 PW'!$B$7</f>
        <v>1.1208997700165664</v>
      </c>
      <c r="M6" s="29">
        <f>F6*'GS&lt;50 PW'!$B$8</f>
        <v>3.6876019250614895</v>
      </c>
      <c r="N6" s="29">
        <f>G6*'GS&lt;50 PW'!$B$9</f>
        <v>-0.48179902457151647</v>
      </c>
      <c r="O6" s="29">
        <f>H6*'GS&lt;50 PW'!$B$10</f>
        <v>36.196654499154413</v>
      </c>
      <c r="P6" s="29">
        <f>I6*'GS&lt;50 PW'!$B$11</f>
        <v>-1.9723066266223299</v>
      </c>
      <c r="Q6" s="158">
        <f>'Monthly Data'!H6</f>
        <v>4969</v>
      </c>
      <c r="R6" s="29">
        <f>'Monthly Data'!BH6</f>
        <v>31</v>
      </c>
      <c r="S6" s="44">
        <f t="shared" si="3"/>
        <v>13757278.518715747</v>
      </c>
      <c r="T6" s="44">
        <f t="shared" si="2"/>
        <v>139402.5187157467</v>
      </c>
      <c r="U6" s="48">
        <f t="shared" si="4"/>
        <v>1.0236729921446391E-2</v>
      </c>
    </row>
    <row r="7" spans="1:23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158">
        <f>'Monthly Data'!J7</f>
        <v>14352297</v>
      </c>
      <c r="E7" s="251">
        <f>'Monthly Data'!AL7</f>
        <v>0</v>
      </c>
      <c r="F7" s="251">
        <f>'Monthly Data'!AI7</f>
        <v>105</v>
      </c>
      <c r="G7" s="29">
        <f>'Monthly Data'!BG7</f>
        <v>6</v>
      </c>
      <c r="H7" s="63">
        <f>'Monthly Data'!X7</f>
        <v>2859.9</v>
      </c>
      <c r="I7" s="29">
        <f>'Monthly Data'!BF7</f>
        <v>0</v>
      </c>
      <c r="K7" s="29">
        <f>'GS&lt;50 PW'!$B$6</f>
        <v>50.759309292559799</v>
      </c>
      <c r="L7" s="29">
        <f>E7*'GS&lt;50 PW'!$B$7</f>
        <v>0</v>
      </c>
      <c r="M7" s="29">
        <f>F7*'GS&lt;50 PW'!$B$8</f>
        <v>8.2734658575097519</v>
      </c>
      <c r="N7" s="29">
        <f>G7*'GS&lt;50 PW'!$B$9</f>
        <v>-0.57815882948581976</v>
      </c>
      <c r="O7" s="29">
        <f>H7*'GS&lt;50 PW'!$B$10</f>
        <v>36.354279965630099</v>
      </c>
      <c r="P7" s="29">
        <f>I7*'GS&lt;50 PW'!$B$11</f>
        <v>0</v>
      </c>
      <c r="Q7" s="158">
        <f>'Monthly Data'!H7</f>
        <v>4976</v>
      </c>
      <c r="R7" s="29">
        <f>'Monthly Data'!BH7</f>
        <v>30</v>
      </c>
      <c r="S7" s="44">
        <f t="shared" si="3"/>
        <v>14153072.037606001</v>
      </c>
      <c r="T7" s="44">
        <f t="shared" si="2"/>
        <v>-199224.9623939991</v>
      </c>
      <c r="U7" s="48">
        <f t="shared" si="4"/>
        <v>1.3881050705263352E-2</v>
      </c>
    </row>
    <row r="8" spans="1:23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158">
        <f>'Monthly Data'!J8</f>
        <v>16022256</v>
      </c>
      <c r="E8" s="251">
        <f>'Monthly Data'!AL8</f>
        <v>0</v>
      </c>
      <c r="F8" s="251">
        <f>'Monthly Data'!AI8</f>
        <v>229.8</v>
      </c>
      <c r="G8" s="29">
        <f>'Monthly Data'!BG8</f>
        <v>7</v>
      </c>
      <c r="H8" s="63">
        <f>'Monthly Data'!X8</f>
        <v>2878.7</v>
      </c>
      <c r="I8" s="29">
        <f>'Monthly Data'!BF8</f>
        <v>0</v>
      </c>
      <c r="K8" s="29">
        <f>'GS&lt;50 PW'!$B$6</f>
        <v>50.759309292559799</v>
      </c>
      <c r="L8" s="29">
        <f>E8*'GS&lt;50 PW'!$B$7</f>
        <v>0</v>
      </c>
      <c r="M8" s="29">
        <f>F8*'GS&lt;50 PW'!$B$8</f>
        <v>18.10707099100706</v>
      </c>
      <c r="N8" s="29">
        <f>G8*'GS&lt;50 PW'!$B$9</f>
        <v>-0.67451863440012305</v>
      </c>
      <c r="O8" s="29">
        <f>H8*'GS&lt;50 PW'!$B$10</f>
        <v>36.593260511577107</v>
      </c>
      <c r="P8" s="29">
        <f>I8*'GS&lt;50 PW'!$B$11</f>
        <v>0</v>
      </c>
      <c r="Q8" s="158">
        <f>'Monthly Data'!H8</f>
        <v>4982</v>
      </c>
      <c r="R8" s="29">
        <f>'Monthly Data'!BH8</f>
        <v>31</v>
      </c>
      <c r="S8" s="44">
        <f t="shared" si="3"/>
        <v>16183223.8367496</v>
      </c>
      <c r="T8" s="44">
        <f t="shared" si="2"/>
        <v>160967.83674960025</v>
      </c>
      <c r="U8" s="48">
        <f t="shared" si="4"/>
        <v>1.0046515094353769E-2</v>
      </c>
    </row>
    <row r="9" spans="1:23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158">
        <f>'Monthly Data'!J9</f>
        <v>15750964</v>
      </c>
      <c r="E9" s="251">
        <f>'Monthly Data'!AL9</f>
        <v>0</v>
      </c>
      <c r="F9" s="251">
        <f>'Monthly Data'!AI9</f>
        <v>207.7</v>
      </c>
      <c r="G9" s="29">
        <f>'Monthly Data'!BG9</f>
        <v>8</v>
      </c>
      <c r="H9" s="63">
        <f>'Monthly Data'!X9</f>
        <v>2895.3</v>
      </c>
      <c r="I9" s="29">
        <f>'Monthly Data'!BF9</f>
        <v>0</v>
      </c>
      <c r="K9" s="29">
        <f>'GS&lt;50 PW'!$B$6</f>
        <v>50.759309292559799</v>
      </c>
      <c r="L9" s="29">
        <f>E9*'GS&lt;50 PW'!$B$7</f>
        <v>0</v>
      </c>
      <c r="M9" s="29">
        <f>F9*'GS&lt;50 PW'!$B$8</f>
        <v>16.365703415283576</v>
      </c>
      <c r="N9" s="29">
        <f>G9*'GS&lt;50 PW'!$B$9</f>
        <v>-0.77087843931442634</v>
      </c>
      <c r="O9" s="29">
        <f>H9*'GS&lt;50 PW'!$B$10</f>
        <v>36.804275248955854</v>
      </c>
      <c r="P9" s="29">
        <f>I9*'GS&lt;50 PW'!$B$11</f>
        <v>0</v>
      </c>
      <c r="Q9" s="158">
        <f>'Monthly Data'!H9</f>
        <v>4983</v>
      </c>
      <c r="R9" s="29">
        <f>'Monthly Data'!BH9</f>
        <v>31</v>
      </c>
      <c r="S9" s="44">
        <f t="shared" si="3"/>
        <v>15935188.993394431</v>
      </c>
      <c r="T9" s="44">
        <f t="shared" si="2"/>
        <v>184224.99339443073</v>
      </c>
      <c r="U9" s="48">
        <f t="shared" si="4"/>
        <v>1.1696109101286165E-2</v>
      </c>
    </row>
    <row r="10" spans="1:23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158">
        <f>'Monthly Data'!J10</f>
        <v>13403453</v>
      </c>
      <c r="E10" s="251">
        <f>'Monthly Data'!AL10</f>
        <v>9.9999999999999645E-2</v>
      </c>
      <c r="F10" s="251">
        <f>'Monthly Data'!AI10</f>
        <v>56.8</v>
      </c>
      <c r="G10" s="29">
        <f>'Monthly Data'!BG10</f>
        <v>9</v>
      </c>
      <c r="H10" s="63">
        <f>'Monthly Data'!X10</f>
        <v>2891.8</v>
      </c>
      <c r="I10" s="29">
        <f>'Monthly Data'!BF10</f>
        <v>1</v>
      </c>
      <c r="K10" s="29">
        <f>'GS&lt;50 PW'!$B$6</f>
        <v>50.759309292559799</v>
      </c>
      <c r="L10" s="29">
        <f>E10*'GS&lt;50 PW'!$B$7</f>
        <v>3.0709582740179788E-3</v>
      </c>
      <c r="M10" s="29">
        <f>F10*'GS&lt;50 PW'!$B$8</f>
        <v>4.4755510543481325</v>
      </c>
      <c r="N10" s="29">
        <f>G10*'GS&lt;50 PW'!$B$9</f>
        <v>-0.86723824422872964</v>
      </c>
      <c r="O10" s="29">
        <f>H10*'GS&lt;50 PW'!$B$10</f>
        <v>36.759784189869968</v>
      </c>
      <c r="P10" s="29">
        <f>I10*'GS&lt;50 PW'!$B$11</f>
        <v>-1.9723066266223299</v>
      </c>
      <c r="Q10" s="158">
        <f>'Monthly Data'!H10</f>
        <v>4981</v>
      </c>
      <c r="R10" s="29">
        <f>'Monthly Data'!BH10</f>
        <v>30</v>
      </c>
      <c r="S10" s="44">
        <f t="shared" si="3"/>
        <v>13322905.436374335</v>
      </c>
      <c r="T10" s="44">
        <f t="shared" si="2"/>
        <v>-80547.563625665382</v>
      </c>
      <c r="U10" s="48">
        <f t="shared" si="4"/>
        <v>6.0094636528113601E-3</v>
      </c>
    </row>
    <row r="11" spans="1:23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158">
        <f>'Monthly Data'!J11</f>
        <v>13142565</v>
      </c>
      <c r="E11" s="251">
        <f>'Monthly Data'!AL11</f>
        <v>44.2</v>
      </c>
      <c r="F11" s="251">
        <f>'Monthly Data'!AI11</f>
        <v>3.4000000000000021</v>
      </c>
      <c r="G11" s="29">
        <f>'Monthly Data'!BG11</f>
        <v>10</v>
      </c>
      <c r="H11" s="63">
        <f>'Monthly Data'!X11</f>
        <v>2893.7</v>
      </c>
      <c r="I11" s="29">
        <f>'Monthly Data'!BF11</f>
        <v>1</v>
      </c>
      <c r="K11" s="29">
        <f>'GS&lt;50 PW'!$B$6</f>
        <v>50.759309292559799</v>
      </c>
      <c r="L11" s="29">
        <f>E11*'GS&lt;50 PW'!$B$7</f>
        <v>1.3573635571159517</v>
      </c>
      <c r="M11" s="29">
        <f>F11*'GS&lt;50 PW'!$B$8</f>
        <v>0.2679027039574588</v>
      </c>
      <c r="N11" s="29">
        <f>G11*'GS&lt;50 PW'!$B$9</f>
        <v>-0.96359804914303293</v>
      </c>
      <c r="O11" s="29">
        <f>H11*'GS&lt;50 PW'!$B$10</f>
        <v>36.783936479088013</v>
      </c>
      <c r="P11" s="29">
        <f>I11*'GS&lt;50 PW'!$B$11</f>
        <v>-1.9723066266223299</v>
      </c>
      <c r="Q11" s="158">
        <f>'Monthly Data'!H11</f>
        <v>4981</v>
      </c>
      <c r="R11" s="29">
        <f>'Monthly Data'!BH11</f>
        <v>31</v>
      </c>
      <c r="S11" s="44">
        <f t="shared" si="3"/>
        <v>13315263.134594912</v>
      </c>
      <c r="T11" s="44">
        <f t="shared" si="2"/>
        <v>172698.13459491171</v>
      </c>
      <c r="U11" s="48">
        <f t="shared" si="4"/>
        <v>1.314036754582623E-2</v>
      </c>
    </row>
    <row r="12" spans="1:23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158">
        <f>'Monthly Data'!J12</f>
        <v>13574075</v>
      </c>
      <c r="E12" s="251">
        <f>'Monthly Data'!AL12</f>
        <v>202.7</v>
      </c>
      <c r="F12" s="251">
        <f>'Monthly Data'!AI12</f>
        <v>0</v>
      </c>
      <c r="G12" s="29">
        <f>'Monthly Data'!BG12</f>
        <v>11</v>
      </c>
      <c r="H12" s="63">
        <f>'Monthly Data'!X12</f>
        <v>2893.6</v>
      </c>
      <c r="I12" s="29">
        <f>'Monthly Data'!BF12</f>
        <v>1</v>
      </c>
      <c r="K12" s="29">
        <f>'GS&lt;50 PW'!$B$6</f>
        <v>50.759309292559799</v>
      </c>
      <c r="L12" s="29">
        <f>E12*'GS&lt;50 PW'!$B$7</f>
        <v>6.2248324214344652</v>
      </c>
      <c r="M12" s="29">
        <f>F12*'GS&lt;50 PW'!$B$8</f>
        <v>0</v>
      </c>
      <c r="N12" s="29">
        <f>G12*'GS&lt;50 PW'!$B$9</f>
        <v>-1.0599578540573362</v>
      </c>
      <c r="O12" s="29">
        <f>H12*'GS&lt;50 PW'!$B$10</f>
        <v>36.782665305971278</v>
      </c>
      <c r="P12" s="29">
        <f>I12*'GS&lt;50 PW'!$B$11</f>
        <v>-1.9723066266223299</v>
      </c>
      <c r="Q12" s="158">
        <f>'Monthly Data'!H12</f>
        <v>5023</v>
      </c>
      <c r="R12" s="29">
        <f>'Monthly Data'!BH12</f>
        <v>30</v>
      </c>
      <c r="S12" s="44">
        <f t="shared" si="3"/>
        <v>13672788.21524499</v>
      </c>
      <c r="T12" s="44">
        <f t="shared" si="2"/>
        <v>98713.215244989842</v>
      </c>
      <c r="U12" s="48">
        <f t="shared" si="4"/>
        <v>7.272187257326178E-3</v>
      </c>
    </row>
    <row r="13" spans="1:23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158">
        <f>'Monthly Data'!J13</f>
        <v>15142180</v>
      </c>
      <c r="E13" s="251">
        <f>'Monthly Data'!AL13</f>
        <v>447.59999999999997</v>
      </c>
      <c r="F13" s="251">
        <f>'Monthly Data'!AI13</f>
        <v>0</v>
      </c>
      <c r="G13" s="29">
        <f>'Monthly Data'!BG13</f>
        <v>12</v>
      </c>
      <c r="H13" s="63">
        <f>'Monthly Data'!X13</f>
        <v>2918.5</v>
      </c>
      <c r="I13" s="29">
        <f>'Monthly Data'!BF13</f>
        <v>0</v>
      </c>
      <c r="K13" s="29">
        <f>'GS&lt;50 PW'!$B$6</f>
        <v>50.759309292559799</v>
      </c>
      <c r="L13" s="29">
        <f>E13*'GS&lt;50 PW'!$B$7</f>
        <v>13.745609234504522</v>
      </c>
      <c r="M13" s="29">
        <f>F13*'GS&lt;50 PW'!$B$8</f>
        <v>0</v>
      </c>
      <c r="N13" s="29">
        <f>G13*'GS&lt;50 PW'!$B$9</f>
        <v>-1.1563176589716395</v>
      </c>
      <c r="O13" s="29">
        <f>H13*'GS&lt;50 PW'!$B$10</f>
        <v>37.099187412039392</v>
      </c>
      <c r="P13" s="29">
        <f>I13*'GS&lt;50 PW'!$B$11</f>
        <v>0</v>
      </c>
      <c r="Q13" s="158">
        <f>'Monthly Data'!H13</f>
        <v>5036</v>
      </c>
      <c r="R13" s="29">
        <f>'Monthly Data'!BH13</f>
        <v>31</v>
      </c>
      <c r="S13" s="44">
        <f t="shared" si="3"/>
        <v>15681506.9151411</v>
      </c>
      <c r="T13" s="44">
        <f t="shared" si="2"/>
        <v>539326.91514110006</v>
      </c>
      <c r="U13" s="48">
        <f t="shared" si="4"/>
        <v>3.561752106639203E-2</v>
      </c>
    </row>
    <row r="14" spans="1:23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158">
        <f>'Monthly Data'!J14</f>
        <v>15995127.334936943</v>
      </c>
      <c r="E14" s="251">
        <f>'Monthly Data'!AL14</f>
        <v>540.69999999999993</v>
      </c>
      <c r="F14" s="251">
        <f>'Monthly Data'!AI14</f>
        <v>0</v>
      </c>
      <c r="G14" s="29">
        <f>'Monthly Data'!BG14</f>
        <v>13</v>
      </c>
      <c r="H14" s="63">
        <f>'Monthly Data'!X14</f>
        <v>2938.5</v>
      </c>
      <c r="I14" s="29">
        <f>'Monthly Data'!BF14</f>
        <v>0</v>
      </c>
      <c r="K14" s="29">
        <f>'GS&lt;50 PW'!$B$6</f>
        <v>50.759309292559799</v>
      </c>
      <c r="L14" s="29">
        <f>E14*'GS&lt;50 PW'!$B$7</f>
        <v>16.604671387615269</v>
      </c>
      <c r="M14" s="29">
        <f>F14*'GS&lt;50 PW'!$B$8</f>
        <v>0</v>
      </c>
      <c r="N14" s="29">
        <f>G14*'GS&lt;50 PW'!$B$9</f>
        <v>-1.2526774638859428</v>
      </c>
      <c r="O14" s="29">
        <f>H14*'GS&lt;50 PW'!$B$10</f>
        <v>37.353422035387268</v>
      </c>
      <c r="P14" s="29">
        <f>I14*'GS&lt;50 PW'!$B$11</f>
        <v>0</v>
      </c>
      <c r="Q14" s="158">
        <f>'Monthly Data'!H14</f>
        <v>5045</v>
      </c>
      <c r="R14" s="29">
        <f>'Monthly Data'!BH14</f>
        <v>31</v>
      </c>
      <c r="S14" s="44">
        <f t="shared" si="3"/>
        <v>16181365.705735931</v>
      </c>
      <c r="T14" s="44">
        <f t="shared" si="2"/>
        <v>186238.37079898827</v>
      </c>
      <c r="U14" s="48">
        <f t="shared" si="4"/>
        <v>1.1643444087637985E-2</v>
      </c>
    </row>
    <row r="15" spans="1:23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158">
        <f>'Monthly Data'!J15</f>
        <v>14555084.334936943</v>
      </c>
      <c r="E15" s="251">
        <f>'Monthly Data'!AL15</f>
        <v>437.20000000000005</v>
      </c>
      <c r="F15" s="251">
        <f>'Monthly Data'!AI15</f>
        <v>0</v>
      </c>
      <c r="G15" s="29">
        <f>'Monthly Data'!BG15</f>
        <v>14</v>
      </c>
      <c r="H15" s="63">
        <f>'Monthly Data'!X15</f>
        <v>2947.4</v>
      </c>
      <c r="I15" s="29">
        <f>'Monthly Data'!BF15</f>
        <v>0</v>
      </c>
      <c r="K15" s="29">
        <f>'GS&lt;50 PW'!$B$6</f>
        <v>50.759309292559799</v>
      </c>
      <c r="L15" s="29">
        <f>E15*'GS&lt;50 PW'!$B$7</f>
        <v>13.426229574006653</v>
      </c>
      <c r="M15" s="29">
        <f>F15*'GS&lt;50 PW'!$B$8</f>
        <v>0</v>
      </c>
      <c r="N15" s="29">
        <f>G15*'GS&lt;50 PW'!$B$9</f>
        <v>-1.3490372688002461</v>
      </c>
      <c r="O15" s="29">
        <f>H15*'GS&lt;50 PW'!$B$10</f>
        <v>37.466556442777076</v>
      </c>
      <c r="P15" s="29">
        <f>I15*'GS&lt;50 PW'!$B$11</f>
        <v>0</v>
      </c>
      <c r="Q15" s="158">
        <f>'Monthly Data'!H15</f>
        <v>5089</v>
      </c>
      <c r="R15" s="29">
        <f>'Monthly Data'!BH15</f>
        <v>28</v>
      </c>
      <c r="S15" s="44">
        <f t="shared" si="3"/>
        <v>14292383.346313093</v>
      </c>
      <c r="T15" s="44">
        <f t="shared" si="2"/>
        <v>-262700.98862385005</v>
      </c>
      <c r="U15" s="48">
        <f t="shared" si="4"/>
        <v>1.8048743832646996E-2</v>
      </c>
    </row>
    <row r="16" spans="1:23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158">
        <f>'Monthly Data'!J16</f>
        <v>15164745.334936943</v>
      </c>
      <c r="E16" s="251">
        <f>'Monthly Data'!AL16</f>
        <v>359.50000000000006</v>
      </c>
      <c r="F16" s="251">
        <f>'Monthly Data'!AI16</f>
        <v>0</v>
      </c>
      <c r="G16" s="29">
        <f>'Monthly Data'!BG16</f>
        <v>15</v>
      </c>
      <c r="H16" s="63">
        <f>'Monthly Data'!X16</f>
        <v>2938.7</v>
      </c>
      <c r="I16" s="29">
        <f>'Monthly Data'!BF16</f>
        <v>1</v>
      </c>
      <c r="K16" s="29">
        <f>'GS&lt;50 PW'!$B$6</f>
        <v>50.759309292559799</v>
      </c>
      <c r="L16" s="29">
        <f>E16*'GS&lt;50 PW'!$B$7</f>
        <v>11.040094995094675</v>
      </c>
      <c r="M16" s="29">
        <f>F16*'GS&lt;50 PW'!$B$8</f>
        <v>0</v>
      </c>
      <c r="N16" s="29">
        <f>G16*'GS&lt;50 PW'!$B$9</f>
        <v>-1.4453970737145494</v>
      </c>
      <c r="O16" s="29">
        <f>H16*'GS&lt;50 PW'!$B$10</f>
        <v>37.355964381620744</v>
      </c>
      <c r="P16" s="29">
        <f>I16*'GS&lt;50 PW'!$B$11</f>
        <v>-1.9723066266223299</v>
      </c>
      <c r="Q16" s="158">
        <f>'Monthly Data'!H16</f>
        <v>5088</v>
      </c>
      <c r="R16" s="29">
        <f>'Monthly Data'!BH16</f>
        <v>31</v>
      </c>
      <c r="S16" s="44">
        <f t="shared" si="3"/>
        <v>15100510.420220705</v>
      </c>
      <c r="T16" s="44">
        <f t="shared" si="2"/>
        <v>-64234.914716238156</v>
      </c>
      <c r="U16" s="48">
        <f t="shared" si="4"/>
        <v>4.2358056991733352E-3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158">
        <f>'Monthly Data'!J17</f>
        <v>13518631.334936943</v>
      </c>
      <c r="E17" s="251">
        <f>'Monthly Data'!AL17</f>
        <v>177.5</v>
      </c>
      <c r="F17" s="251">
        <f>'Monthly Data'!AI17</f>
        <v>0</v>
      </c>
      <c r="G17" s="29">
        <f>'Monthly Data'!BG17</f>
        <v>16</v>
      </c>
      <c r="H17" s="63">
        <f>'Monthly Data'!X17</f>
        <v>2929.9</v>
      </c>
      <c r="I17" s="29">
        <f>'Monthly Data'!BF17</f>
        <v>1</v>
      </c>
      <c r="K17" s="29">
        <f>'GS&lt;50 PW'!$B$6</f>
        <v>50.759309292559799</v>
      </c>
      <c r="L17" s="29">
        <f>E17*'GS&lt;50 PW'!$B$7</f>
        <v>5.4509509363819317</v>
      </c>
      <c r="M17" s="29">
        <f>F17*'GS&lt;50 PW'!$B$8</f>
        <v>0</v>
      </c>
      <c r="N17" s="29">
        <f>G17*'GS&lt;50 PW'!$B$9</f>
        <v>-1.5417568786288527</v>
      </c>
      <c r="O17" s="29">
        <f>H17*'GS&lt;50 PW'!$B$10</f>
        <v>37.244101147347685</v>
      </c>
      <c r="P17" s="29">
        <f>I17*'GS&lt;50 PW'!$B$11</f>
        <v>-1.9723066266223299</v>
      </c>
      <c r="Q17" s="158">
        <f>'Monthly Data'!H17</f>
        <v>5085</v>
      </c>
      <c r="R17" s="29">
        <f>'Monthly Data'!BH17</f>
        <v>30</v>
      </c>
      <c r="S17" s="44">
        <f t="shared" si="3"/>
        <v>13720392.440226883</v>
      </c>
      <c r="T17" s="44">
        <f t="shared" si="2"/>
        <v>201761.10528993979</v>
      </c>
      <c r="U17" s="48">
        <f t="shared" si="4"/>
        <v>1.4924669538736326E-2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158">
        <f>'Monthly Data'!J18</f>
        <v>13626861.334936943</v>
      </c>
      <c r="E18" s="251">
        <f>'Monthly Data'!AL18</f>
        <v>42.399999999999991</v>
      </c>
      <c r="F18" s="251">
        <f>'Monthly Data'!AI18</f>
        <v>9.8000000000000007</v>
      </c>
      <c r="G18" s="29">
        <f>'Monthly Data'!BG18</f>
        <v>17</v>
      </c>
      <c r="H18" s="63">
        <f>'Monthly Data'!X18</f>
        <v>2930.2</v>
      </c>
      <c r="I18" s="29">
        <f>'Monthly Data'!BF18</f>
        <v>1</v>
      </c>
      <c r="K18" s="29">
        <f>'GS&lt;50 PW'!$B$6</f>
        <v>50.759309292559799</v>
      </c>
      <c r="L18" s="29">
        <f>E18*'GS&lt;50 PW'!$B$7</f>
        <v>1.3020863081836274</v>
      </c>
      <c r="M18" s="29">
        <f>F18*'GS&lt;50 PW'!$B$8</f>
        <v>0.77219014670091024</v>
      </c>
      <c r="N18" s="29">
        <f>G18*'GS&lt;50 PW'!$B$9</f>
        <v>-1.638116683543156</v>
      </c>
      <c r="O18" s="29">
        <f>H18*'GS&lt;50 PW'!$B$10</f>
        <v>37.247914666697895</v>
      </c>
      <c r="P18" s="29">
        <f>I18*'GS&lt;50 PW'!$B$11</f>
        <v>-1.9723066266223299</v>
      </c>
      <c r="Q18" s="158">
        <f>'Monthly Data'!H18</f>
        <v>5078</v>
      </c>
      <c r="R18" s="29">
        <f>'Monthly Data'!BH18</f>
        <v>31</v>
      </c>
      <c r="S18" s="44">
        <f t="shared" si="3"/>
        <v>13612104.015553812</v>
      </c>
      <c r="T18" s="44">
        <f t="shared" si="2"/>
        <v>-14757.31938313134</v>
      </c>
      <c r="U18" s="48">
        <f t="shared" si="4"/>
        <v>1.0829580649871365E-3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158">
        <f>'Monthly Data'!J19</f>
        <v>14487788.334936943</v>
      </c>
      <c r="E19" s="251">
        <f>'Monthly Data'!AL19</f>
        <v>0</v>
      </c>
      <c r="F19" s="251">
        <f>'Monthly Data'!AI19</f>
        <v>86.4</v>
      </c>
      <c r="G19" s="29">
        <f>'Monthly Data'!BG19</f>
        <v>18</v>
      </c>
      <c r="H19" s="63">
        <f>'Monthly Data'!X19</f>
        <v>2934.9</v>
      </c>
      <c r="I19" s="29">
        <f>'Monthly Data'!BF19</f>
        <v>0</v>
      </c>
      <c r="K19" s="29">
        <f>'GS&lt;50 PW'!$B$6</f>
        <v>50.759309292559799</v>
      </c>
      <c r="L19" s="29">
        <f>E19*'GS&lt;50 PW'!$B$7</f>
        <v>0</v>
      </c>
      <c r="M19" s="29">
        <f>F19*'GS&lt;50 PW'!$B$8</f>
        <v>6.8078804770365968</v>
      </c>
      <c r="N19" s="29">
        <f>G19*'GS&lt;50 PW'!$B$9</f>
        <v>-1.7344764884574593</v>
      </c>
      <c r="O19" s="29">
        <f>H19*'GS&lt;50 PW'!$B$10</f>
        <v>37.307659803184649</v>
      </c>
      <c r="P19" s="29">
        <f>I19*'GS&lt;50 PW'!$B$11</f>
        <v>0</v>
      </c>
      <c r="Q19" s="158">
        <f>'Monthly Data'!H19</f>
        <v>5082</v>
      </c>
      <c r="R19" s="29">
        <f>'Monthly Data'!BH19</f>
        <v>30</v>
      </c>
      <c r="S19" s="44">
        <f t="shared" si="3"/>
        <v>14200181.280435974</v>
      </c>
      <c r="T19" s="44">
        <f t="shared" si="2"/>
        <v>-287607.05450096913</v>
      </c>
      <c r="U19" s="48">
        <f t="shared" si="4"/>
        <v>1.9851688045953282E-2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158">
        <f>'Monthly Data'!J20</f>
        <v>16609782.334936943</v>
      </c>
      <c r="E20" s="251">
        <f>'Monthly Data'!AL20</f>
        <v>0</v>
      </c>
      <c r="F20" s="251">
        <f>'Monthly Data'!AI20</f>
        <v>251.9</v>
      </c>
      <c r="G20" s="29">
        <f>'Monthly Data'!BG20</f>
        <v>19</v>
      </c>
      <c r="H20" s="63">
        <f>'Monthly Data'!X20</f>
        <v>2928.1</v>
      </c>
      <c r="I20" s="29">
        <f>'Monthly Data'!BF20</f>
        <v>0</v>
      </c>
      <c r="K20" s="29">
        <f>'GS&lt;50 PW'!$B$6</f>
        <v>50.759309292559799</v>
      </c>
      <c r="L20" s="29">
        <f>E20*'GS&lt;50 PW'!$B$7</f>
        <v>0</v>
      </c>
      <c r="M20" s="29">
        <f>F20*'GS&lt;50 PW'!$B$8</f>
        <v>19.84843856673054</v>
      </c>
      <c r="N20" s="29">
        <f>G20*'GS&lt;50 PW'!$B$9</f>
        <v>-1.8308362933717626</v>
      </c>
      <c r="O20" s="29">
        <f>H20*'GS&lt;50 PW'!$B$10</f>
        <v>37.221220031246368</v>
      </c>
      <c r="P20" s="29">
        <f>I20*'GS&lt;50 PW'!$B$11</f>
        <v>0</v>
      </c>
      <c r="Q20" s="158">
        <f>'Monthly Data'!H20</f>
        <v>5096</v>
      </c>
      <c r="R20" s="29">
        <f>'Monthly Data'!BH20</f>
        <v>31</v>
      </c>
      <c r="S20" s="44">
        <f t="shared" si="3"/>
        <v>16745160.837193729</v>
      </c>
      <c r="T20" s="44">
        <f t="shared" si="2"/>
        <v>135378.50225678645</v>
      </c>
      <c r="U20" s="48">
        <f t="shared" si="4"/>
        <v>8.1505283770053928E-3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158">
        <f>'Monthly Data'!J21</f>
        <v>15863299.334936943</v>
      </c>
      <c r="E21" s="251">
        <f>'Monthly Data'!AL21</f>
        <v>0</v>
      </c>
      <c r="F21" s="251">
        <f>'Monthly Data'!AI21</f>
        <v>180.40000000000003</v>
      </c>
      <c r="G21" s="29">
        <f>'Monthly Data'!BG21</f>
        <v>20</v>
      </c>
      <c r="H21" s="63">
        <f>'Monthly Data'!X21</f>
        <v>2922.7</v>
      </c>
      <c r="I21" s="29">
        <f>'Monthly Data'!BF21</f>
        <v>0</v>
      </c>
      <c r="K21" s="29">
        <f>'GS&lt;50 PW'!$B$6</f>
        <v>50.759309292559799</v>
      </c>
      <c r="L21" s="29">
        <f>E21*'GS&lt;50 PW'!$B$7</f>
        <v>0</v>
      </c>
      <c r="M21" s="29">
        <f>F21*'GS&lt;50 PW'!$B$8</f>
        <v>14.214602292331044</v>
      </c>
      <c r="N21" s="29">
        <f>G21*'GS&lt;50 PW'!$B$9</f>
        <v>-1.9271960982860659</v>
      </c>
      <c r="O21" s="29">
        <f>H21*'GS&lt;50 PW'!$B$10</f>
        <v>37.152576682942438</v>
      </c>
      <c r="P21" s="29">
        <f>I21*'GS&lt;50 PW'!$B$11</f>
        <v>0</v>
      </c>
      <c r="Q21" s="158">
        <f>'Monthly Data'!H21</f>
        <v>5089</v>
      </c>
      <c r="R21" s="29">
        <f>'Monthly Data'!BH21</f>
        <v>31</v>
      </c>
      <c r="S21" s="44">
        <f t="shared" si="3"/>
        <v>15807340.1333756</v>
      </c>
      <c r="T21" s="44">
        <f t="shared" si="2"/>
        <v>-55959.201561342925</v>
      </c>
      <c r="U21" s="48">
        <f t="shared" si="4"/>
        <v>3.5275890834449391E-3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158">
        <f>'Monthly Data'!J22</f>
        <v>13532144.334936943</v>
      </c>
      <c r="E22" s="251">
        <f>'Monthly Data'!AL22</f>
        <v>0.40000000000000036</v>
      </c>
      <c r="F22" s="251">
        <f>'Monthly Data'!AI22</f>
        <v>65</v>
      </c>
      <c r="G22" s="29">
        <f>'Monthly Data'!BG22</f>
        <v>21</v>
      </c>
      <c r="H22" s="63">
        <f>'Monthly Data'!X22</f>
        <v>2918.3</v>
      </c>
      <c r="I22" s="29">
        <f>'Monthly Data'!BF22</f>
        <v>1</v>
      </c>
      <c r="K22" s="29">
        <f>'GS&lt;50 PW'!$B$6</f>
        <v>50.759309292559799</v>
      </c>
      <c r="L22" s="29">
        <f>E22*'GS&lt;50 PW'!$B$7</f>
        <v>1.2283833096071971E-2</v>
      </c>
      <c r="M22" s="29">
        <f>F22*'GS&lt;50 PW'!$B$8</f>
        <v>5.1216693403631801</v>
      </c>
      <c r="N22" s="29">
        <f>G22*'GS&lt;50 PW'!$B$9</f>
        <v>-2.0235559032003692</v>
      </c>
      <c r="O22" s="29">
        <f>H22*'GS&lt;50 PW'!$B$10</f>
        <v>37.096645065805916</v>
      </c>
      <c r="P22" s="29">
        <f>I22*'GS&lt;50 PW'!$B$11</f>
        <v>-1.9723066266223299</v>
      </c>
      <c r="Q22" s="158">
        <f>'Monthly Data'!H22</f>
        <v>5088</v>
      </c>
      <c r="R22" s="29">
        <f>'Monthly Data'!BH22</f>
        <v>30</v>
      </c>
      <c r="S22" s="44">
        <f t="shared" si="3"/>
        <v>13584051.029105628</v>
      </c>
      <c r="T22" s="44">
        <f t="shared" si="2"/>
        <v>51906.694168685004</v>
      </c>
      <c r="U22" s="48">
        <f t="shared" si="4"/>
        <v>3.8358070150547856E-3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158">
        <f>'Monthly Data'!J23</f>
        <v>13280230.334936943</v>
      </c>
      <c r="E23" s="251">
        <f>'Monthly Data'!AL23</f>
        <v>61.1</v>
      </c>
      <c r="F23" s="251">
        <f>'Monthly Data'!AI23</f>
        <v>11.599999999999998</v>
      </c>
      <c r="G23" s="29">
        <f>'Monthly Data'!BG23</f>
        <v>22</v>
      </c>
      <c r="H23" s="63">
        <f>'Monthly Data'!X23</f>
        <v>2912.1</v>
      </c>
      <c r="I23" s="29">
        <f>'Monthly Data'!BF23</f>
        <v>1</v>
      </c>
      <c r="K23" s="29">
        <f>'GS&lt;50 PW'!$B$6</f>
        <v>50.759309292559799</v>
      </c>
      <c r="L23" s="29">
        <f>E23*'GS&lt;50 PW'!$B$7</f>
        <v>1.8763555054249919</v>
      </c>
      <c r="M23" s="29">
        <f>F23*'GS&lt;50 PW'!$B$8</f>
        <v>0.9140209899725058</v>
      </c>
      <c r="N23" s="29">
        <f>G23*'GS&lt;50 PW'!$B$9</f>
        <v>-2.1199157081146724</v>
      </c>
      <c r="O23" s="29">
        <f>H23*'GS&lt;50 PW'!$B$10</f>
        <v>37.017832332568069</v>
      </c>
      <c r="P23" s="29">
        <f>I23*'GS&lt;50 PW'!$B$11</f>
        <v>-1.9723066266223299</v>
      </c>
      <c r="Q23" s="158">
        <f>'Monthly Data'!H23</f>
        <v>5102</v>
      </c>
      <c r="R23" s="29">
        <f>'Monthly Data'!BH23</f>
        <v>31</v>
      </c>
      <c r="S23" s="44">
        <f t="shared" si="3"/>
        <v>13677105.73207186</v>
      </c>
      <c r="T23" s="44">
        <f t="shared" si="2"/>
        <v>396875.39713491686</v>
      </c>
      <c r="U23" s="48">
        <f t="shared" si="4"/>
        <v>2.9884677232655942E-2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158">
        <f>'Monthly Data'!J24</f>
        <v>13582759.334936943</v>
      </c>
      <c r="E24" s="251">
        <f>'Monthly Data'!AL24</f>
        <v>127.09999999999998</v>
      </c>
      <c r="F24" s="251">
        <f>'Monthly Data'!AI24</f>
        <v>0</v>
      </c>
      <c r="G24" s="29">
        <f>'Monthly Data'!BG24</f>
        <v>23</v>
      </c>
      <c r="H24" s="63">
        <f>'Monthly Data'!X24</f>
        <v>2908.5</v>
      </c>
      <c r="I24" s="29">
        <f>'Monthly Data'!BF24</f>
        <v>1</v>
      </c>
      <c r="K24" s="29">
        <f>'GS&lt;50 PW'!$B$6</f>
        <v>50.759309292559799</v>
      </c>
      <c r="L24" s="29">
        <f>E24*'GS&lt;50 PW'!$B$7</f>
        <v>3.9031879662768647</v>
      </c>
      <c r="M24" s="29">
        <f>F24*'GS&lt;50 PW'!$B$8</f>
        <v>0</v>
      </c>
      <c r="N24" s="29">
        <f>G24*'GS&lt;50 PW'!$B$9</f>
        <v>-2.2162755130289757</v>
      </c>
      <c r="O24" s="29">
        <f>H24*'GS&lt;50 PW'!$B$10</f>
        <v>36.97207010036545</v>
      </c>
      <c r="P24" s="29">
        <f>I24*'GS&lt;50 PW'!$B$11</f>
        <v>-1.9723066266223299</v>
      </c>
      <c r="Q24" s="158">
        <f>'Monthly Data'!H24</f>
        <v>5122</v>
      </c>
      <c r="R24" s="29">
        <f>'Monthly Data'!BH24</f>
        <v>30</v>
      </c>
      <c r="S24" s="44">
        <f t="shared" si="3"/>
        <v>13436950.088836176</v>
      </c>
      <c r="T24" s="44">
        <f t="shared" si="2"/>
        <v>-145809.24610076658</v>
      </c>
      <c r="U24" s="48">
        <f t="shared" si="4"/>
        <v>1.0734876655417343E-2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158">
        <f>'Monthly Data'!J25</f>
        <v>14822411.334936943</v>
      </c>
      <c r="E25" s="251">
        <f>'Monthly Data'!AL25</f>
        <v>295.3</v>
      </c>
      <c r="F25" s="251">
        <f>'Monthly Data'!AI25</f>
        <v>0</v>
      </c>
      <c r="G25" s="29">
        <f>'Monthly Data'!BG25</f>
        <v>24</v>
      </c>
      <c r="H25" s="63">
        <f>'Monthly Data'!X25</f>
        <v>2903</v>
      </c>
      <c r="I25" s="29">
        <f>'Monthly Data'!BF25</f>
        <v>0</v>
      </c>
      <c r="K25" s="29">
        <f>'GS&lt;50 PW'!$B$6</f>
        <v>50.759309292559799</v>
      </c>
      <c r="L25" s="29">
        <f>E25*'GS&lt;50 PW'!$B$7</f>
        <v>9.0685397831751242</v>
      </c>
      <c r="M25" s="29">
        <f>F25*'GS&lt;50 PW'!$B$8</f>
        <v>0</v>
      </c>
      <c r="N25" s="29">
        <f>G25*'GS&lt;50 PW'!$B$9</f>
        <v>-2.312635317943279</v>
      </c>
      <c r="O25" s="29">
        <f>H25*'GS&lt;50 PW'!$B$10</f>
        <v>36.902155578944779</v>
      </c>
      <c r="P25" s="29">
        <f>I25*'GS&lt;50 PW'!$B$11</f>
        <v>0</v>
      </c>
      <c r="Q25" s="158">
        <f>'Monthly Data'!H25</f>
        <v>5123</v>
      </c>
      <c r="R25" s="29">
        <f>'Monthly Data'!BH25</f>
        <v>31</v>
      </c>
      <c r="S25" s="44">
        <f t="shared" si="3"/>
        <v>14994705.676475121</v>
      </c>
      <c r="T25" s="44">
        <f t="shared" si="2"/>
        <v>172294.3415381778</v>
      </c>
      <c r="U25" s="48">
        <f t="shared" si="4"/>
        <v>1.1623907719526984E-2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158">
        <f>'Monthly Data'!J26</f>
        <v>15492130.281657217</v>
      </c>
      <c r="E26" s="251">
        <f>'Monthly Data'!AL26</f>
        <v>382.7000000000001</v>
      </c>
      <c r="F26" s="251">
        <f>'Monthly Data'!AI26</f>
        <v>0</v>
      </c>
      <c r="G26" s="29">
        <f>'Monthly Data'!BG26</f>
        <v>25</v>
      </c>
      <c r="H26" s="63">
        <f>'Monthly Data'!X26</f>
        <v>2903.3</v>
      </c>
      <c r="I26" s="29">
        <f>'Monthly Data'!BF26</f>
        <v>0</v>
      </c>
      <c r="K26" s="29">
        <f>'GS&lt;50 PW'!$B$6</f>
        <v>50.759309292559799</v>
      </c>
      <c r="L26" s="29">
        <f>E26*'GS&lt;50 PW'!$B$7</f>
        <v>11.75255731466685</v>
      </c>
      <c r="M26" s="29">
        <f>F26*'GS&lt;50 PW'!$B$8</f>
        <v>0</v>
      </c>
      <c r="N26" s="29">
        <f>G26*'GS&lt;50 PW'!$B$9</f>
        <v>-2.4089951228575823</v>
      </c>
      <c r="O26" s="29">
        <f>H26*'GS&lt;50 PW'!$B$10</f>
        <v>36.905969098295003</v>
      </c>
      <c r="P26" s="29">
        <f>I26*'GS&lt;50 PW'!$B$11</f>
        <v>0</v>
      </c>
      <c r="Q26" s="158">
        <f>'Monthly Data'!H26</f>
        <v>5121</v>
      </c>
      <c r="R26" s="29">
        <f>'Monthly Data'!BH26</f>
        <v>31</v>
      </c>
      <c r="S26" s="44">
        <f t="shared" si="3"/>
        <v>15400250.451338505</v>
      </c>
      <c r="T26" s="44">
        <f t="shared" si="2"/>
        <v>-91879.830318711698</v>
      </c>
      <c r="U26" s="48">
        <f t="shared" si="4"/>
        <v>5.9307421670406436E-3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158">
        <f>'Monthly Data'!J27</f>
        <v>14445977.281657217</v>
      </c>
      <c r="E27" s="251">
        <f>'Monthly Data'!AL27</f>
        <v>323.39999999999998</v>
      </c>
      <c r="F27" s="251">
        <f>'Monthly Data'!AI27</f>
        <v>0</v>
      </c>
      <c r="G27" s="29">
        <f>'Monthly Data'!BG27</f>
        <v>26</v>
      </c>
      <c r="H27" s="63">
        <f>'Monthly Data'!X27</f>
        <v>2901.2</v>
      </c>
      <c r="I27" s="29">
        <f>'Monthly Data'!BF27</f>
        <v>0</v>
      </c>
      <c r="K27" s="29">
        <f>'GS&lt;50 PW'!$B$6</f>
        <v>50.759309292559799</v>
      </c>
      <c r="L27" s="29">
        <f>E27*'GS&lt;50 PW'!$B$7</f>
        <v>9.9314790581741779</v>
      </c>
      <c r="M27" s="29">
        <f>F27*'GS&lt;50 PW'!$B$8</f>
        <v>0</v>
      </c>
      <c r="N27" s="29">
        <f>G27*'GS&lt;50 PW'!$B$9</f>
        <v>-2.5053549277718856</v>
      </c>
      <c r="O27" s="29">
        <f>H27*'GS&lt;50 PW'!$B$10</f>
        <v>36.879274462843469</v>
      </c>
      <c r="P27" s="29">
        <f>I27*'GS&lt;50 PW'!$B$11</f>
        <v>0</v>
      </c>
      <c r="Q27" s="158">
        <f>'Monthly Data'!H27</f>
        <v>5127</v>
      </c>
      <c r="R27" s="29">
        <f>'Monthly Data'!BH27</f>
        <v>29</v>
      </c>
      <c r="S27" s="44">
        <f t="shared" si="3"/>
        <v>14134505.962585228</v>
      </c>
      <c r="T27" s="44">
        <f t="shared" si="2"/>
        <v>-311471.31907198951</v>
      </c>
      <c r="U27" s="48">
        <f t="shared" si="4"/>
        <v>2.1561110958375953E-2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158">
        <f>'Monthly Data'!J28</f>
        <v>14326333.281657217</v>
      </c>
      <c r="E28" s="251">
        <f>'Monthly Data'!AL28</f>
        <v>184.89999999999998</v>
      </c>
      <c r="F28" s="251">
        <f>'Monthly Data'!AI28</f>
        <v>0</v>
      </c>
      <c r="G28" s="29">
        <f>'Monthly Data'!BG28</f>
        <v>27</v>
      </c>
      <c r="H28" s="63">
        <f>'Monthly Data'!X28</f>
        <v>2907.4</v>
      </c>
      <c r="I28" s="29">
        <f>'Monthly Data'!BF28</f>
        <v>1</v>
      </c>
      <c r="K28" s="29">
        <f>'GS&lt;50 PW'!$B$6</f>
        <v>50.759309292559799</v>
      </c>
      <c r="L28" s="29">
        <f>E28*'GS&lt;50 PW'!$B$7</f>
        <v>5.6782018486592625</v>
      </c>
      <c r="M28" s="29">
        <f>F28*'GS&lt;50 PW'!$B$8</f>
        <v>0</v>
      </c>
      <c r="N28" s="29">
        <f>G28*'GS&lt;50 PW'!$B$9</f>
        <v>-2.6017147326861889</v>
      </c>
      <c r="O28" s="29">
        <f>H28*'GS&lt;50 PW'!$B$10</f>
        <v>36.958087196081316</v>
      </c>
      <c r="P28" s="29">
        <f>I28*'GS&lt;50 PW'!$B$11</f>
        <v>-1.9723066266223299</v>
      </c>
      <c r="Q28" s="158">
        <f>'Monthly Data'!H28</f>
        <v>5122</v>
      </c>
      <c r="R28" s="29">
        <f>'Monthly Data'!BH28</f>
        <v>31</v>
      </c>
      <c r="S28" s="44">
        <f t="shared" si="3"/>
        <v>14103267.635719504</v>
      </c>
      <c r="T28" s="44">
        <f t="shared" si="2"/>
        <v>-223065.64593771286</v>
      </c>
      <c r="U28" s="48">
        <f t="shared" si="4"/>
        <v>1.5570323651713167E-2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158">
        <f>'Monthly Data'!J29</f>
        <v>13184039.281657217</v>
      </c>
      <c r="E29" s="251">
        <f>'Monthly Data'!AL29</f>
        <v>134.19999999999999</v>
      </c>
      <c r="F29" s="251">
        <f>'Monthly Data'!AI29</f>
        <v>0</v>
      </c>
      <c r="G29" s="29">
        <f>'Monthly Data'!BG29</f>
        <v>28</v>
      </c>
      <c r="H29" s="63">
        <f>'Monthly Data'!X29</f>
        <v>2912.5</v>
      </c>
      <c r="I29" s="29">
        <f>'Monthly Data'!BF29</f>
        <v>1</v>
      </c>
      <c r="K29" s="29">
        <f>'GS&lt;50 PW'!$B$6</f>
        <v>50.759309292559799</v>
      </c>
      <c r="L29" s="29">
        <f>E29*'GS&lt;50 PW'!$B$7</f>
        <v>4.1212260037321418</v>
      </c>
      <c r="M29" s="29">
        <f>F29*'GS&lt;50 PW'!$B$8</f>
        <v>0</v>
      </c>
      <c r="N29" s="29">
        <f>G29*'GS&lt;50 PW'!$B$9</f>
        <v>-2.6980745376004922</v>
      </c>
      <c r="O29" s="29">
        <f>H29*'GS&lt;50 PW'!$B$10</f>
        <v>37.022917025035028</v>
      </c>
      <c r="P29" s="29">
        <f>I29*'GS&lt;50 PW'!$B$11</f>
        <v>-1.9723066266223299</v>
      </c>
      <c r="Q29" s="158">
        <f>'Monthly Data'!H29</f>
        <v>5123</v>
      </c>
      <c r="R29" s="29">
        <f>'Monthly Data'!BH29</f>
        <v>30</v>
      </c>
      <c r="S29" s="44">
        <f t="shared" si="3"/>
        <v>13406850.706135336</v>
      </c>
      <c r="T29" s="44">
        <f t="shared" si="2"/>
        <v>222811.42447811924</v>
      </c>
      <c r="U29" s="48">
        <f t="shared" si="4"/>
        <v>1.6900088032058117E-2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158">
        <f>'Monthly Data'!J30</f>
        <v>13982977.281657217</v>
      </c>
      <c r="E30" s="251">
        <f>'Monthly Data'!AL30</f>
        <v>11.399999999999997</v>
      </c>
      <c r="F30" s="251">
        <f>'Monthly Data'!AI30</f>
        <v>46.2</v>
      </c>
      <c r="G30" s="29">
        <f>'Monthly Data'!BG30</f>
        <v>29</v>
      </c>
      <c r="H30" s="63">
        <f>'Monthly Data'!X30</f>
        <v>2917.9</v>
      </c>
      <c r="I30" s="29">
        <f>'Monthly Data'!BF30</f>
        <v>1</v>
      </c>
      <c r="K30" s="29">
        <f>'GS&lt;50 PW'!$B$6</f>
        <v>50.759309292559799</v>
      </c>
      <c r="L30" s="29">
        <f>E30*'GS&lt;50 PW'!$B$7</f>
        <v>0.35008924323805074</v>
      </c>
      <c r="M30" s="29">
        <f>F30*'GS&lt;50 PW'!$B$8</f>
        <v>3.6403249773042914</v>
      </c>
      <c r="N30" s="29">
        <f>G30*'GS&lt;50 PW'!$B$9</f>
        <v>-2.7944343425147955</v>
      </c>
      <c r="O30" s="29">
        <f>H30*'GS&lt;50 PW'!$B$10</f>
        <v>37.091560373338957</v>
      </c>
      <c r="P30" s="29">
        <f>I30*'GS&lt;50 PW'!$B$11</f>
        <v>-1.9723066266223299</v>
      </c>
      <c r="Q30" s="158">
        <f>'Monthly Data'!H30</f>
        <v>5123</v>
      </c>
      <c r="R30" s="29">
        <f>'Monthly Data'!BH30</f>
        <v>31</v>
      </c>
      <c r="S30" s="44">
        <f t="shared" si="3"/>
        <v>13828569.384325797</v>
      </c>
      <c r="T30" s="44">
        <f t="shared" si="2"/>
        <v>-154407.89733142033</v>
      </c>
      <c r="U30" s="48">
        <f t="shared" si="4"/>
        <v>1.1042562268478519E-2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158">
        <f>'Monthly Data'!J31</f>
        <v>14982710.281657217</v>
      </c>
      <c r="E31" s="251">
        <f>'Monthly Data'!AL31</f>
        <v>0</v>
      </c>
      <c r="F31" s="251">
        <f>'Monthly Data'!AI31</f>
        <v>147</v>
      </c>
      <c r="G31" s="29">
        <f>'Monthly Data'!BG31</f>
        <v>30</v>
      </c>
      <c r="H31" s="63">
        <f>'Monthly Data'!X31</f>
        <v>2928.6</v>
      </c>
      <c r="I31" s="29">
        <f>'Monthly Data'!BF31</f>
        <v>0</v>
      </c>
      <c r="K31" s="29">
        <f>'GS&lt;50 PW'!$B$6</f>
        <v>50.759309292559799</v>
      </c>
      <c r="L31" s="29">
        <f>E31*'GS&lt;50 PW'!$B$7</f>
        <v>0</v>
      </c>
      <c r="M31" s="29">
        <f>F31*'GS&lt;50 PW'!$B$8</f>
        <v>11.582852200513653</v>
      </c>
      <c r="N31" s="29">
        <f>G31*'GS&lt;50 PW'!$B$9</f>
        <v>-2.8907941474290988</v>
      </c>
      <c r="O31" s="29">
        <f>H31*'GS&lt;50 PW'!$B$10</f>
        <v>37.227575896830068</v>
      </c>
      <c r="P31" s="29">
        <f>I31*'GS&lt;50 PW'!$B$11</f>
        <v>0</v>
      </c>
      <c r="Q31" s="158">
        <f>'Monthly Data'!H31</f>
        <v>5127</v>
      </c>
      <c r="R31" s="29">
        <f>'Monthly Data'!BH31</f>
        <v>30</v>
      </c>
      <c r="S31" s="44">
        <f t="shared" si="3"/>
        <v>14870188.260124989</v>
      </c>
      <c r="T31" s="44">
        <f t="shared" si="2"/>
        <v>-112522.02153222822</v>
      </c>
      <c r="U31" s="48">
        <f t="shared" si="4"/>
        <v>7.5101246314550184E-3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158">
        <f>'Monthly Data'!J32</f>
        <v>16737303.281657217</v>
      </c>
      <c r="E32" s="251">
        <f>'Monthly Data'!AL32</f>
        <v>0</v>
      </c>
      <c r="F32" s="251">
        <f>'Monthly Data'!AI32</f>
        <v>255</v>
      </c>
      <c r="G32" s="29">
        <f>'Monthly Data'!BG32</f>
        <v>31</v>
      </c>
      <c r="H32" s="63">
        <f>'Monthly Data'!X32</f>
        <v>2949.2</v>
      </c>
      <c r="I32" s="29">
        <f>'Monthly Data'!BF32</f>
        <v>0</v>
      </c>
      <c r="K32" s="29">
        <f>'GS&lt;50 PW'!$B$6</f>
        <v>50.759309292559799</v>
      </c>
      <c r="L32" s="29">
        <f>E32*'GS&lt;50 PW'!$B$7</f>
        <v>0</v>
      </c>
      <c r="M32" s="29">
        <f>F32*'GS&lt;50 PW'!$B$8</f>
        <v>20.092702796809398</v>
      </c>
      <c r="N32" s="29">
        <f>G32*'GS&lt;50 PW'!$B$9</f>
        <v>-2.9871539523434021</v>
      </c>
      <c r="O32" s="29">
        <f>H32*'GS&lt;50 PW'!$B$10</f>
        <v>37.489437558878386</v>
      </c>
      <c r="P32" s="29">
        <f>I32*'GS&lt;50 PW'!$B$11</f>
        <v>0</v>
      </c>
      <c r="Q32" s="158">
        <f>'Monthly Data'!H32</f>
        <v>5135</v>
      </c>
      <c r="R32" s="29">
        <f>'Monthly Data'!BH32</f>
        <v>31</v>
      </c>
      <c r="S32" s="44">
        <f t="shared" si="3"/>
        <v>16770823.560352506</v>
      </c>
      <c r="T32" s="44">
        <f t="shared" si="2"/>
        <v>33520.278695289046</v>
      </c>
      <c r="U32" s="48">
        <f t="shared" si="4"/>
        <v>2.0027287628840819E-3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158">
        <f>'Monthly Data'!J33</f>
        <v>15895184.281657217</v>
      </c>
      <c r="E33" s="251">
        <f>'Monthly Data'!AL33</f>
        <v>0</v>
      </c>
      <c r="F33" s="251">
        <f>'Monthly Data'!AI33</f>
        <v>192.8</v>
      </c>
      <c r="G33" s="29">
        <f>'Monthly Data'!BG33</f>
        <v>32</v>
      </c>
      <c r="H33" s="63">
        <f>'Monthly Data'!X33</f>
        <v>2968.4</v>
      </c>
      <c r="I33" s="29">
        <f>'Monthly Data'!BF33</f>
        <v>0</v>
      </c>
      <c r="K33" s="29">
        <f>'GS&lt;50 PW'!$B$6</f>
        <v>50.759309292559799</v>
      </c>
      <c r="L33" s="29">
        <f>E33*'GS&lt;50 PW'!$B$7</f>
        <v>0</v>
      </c>
      <c r="M33" s="29">
        <f>F33*'GS&lt;50 PW'!$B$8</f>
        <v>15.19165921264648</v>
      </c>
      <c r="N33" s="29">
        <f>G33*'GS&lt;50 PW'!$B$9</f>
        <v>-3.0835137572577054</v>
      </c>
      <c r="O33" s="29">
        <f>H33*'GS&lt;50 PW'!$B$10</f>
        <v>37.733502797292353</v>
      </c>
      <c r="P33" s="29">
        <f>I33*'GS&lt;50 PW'!$B$11</f>
        <v>0</v>
      </c>
      <c r="Q33" s="158">
        <f>'Monthly Data'!H33</f>
        <v>5147</v>
      </c>
      <c r="R33" s="29">
        <f>'Monthly Data'!BH33</f>
        <v>31</v>
      </c>
      <c r="S33" s="44">
        <f t="shared" si="3"/>
        <v>16051586.983046006</v>
      </c>
      <c r="T33" s="44">
        <f t="shared" si="2"/>
        <v>156402.70138878934</v>
      </c>
      <c r="U33" s="48">
        <f t="shared" si="4"/>
        <v>9.8396280670539626E-3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158">
        <f>'Monthly Data'!J34</f>
        <v>14172207.281657217</v>
      </c>
      <c r="E34" s="251">
        <f>'Monthly Data'!AL34</f>
        <v>0.90000000000000036</v>
      </c>
      <c r="F34" s="251">
        <f>'Monthly Data'!AI34</f>
        <v>69.900000000000006</v>
      </c>
      <c r="G34" s="29">
        <f>'Monthly Data'!BG34</f>
        <v>33</v>
      </c>
      <c r="H34" s="63">
        <f>'Monthly Data'!X34</f>
        <v>2985.6</v>
      </c>
      <c r="I34" s="29">
        <f>'Monthly Data'!BF34</f>
        <v>1</v>
      </c>
      <c r="K34" s="29">
        <f>'GS&lt;50 PW'!$B$6</f>
        <v>50.759309292559799</v>
      </c>
      <c r="L34" s="29">
        <f>E34*'GS&lt;50 PW'!$B$7</f>
        <v>2.7638624466161919E-2</v>
      </c>
      <c r="M34" s="29">
        <f>F34*'GS&lt;50 PW'!$B$8</f>
        <v>5.5077644137136357</v>
      </c>
      <c r="N34" s="29">
        <f>G34*'GS&lt;50 PW'!$B$9</f>
        <v>-3.1798735621720087</v>
      </c>
      <c r="O34" s="29">
        <f>H34*'GS&lt;50 PW'!$B$10</f>
        <v>37.952144573371527</v>
      </c>
      <c r="P34" s="29">
        <f>I34*'GS&lt;50 PW'!$B$11</f>
        <v>-1.9723066266223299</v>
      </c>
      <c r="Q34" s="158">
        <f>'Monthly Data'!H34</f>
        <v>5148</v>
      </c>
      <c r="R34" s="29">
        <f>'Monthly Data'!BH34</f>
        <v>30</v>
      </c>
      <c r="S34" s="44">
        <f t="shared" si="3"/>
        <v>13759781.871913526</v>
      </c>
      <c r="T34" s="44">
        <f t="shared" ref="T34:T65" si="5">S34-D34</f>
        <v>-412425.40974369086</v>
      </c>
      <c r="U34" s="48">
        <f t="shared" ref="U34:U65" si="6">ABS(T34/D34)</f>
        <v>2.9101000397974999E-2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158">
        <f>'Monthly Data'!J35</f>
        <v>13656586.281657217</v>
      </c>
      <c r="E35" s="251">
        <f>'Monthly Data'!AL35</f>
        <v>66.599999999999994</v>
      </c>
      <c r="F35" s="251">
        <f>'Monthly Data'!AI35</f>
        <v>3.8000000000000007</v>
      </c>
      <c r="G35" s="29">
        <f>'Monthly Data'!BG35</f>
        <v>34</v>
      </c>
      <c r="H35" s="63">
        <f>'Monthly Data'!X35</f>
        <v>3002.1</v>
      </c>
      <c r="I35" s="29">
        <f>'Monthly Data'!BF35</f>
        <v>1</v>
      </c>
      <c r="K35" s="29">
        <f>'GS&lt;50 PW'!$B$6</f>
        <v>50.759309292559799</v>
      </c>
      <c r="L35" s="29">
        <f>E35*'GS&lt;50 PW'!$B$7</f>
        <v>2.0452582104959811</v>
      </c>
      <c r="M35" s="29">
        <f>F35*'GS&lt;50 PW'!$B$8</f>
        <v>0.2994206691289244</v>
      </c>
      <c r="N35" s="29">
        <f>G35*'GS&lt;50 PW'!$B$9</f>
        <v>-3.276233367086312</v>
      </c>
      <c r="O35" s="29">
        <f>H35*'GS&lt;50 PW'!$B$10</f>
        <v>38.161888137633525</v>
      </c>
      <c r="P35" s="29">
        <f>I35*'GS&lt;50 PW'!$B$11</f>
        <v>-1.9723066266223299</v>
      </c>
      <c r="Q35" s="158">
        <f>'Monthly Data'!H35</f>
        <v>5150</v>
      </c>
      <c r="R35" s="29">
        <f>'Monthly Data'!BH35</f>
        <v>31</v>
      </c>
      <c r="S35" s="44">
        <f t="shared" si="3"/>
        <v>13732667.742866898</v>
      </c>
      <c r="T35" s="44">
        <f t="shared" si="5"/>
        <v>76081.461209680885</v>
      </c>
      <c r="U35" s="48">
        <f t="shared" si="6"/>
        <v>5.5710453286462493E-3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158">
        <f>'Monthly Data'!J36</f>
        <v>14160121.281657217</v>
      </c>
      <c r="E36" s="251">
        <f>'Monthly Data'!AL36</f>
        <v>216.80000000000004</v>
      </c>
      <c r="F36" s="251">
        <f>'Monthly Data'!AI36</f>
        <v>0</v>
      </c>
      <c r="G36" s="29">
        <f>'Monthly Data'!BG36</f>
        <v>35</v>
      </c>
      <c r="H36" s="63">
        <f>'Monthly Data'!X36</f>
        <v>3019.5</v>
      </c>
      <c r="I36" s="29">
        <f>'Monthly Data'!BF36</f>
        <v>1</v>
      </c>
      <c r="K36" s="29">
        <f>'GS&lt;50 PW'!$B$6</f>
        <v>50.759309292559799</v>
      </c>
      <c r="L36" s="29">
        <f>E36*'GS&lt;50 PW'!$B$7</f>
        <v>6.6578375380710035</v>
      </c>
      <c r="M36" s="29">
        <f>F36*'GS&lt;50 PW'!$B$8</f>
        <v>0</v>
      </c>
      <c r="N36" s="29">
        <f>G36*'GS&lt;50 PW'!$B$9</f>
        <v>-3.3725931720006153</v>
      </c>
      <c r="O36" s="29">
        <f>H36*'GS&lt;50 PW'!$B$10</f>
        <v>38.383072259946182</v>
      </c>
      <c r="P36" s="29">
        <f>I36*'GS&lt;50 PW'!$B$11</f>
        <v>-1.9723066266223299</v>
      </c>
      <c r="Q36" s="158">
        <f>'Monthly Data'!H36</f>
        <v>5162</v>
      </c>
      <c r="R36" s="29">
        <f>'Monthly Data'!BH36</f>
        <v>30</v>
      </c>
      <c r="S36" s="44">
        <f t="shared" si="3"/>
        <v>14007910.745552003</v>
      </c>
      <c r="T36" s="44">
        <f t="shared" si="5"/>
        <v>-152210.53610521369</v>
      </c>
      <c r="U36" s="48">
        <f t="shared" si="6"/>
        <v>1.0749239577657055E-2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158">
        <f>'Monthly Data'!J37</f>
        <v>15041472.281657217</v>
      </c>
      <c r="E37" s="251">
        <f>'Monthly Data'!AL37</f>
        <v>293.39999999999998</v>
      </c>
      <c r="F37" s="251">
        <f>'Monthly Data'!AI37</f>
        <v>0</v>
      </c>
      <c r="G37" s="29">
        <f>'Monthly Data'!BG37</f>
        <v>36</v>
      </c>
      <c r="H37" s="63">
        <f>'Monthly Data'!X37</f>
        <v>3030.3</v>
      </c>
      <c r="I37" s="29">
        <f>'Monthly Data'!BF37</f>
        <v>0</v>
      </c>
      <c r="K37" s="29">
        <f>'GS&lt;50 PW'!$B$6</f>
        <v>50.759309292559799</v>
      </c>
      <c r="L37" s="29">
        <f>E37*'GS&lt;50 PW'!$B$7</f>
        <v>9.010191575968781</v>
      </c>
      <c r="M37" s="29">
        <f>F37*'GS&lt;50 PW'!$B$8</f>
        <v>0</v>
      </c>
      <c r="N37" s="29">
        <f>G37*'GS&lt;50 PW'!$B$9</f>
        <v>-3.4689529769149186</v>
      </c>
      <c r="O37" s="29">
        <f>H37*'GS&lt;50 PW'!$B$10</f>
        <v>38.520358956554041</v>
      </c>
      <c r="P37" s="29">
        <f>I37*'GS&lt;50 PW'!$B$11</f>
        <v>0</v>
      </c>
      <c r="Q37" s="158">
        <f>'Monthly Data'!H37</f>
        <v>5168</v>
      </c>
      <c r="R37" s="29">
        <f>'Monthly Data'!BH37</f>
        <v>31</v>
      </c>
      <c r="S37" s="44">
        <f t="shared" si="3"/>
        <v>15191067.844331253</v>
      </c>
      <c r="T37" s="44">
        <f t="shared" si="5"/>
        <v>149595.56267403625</v>
      </c>
      <c r="U37" s="48">
        <f t="shared" si="6"/>
        <v>9.9455398961486724E-3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158">
        <f>'Monthly Data'!J38</f>
        <v>15838016.622677803</v>
      </c>
      <c r="E38" s="251">
        <f>'Monthly Data'!AL38</f>
        <v>395.20000000000005</v>
      </c>
      <c r="F38" s="251">
        <f>'Monthly Data'!AI38</f>
        <v>0</v>
      </c>
      <c r="G38" s="29">
        <f>'Monthly Data'!BG38</f>
        <v>37</v>
      </c>
      <c r="H38" s="63">
        <f>'Monthly Data'!X38</f>
        <v>3038</v>
      </c>
      <c r="I38" s="29">
        <f>'Monthly Data'!BF38</f>
        <v>0</v>
      </c>
      <c r="K38" s="29">
        <f>'GS&lt;50 PW'!$B$6</f>
        <v>50.759309292559799</v>
      </c>
      <c r="L38" s="29">
        <f>E38*'GS&lt;50 PW'!$B$7</f>
        <v>12.136427098919098</v>
      </c>
      <c r="M38" s="29">
        <f>F38*'GS&lt;50 PW'!$B$8</f>
        <v>0</v>
      </c>
      <c r="N38" s="29">
        <f>G38*'GS&lt;50 PW'!$B$9</f>
        <v>-3.5653127818292218</v>
      </c>
      <c r="O38" s="29">
        <f>H38*'GS&lt;50 PW'!$B$10</f>
        <v>38.618239286542973</v>
      </c>
      <c r="P38" s="29">
        <f>I38*'GS&lt;50 PW'!$B$11</f>
        <v>0</v>
      </c>
      <c r="Q38" s="158">
        <f>'Monthly Data'!H38</f>
        <v>5177</v>
      </c>
      <c r="R38" s="29">
        <f>'Monthly Data'!BH38</f>
        <v>31</v>
      </c>
      <c r="S38" s="44">
        <f t="shared" si="3"/>
        <v>15719487.06222127</v>
      </c>
      <c r="T38" s="44">
        <f t="shared" si="5"/>
        <v>-118529.56045653298</v>
      </c>
      <c r="U38" s="48">
        <f t="shared" si="6"/>
        <v>7.483863875153117E-3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158">
        <f>'Monthly Data'!J39</f>
        <v>14586196.622677803</v>
      </c>
      <c r="E39" s="251">
        <f>'Monthly Data'!AL39</f>
        <v>419.5</v>
      </c>
      <c r="F39" s="251">
        <f>'Monthly Data'!AI39</f>
        <v>0</v>
      </c>
      <c r="G39" s="29">
        <f>'Monthly Data'!BG39</f>
        <v>38</v>
      </c>
      <c r="H39" s="63">
        <f>'Monthly Data'!X39</f>
        <v>3041.7</v>
      </c>
      <c r="I39" s="29">
        <f>'Monthly Data'!BF39</f>
        <v>0</v>
      </c>
      <c r="K39" s="29">
        <f>'GS&lt;50 PW'!$B$6</f>
        <v>50.759309292559799</v>
      </c>
      <c r="L39" s="29">
        <f>E39*'GS&lt;50 PW'!$B$7</f>
        <v>12.882669959505467</v>
      </c>
      <c r="M39" s="29">
        <f>F39*'GS&lt;50 PW'!$B$8</f>
        <v>0</v>
      </c>
      <c r="N39" s="29">
        <f>G39*'GS&lt;50 PW'!$B$9</f>
        <v>-3.6616725867435251</v>
      </c>
      <c r="O39" s="29">
        <f>H39*'GS&lt;50 PW'!$B$10</f>
        <v>38.665272691862327</v>
      </c>
      <c r="P39" s="29">
        <f>I39*'GS&lt;50 PW'!$B$11</f>
        <v>0</v>
      </c>
      <c r="Q39" s="158">
        <f>'Monthly Data'!H39</f>
        <v>5175</v>
      </c>
      <c r="R39" s="29">
        <f>'Monthly Data'!BH39</f>
        <v>28</v>
      </c>
      <c r="S39" s="44">
        <f t="shared" si="3"/>
        <v>14293744.44885597</v>
      </c>
      <c r="T39" s="44">
        <f t="shared" si="5"/>
        <v>-292452.17382183298</v>
      </c>
      <c r="U39" s="48">
        <f t="shared" si="6"/>
        <v>2.004992674835774E-2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158">
        <f>'Monthly Data'!J40</f>
        <v>15372207.622677803</v>
      </c>
      <c r="E40" s="251">
        <f>'Monthly Data'!AL40</f>
        <v>337.3</v>
      </c>
      <c r="F40" s="251">
        <f>'Monthly Data'!AI40</f>
        <v>0</v>
      </c>
      <c r="G40" s="29">
        <f>'Monthly Data'!BG40</f>
        <v>39</v>
      </c>
      <c r="H40" s="63">
        <f>'Monthly Data'!X40</f>
        <v>3045.3</v>
      </c>
      <c r="I40" s="29">
        <f>'Monthly Data'!BF40</f>
        <v>1</v>
      </c>
      <c r="K40" s="29">
        <f>'GS&lt;50 PW'!$B$6</f>
        <v>50.759309292559799</v>
      </c>
      <c r="L40" s="29">
        <f>E40*'GS&lt;50 PW'!$B$7</f>
        <v>10.358342258262681</v>
      </c>
      <c r="M40" s="29">
        <f>F40*'GS&lt;50 PW'!$B$8</f>
        <v>0</v>
      </c>
      <c r="N40" s="29">
        <f>G40*'GS&lt;50 PW'!$B$9</f>
        <v>-3.7580323916578284</v>
      </c>
      <c r="O40" s="29">
        <f>H40*'GS&lt;50 PW'!$B$10</f>
        <v>38.711034924064954</v>
      </c>
      <c r="P40" s="29">
        <f>I40*'GS&lt;50 PW'!$B$11</f>
        <v>-1.9723066266223299</v>
      </c>
      <c r="Q40" s="158">
        <f>'Monthly Data'!H40</f>
        <v>5178</v>
      </c>
      <c r="R40" s="29">
        <f>'Monthly Data'!BH40</f>
        <v>31</v>
      </c>
      <c r="S40" s="44">
        <f t="shared" si="3"/>
        <v>15104478.537039688</v>
      </c>
      <c r="T40" s="44">
        <f t="shared" si="5"/>
        <v>-267729.08563811518</v>
      </c>
      <c r="U40" s="48">
        <f t="shared" si="6"/>
        <v>1.7416437001745191E-2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158">
        <f>'Monthly Data'!J41</f>
        <v>13920639.622677803</v>
      </c>
      <c r="E41" s="251">
        <f>'Monthly Data'!AL41</f>
        <v>182.99999999999997</v>
      </c>
      <c r="F41" s="251">
        <f>'Monthly Data'!AI41</f>
        <v>0</v>
      </c>
      <c r="G41" s="29">
        <f>'Monthly Data'!BG41</f>
        <v>40</v>
      </c>
      <c r="H41" s="63">
        <f>'Monthly Data'!X41</f>
        <v>3057</v>
      </c>
      <c r="I41" s="29">
        <f>'Monthly Data'!BF41</f>
        <v>1</v>
      </c>
      <c r="K41" s="29">
        <f>'GS&lt;50 PW'!$B$6</f>
        <v>50.759309292559799</v>
      </c>
      <c r="L41" s="29">
        <f>E41*'GS&lt;50 PW'!$B$7</f>
        <v>5.619853641452921</v>
      </c>
      <c r="M41" s="29">
        <f>F41*'GS&lt;50 PW'!$B$8</f>
        <v>0</v>
      </c>
      <c r="N41" s="29">
        <f>G41*'GS&lt;50 PW'!$B$9</f>
        <v>-3.8543921965721317</v>
      </c>
      <c r="O41" s="29">
        <f>H41*'GS&lt;50 PW'!$B$10</f>
        <v>38.859762178723457</v>
      </c>
      <c r="P41" s="29">
        <f>I41*'GS&lt;50 PW'!$B$11</f>
        <v>-1.9723066266223299</v>
      </c>
      <c r="Q41" s="158">
        <f>'Monthly Data'!H41</f>
        <v>5137</v>
      </c>
      <c r="R41" s="29">
        <f>'Monthly Data'!BH41</f>
        <v>30</v>
      </c>
      <c r="S41" s="44">
        <f t="shared" si="3"/>
        <v>13779318.193481274</v>
      </c>
      <c r="T41" s="44">
        <f t="shared" si="5"/>
        <v>-141321.42919652909</v>
      </c>
      <c r="U41" s="48">
        <f t="shared" si="6"/>
        <v>1.0151935042288252E-2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158">
        <f>'Monthly Data'!J42</f>
        <v>13887530.622677803</v>
      </c>
      <c r="E42" s="251">
        <f>'Monthly Data'!AL42</f>
        <v>28.200000000000003</v>
      </c>
      <c r="F42" s="251">
        <f>'Monthly Data'!AI42</f>
        <v>26.599999999999998</v>
      </c>
      <c r="G42" s="29">
        <f>'Monthly Data'!BG42</f>
        <v>41</v>
      </c>
      <c r="H42" s="63">
        <f>'Monthly Data'!X42</f>
        <v>3073.7</v>
      </c>
      <c r="I42" s="29">
        <f>'Monthly Data'!BF42</f>
        <v>1</v>
      </c>
      <c r="K42" s="29">
        <f>'GS&lt;50 PW'!$B$6</f>
        <v>50.759309292559799</v>
      </c>
      <c r="L42" s="29">
        <f>E42*'GS&lt;50 PW'!$B$7</f>
        <v>0.86601023327307325</v>
      </c>
      <c r="M42" s="29">
        <f>F42*'GS&lt;50 PW'!$B$8</f>
        <v>2.0959446839024705</v>
      </c>
      <c r="N42" s="29">
        <f>G42*'GS&lt;50 PW'!$B$9</f>
        <v>-3.950752001486435</v>
      </c>
      <c r="O42" s="29">
        <f>H42*'GS&lt;50 PW'!$B$10</f>
        <v>39.072048089218939</v>
      </c>
      <c r="P42" s="29">
        <f>I42*'GS&lt;50 PW'!$B$11</f>
        <v>-1.9723066266223299</v>
      </c>
      <c r="Q42" s="158">
        <f>'Monthly Data'!H42</f>
        <v>5144</v>
      </c>
      <c r="R42" s="29">
        <f>'Monthly Data'!BH42</f>
        <v>31</v>
      </c>
      <c r="S42" s="44">
        <f t="shared" si="3"/>
        <v>13852678.131367711</v>
      </c>
      <c r="T42" s="44">
        <f t="shared" si="5"/>
        <v>-34852.491310091689</v>
      </c>
      <c r="U42" s="48">
        <f t="shared" si="6"/>
        <v>2.5096248035038648E-3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158">
        <f>'Monthly Data'!J43</f>
        <v>14423533.622677803</v>
      </c>
      <c r="E43" s="251">
        <f>'Monthly Data'!AL43</f>
        <v>9.9999999999999645E-2</v>
      </c>
      <c r="F43" s="251">
        <f>'Monthly Data'!AI43</f>
        <v>89.800000000000011</v>
      </c>
      <c r="G43" s="29">
        <f>'Monthly Data'!BG43</f>
        <v>42</v>
      </c>
      <c r="H43" s="63">
        <f>'Monthly Data'!X43</f>
        <v>3092.4</v>
      </c>
      <c r="I43" s="29">
        <f>'Monthly Data'!BF43</f>
        <v>0</v>
      </c>
      <c r="K43" s="29">
        <f>'GS&lt;50 PW'!$B$6</f>
        <v>50.759309292559799</v>
      </c>
      <c r="L43" s="29">
        <f>E43*'GS&lt;50 PW'!$B$7</f>
        <v>3.0709582740179788E-3</v>
      </c>
      <c r="M43" s="29">
        <f>F43*'GS&lt;50 PW'!$B$8</f>
        <v>7.0757831809940557</v>
      </c>
      <c r="N43" s="29">
        <f>G43*'GS&lt;50 PW'!$B$9</f>
        <v>-4.0471118064007383</v>
      </c>
      <c r="O43" s="29">
        <f>H43*'GS&lt;50 PW'!$B$10</f>
        <v>39.309757462049205</v>
      </c>
      <c r="P43" s="29">
        <f>I43*'GS&lt;50 PW'!$B$11</f>
        <v>0</v>
      </c>
      <c r="Q43" s="158">
        <f>'Monthly Data'!H43</f>
        <v>5144</v>
      </c>
      <c r="R43" s="29">
        <f>'Monthly Data'!BH43</f>
        <v>30</v>
      </c>
      <c r="S43" s="44">
        <f t="shared" si="3"/>
        <v>14367316.858379347</v>
      </c>
      <c r="T43" s="44">
        <f t="shared" si="5"/>
        <v>-56216.76429845579</v>
      </c>
      <c r="U43" s="48">
        <f t="shared" si="6"/>
        <v>3.8975722433279049E-3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158">
        <f>'Monthly Data'!J44</f>
        <v>16236138.622677803</v>
      </c>
      <c r="E44" s="251">
        <f>'Monthly Data'!AL44</f>
        <v>0</v>
      </c>
      <c r="F44" s="251">
        <f>'Monthly Data'!AI44</f>
        <v>192.90000000000003</v>
      </c>
      <c r="G44" s="29">
        <f>'Monthly Data'!BG44</f>
        <v>43</v>
      </c>
      <c r="H44" s="63">
        <f>'Monthly Data'!X44</f>
        <v>3100</v>
      </c>
      <c r="I44" s="29">
        <f>'Monthly Data'!BF44</f>
        <v>0</v>
      </c>
      <c r="K44" s="29">
        <f>'GS&lt;50 PW'!$B$6</f>
        <v>50.759309292559799</v>
      </c>
      <c r="L44" s="29">
        <f>E44*'GS&lt;50 PW'!$B$7</f>
        <v>0</v>
      </c>
      <c r="M44" s="29">
        <f>F44*'GS&lt;50 PW'!$B$8</f>
        <v>15.199538703939348</v>
      </c>
      <c r="N44" s="29">
        <f>G44*'GS&lt;50 PW'!$B$9</f>
        <v>-4.1434716113150412</v>
      </c>
      <c r="O44" s="29">
        <f>H44*'GS&lt;50 PW'!$B$10</f>
        <v>39.406366618921403</v>
      </c>
      <c r="P44" s="29">
        <f>I44*'GS&lt;50 PW'!$B$11</f>
        <v>0</v>
      </c>
      <c r="Q44" s="158">
        <f>'Monthly Data'!H44</f>
        <v>5148</v>
      </c>
      <c r="R44" s="29">
        <f>'Monthly Data'!BH44</f>
        <v>31</v>
      </c>
      <c r="S44" s="44">
        <f t="shared" si="3"/>
        <v>16153775.522539189</v>
      </c>
      <c r="T44" s="44">
        <f t="shared" si="5"/>
        <v>-82363.100138613954</v>
      </c>
      <c r="U44" s="48">
        <f t="shared" si="6"/>
        <v>5.0728256300776719E-3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158">
        <f>'Monthly Data'!J45</f>
        <v>15500151.622677803</v>
      </c>
      <c r="E45" s="251">
        <f>'Monthly Data'!AL45</f>
        <v>0</v>
      </c>
      <c r="F45" s="251">
        <f>'Monthly Data'!AI45</f>
        <v>151</v>
      </c>
      <c r="G45" s="29">
        <f>'Monthly Data'!BG45</f>
        <v>44</v>
      </c>
      <c r="H45" s="63">
        <f>'Monthly Data'!X45</f>
        <v>3110.2</v>
      </c>
      <c r="I45" s="29">
        <f>'Monthly Data'!BF45</f>
        <v>0</v>
      </c>
      <c r="K45" s="29">
        <f>'GS&lt;50 PW'!$B$6</f>
        <v>50.759309292559799</v>
      </c>
      <c r="L45" s="29">
        <f>E45*'GS&lt;50 PW'!$B$7</f>
        <v>0</v>
      </c>
      <c r="M45" s="29">
        <f>F45*'GS&lt;50 PW'!$B$8</f>
        <v>11.898031852228311</v>
      </c>
      <c r="N45" s="29">
        <f>G45*'GS&lt;50 PW'!$B$9</f>
        <v>-4.2398314162293449</v>
      </c>
      <c r="O45" s="29">
        <f>H45*'GS&lt;50 PW'!$B$10</f>
        <v>39.536026276828814</v>
      </c>
      <c r="P45" s="29">
        <f>I45*'GS&lt;50 PW'!$B$11</f>
        <v>0</v>
      </c>
      <c r="Q45" s="158">
        <f>'Monthly Data'!H45</f>
        <v>5147</v>
      </c>
      <c r="R45" s="29">
        <f>'Monthly Data'!BH45</f>
        <v>31</v>
      </c>
      <c r="S45" s="44">
        <f t="shared" si="3"/>
        <v>15629172.344411626</v>
      </c>
      <c r="T45" s="44">
        <f t="shared" si="5"/>
        <v>129020.72173382342</v>
      </c>
      <c r="U45" s="48">
        <f t="shared" si="6"/>
        <v>8.3238361065486027E-3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158">
        <f>'Monthly Data'!J46</f>
        <v>14135606.622677803</v>
      </c>
      <c r="E46" s="251">
        <f>'Monthly Data'!AL46</f>
        <v>1.9000000000000004</v>
      </c>
      <c r="F46" s="251">
        <f>'Monthly Data'!AI46</f>
        <v>57.099999999999994</v>
      </c>
      <c r="G46" s="29">
        <f>'Monthly Data'!BG46</f>
        <v>45</v>
      </c>
      <c r="H46" s="63">
        <f>'Monthly Data'!X46</f>
        <v>3116.8</v>
      </c>
      <c r="I46" s="29">
        <f>'Monthly Data'!BF46</f>
        <v>1</v>
      </c>
      <c r="K46" s="29">
        <f>'GS&lt;50 PW'!$B$6</f>
        <v>50.759309292559799</v>
      </c>
      <c r="L46" s="29">
        <f>E46*'GS&lt;50 PW'!$B$7</f>
        <v>5.8348207206341818E-2</v>
      </c>
      <c r="M46" s="29">
        <f>F46*'GS&lt;50 PW'!$B$8</f>
        <v>4.4991895282267311</v>
      </c>
      <c r="N46" s="29">
        <f>G46*'GS&lt;50 PW'!$B$9</f>
        <v>-4.3361912211436486</v>
      </c>
      <c r="O46" s="29">
        <f>H46*'GS&lt;50 PW'!$B$10</f>
        <v>39.619923702533619</v>
      </c>
      <c r="P46" s="29">
        <f>I46*'GS&lt;50 PW'!$B$11</f>
        <v>-1.9723066266223299</v>
      </c>
      <c r="Q46" s="158">
        <f>'Monthly Data'!H46</f>
        <v>5152</v>
      </c>
      <c r="R46" s="29">
        <f>'Monthly Data'!BH46</f>
        <v>30</v>
      </c>
      <c r="S46" s="44">
        <f t="shared" si="3"/>
        <v>13698385.856759464</v>
      </c>
      <c r="T46" s="44">
        <f t="shared" si="5"/>
        <v>-437220.76591833867</v>
      </c>
      <c r="U46" s="48">
        <f t="shared" si="6"/>
        <v>3.0930456512344075E-2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158">
        <f>'Monthly Data'!J47</f>
        <v>13724627.622677803</v>
      </c>
      <c r="E47" s="251">
        <f>'Monthly Data'!AL47</f>
        <v>62.400000000000006</v>
      </c>
      <c r="F47" s="251">
        <f>'Monthly Data'!AI47</f>
        <v>9.6999999999999993</v>
      </c>
      <c r="G47" s="29">
        <f>'Monthly Data'!BG47</f>
        <v>46</v>
      </c>
      <c r="H47" s="63">
        <f>'Monthly Data'!X47</f>
        <v>3116</v>
      </c>
      <c r="I47" s="29">
        <f>'Monthly Data'!BF47</f>
        <v>1</v>
      </c>
      <c r="K47" s="29">
        <f>'GS&lt;50 PW'!$B$6</f>
        <v>50.759309292559799</v>
      </c>
      <c r="L47" s="29">
        <f>E47*'GS&lt;50 PW'!$B$7</f>
        <v>1.916277962987226</v>
      </c>
      <c r="M47" s="29">
        <f>F47*'GS&lt;50 PW'!$B$8</f>
        <v>0.76431065540804377</v>
      </c>
      <c r="N47" s="29">
        <f>G47*'GS&lt;50 PW'!$B$9</f>
        <v>-4.4325510260579515</v>
      </c>
      <c r="O47" s="29">
        <f>H47*'GS&lt;50 PW'!$B$10</f>
        <v>39.609754317599702</v>
      </c>
      <c r="P47" s="29">
        <f>I47*'GS&lt;50 PW'!$B$11</f>
        <v>-1.9723066266223299</v>
      </c>
      <c r="Q47" s="158">
        <f>'Monthly Data'!H47</f>
        <v>5151</v>
      </c>
      <c r="R47" s="29">
        <f>'Monthly Data'!BH47</f>
        <v>31</v>
      </c>
      <c r="S47" s="44">
        <f t="shared" si="3"/>
        <v>13835527.442670217</v>
      </c>
      <c r="T47" s="44">
        <f t="shared" si="5"/>
        <v>110899.81999241374</v>
      </c>
      <c r="U47" s="48">
        <f t="shared" si="6"/>
        <v>8.0803518347681152E-3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158">
        <f>'Monthly Data'!J48</f>
        <v>14236916.622677803</v>
      </c>
      <c r="E48" s="251">
        <f>'Monthly Data'!AL48</f>
        <v>249.59999999999997</v>
      </c>
      <c r="F48" s="251">
        <f>'Monthly Data'!AI48</f>
        <v>0</v>
      </c>
      <c r="G48" s="29">
        <f>'Monthly Data'!BG48</f>
        <v>47</v>
      </c>
      <c r="H48" s="63">
        <f>'Monthly Data'!X48</f>
        <v>3113.4</v>
      </c>
      <c r="I48" s="29">
        <f>'Monthly Data'!BF48</f>
        <v>1</v>
      </c>
      <c r="K48" s="29">
        <f>'GS&lt;50 PW'!$B$6</f>
        <v>50.759309292559799</v>
      </c>
      <c r="L48" s="29">
        <f>E48*'GS&lt;50 PW'!$B$7</f>
        <v>7.6651118519489021</v>
      </c>
      <c r="M48" s="29">
        <f>F48*'GS&lt;50 PW'!$B$8</f>
        <v>0</v>
      </c>
      <c r="N48" s="29">
        <f>G48*'GS&lt;50 PW'!$B$9</f>
        <v>-4.5289108309722543</v>
      </c>
      <c r="O48" s="29">
        <f>H48*'GS&lt;50 PW'!$B$10</f>
        <v>39.576703816564482</v>
      </c>
      <c r="P48" s="29">
        <f>I48*'GS&lt;50 PW'!$B$11</f>
        <v>-1.9723066266223299</v>
      </c>
      <c r="Q48" s="158">
        <f>'Monthly Data'!H48</f>
        <v>5173</v>
      </c>
      <c r="R48" s="29">
        <f>'Monthly Data'!BH48</f>
        <v>30</v>
      </c>
      <c r="S48" s="44">
        <f t="shared" si="3"/>
        <v>14199870.645464843</v>
      </c>
      <c r="T48" s="44">
        <f t="shared" si="5"/>
        <v>-37045.9772129599</v>
      </c>
      <c r="U48" s="48">
        <f t="shared" si="6"/>
        <v>2.6021067759819452E-3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158">
        <f>'Monthly Data'!J49</f>
        <v>15780327.622677803</v>
      </c>
      <c r="E49" s="251">
        <f>'Monthly Data'!AL49</f>
        <v>438.00000000000006</v>
      </c>
      <c r="F49" s="251">
        <f>'Monthly Data'!AI49</f>
        <v>0</v>
      </c>
      <c r="G49" s="29">
        <f>'Monthly Data'!BG49</f>
        <v>48</v>
      </c>
      <c r="H49" s="63">
        <f>'Monthly Data'!X49</f>
        <v>3108.4</v>
      </c>
      <c r="I49" s="29">
        <f>'Monthly Data'!BF49</f>
        <v>0</v>
      </c>
      <c r="K49" s="29">
        <f>'GS&lt;50 PW'!$B$6</f>
        <v>50.759309292559799</v>
      </c>
      <c r="L49" s="29">
        <f>E49*'GS&lt;50 PW'!$B$7</f>
        <v>13.450797240198797</v>
      </c>
      <c r="M49" s="29">
        <f>F49*'GS&lt;50 PW'!$B$8</f>
        <v>0</v>
      </c>
      <c r="N49" s="29">
        <f>G49*'GS&lt;50 PW'!$B$9</f>
        <v>-4.6252706358865581</v>
      </c>
      <c r="O49" s="29">
        <f>H49*'GS&lt;50 PW'!$B$10</f>
        <v>39.513145160727511</v>
      </c>
      <c r="P49" s="29">
        <f>I49*'GS&lt;50 PW'!$B$11</f>
        <v>0</v>
      </c>
      <c r="Q49" s="158">
        <f>'Monthly Data'!H49</f>
        <v>5176</v>
      </c>
      <c r="R49" s="29">
        <f>'Monthly Data'!BH49</f>
        <v>31</v>
      </c>
      <c r="S49" s="44">
        <f t="shared" si="3"/>
        <v>15900865.648578195</v>
      </c>
      <c r="T49" s="44">
        <f t="shared" si="5"/>
        <v>120538.02590039186</v>
      </c>
      <c r="U49" s="48">
        <f t="shared" si="6"/>
        <v>7.6384995788786715E-3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158">
        <f>'Monthly Data'!J50</f>
        <v>16666551.644145023</v>
      </c>
      <c r="E50" s="251">
        <f>'Monthly Data'!AL50</f>
        <v>586.09999999999991</v>
      </c>
      <c r="F50" s="251">
        <f>'Monthly Data'!AI50</f>
        <v>0</v>
      </c>
      <c r="G50" s="29">
        <f>'Monthly Data'!BG50</f>
        <v>49</v>
      </c>
      <c r="H50" s="63">
        <f>'Monthly Data'!X50</f>
        <v>3105.1</v>
      </c>
      <c r="I50" s="29">
        <f>'Monthly Data'!BF50</f>
        <v>0</v>
      </c>
      <c r="K50" s="29">
        <f>'GS&lt;50 PW'!$B$6</f>
        <v>50.759309292559799</v>
      </c>
      <c r="L50" s="29">
        <f>E50*'GS&lt;50 PW'!$B$7</f>
        <v>17.998886444019437</v>
      </c>
      <c r="M50" s="29">
        <f>F50*'GS&lt;50 PW'!$B$8</f>
        <v>0</v>
      </c>
      <c r="N50" s="29">
        <f>G50*'GS&lt;50 PW'!$B$9</f>
        <v>-4.7216304408008618</v>
      </c>
      <c r="O50" s="29">
        <f>H50*'GS&lt;50 PW'!$B$10</f>
        <v>39.471196447875109</v>
      </c>
      <c r="P50" s="29">
        <f>I50*'GS&lt;50 PW'!$B$11</f>
        <v>0</v>
      </c>
      <c r="Q50" s="158">
        <f>'Monthly Data'!H50</f>
        <v>5174</v>
      </c>
      <c r="R50" s="29">
        <f>'Monthly Data'!BH50</f>
        <v>31</v>
      </c>
      <c r="S50" s="44">
        <f t="shared" si="3"/>
        <v>16602023.937111557</v>
      </c>
      <c r="T50" s="44">
        <f t="shared" si="5"/>
        <v>-64527.707033466548</v>
      </c>
      <c r="U50" s="48">
        <f t="shared" si="6"/>
        <v>3.8716891418948802E-3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158">
        <f>'Monthly Data'!J51</f>
        <v>15212265.644145023</v>
      </c>
      <c r="E51" s="251">
        <f>'Monthly Data'!AL51</f>
        <v>528.60000000000014</v>
      </c>
      <c r="F51" s="251">
        <f>'Monthly Data'!AI51</f>
        <v>0</v>
      </c>
      <c r="G51" s="29">
        <f>'Monthly Data'!BG51</f>
        <v>50</v>
      </c>
      <c r="H51" s="63">
        <f>'Monthly Data'!X51</f>
        <v>3109.9</v>
      </c>
      <c r="I51" s="29">
        <f>'Monthly Data'!BF51</f>
        <v>0</v>
      </c>
      <c r="K51" s="29">
        <f>'GS&lt;50 PW'!$B$6</f>
        <v>50.759309292559799</v>
      </c>
      <c r="L51" s="29">
        <f>E51*'GS&lt;50 PW'!$B$7</f>
        <v>16.233085436459099</v>
      </c>
      <c r="M51" s="29">
        <f>F51*'GS&lt;50 PW'!$B$8</f>
        <v>0</v>
      </c>
      <c r="N51" s="29">
        <f>G51*'GS&lt;50 PW'!$B$9</f>
        <v>-4.8179902457151647</v>
      </c>
      <c r="O51" s="29">
        <f>H51*'GS&lt;50 PW'!$B$10</f>
        <v>39.532212757478604</v>
      </c>
      <c r="P51" s="29">
        <f>I51*'GS&lt;50 PW'!$B$11</f>
        <v>0</v>
      </c>
      <c r="Q51" s="158">
        <f>'Monthly Data'!H51</f>
        <v>5177</v>
      </c>
      <c r="R51" s="29">
        <f>'Monthly Data'!BH51</f>
        <v>28</v>
      </c>
      <c r="S51" s="44">
        <f t="shared" si="3"/>
        <v>14742984.408754844</v>
      </c>
      <c r="T51" s="44">
        <f t="shared" si="5"/>
        <v>-469281.23539017886</v>
      </c>
      <c r="U51" s="48">
        <f t="shared" si="6"/>
        <v>3.0848871980538827E-2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158">
        <f>'Monthly Data'!J52</f>
        <v>15928487.644145023</v>
      </c>
      <c r="E52" s="251">
        <f>'Monthly Data'!AL52</f>
        <v>464.4</v>
      </c>
      <c r="F52" s="251">
        <f>'Monthly Data'!AI52</f>
        <v>0</v>
      </c>
      <c r="G52" s="29">
        <f>'Monthly Data'!BG52</f>
        <v>51</v>
      </c>
      <c r="H52" s="63">
        <f>'Monthly Data'!X52</f>
        <v>3115.2</v>
      </c>
      <c r="I52" s="29">
        <f>'Monthly Data'!BF52</f>
        <v>1</v>
      </c>
      <c r="K52" s="29">
        <f>'GS&lt;50 PW'!$B$6</f>
        <v>50.759309292559799</v>
      </c>
      <c r="L52" s="29">
        <f>E52*'GS&lt;50 PW'!$B$7</f>
        <v>14.261530224539545</v>
      </c>
      <c r="M52" s="29">
        <f>F52*'GS&lt;50 PW'!$B$8</f>
        <v>0</v>
      </c>
      <c r="N52" s="29">
        <f>G52*'GS&lt;50 PW'!$B$9</f>
        <v>-4.9143500506294675</v>
      </c>
      <c r="O52" s="29">
        <f>H52*'GS&lt;50 PW'!$B$10</f>
        <v>39.599584932665785</v>
      </c>
      <c r="P52" s="29">
        <f>I52*'GS&lt;50 PW'!$B$11</f>
        <v>-1.9723066266223299</v>
      </c>
      <c r="Q52" s="158">
        <f>'Monthly Data'!H52</f>
        <v>5180</v>
      </c>
      <c r="R52" s="29">
        <f>'Monthly Data'!BH52</f>
        <v>31</v>
      </c>
      <c r="S52" s="44">
        <f t="shared" si="3"/>
        <v>15694088.428910192</v>
      </c>
      <c r="T52" s="44">
        <f t="shared" si="5"/>
        <v>-234399.21523483098</v>
      </c>
      <c r="U52" s="48">
        <f t="shared" si="6"/>
        <v>1.4715723204330148E-2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158">
        <f>'Monthly Data'!J53</f>
        <v>13755808.644145023</v>
      </c>
      <c r="E53" s="251">
        <f>'Monthly Data'!AL53</f>
        <v>185.89999999999995</v>
      </c>
      <c r="F53" s="251">
        <f>'Monthly Data'!AI53</f>
        <v>0</v>
      </c>
      <c r="G53" s="29">
        <f>'Monthly Data'!BG53</f>
        <v>52</v>
      </c>
      <c r="H53" s="63">
        <f>'Monthly Data'!X53</f>
        <v>3126.8</v>
      </c>
      <c r="I53" s="29">
        <f>'Monthly Data'!BF53</f>
        <v>1</v>
      </c>
      <c r="K53" s="29">
        <f>'GS&lt;50 PW'!$B$6</f>
        <v>50.759309292559799</v>
      </c>
      <c r="L53" s="29">
        <f>E53*'GS&lt;50 PW'!$B$7</f>
        <v>5.708911431399442</v>
      </c>
      <c r="M53" s="29">
        <f>F53*'GS&lt;50 PW'!$B$8</f>
        <v>0</v>
      </c>
      <c r="N53" s="29">
        <f>G53*'GS&lt;50 PW'!$B$9</f>
        <v>-5.0107098555437712</v>
      </c>
      <c r="O53" s="29">
        <f>H53*'GS&lt;50 PW'!$B$10</f>
        <v>39.747041014207561</v>
      </c>
      <c r="P53" s="29">
        <f>I53*'GS&lt;50 PW'!$B$11</f>
        <v>-1.9723066266223299</v>
      </c>
      <c r="Q53" s="158">
        <f>'Monthly Data'!H53</f>
        <v>5185</v>
      </c>
      <c r="R53" s="29">
        <f>'Monthly Data'!BH53</f>
        <v>30</v>
      </c>
      <c r="S53" s="44">
        <f t="shared" si="3"/>
        <v>13880075.74957091</v>
      </c>
      <c r="T53" s="44">
        <f t="shared" si="5"/>
        <v>124267.10542588681</v>
      </c>
      <c r="U53" s="48">
        <f t="shared" si="6"/>
        <v>9.0337913706570391E-3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158">
        <f>'Monthly Data'!J54</f>
        <v>13728640.644145023</v>
      </c>
      <c r="E54" s="251">
        <f>'Monthly Data'!AL54</f>
        <v>33.899999999999991</v>
      </c>
      <c r="F54" s="251">
        <f>'Monthly Data'!AI54</f>
        <v>18.200000000000003</v>
      </c>
      <c r="G54" s="29">
        <f>'Monthly Data'!BG54</f>
        <v>53</v>
      </c>
      <c r="H54" s="63">
        <f>'Monthly Data'!X54</f>
        <v>3114.3</v>
      </c>
      <c r="I54" s="29">
        <f>'Monthly Data'!BF54</f>
        <v>1</v>
      </c>
      <c r="K54" s="29">
        <f>'GS&lt;50 PW'!$B$6</f>
        <v>50.759309292559799</v>
      </c>
      <c r="L54" s="29">
        <f>E54*'GS&lt;50 PW'!$B$7</f>
        <v>1.0410548548920984</v>
      </c>
      <c r="M54" s="29">
        <f>F54*'GS&lt;50 PW'!$B$8</f>
        <v>1.4340674153016906</v>
      </c>
      <c r="N54" s="29">
        <f>G54*'GS&lt;50 PW'!$B$9</f>
        <v>-5.107069660458075</v>
      </c>
      <c r="O54" s="29">
        <f>H54*'GS&lt;50 PW'!$B$10</f>
        <v>39.588144374615133</v>
      </c>
      <c r="P54" s="29">
        <f>I54*'GS&lt;50 PW'!$B$11</f>
        <v>-1.9723066266223299</v>
      </c>
      <c r="Q54" s="158">
        <f>'Monthly Data'!H54</f>
        <v>5182</v>
      </c>
      <c r="R54" s="29">
        <f>'Monthly Data'!BH54</f>
        <v>31</v>
      </c>
      <c r="S54" s="44">
        <f t="shared" si="3"/>
        <v>13773959.078221615</v>
      </c>
      <c r="T54" s="44">
        <f t="shared" si="5"/>
        <v>45318.434076592326</v>
      </c>
      <c r="U54" s="48">
        <f t="shared" si="6"/>
        <v>3.3010139351210776E-3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158">
        <f>'Monthly Data'!J55</f>
        <v>14380195.644145023</v>
      </c>
      <c r="E55" s="251">
        <f>'Monthly Data'!AL55</f>
        <v>0</v>
      </c>
      <c r="F55" s="251">
        <f>'Monthly Data'!AI55</f>
        <v>86.1</v>
      </c>
      <c r="G55" s="29">
        <f>'Monthly Data'!BG55</f>
        <v>54</v>
      </c>
      <c r="H55" s="63">
        <f>'Monthly Data'!X55</f>
        <v>3091.8</v>
      </c>
      <c r="I55" s="29">
        <f>'Monthly Data'!BF55</f>
        <v>0</v>
      </c>
      <c r="K55" s="29">
        <f>'GS&lt;50 PW'!$B$6</f>
        <v>50.759309292559799</v>
      </c>
      <c r="L55" s="29">
        <f>E55*'GS&lt;50 PW'!$B$7</f>
        <v>0</v>
      </c>
      <c r="M55" s="29">
        <f>F55*'GS&lt;50 PW'!$B$8</f>
        <v>6.7842420031579964</v>
      </c>
      <c r="N55" s="29">
        <f>G55*'GS&lt;50 PW'!$B$9</f>
        <v>-5.2034294653723778</v>
      </c>
      <c r="O55" s="29">
        <f>H55*'GS&lt;50 PW'!$B$10</f>
        <v>39.302130423348771</v>
      </c>
      <c r="P55" s="29">
        <f>I55*'GS&lt;50 PW'!$B$11</f>
        <v>0</v>
      </c>
      <c r="Q55" s="158">
        <f>'Monthly Data'!H55</f>
        <v>5192.5</v>
      </c>
      <c r="R55" s="29">
        <f>'Monthly Data'!BH55</f>
        <v>30</v>
      </c>
      <c r="S55" s="44">
        <f t="shared" si="3"/>
        <v>14275571.84481921</v>
      </c>
      <c r="T55" s="44">
        <f t="shared" si="5"/>
        <v>-104623.79932581261</v>
      </c>
      <c r="U55" s="48">
        <f t="shared" si="6"/>
        <v>7.2755476987137356E-3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158">
        <f>'Monthly Data'!J56</f>
        <v>15171411.644145023</v>
      </c>
      <c r="E56" s="251">
        <f>'Monthly Data'!AL56</f>
        <v>0</v>
      </c>
      <c r="F56" s="251">
        <f>'Monthly Data'!AI56</f>
        <v>119.49999999999999</v>
      </c>
      <c r="G56" s="29">
        <f>'Monthly Data'!BG56</f>
        <v>55</v>
      </c>
      <c r="H56" s="63">
        <f>'Monthly Data'!X56</f>
        <v>3067.1</v>
      </c>
      <c r="I56" s="29">
        <f>'Monthly Data'!BF56</f>
        <v>0</v>
      </c>
      <c r="K56" s="29">
        <f>'GS&lt;50 PW'!$B$6</f>
        <v>50.759309292559799</v>
      </c>
      <c r="L56" s="29">
        <f>E56*'GS&lt;50 PW'!$B$7</f>
        <v>0</v>
      </c>
      <c r="M56" s="29">
        <f>F56*'GS&lt;50 PW'!$B$8</f>
        <v>9.4159920949753833</v>
      </c>
      <c r="N56" s="29">
        <f>G56*'GS&lt;50 PW'!$B$9</f>
        <v>-5.2997892702866807</v>
      </c>
      <c r="O56" s="29">
        <f>H56*'GS&lt;50 PW'!$B$10</f>
        <v>38.988150663514133</v>
      </c>
      <c r="P56" s="29">
        <f>I56*'GS&lt;50 PW'!$B$11</f>
        <v>0</v>
      </c>
      <c r="Q56" s="158">
        <f>'Monthly Data'!H56</f>
        <v>5203</v>
      </c>
      <c r="R56" s="29">
        <f>'Monthly Data'!BH56</f>
        <v>31</v>
      </c>
      <c r="S56" s="44">
        <f t="shared" si="3"/>
        <v>15139551.760897549</v>
      </c>
      <c r="T56" s="44">
        <f t="shared" si="5"/>
        <v>-31859.883247474208</v>
      </c>
      <c r="U56" s="48">
        <f t="shared" si="6"/>
        <v>2.0999946474835537E-3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158">
        <f>'Monthly Data'!J57</f>
        <v>14799566.644145023</v>
      </c>
      <c r="E57" s="251">
        <f>'Monthly Data'!AL57</f>
        <v>0</v>
      </c>
      <c r="F57" s="251">
        <f>'Monthly Data'!AI57</f>
        <v>126.70000000000002</v>
      </c>
      <c r="G57" s="29">
        <f>'Monthly Data'!BG57</f>
        <v>56</v>
      </c>
      <c r="H57" s="63">
        <f>'Monthly Data'!X57</f>
        <v>3056.5</v>
      </c>
      <c r="I57" s="29">
        <f>'Monthly Data'!BF57</f>
        <v>0</v>
      </c>
      <c r="K57" s="29">
        <f>'GS&lt;50 PW'!$B$6</f>
        <v>50.759309292559799</v>
      </c>
      <c r="L57" s="29">
        <f>E57*'GS&lt;50 PW'!$B$7</f>
        <v>0</v>
      </c>
      <c r="M57" s="29">
        <f>F57*'GS&lt;50 PW'!$B$8</f>
        <v>9.9833154680617682</v>
      </c>
      <c r="N57" s="29">
        <f>G57*'GS&lt;50 PW'!$B$9</f>
        <v>-5.3961490752009844</v>
      </c>
      <c r="O57" s="29">
        <f>H57*'GS&lt;50 PW'!$B$10</f>
        <v>38.853406313139764</v>
      </c>
      <c r="P57" s="29">
        <f>I57*'GS&lt;50 PW'!$B$11</f>
        <v>0</v>
      </c>
      <c r="Q57" s="158">
        <f>'Monthly Data'!H57</f>
        <v>5210</v>
      </c>
      <c r="R57" s="29">
        <f>'Monthly Data'!BH57</f>
        <v>31</v>
      </c>
      <c r="S57" s="44">
        <f t="shared" si="3"/>
        <v>15214222.941587484</v>
      </c>
      <c r="T57" s="44">
        <f t="shared" si="5"/>
        <v>414656.29744246043</v>
      </c>
      <c r="U57" s="48">
        <f t="shared" si="6"/>
        <v>2.8018137788278143E-2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158">
        <f>'Monthly Data'!J58</f>
        <v>13670813.644145023</v>
      </c>
      <c r="E58" s="251">
        <f>'Monthly Data'!AL58</f>
        <v>0.59999999999999964</v>
      </c>
      <c r="F58" s="251">
        <f>'Monthly Data'!AI58</f>
        <v>64.600000000000009</v>
      </c>
      <c r="G58" s="29">
        <f>'Monthly Data'!BG58</f>
        <v>57</v>
      </c>
      <c r="H58" s="63">
        <f>'Monthly Data'!X58</f>
        <v>3058.5</v>
      </c>
      <c r="I58" s="29">
        <f>'Monthly Data'!BF58</f>
        <v>1</v>
      </c>
      <c r="K58" s="29">
        <f>'GS&lt;50 PW'!$B$6</f>
        <v>50.759309292559799</v>
      </c>
      <c r="L58" s="29">
        <f>E58*'GS&lt;50 PW'!$B$7</f>
        <v>1.8425749644107928E-2</v>
      </c>
      <c r="M58" s="29">
        <f>F58*'GS&lt;50 PW'!$B$8</f>
        <v>5.0901513751917147</v>
      </c>
      <c r="N58" s="29">
        <f>G58*'GS&lt;50 PW'!$B$9</f>
        <v>-5.4925088801152882</v>
      </c>
      <c r="O58" s="29">
        <f>H58*'GS&lt;50 PW'!$B$10</f>
        <v>38.87882977547455</v>
      </c>
      <c r="P58" s="29">
        <f>I58*'GS&lt;50 PW'!$B$11</f>
        <v>-1.9723066266223299</v>
      </c>
      <c r="Q58" s="158">
        <f>'Monthly Data'!H58</f>
        <v>5214</v>
      </c>
      <c r="R58" s="29">
        <f>'Monthly Data'!BH58</f>
        <v>30</v>
      </c>
      <c r="S58" s="44">
        <f t="shared" si="3"/>
        <v>13652634.905324854</v>
      </c>
      <c r="T58" s="44">
        <f t="shared" si="5"/>
        <v>-18178.738820169121</v>
      </c>
      <c r="U58" s="48">
        <f t="shared" si="6"/>
        <v>1.329748125705361E-3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158">
        <f>'Monthly Data'!J59</f>
        <v>13266929.644145023</v>
      </c>
      <c r="E59" s="251">
        <f>'Monthly Data'!AL59</f>
        <v>50.6</v>
      </c>
      <c r="F59" s="251">
        <f>'Monthly Data'!AI59</f>
        <v>6.3999999999999986</v>
      </c>
      <c r="G59" s="29">
        <f>'Monthly Data'!BG59</f>
        <v>58</v>
      </c>
      <c r="H59" s="63">
        <f>'Monthly Data'!X59</f>
        <v>3072.7</v>
      </c>
      <c r="I59" s="29">
        <f>'Monthly Data'!BF59</f>
        <v>1</v>
      </c>
      <c r="K59" s="29">
        <f>'GS&lt;50 PW'!$B$6</f>
        <v>50.759309292559799</v>
      </c>
      <c r="L59" s="29">
        <f>E59*'GS&lt;50 PW'!$B$7</f>
        <v>1.5539048866531029</v>
      </c>
      <c r="M59" s="29">
        <f>F59*'GS&lt;50 PW'!$B$8</f>
        <v>0.5042874427434515</v>
      </c>
      <c r="N59" s="29">
        <f>G59*'GS&lt;50 PW'!$B$9</f>
        <v>-5.588868685029591</v>
      </c>
      <c r="O59" s="29">
        <f>H59*'GS&lt;50 PW'!$B$10</f>
        <v>39.059336358051539</v>
      </c>
      <c r="P59" s="29">
        <f>I59*'GS&lt;50 PW'!$B$11</f>
        <v>-1.9723066266223299</v>
      </c>
      <c r="Q59" s="158">
        <f>'Monthly Data'!H59</f>
        <v>5215</v>
      </c>
      <c r="R59" s="29">
        <f>'Monthly Data'!BH59</f>
        <v>31</v>
      </c>
      <c r="S59" s="44">
        <f t="shared" si="3"/>
        <v>13630891.605279768</v>
      </c>
      <c r="T59" s="44">
        <f t="shared" si="5"/>
        <v>363961.96113474481</v>
      </c>
      <c r="U59" s="48">
        <f t="shared" si="6"/>
        <v>2.7433774874608529E-2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158">
        <f>'Monthly Data'!J60</f>
        <v>14011300.644145023</v>
      </c>
      <c r="E60" s="251">
        <f>'Monthly Data'!AL60</f>
        <v>261.60000000000002</v>
      </c>
      <c r="F60" s="251">
        <f>'Monthly Data'!AI60</f>
        <v>0</v>
      </c>
      <c r="G60" s="29">
        <f>'Monthly Data'!BG60</f>
        <v>59</v>
      </c>
      <c r="H60" s="63">
        <f>'Monthly Data'!X60</f>
        <v>3082</v>
      </c>
      <c r="I60" s="29">
        <f>'Monthly Data'!BF60</f>
        <v>1</v>
      </c>
      <c r="K60" s="29">
        <f>'GS&lt;50 PW'!$B$6</f>
        <v>50.759309292559799</v>
      </c>
      <c r="L60" s="29">
        <f>E60*'GS&lt;50 PW'!$B$7</f>
        <v>8.0336268448310619</v>
      </c>
      <c r="M60" s="29">
        <f>F60*'GS&lt;50 PW'!$B$8</f>
        <v>0</v>
      </c>
      <c r="N60" s="29">
        <f>G60*'GS&lt;50 PW'!$B$9</f>
        <v>-5.6852284899438938</v>
      </c>
      <c r="O60" s="29">
        <f>H60*'GS&lt;50 PW'!$B$10</f>
        <v>39.177555457908305</v>
      </c>
      <c r="P60" s="29">
        <f>I60*'GS&lt;50 PW'!$B$11</f>
        <v>-1.9723066266223299</v>
      </c>
      <c r="Q60" s="158">
        <f>'Monthly Data'!H60</f>
        <v>5219</v>
      </c>
      <c r="R60" s="29">
        <f>'Monthly Data'!BH60</f>
        <v>30</v>
      </c>
      <c r="S60" s="44">
        <f t="shared" si="3"/>
        <v>14140299.595875217</v>
      </c>
      <c r="T60" s="44">
        <f t="shared" si="5"/>
        <v>128998.95173019357</v>
      </c>
      <c r="U60" s="48">
        <f t="shared" si="6"/>
        <v>9.2067792281724428E-3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158">
        <f>'Monthly Data'!J61</f>
        <v>15136895.644145023</v>
      </c>
      <c r="E61" s="251">
        <f>'Monthly Data'!AL61</f>
        <v>333.1</v>
      </c>
      <c r="F61" s="251">
        <f>'Monthly Data'!AI61</f>
        <v>0</v>
      </c>
      <c r="G61" s="29">
        <f>'Monthly Data'!BG61</f>
        <v>60</v>
      </c>
      <c r="H61" s="63">
        <f>'Monthly Data'!X61</f>
        <v>3080.1</v>
      </c>
      <c r="I61" s="29">
        <f>'Monthly Data'!BF61</f>
        <v>0</v>
      </c>
      <c r="K61" s="29">
        <f>'GS&lt;50 PW'!$B$6</f>
        <v>50.759309292559799</v>
      </c>
      <c r="L61" s="29">
        <f>E61*'GS&lt;50 PW'!$B$7</f>
        <v>10.229362010753926</v>
      </c>
      <c r="M61" s="29">
        <f>F61*'GS&lt;50 PW'!$B$8</f>
        <v>0</v>
      </c>
      <c r="N61" s="29">
        <f>G61*'GS&lt;50 PW'!$B$9</f>
        <v>-5.7815882948581976</v>
      </c>
      <c r="O61" s="29">
        <f>H61*'GS&lt;50 PW'!$B$10</f>
        <v>39.153403168690261</v>
      </c>
      <c r="P61" s="29">
        <f>I61*'GS&lt;50 PW'!$B$11</f>
        <v>0</v>
      </c>
      <c r="Q61" s="158">
        <f>'Monthly Data'!H61</f>
        <v>5230</v>
      </c>
      <c r="R61" s="29">
        <f>'Monthly Data'!BH61</f>
        <v>31</v>
      </c>
      <c r="S61" s="44">
        <f t="shared" si="3"/>
        <v>15298665.623900648</v>
      </c>
      <c r="T61" s="44">
        <f t="shared" si="5"/>
        <v>161769.97975562513</v>
      </c>
      <c r="U61" s="48">
        <f t="shared" si="6"/>
        <v>1.0687130542397446E-2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158">
        <f>'Monthly Data'!J62</f>
        <v>16182556.699089883</v>
      </c>
      <c r="E62" s="251">
        <f>'Monthly Data'!AL62</f>
        <v>553.59999999999991</v>
      </c>
      <c r="F62" s="251">
        <f>'Monthly Data'!AI62</f>
        <v>0</v>
      </c>
      <c r="G62" s="29">
        <f>'Monthly Data'!BG62</f>
        <v>61</v>
      </c>
      <c r="H62" s="63">
        <f>'Monthly Data'!X62</f>
        <v>3076.8</v>
      </c>
      <c r="I62" s="29">
        <f>'Monthly Data'!BF62</f>
        <v>0</v>
      </c>
      <c r="K62" s="29">
        <f>'GS&lt;50 PW'!$B$6</f>
        <v>50.759309292559799</v>
      </c>
      <c r="L62" s="29">
        <f>E62*'GS&lt;50 PW'!$B$7</f>
        <v>17.000825004963588</v>
      </c>
      <c r="M62" s="29">
        <f>F62*'GS&lt;50 PW'!$B$8</f>
        <v>0</v>
      </c>
      <c r="N62" s="29">
        <f>G62*'GS&lt;50 PW'!$B$9</f>
        <v>-5.8779480997725013</v>
      </c>
      <c r="O62" s="29">
        <f>H62*'GS&lt;50 PW'!$B$10</f>
        <v>39.111454455837865</v>
      </c>
      <c r="P62" s="29">
        <f>I62*'GS&lt;50 PW'!$B$11</f>
        <v>0</v>
      </c>
      <c r="Q62" s="158">
        <f>'Monthly Data'!H62</f>
        <v>5230</v>
      </c>
      <c r="R62" s="29">
        <f>'Monthly Data'!BH62</f>
        <v>31</v>
      </c>
      <c r="S62" s="44">
        <f t="shared" si="3"/>
        <v>16374098.959166344</v>
      </c>
      <c r="T62" s="44">
        <f t="shared" si="5"/>
        <v>191542.26007646136</v>
      </c>
      <c r="U62" s="48">
        <f t="shared" si="6"/>
        <v>1.1836341045369785E-2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158">
        <f>'Monthly Data'!J63</f>
        <v>15130034.699089883</v>
      </c>
      <c r="E63" s="251">
        <f>'Monthly Data'!AL63</f>
        <v>647.9</v>
      </c>
      <c r="F63" s="251">
        <f>'Monthly Data'!AI63</f>
        <v>0</v>
      </c>
      <c r="G63" s="29">
        <f>'Monthly Data'!BG63</f>
        <v>62</v>
      </c>
      <c r="H63" s="63">
        <f>'Monthly Data'!X63</f>
        <v>3085.5</v>
      </c>
      <c r="I63" s="29">
        <f>'Monthly Data'!BF63</f>
        <v>0</v>
      </c>
      <c r="K63" s="29">
        <f>'GS&lt;50 PW'!$B$6</f>
        <v>50.759309292559799</v>
      </c>
      <c r="L63" s="29">
        <f>E63*'GS&lt;50 PW'!$B$7</f>
        <v>19.896738657362555</v>
      </c>
      <c r="M63" s="29">
        <f>F63*'GS&lt;50 PW'!$B$8</f>
        <v>0</v>
      </c>
      <c r="N63" s="29">
        <f>G63*'GS&lt;50 PW'!$B$9</f>
        <v>-5.9743079046868042</v>
      </c>
      <c r="O63" s="29">
        <f>H63*'GS&lt;50 PW'!$B$10</f>
        <v>39.22204651699419</v>
      </c>
      <c r="P63" s="29">
        <f>I63*'GS&lt;50 PW'!$B$11</f>
        <v>0</v>
      </c>
      <c r="Q63" s="158">
        <f>'Monthly Data'!H63</f>
        <v>5234</v>
      </c>
      <c r="R63" s="29">
        <f>'Monthly Data'!BH63</f>
        <v>28</v>
      </c>
      <c r="S63" s="44">
        <f t="shared" si="3"/>
        <v>15227307.728267891</v>
      </c>
      <c r="T63" s="44">
        <f t="shared" si="5"/>
        <v>97273.029178008437</v>
      </c>
      <c r="U63" s="48">
        <f t="shared" si="6"/>
        <v>6.4291345732247198E-3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158">
        <f>'Monthly Data'!J64</f>
        <v>15540011.699089883</v>
      </c>
      <c r="E64" s="251">
        <f>'Monthly Data'!AL64</f>
        <v>408</v>
      </c>
      <c r="F64" s="251">
        <f>'Monthly Data'!AI64</f>
        <v>0</v>
      </c>
      <c r="G64" s="29">
        <f>'Monthly Data'!BG64</f>
        <v>63</v>
      </c>
      <c r="H64" s="63">
        <f>'Monthly Data'!X64</f>
        <v>3108.7</v>
      </c>
      <c r="I64" s="29">
        <f>'Monthly Data'!BF64</f>
        <v>1</v>
      </c>
      <c r="K64" s="29">
        <f>'GS&lt;50 PW'!$B$6</f>
        <v>50.759309292559799</v>
      </c>
      <c r="L64" s="29">
        <f>E64*'GS&lt;50 PW'!$B$7</f>
        <v>12.529509757993399</v>
      </c>
      <c r="M64" s="29">
        <f>F64*'GS&lt;50 PW'!$B$8</f>
        <v>0</v>
      </c>
      <c r="N64" s="29">
        <f>G64*'GS&lt;50 PW'!$B$9</f>
        <v>-6.070667709601107</v>
      </c>
      <c r="O64" s="29">
        <f>H64*'GS&lt;50 PW'!$B$10</f>
        <v>39.516958680077728</v>
      </c>
      <c r="P64" s="29">
        <f>I64*'GS&lt;50 PW'!$B$11</f>
        <v>-1.9723066266223299</v>
      </c>
      <c r="Q64" s="158">
        <f>'Monthly Data'!H64</f>
        <v>5236</v>
      </c>
      <c r="R64" s="29">
        <f>'Monthly Data'!BH64</f>
        <v>31</v>
      </c>
      <c r="S64" s="44">
        <f t="shared" si="3"/>
        <v>15381519.195766645</v>
      </c>
      <c r="T64" s="44">
        <f t="shared" si="5"/>
        <v>-158492.50332323834</v>
      </c>
      <c r="U64" s="48">
        <f t="shared" si="6"/>
        <v>1.0198995109670388E-2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158">
        <f>'Monthly Data'!J65</f>
        <v>13711956.699089883</v>
      </c>
      <c r="E65" s="251">
        <f>'Monthly Data'!AL65</f>
        <v>149.69999999999996</v>
      </c>
      <c r="F65" s="251">
        <f>'Monthly Data'!AI65</f>
        <v>0</v>
      </c>
      <c r="G65" s="29">
        <f>'Monthly Data'!BG65</f>
        <v>64</v>
      </c>
      <c r="H65" s="63">
        <f>'Monthly Data'!X65</f>
        <v>3122.7</v>
      </c>
      <c r="I65" s="29">
        <f>'Monthly Data'!BF65</f>
        <v>1</v>
      </c>
      <c r="K65" s="29">
        <f>'GS&lt;50 PW'!$B$6</f>
        <v>50.759309292559799</v>
      </c>
      <c r="L65" s="29">
        <f>E65*'GS&lt;50 PW'!$B$7</f>
        <v>4.59722453620493</v>
      </c>
      <c r="M65" s="29">
        <f>F65*'GS&lt;50 PW'!$B$8</f>
        <v>0</v>
      </c>
      <c r="N65" s="29">
        <f>G65*'GS&lt;50 PW'!$B$9</f>
        <v>-6.1670275145154108</v>
      </c>
      <c r="O65" s="29">
        <f>H65*'GS&lt;50 PW'!$B$10</f>
        <v>39.694922916421241</v>
      </c>
      <c r="P65" s="29">
        <f>I65*'GS&lt;50 PW'!$B$11</f>
        <v>-1.9723066266223299</v>
      </c>
      <c r="Q65" s="158">
        <f>'Monthly Data'!H65</f>
        <v>5236</v>
      </c>
      <c r="R65" s="29">
        <f>'Monthly Data'!BH65</f>
        <v>30</v>
      </c>
      <c r="S65" s="44">
        <f t="shared" si="3"/>
        <v>13652156.218643894</v>
      </c>
      <c r="T65" s="44">
        <f t="shared" si="5"/>
        <v>-59800.480445988476</v>
      </c>
      <c r="U65" s="48">
        <f t="shared" si="6"/>
        <v>4.3611923344213646E-3</v>
      </c>
    </row>
    <row r="66" spans="1:21" x14ac:dyDescent="0.2">
      <c r="A66" s="45">
        <f>'Monthly Data'!A66</f>
        <v>42125</v>
      </c>
      <c r="B66" s="29">
        <f t="shared" ref="B66:B121" si="7">YEAR(A66)</f>
        <v>2015</v>
      </c>
      <c r="C66" s="29">
        <f t="shared" ref="C66:C121" si="8">MONTH(A66)</f>
        <v>5</v>
      </c>
      <c r="D66" s="158">
        <f>'Monthly Data'!J66</f>
        <v>13844626.699089883</v>
      </c>
      <c r="E66" s="251">
        <f>'Monthly Data'!AL66</f>
        <v>18.3</v>
      </c>
      <c r="F66" s="251">
        <f>'Monthly Data'!AI66</f>
        <v>35.1</v>
      </c>
      <c r="G66" s="29">
        <f>'Monthly Data'!BG66</f>
        <v>65</v>
      </c>
      <c r="H66" s="63">
        <f>'Monthly Data'!X66</f>
        <v>3142.3</v>
      </c>
      <c r="I66" s="29">
        <f>'Monthly Data'!BF66</f>
        <v>1</v>
      </c>
      <c r="K66" s="29">
        <f>'GS&lt;50 PW'!$B$6</f>
        <v>50.759309292559799</v>
      </c>
      <c r="L66" s="29">
        <f>E66*'GS&lt;50 PW'!$B$7</f>
        <v>0.56198536414529221</v>
      </c>
      <c r="M66" s="29">
        <f>F66*'GS&lt;50 PW'!$B$8</f>
        <v>2.7657014437961172</v>
      </c>
      <c r="N66" s="29">
        <f>G66*'GS&lt;50 PW'!$B$9</f>
        <v>-6.2633873194297145</v>
      </c>
      <c r="O66" s="29">
        <f>H66*'GS&lt;50 PW'!$B$10</f>
        <v>39.944072847302166</v>
      </c>
      <c r="P66" s="29">
        <f>I66*'GS&lt;50 PW'!$B$11</f>
        <v>-1.9723066266223299</v>
      </c>
      <c r="Q66" s="158">
        <f>'Monthly Data'!H66</f>
        <v>5250</v>
      </c>
      <c r="R66" s="29">
        <f>'Monthly Data'!BH66</f>
        <v>31</v>
      </c>
      <c r="S66" s="44">
        <f t="shared" si="3"/>
        <v>13963197.281535031</v>
      </c>
      <c r="T66" s="44">
        <f t="shared" ref="T66:T97" si="9">S66-D66</f>
        <v>118570.58244514838</v>
      </c>
      <c r="U66" s="48">
        <f t="shared" ref="U66:U97" si="10">ABS(T66/D66)</f>
        <v>8.564375553220439E-3</v>
      </c>
    </row>
    <row r="67" spans="1:21" x14ac:dyDescent="0.2">
      <c r="A67" s="45">
        <f>'Monthly Data'!A67</f>
        <v>42156</v>
      </c>
      <c r="B67" s="29">
        <f t="shared" si="7"/>
        <v>2015</v>
      </c>
      <c r="C67" s="29">
        <f t="shared" si="8"/>
        <v>6</v>
      </c>
      <c r="D67" s="158">
        <f>'Monthly Data'!J67</f>
        <v>14160686.699089883</v>
      </c>
      <c r="E67" s="251">
        <f>'Monthly Data'!AL67</f>
        <v>3.5</v>
      </c>
      <c r="F67" s="251">
        <f>'Monthly Data'!AI67</f>
        <v>56.3</v>
      </c>
      <c r="G67" s="29">
        <f>'Monthly Data'!BG67</f>
        <v>66</v>
      </c>
      <c r="H67" s="63">
        <f>'Monthly Data'!X67</f>
        <v>3163.2</v>
      </c>
      <c r="I67" s="29">
        <f>'Monthly Data'!BF67</f>
        <v>0</v>
      </c>
      <c r="K67" s="29">
        <f>'GS&lt;50 PW'!$B$6</f>
        <v>50.759309292559799</v>
      </c>
      <c r="L67" s="29">
        <f>E67*'GS&lt;50 PW'!$B$7</f>
        <v>0.10748353959062965</v>
      </c>
      <c r="M67" s="29">
        <f>F67*'GS&lt;50 PW'!$B$8</f>
        <v>4.4361535978838003</v>
      </c>
      <c r="N67" s="29">
        <f>G67*'GS&lt;50 PW'!$B$9</f>
        <v>-6.3597471243440173</v>
      </c>
      <c r="O67" s="29">
        <f>H67*'GS&lt;50 PW'!$B$10</f>
        <v>40.209748028700702</v>
      </c>
      <c r="P67" s="29">
        <f>I67*'GS&lt;50 PW'!$B$11</f>
        <v>0</v>
      </c>
      <c r="Q67" s="158">
        <f>'Monthly Data'!H67</f>
        <v>5241</v>
      </c>
      <c r="R67" s="29">
        <f>'Monthly Data'!BH67</f>
        <v>30</v>
      </c>
      <c r="S67" s="44">
        <f t="shared" ref="S67:S121" si="11">SUM(K67:P67)*Q67*R67</f>
        <v>14017517.909386285</v>
      </c>
      <c r="T67" s="44">
        <f t="shared" si="9"/>
        <v>-143168.78970359825</v>
      </c>
      <c r="U67" s="48">
        <f t="shared" si="10"/>
        <v>1.0110299927248571E-2</v>
      </c>
    </row>
    <row r="68" spans="1:21" x14ac:dyDescent="0.2">
      <c r="A68" s="45">
        <f>'Monthly Data'!A68</f>
        <v>42186</v>
      </c>
      <c r="B68" s="29">
        <f t="shared" si="7"/>
        <v>2015</v>
      </c>
      <c r="C68" s="29">
        <f t="shared" si="8"/>
        <v>7</v>
      </c>
      <c r="D68" s="158">
        <f>'Monthly Data'!J68</f>
        <v>15621116.699089883</v>
      </c>
      <c r="E68" s="251">
        <f>'Monthly Data'!AL68</f>
        <v>0</v>
      </c>
      <c r="F68" s="251">
        <f>'Monthly Data'!AI68</f>
        <v>182.9</v>
      </c>
      <c r="G68" s="29">
        <f>'Monthly Data'!BG68</f>
        <v>67</v>
      </c>
      <c r="H68" s="63">
        <f>'Monthly Data'!X68</f>
        <v>3194.9</v>
      </c>
      <c r="I68" s="29">
        <f>'Monthly Data'!BF68</f>
        <v>0</v>
      </c>
      <c r="K68" s="29">
        <f>'GS&lt;50 PW'!$B$6</f>
        <v>50.759309292559799</v>
      </c>
      <c r="L68" s="29">
        <f>E68*'GS&lt;50 PW'!$B$7</f>
        <v>0</v>
      </c>
      <c r="M68" s="29">
        <f>F68*'GS&lt;50 PW'!$B$8</f>
        <v>14.411589574652702</v>
      </c>
      <c r="N68" s="29">
        <f>G68*'GS&lt;50 PW'!$B$9</f>
        <v>-6.4561069292583202</v>
      </c>
      <c r="O68" s="29">
        <f>H68*'GS&lt;50 PW'!$B$10</f>
        <v>40.612709906707089</v>
      </c>
      <c r="P68" s="29">
        <f>I68*'GS&lt;50 PW'!$B$11</f>
        <v>0</v>
      </c>
      <c r="Q68" s="158">
        <f>'Monthly Data'!H68</f>
        <v>5240</v>
      </c>
      <c r="R68" s="29">
        <f>'Monthly Data'!BH68</f>
        <v>31</v>
      </c>
      <c r="S68" s="44">
        <f t="shared" si="11"/>
        <v>16134759.399646776</v>
      </c>
      <c r="T68" s="44">
        <f t="shared" si="9"/>
        <v>513642.7005568929</v>
      </c>
      <c r="U68" s="48">
        <f t="shared" si="10"/>
        <v>3.2881304867712735E-2</v>
      </c>
    </row>
    <row r="69" spans="1:21" x14ac:dyDescent="0.2">
      <c r="A69" s="45">
        <f>'Monthly Data'!A69</f>
        <v>42217</v>
      </c>
      <c r="B69" s="29">
        <f t="shared" si="7"/>
        <v>2015</v>
      </c>
      <c r="C69" s="29">
        <f t="shared" si="8"/>
        <v>8</v>
      </c>
      <c r="D69" s="158">
        <f>'Monthly Data'!J69</f>
        <v>15851803.699089883</v>
      </c>
      <c r="E69" s="251">
        <f>'Monthly Data'!AL69</f>
        <v>0</v>
      </c>
      <c r="F69" s="251">
        <f>'Monthly Data'!AI69</f>
        <v>148.70000000000002</v>
      </c>
      <c r="G69" s="29">
        <f>'Monthly Data'!BG69</f>
        <v>68</v>
      </c>
      <c r="H69" s="63">
        <f>'Monthly Data'!X69</f>
        <v>3214.6</v>
      </c>
      <c r="I69" s="29">
        <f>'Monthly Data'!BF69</f>
        <v>0</v>
      </c>
      <c r="K69" s="29">
        <f>'GS&lt;50 PW'!$B$6</f>
        <v>50.759309292559799</v>
      </c>
      <c r="L69" s="29">
        <f>E69*'GS&lt;50 PW'!$B$7</f>
        <v>0</v>
      </c>
      <c r="M69" s="29">
        <f>F69*'GS&lt;50 PW'!$B$8</f>
        <v>11.716803552492383</v>
      </c>
      <c r="N69" s="29">
        <f>G69*'GS&lt;50 PW'!$B$9</f>
        <v>-6.5524667341726239</v>
      </c>
      <c r="O69" s="29">
        <f>H69*'GS&lt;50 PW'!$B$10</f>
        <v>40.863131010704748</v>
      </c>
      <c r="P69" s="29">
        <f>I69*'GS&lt;50 PW'!$B$11</f>
        <v>0</v>
      </c>
      <c r="Q69" s="158">
        <f>'Monthly Data'!H69</f>
        <v>5244</v>
      </c>
      <c r="R69" s="29">
        <f>'Monthly Data'!BH69</f>
        <v>31</v>
      </c>
      <c r="S69" s="44">
        <f t="shared" si="11"/>
        <v>15734045.635993231</v>
      </c>
      <c r="T69" s="44">
        <f t="shared" si="9"/>
        <v>-117758.06309665181</v>
      </c>
      <c r="U69" s="48">
        <f t="shared" si="10"/>
        <v>7.4286854248272567E-3</v>
      </c>
    </row>
    <row r="70" spans="1:21" x14ac:dyDescent="0.2">
      <c r="A70" s="45">
        <f>'Monthly Data'!A70</f>
        <v>42248</v>
      </c>
      <c r="B70" s="29">
        <f t="shared" si="7"/>
        <v>2015</v>
      </c>
      <c r="C70" s="29">
        <f t="shared" si="8"/>
        <v>9</v>
      </c>
      <c r="D70" s="158">
        <f>'Monthly Data'!J70</f>
        <v>14469369.699089883</v>
      </c>
      <c r="E70" s="251">
        <f>'Monthly Data'!AL70</f>
        <v>0</v>
      </c>
      <c r="F70" s="251">
        <f>'Monthly Data'!AI70</f>
        <v>128.10000000000002</v>
      </c>
      <c r="G70" s="29">
        <f>'Monthly Data'!BG70</f>
        <v>69</v>
      </c>
      <c r="H70" s="63">
        <f>'Monthly Data'!X70</f>
        <v>3220.3</v>
      </c>
      <c r="I70" s="29">
        <f>'Monthly Data'!BF70</f>
        <v>1</v>
      </c>
      <c r="K70" s="29">
        <f>'GS&lt;50 PW'!$B$6</f>
        <v>50.759309292559799</v>
      </c>
      <c r="L70" s="29">
        <f>E70*'GS&lt;50 PW'!$B$7</f>
        <v>0</v>
      </c>
      <c r="M70" s="29">
        <f>F70*'GS&lt;50 PW'!$B$8</f>
        <v>10.0936283461619</v>
      </c>
      <c r="N70" s="29">
        <f>G70*'GS&lt;50 PW'!$B$9</f>
        <v>-6.6488265390869277</v>
      </c>
      <c r="O70" s="29">
        <f>H70*'GS&lt;50 PW'!$B$10</f>
        <v>40.935587878358902</v>
      </c>
      <c r="P70" s="29">
        <f>I70*'GS&lt;50 PW'!$B$11</f>
        <v>-1.9723066266223299</v>
      </c>
      <c r="Q70" s="158">
        <f>'Monthly Data'!H70</f>
        <v>5237</v>
      </c>
      <c r="R70" s="29">
        <f>'Monthly Data'!BH70</f>
        <v>30</v>
      </c>
      <c r="S70" s="44">
        <f t="shared" si="11"/>
        <v>14637529.012323953</v>
      </c>
      <c r="T70" s="44">
        <f t="shared" si="9"/>
        <v>168159.31323407032</v>
      </c>
      <c r="U70" s="48">
        <f t="shared" si="10"/>
        <v>1.1621744190049098E-2</v>
      </c>
    </row>
    <row r="71" spans="1:21" x14ac:dyDescent="0.2">
      <c r="A71" s="45">
        <f>'Monthly Data'!A71</f>
        <v>42278</v>
      </c>
      <c r="B71" s="29">
        <f t="shared" si="7"/>
        <v>2015</v>
      </c>
      <c r="C71" s="29">
        <f t="shared" si="8"/>
        <v>10</v>
      </c>
      <c r="D71" s="158">
        <f>'Monthly Data'!J71</f>
        <v>13421736.699089883</v>
      </c>
      <c r="E71" s="251">
        <f>'Monthly Data'!AL71</f>
        <v>51.800000000000004</v>
      </c>
      <c r="F71" s="251">
        <f>'Monthly Data'!AI71</f>
        <v>4.2999999999999972</v>
      </c>
      <c r="G71" s="29">
        <f>'Monthly Data'!BG71</f>
        <v>70</v>
      </c>
      <c r="H71" s="63">
        <f>'Monthly Data'!X71</f>
        <v>3216.5</v>
      </c>
      <c r="I71" s="29">
        <f>'Monthly Data'!BF71</f>
        <v>1</v>
      </c>
      <c r="K71" s="29">
        <f>'GS&lt;50 PW'!$B$6</f>
        <v>50.759309292559799</v>
      </c>
      <c r="L71" s="29">
        <f>E71*'GS&lt;50 PW'!$B$7</f>
        <v>1.590756385941319</v>
      </c>
      <c r="M71" s="29">
        <f>F71*'GS&lt;50 PW'!$B$8</f>
        <v>0.3388181255932563</v>
      </c>
      <c r="N71" s="29">
        <f>G71*'GS&lt;50 PW'!$B$9</f>
        <v>-6.7451863440012305</v>
      </c>
      <c r="O71" s="29">
        <f>H71*'GS&lt;50 PW'!$B$10</f>
        <v>40.8872832999228</v>
      </c>
      <c r="P71" s="29">
        <f>I71*'GS&lt;50 PW'!$B$11</f>
        <v>-1.9723066266223299</v>
      </c>
      <c r="Q71" s="158">
        <f>'Monthly Data'!H71</f>
        <v>5242</v>
      </c>
      <c r="R71" s="29">
        <f>'Monthly Data'!BH71</f>
        <v>31</v>
      </c>
      <c r="S71" s="44">
        <f t="shared" si="11"/>
        <v>13789704.264024727</v>
      </c>
      <c r="T71" s="44">
        <f t="shared" si="9"/>
        <v>367967.56493484415</v>
      </c>
      <c r="U71" s="48">
        <f t="shared" si="10"/>
        <v>2.7415793737020317E-2</v>
      </c>
    </row>
    <row r="72" spans="1:21" x14ac:dyDescent="0.2">
      <c r="A72" s="45">
        <f>'Monthly Data'!A72</f>
        <v>42309</v>
      </c>
      <c r="B72" s="29">
        <f t="shared" si="7"/>
        <v>2015</v>
      </c>
      <c r="C72" s="29">
        <f t="shared" si="8"/>
        <v>11</v>
      </c>
      <c r="D72" s="158">
        <f>'Monthly Data'!J72</f>
        <v>13464398.699089883</v>
      </c>
      <c r="E72" s="251">
        <f>'Monthly Data'!AL72</f>
        <v>133</v>
      </c>
      <c r="F72" s="251">
        <f>'Monthly Data'!AI72</f>
        <v>0.10000000000000142</v>
      </c>
      <c r="G72" s="29">
        <f>'Monthly Data'!BG72</f>
        <v>71</v>
      </c>
      <c r="H72" s="63">
        <f>'Monthly Data'!X72</f>
        <v>3211.5</v>
      </c>
      <c r="I72" s="29">
        <f>'Monthly Data'!BF72</f>
        <v>1</v>
      </c>
      <c r="K72" s="29">
        <f>'GS&lt;50 PW'!$B$6</f>
        <v>50.759309292559799</v>
      </c>
      <c r="L72" s="29">
        <f>E72*'GS&lt;50 PW'!$B$7</f>
        <v>4.084374504443927</v>
      </c>
      <c r="M72" s="29">
        <f>F72*'GS&lt;50 PW'!$B$8</f>
        <v>7.8794912928665424E-3</v>
      </c>
      <c r="N72" s="29">
        <f>G72*'GS&lt;50 PW'!$B$9</f>
        <v>-6.8415461489155334</v>
      </c>
      <c r="O72" s="29">
        <f>H72*'GS&lt;50 PW'!$B$10</f>
        <v>40.823724644085829</v>
      </c>
      <c r="P72" s="29">
        <f>I72*'GS&lt;50 PW'!$B$11</f>
        <v>-1.9723066266223299</v>
      </c>
      <c r="Q72" s="158">
        <f>'Monthly Data'!H72</f>
        <v>5234</v>
      </c>
      <c r="R72" s="29">
        <f>'Monthly Data'!BH72</f>
        <v>30</v>
      </c>
      <c r="S72" s="44">
        <f t="shared" si="11"/>
        <v>13638982.548327733</v>
      </c>
      <c r="T72" s="44">
        <f t="shared" si="9"/>
        <v>174583.84923784994</v>
      </c>
      <c r="U72" s="48">
        <f t="shared" si="10"/>
        <v>1.2966330924948829E-2</v>
      </c>
    </row>
    <row r="73" spans="1:21" x14ac:dyDescent="0.2">
      <c r="A73" s="45">
        <f>'Monthly Data'!A73</f>
        <v>42339</v>
      </c>
      <c r="B73" s="29">
        <f t="shared" si="7"/>
        <v>2015</v>
      </c>
      <c r="C73" s="29">
        <f t="shared" si="8"/>
        <v>12</v>
      </c>
      <c r="D73" s="158">
        <f>'Monthly Data'!J73</f>
        <v>14365730.699089883</v>
      </c>
      <c r="E73" s="251">
        <f>'Monthly Data'!AL73</f>
        <v>208.49999999999994</v>
      </c>
      <c r="F73" s="251">
        <f>'Monthly Data'!AI73</f>
        <v>0</v>
      </c>
      <c r="G73" s="29">
        <f>'Monthly Data'!BG73</f>
        <v>72</v>
      </c>
      <c r="H73" s="63">
        <f>'Monthly Data'!X73</f>
        <v>3220.1</v>
      </c>
      <c r="I73" s="29">
        <f>'Monthly Data'!BF73</f>
        <v>0</v>
      </c>
      <c r="K73" s="29">
        <f>'GS&lt;50 PW'!$B$6</f>
        <v>50.759309292559799</v>
      </c>
      <c r="L73" s="29">
        <f>E73*'GS&lt;50 PW'!$B$7</f>
        <v>6.4029480013275073</v>
      </c>
      <c r="M73" s="29">
        <f>F73*'GS&lt;50 PW'!$B$8</f>
        <v>0</v>
      </c>
      <c r="N73" s="29">
        <f>G73*'GS&lt;50 PW'!$B$9</f>
        <v>-6.9379059538298371</v>
      </c>
      <c r="O73" s="29">
        <f>H73*'GS&lt;50 PW'!$B$10</f>
        <v>40.933045532125419</v>
      </c>
      <c r="P73" s="29">
        <f>I73*'GS&lt;50 PW'!$B$11</f>
        <v>0</v>
      </c>
      <c r="Q73" s="158">
        <f>'Monthly Data'!H73</f>
        <v>5238</v>
      </c>
      <c r="R73" s="29">
        <f>'Monthly Data'!BH73</f>
        <v>31</v>
      </c>
      <c r="S73" s="44">
        <f t="shared" si="11"/>
        <v>14801955.789311312</v>
      </c>
      <c r="T73" s="44">
        <f t="shared" si="9"/>
        <v>436225.09022142924</v>
      </c>
      <c r="U73" s="48">
        <f t="shared" si="10"/>
        <v>3.036567365480863E-2</v>
      </c>
    </row>
    <row r="74" spans="1:21" x14ac:dyDescent="0.2">
      <c r="A74" s="45">
        <f>'Monthly Data'!A74</f>
        <v>42370</v>
      </c>
      <c r="B74" s="29">
        <f t="shared" si="7"/>
        <v>2016</v>
      </c>
      <c r="C74" s="29">
        <f t="shared" si="8"/>
        <v>1</v>
      </c>
      <c r="D74" s="158">
        <f>'Monthly Data'!J74</f>
        <v>15517081.303964725</v>
      </c>
      <c r="E74" s="251">
        <f>'Monthly Data'!AL74</f>
        <v>439</v>
      </c>
      <c r="F74" s="251">
        <f>'Monthly Data'!AI74</f>
        <v>0</v>
      </c>
      <c r="G74" s="29">
        <f>'Monthly Data'!BG74</f>
        <v>73</v>
      </c>
      <c r="H74" s="63">
        <f>'Monthly Data'!X74</f>
        <v>3227</v>
      </c>
      <c r="I74" s="29">
        <f>'Monthly Data'!BF74</f>
        <v>0</v>
      </c>
      <c r="K74" s="29">
        <f>'GS&lt;50 PW'!$B$6</f>
        <v>50.759309292559799</v>
      </c>
      <c r="L74" s="29">
        <f>E74*'GS&lt;50 PW'!$B$7</f>
        <v>13.481506822938975</v>
      </c>
      <c r="M74" s="29">
        <f>F74*'GS&lt;50 PW'!$B$8</f>
        <v>0</v>
      </c>
      <c r="N74" s="29">
        <f>G74*'GS&lt;50 PW'!$B$9</f>
        <v>-7.0342657587441408</v>
      </c>
      <c r="O74" s="29">
        <f>H74*'GS&lt;50 PW'!$B$10</f>
        <v>41.020756477180441</v>
      </c>
      <c r="P74" s="29">
        <f>I74*'GS&lt;50 PW'!$B$11</f>
        <v>0</v>
      </c>
      <c r="Q74" s="158">
        <f>'Monthly Data'!H74</f>
        <v>5246</v>
      </c>
      <c r="R74" s="29">
        <f>'Monthly Data'!BH74</f>
        <v>31</v>
      </c>
      <c r="S74" s="44">
        <f t="shared" si="11"/>
        <v>15974314.001175527</v>
      </c>
      <c r="T74" s="44">
        <f t="shared" si="9"/>
        <v>457232.69721080177</v>
      </c>
      <c r="U74" s="48">
        <f t="shared" si="10"/>
        <v>2.9466411128101493E-2</v>
      </c>
    </row>
    <row r="75" spans="1:21" x14ac:dyDescent="0.2">
      <c r="A75" s="45">
        <f>'Monthly Data'!A75</f>
        <v>42401</v>
      </c>
      <c r="B75" s="29">
        <f t="shared" si="7"/>
        <v>2016</v>
      </c>
      <c r="C75" s="29">
        <f t="shared" si="8"/>
        <v>2</v>
      </c>
      <c r="D75" s="158">
        <f>'Monthly Data'!J75</f>
        <v>14725350.303964725</v>
      </c>
      <c r="E75" s="251">
        <f>'Monthly Data'!AL75</f>
        <v>370.3</v>
      </c>
      <c r="F75" s="251">
        <f>'Monthly Data'!AI75</f>
        <v>0</v>
      </c>
      <c r="G75" s="29">
        <f>'Monthly Data'!BG75</f>
        <v>74</v>
      </c>
      <c r="H75" s="63">
        <f>'Monthly Data'!X75</f>
        <v>3221.1</v>
      </c>
      <c r="I75" s="29">
        <f>'Monthly Data'!BF75</f>
        <v>0</v>
      </c>
      <c r="K75" s="29">
        <f>'GS&lt;50 PW'!$B$6</f>
        <v>50.759309292559799</v>
      </c>
      <c r="L75" s="29">
        <f>E75*'GS&lt;50 PW'!$B$7</f>
        <v>11.371758488688616</v>
      </c>
      <c r="M75" s="29">
        <f>F75*'GS&lt;50 PW'!$B$8</f>
        <v>0</v>
      </c>
      <c r="N75" s="29">
        <f>G75*'GS&lt;50 PW'!$B$9</f>
        <v>-7.1306255636584437</v>
      </c>
      <c r="O75" s="29">
        <f>H75*'GS&lt;50 PW'!$B$10</f>
        <v>40.945757263292812</v>
      </c>
      <c r="P75" s="29">
        <f>I75*'GS&lt;50 PW'!$B$11</f>
        <v>0</v>
      </c>
      <c r="Q75" s="158">
        <f>'Monthly Data'!H75</f>
        <v>5267</v>
      </c>
      <c r="R75" s="29">
        <f>'Monthly Data'!BH75</f>
        <v>29</v>
      </c>
      <c r="S75" s="44">
        <f t="shared" si="11"/>
        <v>14655110.347308481</v>
      </c>
      <c r="T75" s="44">
        <f t="shared" si="9"/>
        <v>-70239.956656243652</v>
      </c>
      <c r="U75" s="48">
        <f t="shared" si="10"/>
        <v>4.7700024248205431E-3</v>
      </c>
    </row>
    <row r="76" spans="1:21" x14ac:dyDescent="0.2">
      <c r="A76" s="45">
        <f>'Monthly Data'!A76</f>
        <v>42430</v>
      </c>
      <c r="B76" s="29">
        <f t="shared" si="7"/>
        <v>2016</v>
      </c>
      <c r="C76" s="29">
        <f t="shared" si="8"/>
        <v>3</v>
      </c>
      <c r="D76" s="158">
        <f>'Monthly Data'!J76</f>
        <v>14848383.303964725</v>
      </c>
      <c r="E76" s="251">
        <f>'Monthly Data'!AL76</f>
        <v>267</v>
      </c>
      <c r="F76" s="251">
        <f>'Monthly Data'!AI76</f>
        <v>0</v>
      </c>
      <c r="G76" s="29">
        <f>'Monthly Data'!BG76</f>
        <v>75</v>
      </c>
      <c r="H76" s="63">
        <f>'Monthly Data'!X76</f>
        <v>3210.6</v>
      </c>
      <c r="I76" s="29">
        <f>'Monthly Data'!BF76</f>
        <v>1</v>
      </c>
      <c r="K76" s="29">
        <f>'GS&lt;50 PW'!$B$6</f>
        <v>50.759309292559799</v>
      </c>
      <c r="L76" s="29">
        <f>E76*'GS&lt;50 PW'!$B$7</f>
        <v>8.1994585916280336</v>
      </c>
      <c r="M76" s="29">
        <f>F76*'GS&lt;50 PW'!$B$8</f>
        <v>0</v>
      </c>
      <c r="N76" s="29">
        <f>G76*'GS&lt;50 PW'!$B$9</f>
        <v>-7.2269853685727465</v>
      </c>
      <c r="O76" s="29">
        <f>H76*'GS&lt;50 PW'!$B$10</f>
        <v>40.812284086035177</v>
      </c>
      <c r="P76" s="29">
        <f>I76*'GS&lt;50 PW'!$B$11</f>
        <v>-1.9723066266223299</v>
      </c>
      <c r="Q76" s="158">
        <f>'Monthly Data'!H76</f>
        <v>5268</v>
      </c>
      <c r="R76" s="29">
        <f>'Monthly Data'!BH76</f>
        <v>31</v>
      </c>
      <c r="S76" s="44">
        <f t="shared" si="11"/>
        <v>14791092.978001861</v>
      </c>
      <c r="T76" s="44">
        <f t="shared" si="9"/>
        <v>-57290.325962863863</v>
      </c>
      <c r="U76" s="48">
        <f t="shared" si="10"/>
        <v>3.8583544612272062E-3</v>
      </c>
    </row>
    <row r="77" spans="1:21" x14ac:dyDescent="0.2">
      <c r="A77" s="45">
        <f>'Monthly Data'!A77</f>
        <v>42461</v>
      </c>
      <c r="B77" s="29">
        <f t="shared" si="7"/>
        <v>2016</v>
      </c>
      <c r="C77" s="29">
        <f t="shared" si="8"/>
        <v>4</v>
      </c>
      <c r="D77" s="158">
        <f>'Monthly Data'!J77</f>
        <v>13743778.303964725</v>
      </c>
      <c r="E77" s="251">
        <f>'Monthly Data'!AL77</f>
        <v>216.89999999999998</v>
      </c>
      <c r="F77" s="251">
        <f>'Monthly Data'!AI77</f>
        <v>0.80000000000000071</v>
      </c>
      <c r="G77" s="29">
        <f>'Monthly Data'!BG77</f>
        <v>76</v>
      </c>
      <c r="H77" s="63">
        <f>'Monthly Data'!X77</f>
        <v>3208.5</v>
      </c>
      <c r="I77" s="29">
        <f>'Monthly Data'!BF77</f>
        <v>1</v>
      </c>
      <c r="K77" s="29">
        <f>'GS&lt;50 PW'!$B$6</f>
        <v>50.759309292559799</v>
      </c>
      <c r="L77" s="29">
        <f>E77*'GS&lt;50 PW'!$B$7</f>
        <v>6.6609084963450194</v>
      </c>
      <c r="M77" s="29">
        <f>F77*'GS&lt;50 PW'!$B$8</f>
        <v>6.3035930342931507E-2</v>
      </c>
      <c r="N77" s="29">
        <f>G77*'GS&lt;50 PW'!$B$9</f>
        <v>-7.3233451734870503</v>
      </c>
      <c r="O77" s="29">
        <f>H77*'GS&lt;50 PW'!$B$10</f>
        <v>40.78558945058365</v>
      </c>
      <c r="P77" s="29">
        <f>I77*'GS&lt;50 PW'!$B$11</f>
        <v>-1.9723066266223299</v>
      </c>
      <c r="Q77" s="158">
        <f>'Monthly Data'!H77</f>
        <v>5267</v>
      </c>
      <c r="R77" s="29">
        <f>'Monthly Data'!BH77</f>
        <v>30</v>
      </c>
      <c r="S77" s="44">
        <f t="shared" si="11"/>
        <v>14058653.968329778</v>
      </c>
      <c r="T77" s="44">
        <f t="shared" si="9"/>
        <v>314875.66436505318</v>
      </c>
      <c r="U77" s="48">
        <f t="shared" si="10"/>
        <v>2.2910414982044616E-2</v>
      </c>
    </row>
    <row r="78" spans="1:21" x14ac:dyDescent="0.2">
      <c r="A78" s="45">
        <f>'Monthly Data'!A78</f>
        <v>42491</v>
      </c>
      <c r="B78" s="29">
        <f t="shared" si="7"/>
        <v>2016</v>
      </c>
      <c r="C78" s="29">
        <f t="shared" si="8"/>
        <v>5</v>
      </c>
      <c r="D78" s="158">
        <f>'Monthly Data'!J78</f>
        <v>14047734.303964725</v>
      </c>
      <c r="E78" s="251">
        <f>'Monthly Data'!AL78</f>
        <v>41.900000000000006</v>
      </c>
      <c r="F78" s="251">
        <f>'Monthly Data'!AI78</f>
        <v>47.699999999999989</v>
      </c>
      <c r="G78" s="29">
        <f>'Monthly Data'!BG78</f>
        <v>77</v>
      </c>
      <c r="H78" s="63">
        <f>'Monthly Data'!X78</f>
        <v>3217.7</v>
      </c>
      <c r="I78" s="29">
        <f>'Monthly Data'!BF78</f>
        <v>1</v>
      </c>
      <c r="K78" s="29">
        <f>'GS&lt;50 PW'!$B$6</f>
        <v>50.759309292559799</v>
      </c>
      <c r="L78" s="29">
        <f>E78*'GS&lt;50 PW'!$B$7</f>
        <v>1.286731516813538</v>
      </c>
      <c r="M78" s="29">
        <f>F78*'GS&lt;50 PW'!$B$8</f>
        <v>3.7585173466972863</v>
      </c>
      <c r="N78" s="29">
        <f>G78*'GS&lt;50 PW'!$B$9</f>
        <v>-7.419704978401354</v>
      </c>
      <c r="O78" s="29">
        <f>H78*'GS&lt;50 PW'!$B$10</f>
        <v>40.902537377323675</v>
      </c>
      <c r="P78" s="29">
        <f>I78*'GS&lt;50 PW'!$B$11</f>
        <v>-1.9723066266223299</v>
      </c>
      <c r="Q78" s="158">
        <f>'Monthly Data'!H78</f>
        <v>5294</v>
      </c>
      <c r="R78" s="29">
        <f>'Monthly Data'!BH78</f>
        <v>31</v>
      </c>
      <c r="S78" s="44">
        <f t="shared" si="11"/>
        <v>14329627.683820616</v>
      </c>
      <c r="T78" s="44">
        <f t="shared" si="9"/>
        <v>281893.37985589169</v>
      </c>
      <c r="U78" s="48">
        <f t="shared" si="10"/>
        <v>2.0066821720591075E-2</v>
      </c>
    </row>
    <row r="79" spans="1:21" x14ac:dyDescent="0.2">
      <c r="A79" s="45">
        <f>'Monthly Data'!A79</f>
        <v>42522</v>
      </c>
      <c r="B79" s="29">
        <f t="shared" si="7"/>
        <v>2016</v>
      </c>
      <c r="C79" s="29">
        <f t="shared" si="8"/>
        <v>6</v>
      </c>
      <c r="D79" s="158">
        <f>'Monthly Data'!J79</f>
        <v>14848177.303964725</v>
      </c>
      <c r="E79" s="251">
        <f>'Monthly Data'!AL79</f>
        <v>0</v>
      </c>
      <c r="F79" s="251">
        <f>'Monthly Data'!AI79</f>
        <v>110.1</v>
      </c>
      <c r="G79" s="29">
        <f>'Monthly Data'!BG79</f>
        <v>78</v>
      </c>
      <c r="H79" s="63">
        <f>'Monthly Data'!X79</f>
        <v>3230.3</v>
      </c>
      <c r="I79" s="29">
        <f>'Monthly Data'!BF79</f>
        <v>0</v>
      </c>
      <c r="K79" s="29">
        <f>'GS&lt;50 PW'!$B$6</f>
        <v>50.759309292559799</v>
      </c>
      <c r="L79" s="29">
        <f>E79*'GS&lt;50 PW'!$B$7</f>
        <v>0</v>
      </c>
      <c r="M79" s="29">
        <f>F79*'GS&lt;50 PW'!$B$8</f>
        <v>8.6753199134459393</v>
      </c>
      <c r="N79" s="29">
        <f>G79*'GS&lt;50 PW'!$B$9</f>
        <v>-7.5160647833156569</v>
      </c>
      <c r="O79" s="29">
        <f>H79*'GS&lt;50 PW'!$B$10</f>
        <v>41.062705190032844</v>
      </c>
      <c r="P79" s="29">
        <f>I79*'GS&lt;50 PW'!$B$11</f>
        <v>0</v>
      </c>
      <c r="Q79" s="158">
        <f>'Monthly Data'!H79</f>
        <v>5264</v>
      </c>
      <c r="R79" s="29">
        <f>'Monthly Data'!BH79</f>
        <v>30</v>
      </c>
      <c r="S79" s="44">
        <f t="shared" si="11"/>
        <v>14683602.097241204</v>
      </c>
      <c r="T79" s="44">
        <f t="shared" si="9"/>
        <v>-164575.20672352053</v>
      </c>
      <c r="U79" s="48">
        <f t="shared" si="10"/>
        <v>1.1083865942224172E-2</v>
      </c>
    </row>
    <row r="80" spans="1:21" x14ac:dyDescent="0.2">
      <c r="A80" s="45">
        <f>'Monthly Data'!A80</f>
        <v>42552</v>
      </c>
      <c r="B80" s="29">
        <f t="shared" si="7"/>
        <v>2016</v>
      </c>
      <c r="C80" s="29">
        <f t="shared" si="8"/>
        <v>7</v>
      </c>
      <c r="D80" s="158">
        <f>'Monthly Data'!J80</f>
        <v>16626440.303964725</v>
      </c>
      <c r="E80" s="251">
        <f>'Monthly Data'!AL80</f>
        <v>0</v>
      </c>
      <c r="F80" s="251">
        <f>'Monthly Data'!AI80</f>
        <v>214.50000000000003</v>
      </c>
      <c r="G80" s="29">
        <f>'Monthly Data'!BG80</f>
        <v>79</v>
      </c>
      <c r="H80" s="63">
        <f>'Monthly Data'!X80</f>
        <v>3229.4</v>
      </c>
      <c r="I80" s="29">
        <f>'Monthly Data'!BF80</f>
        <v>0</v>
      </c>
      <c r="K80" s="29">
        <f>'GS&lt;50 PW'!$B$6</f>
        <v>50.759309292559799</v>
      </c>
      <c r="L80" s="29">
        <f>E80*'GS&lt;50 PW'!$B$7</f>
        <v>0</v>
      </c>
      <c r="M80" s="29">
        <f>F80*'GS&lt;50 PW'!$B$8</f>
        <v>16.901508823198498</v>
      </c>
      <c r="N80" s="29">
        <f>G80*'GS&lt;50 PW'!$B$9</f>
        <v>-7.6124245882299597</v>
      </c>
      <c r="O80" s="29">
        <f>H80*'GS&lt;50 PW'!$B$10</f>
        <v>41.051264631982185</v>
      </c>
      <c r="P80" s="29">
        <f>I80*'GS&lt;50 PW'!$B$11</f>
        <v>0</v>
      </c>
      <c r="Q80" s="158">
        <f>'Monthly Data'!H80</f>
        <v>5262</v>
      </c>
      <c r="R80" s="29">
        <f>'Monthly Data'!BH80</f>
        <v>31</v>
      </c>
      <c r="S80" s="44">
        <f t="shared" si="11"/>
        <v>16491578.438295679</v>
      </c>
      <c r="T80" s="44">
        <f t="shared" si="9"/>
        <v>-134861.8656690456</v>
      </c>
      <c r="U80" s="48">
        <f t="shared" si="10"/>
        <v>8.1112891998226799E-3</v>
      </c>
    </row>
    <row r="81" spans="1:21" x14ac:dyDescent="0.2">
      <c r="A81" s="45">
        <f>'Monthly Data'!A81</f>
        <v>42583</v>
      </c>
      <c r="B81" s="29">
        <f t="shared" si="7"/>
        <v>2016</v>
      </c>
      <c r="C81" s="29">
        <f t="shared" si="8"/>
        <v>8</v>
      </c>
      <c r="D81" s="158">
        <f>'Monthly Data'!J81</f>
        <v>16998535.303964727</v>
      </c>
      <c r="E81" s="251">
        <f>'Monthly Data'!AL81</f>
        <v>0</v>
      </c>
      <c r="F81" s="251">
        <f>'Monthly Data'!AI81</f>
        <v>239.79999999999998</v>
      </c>
      <c r="G81" s="29">
        <f>'Monthly Data'!BG81</f>
        <v>80</v>
      </c>
      <c r="H81" s="63">
        <f>'Monthly Data'!X81</f>
        <v>3224.8</v>
      </c>
      <c r="I81" s="29">
        <f>'Monthly Data'!BF81</f>
        <v>0</v>
      </c>
      <c r="K81" s="29">
        <f>'GS&lt;50 PW'!$B$6</f>
        <v>50.759309292559799</v>
      </c>
      <c r="L81" s="29">
        <f>E81*'GS&lt;50 PW'!$B$7</f>
        <v>0</v>
      </c>
      <c r="M81" s="29">
        <f>F81*'GS&lt;50 PW'!$B$8</f>
        <v>18.895020120293701</v>
      </c>
      <c r="N81" s="29">
        <f>G81*'GS&lt;50 PW'!$B$9</f>
        <v>-7.7087843931442634</v>
      </c>
      <c r="O81" s="29">
        <f>H81*'GS&lt;50 PW'!$B$10</f>
        <v>40.992790668612173</v>
      </c>
      <c r="P81" s="29">
        <f>I81*'GS&lt;50 PW'!$B$11</f>
        <v>0</v>
      </c>
      <c r="Q81" s="158">
        <f>'Monthly Data'!H81</f>
        <v>5260</v>
      </c>
      <c r="R81" s="29">
        <f>'Monthly Data'!BH81</f>
        <v>31</v>
      </c>
      <c r="S81" s="44">
        <f t="shared" si="11"/>
        <v>16785125.017337691</v>
      </c>
      <c r="T81" s="44">
        <f t="shared" si="9"/>
        <v>-213410.28662703559</v>
      </c>
      <c r="U81" s="48">
        <f t="shared" si="10"/>
        <v>1.2554627961225572E-2</v>
      </c>
    </row>
    <row r="82" spans="1:21" x14ac:dyDescent="0.2">
      <c r="A82" s="45">
        <f>'Monthly Data'!A82</f>
        <v>42614</v>
      </c>
      <c r="B82" s="29">
        <f t="shared" si="7"/>
        <v>2016</v>
      </c>
      <c r="C82" s="29">
        <f t="shared" si="8"/>
        <v>9</v>
      </c>
      <c r="D82" s="158">
        <f>'Monthly Data'!J82</f>
        <v>14679750.303964725</v>
      </c>
      <c r="E82" s="251">
        <f>'Monthly Data'!AL82</f>
        <v>0</v>
      </c>
      <c r="F82" s="251">
        <f>'Monthly Data'!AI82</f>
        <v>124.7</v>
      </c>
      <c r="G82" s="29">
        <f>'Monthly Data'!BG82</f>
        <v>81</v>
      </c>
      <c r="H82" s="63">
        <f>'Monthly Data'!X82</f>
        <v>3216.9</v>
      </c>
      <c r="I82" s="29">
        <f>'Monthly Data'!BF82</f>
        <v>1</v>
      </c>
      <c r="K82" s="29">
        <f>'GS&lt;50 PW'!$B$6</f>
        <v>50.759309292559799</v>
      </c>
      <c r="L82" s="29">
        <f>E82*'GS&lt;50 PW'!$B$7</f>
        <v>0</v>
      </c>
      <c r="M82" s="29">
        <f>F82*'GS&lt;50 PW'!$B$8</f>
        <v>9.8257256422044392</v>
      </c>
      <c r="N82" s="29">
        <f>G82*'GS&lt;50 PW'!$B$9</f>
        <v>-7.8051441980585672</v>
      </c>
      <c r="O82" s="29">
        <f>H82*'GS&lt;50 PW'!$B$10</f>
        <v>40.892367992389758</v>
      </c>
      <c r="P82" s="29">
        <f>I82*'GS&lt;50 PW'!$B$11</f>
        <v>-1.9723066266223299</v>
      </c>
      <c r="Q82" s="158">
        <f>'Monthly Data'!H82</f>
        <v>5273</v>
      </c>
      <c r="R82" s="29">
        <f>'Monthly Data'!BH82</f>
        <v>30</v>
      </c>
      <c r="S82" s="44">
        <f t="shared" si="11"/>
        <v>14506015.423090221</v>
      </c>
      <c r="T82" s="44">
        <f t="shared" si="9"/>
        <v>-173734.8808745034</v>
      </c>
      <c r="U82" s="48">
        <f t="shared" si="10"/>
        <v>1.1835002454202567E-2</v>
      </c>
    </row>
    <row r="83" spans="1:21" x14ac:dyDescent="0.2">
      <c r="A83" s="45">
        <f>'Monthly Data'!A83</f>
        <v>42644</v>
      </c>
      <c r="B83" s="29">
        <f t="shared" si="7"/>
        <v>2016</v>
      </c>
      <c r="C83" s="29">
        <f t="shared" si="8"/>
        <v>10</v>
      </c>
      <c r="D83" s="158">
        <f>'Monthly Data'!J83</f>
        <v>13570857.303964725</v>
      </c>
      <c r="E83" s="251">
        <f>'Monthly Data'!AL83</f>
        <v>50.1</v>
      </c>
      <c r="F83" s="251">
        <f>'Monthly Data'!AI83</f>
        <v>24.799999999999997</v>
      </c>
      <c r="G83" s="29">
        <f>'Monthly Data'!BG83</f>
        <v>82</v>
      </c>
      <c r="H83" s="63">
        <f>'Monthly Data'!X83</f>
        <v>3209.8</v>
      </c>
      <c r="I83" s="29">
        <f>'Monthly Data'!BF83</f>
        <v>1</v>
      </c>
      <c r="K83" s="29">
        <f>'GS&lt;50 PW'!$B$6</f>
        <v>50.759309292559799</v>
      </c>
      <c r="L83" s="29">
        <f>E83*'GS&lt;50 PW'!$B$7</f>
        <v>1.5385500952830129</v>
      </c>
      <c r="M83" s="29">
        <f>F83*'GS&lt;50 PW'!$B$8</f>
        <v>1.9541138406308747</v>
      </c>
      <c r="N83" s="29">
        <f>G83*'GS&lt;50 PW'!$B$9</f>
        <v>-7.90150400297287</v>
      </c>
      <c r="O83" s="29">
        <f>H83*'GS&lt;50 PW'!$B$10</f>
        <v>40.802114701101267</v>
      </c>
      <c r="P83" s="29">
        <f>I83*'GS&lt;50 PW'!$B$11</f>
        <v>-1.9723066266223299</v>
      </c>
      <c r="Q83" s="158">
        <f>'Monthly Data'!H83</f>
        <v>5278</v>
      </c>
      <c r="R83" s="29">
        <f>'Monthly Data'!BH83</f>
        <v>31</v>
      </c>
      <c r="S83" s="44">
        <f t="shared" si="11"/>
        <v>13937026.61126809</v>
      </c>
      <c r="T83" s="44">
        <f t="shared" si="9"/>
        <v>366169.30730336532</v>
      </c>
      <c r="U83" s="48">
        <f t="shared" si="10"/>
        <v>2.6982032092872203E-2</v>
      </c>
    </row>
    <row r="84" spans="1:21" x14ac:dyDescent="0.2">
      <c r="A84" s="45">
        <f>'Monthly Data'!A84</f>
        <v>42675</v>
      </c>
      <c r="B84" s="29">
        <f t="shared" si="7"/>
        <v>2016</v>
      </c>
      <c r="C84" s="29">
        <f t="shared" si="8"/>
        <v>11</v>
      </c>
      <c r="D84" s="158">
        <f>'Monthly Data'!J84</f>
        <v>13638777.303964725</v>
      </c>
      <c r="E84" s="251">
        <f>'Monthly Data'!AL84</f>
        <v>121.3</v>
      </c>
      <c r="F84" s="251">
        <f>'Monthly Data'!AI84</f>
        <v>0</v>
      </c>
      <c r="G84" s="29">
        <f>'Monthly Data'!BG84</f>
        <v>83</v>
      </c>
      <c r="H84" s="63">
        <f>'Monthly Data'!X84</f>
        <v>3207.3</v>
      </c>
      <c r="I84" s="29">
        <f>'Monthly Data'!BF84</f>
        <v>1</v>
      </c>
      <c r="K84" s="29">
        <f>'GS&lt;50 PW'!$B$6</f>
        <v>50.759309292559799</v>
      </c>
      <c r="L84" s="29">
        <f>E84*'GS&lt;50 PW'!$B$7</f>
        <v>3.7250723863838218</v>
      </c>
      <c r="M84" s="29">
        <f>F84*'GS&lt;50 PW'!$B$8</f>
        <v>0</v>
      </c>
      <c r="N84" s="29">
        <f>G84*'GS&lt;50 PW'!$B$9</f>
        <v>-7.9978638078871729</v>
      </c>
      <c r="O84" s="29">
        <f>H84*'GS&lt;50 PW'!$B$10</f>
        <v>40.770335373182782</v>
      </c>
      <c r="P84" s="29">
        <f>I84*'GS&lt;50 PW'!$B$11</f>
        <v>-1.9723066266223299</v>
      </c>
      <c r="Q84" s="158">
        <f>'Monthly Data'!H84</f>
        <v>5298</v>
      </c>
      <c r="R84" s="29">
        <f>'Monthly Data'!BH84</f>
        <v>30</v>
      </c>
      <c r="S84" s="44">
        <f t="shared" si="11"/>
        <v>13555125.839404032</v>
      </c>
      <c r="T84" s="44">
        <f t="shared" si="9"/>
        <v>-83651.46456069313</v>
      </c>
      <c r="U84" s="48">
        <f t="shared" si="10"/>
        <v>6.1333551165452397E-3</v>
      </c>
    </row>
    <row r="85" spans="1:21" x14ac:dyDescent="0.2">
      <c r="A85" s="45">
        <f>'Monthly Data'!A85</f>
        <v>42705</v>
      </c>
      <c r="B85" s="29">
        <f t="shared" si="7"/>
        <v>2016</v>
      </c>
      <c r="C85" s="29">
        <f t="shared" si="8"/>
        <v>12</v>
      </c>
      <c r="D85" s="158">
        <f>'Monthly Data'!J85</f>
        <v>15093983.303964725</v>
      </c>
      <c r="E85" s="251">
        <f>'Monthly Data'!AL85</f>
        <v>373</v>
      </c>
      <c r="F85" s="251">
        <f>'Monthly Data'!AI85</f>
        <v>0</v>
      </c>
      <c r="G85" s="29">
        <f>'Monthly Data'!BG85</f>
        <v>84</v>
      </c>
      <c r="H85" s="63">
        <f>'Monthly Data'!X85</f>
        <v>3203.9</v>
      </c>
      <c r="I85" s="29">
        <f>'Monthly Data'!BF85</f>
        <v>0</v>
      </c>
      <c r="K85" s="29">
        <f>'GS&lt;50 PW'!$B$6</f>
        <v>50.759309292559799</v>
      </c>
      <c r="L85" s="29">
        <f>E85*'GS&lt;50 PW'!$B$7</f>
        <v>11.454674362087102</v>
      </c>
      <c r="M85" s="29">
        <f>F85*'GS&lt;50 PW'!$B$8</f>
        <v>0</v>
      </c>
      <c r="N85" s="29">
        <f>G85*'GS&lt;50 PW'!$B$9</f>
        <v>-8.0942236128014766</v>
      </c>
      <c r="O85" s="29">
        <f>H85*'GS&lt;50 PW'!$B$10</f>
        <v>40.727115487213638</v>
      </c>
      <c r="P85" s="29">
        <f>I85*'GS&lt;50 PW'!$B$11</f>
        <v>0</v>
      </c>
      <c r="Q85" s="158">
        <f>'Monthly Data'!H85</f>
        <v>5297</v>
      </c>
      <c r="R85" s="29">
        <f>'Monthly Data'!BH85</f>
        <v>31</v>
      </c>
      <c r="S85" s="44">
        <f t="shared" si="11"/>
        <v>15574520.890000202</v>
      </c>
      <c r="T85" s="44">
        <f t="shared" si="9"/>
        <v>480537.586035477</v>
      </c>
      <c r="U85" s="48">
        <f t="shared" si="10"/>
        <v>3.1836366607696891E-2</v>
      </c>
    </row>
    <row r="86" spans="1:21" x14ac:dyDescent="0.2">
      <c r="A86" s="45">
        <f>'Monthly Data'!A86</f>
        <v>42736</v>
      </c>
      <c r="B86" s="29">
        <f t="shared" si="7"/>
        <v>2017</v>
      </c>
      <c r="C86" s="29">
        <f t="shared" si="8"/>
        <v>1</v>
      </c>
      <c r="D86" s="158">
        <f>'Monthly Data'!J86</f>
        <v>15848622.716300488</v>
      </c>
      <c r="E86" s="251">
        <f>'Monthly Data'!AL86</f>
        <v>382.60000000000008</v>
      </c>
      <c r="F86" s="251">
        <f>'Monthly Data'!AI86</f>
        <v>0</v>
      </c>
      <c r="G86" s="29">
        <f>'Monthly Data'!BG86</f>
        <v>85</v>
      </c>
      <c r="H86" s="63">
        <f>'Monthly Data'!X86</f>
        <v>3213.3</v>
      </c>
      <c r="I86" s="29">
        <f>'Monthly Data'!BF86</f>
        <v>0</v>
      </c>
      <c r="K86" s="29">
        <f>'GS&lt;50 PW'!$B$6</f>
        <v>50.759309292559799</v>
      </c>
      <c r="L86" s="29">
        <f>E86*'GS&lt;50 PW'!$B$7</f>
        <v>11.749486356392833</v>
      </c>
      <c r="M86" s="29">
        <f>F86*'GS&lt;50 PW'!$B$8</f>
        <v>0</v>
      </c>
      <c r="N86" s="29">
        <f>G86*'GS&lt;50 PW'!$B$9</f>
        <v>-8.1905834177157804</v>
      </c>
      <c r="O86" s="29">
        <f>H86*'GS&lt;50 PW'!$B$10</f>
        <v>40.846605760187146</v>
      </c>
      <c r="P86" s="29">
        <f>I86*'GS&lt;50 PW'!$B$11</f>
        <v>0</v>
      </c>
      <c r="Q86" s="158">
        <f>'Monthly Data'!H86</f>
        <v>5303</v>
      </c>
      <c r="R86" s="29">
        <f>'Monthly Data'!BH86</f>
        <v>31</v>
      </c>
      <c r="S86" s="44">
        <f t="shared" si="11"/>
        <v>15644429.924064167</v>
      </c>
      <c r="T86" s="44">
        <f t="shared" si="9"/>
        <v>-204192.79223632067</v>
      </c>
      <c r="U86" s="48">
        <f t="shared" si="10"/>
        <v>1.2883945557383107E-2</v>
      </c>
    </row>
    <row r="87" spans="1:21" x14ac:dyDescent="0.2">
      <c r="A87" s="45">
        <f>'Monthly Data'!A87</f>
        <v>42767</v>
      </c>
      <c r="B87" s="29">
        <f t="shared" si="7"/>
        <v>2017</v>
      </c>
      <c r="C87" s="29">
        <f t="shared" si="8"/>
        <v>2</v>
      </c>
      <c r="D87" s="158">
        <f>'Monthly Data'!J87</f>
        <v>14155244.716300488</v>
      </c>
      <c r="E87" s="251">
        <f>'Monthly Data'!AL87</f>
        <v>303.19999999999993</v>
      </c>
      <c r="F87" s="251">
        <f>'Monthly Data'!AI87</f>
        <v>0</v>
      </c>
      <c r="G87" s="29">
        <f>'Monthly Data'!BG87</f>
        <v>86</v>
      </c>
      <c r="H87" s="63">
        <f>'Monthly Data'!X87</f>
        <v>3230.3</v>
      </c>
      <c r="I87" s="29">
        <f>'Monthly Data'!BF87</f>
        <v>0</v>
      </c>
      <c r="K87" s="29">
        <f>'GS&lt;50 PW'!$B$6</f>
        <v>50.759309292559799</v>
      </c>
      <c r="L87" s="29">
        <f>E87*'GS&lt;50 PW'!$B$7</f>
        <v>9.3111454868225429</v>
      </c>
      <c r="M87" s="29">
        <f>F87*'GS&lt;50 PW'!$B$8</f>
        <v>0</v>
      </c>
      <c r="N87" s="29">
        <f>G87*'GS&lt;50 PW'!$B$9</f>
        <v>-8.2869432226300823</v>
      </c>
      <c r="O87" s="29">
        <f>H87*'GS&lt;50 PW'!$B$10</f>
        <v>41.062705190032844</v>
      </c>
      <c r="P87" s="29">
        <f>I87*'GS&lt;50 PW'!$B$11</f>
        <v>0</v>
      </c>
      <c r="Q87" s="158">
        <f>'Monthly Data'!H87</f>
        <v>5341</v>
      </c>
      <c r="R87" s="29">
        <f>'Monthly Data'!BH87</f>
        <v>28</v>
      </c>
      <c r="S87" s="44">
        <f t="shared" si="11"/>
        <v>13884966.022048218</v>
      </c>
      <c r="T87" s="44">
        <f t="shared" si="9"/>
        <v>-270278.69425226934</v>
      </c>
      <c r="U87" s="48">
        <f t="shared" si="10"/>
        <v>1.9093890615753863E-2</v>
      </c>
    </row>
    <row r="88" spans="1:21" x14ac:dyDescent="0.2">
      <c r="A88" s="45">
        <f>'Monthly Data'!A88</f>
        <v>42795</v>
      </c>
      <c r="B88" s="29">
        <f t="shared" si="7"/>
        <v>2017</v>
      </c>
      <c r="C88" s="29">
        <f t="shared" si="8"/>
        <v>3</v>
      </c>
      <c r="D88" s="158">
        <f>'Monthly Data'!J88</f>
        <v>15108599.716300488</v>
      </c>
      <c r="E88" s="251">
        <f>'Monthly Data'!AL88</f>
        <v>355.20000000000005</v>
      </c>
      <c r="F88" s="251">
        <f>'Monthly Data'!AI88</f>
        <v>0</v>
      </c>
      <c r="G88" s="29">
        <f>'Monthly Data'!BG88</f>
        <v>87</v>
      </c>
      <c r="H88" s="63">
        <f>'Monthly Data'!X88</f>
        <v>3247.6</v>
      </c>
      <c r="I88" s="29">
        <f>'Monthly Data'!BF88</f>
        <v>1</v>
      </c>
      <c r="K88" s="29">
        <f>'GS&lt;50 PW'!$B$6</f>
        <v>50.759309292559799</v>
      </c>
      <c r="L88" s="29">
        <f>E88*'GS&lt;50 PW'!$B$7</f>
        <v>10.908043789311902</v>
      </c>
      <c r="M88" s="29">
        <f>F88*'GS&lt;50 PW'!$B$8</f>
        <v>0</v>
      </c>
      <c r="N88" s="29">
        <f>G88*'GS&lt;50 PW'!$B$9</f>
        <v>-8.3833030275443861</v>
      </c>
      <c r="O88" s="29">
        <f>H88*'GS&lt;50 PW'!$B$10</f>
        <v>41.282618139228752</v>
      </c>
      <c r="P88" s="29">
        <f>I88*'GS&lt;50 PW'!$B$11</f>
        <v>-1.9723066266223299</v>
      </c>
      <c r="Q88" s="158">
        <f>'Monthly Data'!H88</f>
        <v>5342</v>
      </c>
      <c r="R88" s="29">
        <f>'Monthly Data'!BH88</f>
        <v>31</v>
      </c>
      <c r="S88" s="44">
        <f t="shared" si="11"/>
        <v>15333811.464207362</v>
      </c>
      <c r="T88" s="44">
        <f t="shared" si="9"/>
        <v>225211.74790687487</v>
      </c>
      <c r="U88" s="48">
        <f t="shared" si="10"/>
        <v>1.4906195950369683E-2</v>
      </c>
    </row>
    <row r="89" spans="1:21" x14ac:dyDescent="0.2">
      <c r="A89" s="45">
        <f>'Monthly Data'!A89</f>
        <v>42826</v>
      </c>
      <c r="B89" s="29">
        <f t="shared" si="7"/>
        <v>2017</v>
      </c>
      <c r="C89" s="29">
        <f t="shared" si="8"/>
        <v>4</v>
      </c>
      <c r="D89" s="158">
        <f>'Monthly Data'!J89</f>
        <v>13649236.716300488</v>
      </c>
      <c r="E89" s="251">
        <f>'Monthly Data'!AL89</f>
        <v>107.10000000000002</v>
      </c>
      <c r="F89" s="251">
        <f>'Monthly Data'!AI89</f>
        <v>0.89999999999999858</v>
      </c>
      <c r="G89" s="29">
        <f>'Monthly Data'!BG89</f>
        <v>88</v>
      </c>
      <c r="H89" s="63">
        <f>'Monthly Data'!X89</f>
        <v>3257.7</v>
      </c>
      <c r="I89" s="29">
        <f>'Monthly Data'!BF89</f>
        <v>1</v>
      </c>
      <c r="K89" s="29">
        <f>'GS&lt;50 PW'!$B$6</f>
        <v>50.759309292559799</v>
      </c>
      <c r="L89" s="29">
        <f>E89*'GS&lt;50 PW'!$B$7</f>
        <v>3.2889963114732681</v>
      </c>
      <c r="M89" s="29">
        <f>F89*'GS&lt;50 PW'!$B$8</f>
        <v>7.0915421635797768E-2</v>
      </c>
      <c r="N89" s="29">
        <f>G89*'GS&lt;50 PW'!$B$9</f>
        <v>-8.4796628324586898</v>
      </c>
      <c r="O89" s="29">
        <f>H89*'GS&lt;50 PW'!$B$10</f>
        <v>41.411006624019429</v>
      </c>
      <c r="P89" s="29">
        <f>I89*'GS&lt;50 PW'!$B$11</f>
        <v>-1.9723066266223299</v>
      </c>
      <c r="Q89" s="158">
        <f>'Monthly Data'!H89</f>
        <v>5344</v>
      </c>
      <c r="R89" s="29">
        <f>'Monthly Data'!BH89</f>
        <v>30</v>
      </c>
      <c r="S89" s="44">
        <f t="shared" si="11"/>
        <v>13639746.353118157</v>
      </c>
      <c r="T89" s="44">
        <f t="shared" si="9"/>
        <v>-9490.3631823305041</v>
      </c>
      <c r="U89" s="48">
        <f t="shared" si="10"/>
        <v>6.9530358214073002E-4</v>
      </c>
    </row>
    <row r="90" spans="1:21" x14ac:dyDescent="0.2">
      <c r="A90" s="45">
        <f>'Monthly Data'!A90</f>
        <v>42856</v>
      </c>
      <c r="B90" s="29">
        <f t="shared" si="7"/>
        <v>2017</v>
      </c>
      <c r="C90" s="29">
        <f t="shared" si="8"/>
        <v>5</v>
      </c>
      <c r="D90" s="158">
        <f>'Monthly Data'!J90</f>
        <v>13851346.716300488</v>
      </c>
      <c r="E90" s="251">
        <f>'Monthly Data'!AL90</f>
        <v>57.899999999999991</v>
      </c>
      <c r="F90" s="251">
        <f>'Monthly Data'!AI90</f>
        <v>17.299999999999997</v>
      </c>
      <c r="G90" s="29">
        <f>'Monthly Data'!BG90</f>
        <v>89</v>
      </c>
      <c r="H90" s="63">
        <f>'Monthly Data'!X90</f>
        <v>3266.8</v>
      </c>
      <c r="I90" s="29">
        <f>'Monthly Data'!BF90</f>
        <v>1</v>
      </c>
      <c r="K90" s="29">
        <f>'GS&lt;50 PW'!$B$6</f>
        <v>50.759309292559799</v>
      </c>
      <c r="L90" s="29">
        <f>E90*'GS&lt;50 PW'!$B$7</f>
        <v>1.7780848406564158</v>
      </c>
      <c r="M90" s="29">
        <f>F90*'GS&lt;50 PW'!$B$8</f>
        <v>1.3631519936658922</v>
      </c>
      <c r="N90" s="29">
        <f>G90*'GS&lt;50 PW'!$B$9</f>
        <v>-8.5760226373729935</v>
      </c>
      <c r="O90" s="29">
        <f>H90*'GS&lt;50 PW'!$B$10</f>
        <v>41.526683377642719</v>
      </c>
      <c r="P90" s="29">
        <f>I90*'GS&lt;50 PW'!$B$11</f>
        <v>-1.9723066266223299</v>
      </c>
      <c r="Q90" s="158">
        <f>'Monthly Data'!H90</f>
        <v>5341</v>
      </c>
      <c r="R90" s="29">
        <f>'Monthly Data'!BH90</f>
        <v>31</v>
      </c>
      <c r="S90" s="44">
        <f t="shared" si="11"/>
        <v>14053484.391724709</v>
      </c>
      <c r="T90" s="44">
        <f t="shared" si="9"/>
        <v>202137.6754242219</v>
      </c>
      <c r="U90" s="48">
        <f t="shared" si="10"/>
        <v>1.4593359011535178E-2</v>
      </c>
    </row>
    <row r="91" spans="1:21" x14ac:dyDescent="0.2">
      <c r="A91" s="45">
        <f>'Monthly Data'!A91</f>
        <v>42887</v>
      </c>
      <c r="B91" s="29">
        <f t="shared" si="7"/>
        <v>2017</v>
      </c>
      <c r="C91" s="29">
        <f t="shared" si="8"/>
        <v>6</v>
      </c>
      <c r="D91" s="158">
        <f>'Monthly Data'!J91</f>
        <v>14440865.716300488</v>
      </c>
      <c r="E91" s="251">
        <f>'Monthly Data'!AL91</f>
        <v>0</v>
      </c>
      <c r="F91" s="251">
        <f>'Monthly Data'!AI91</f>
        <v>107.99999999999999</v>
      </c>
      <c r="G91" s="29">
        <f>'Monthly Data'!BG91</f>
        <v>90</v>
      </c>
      <c r="H91" s="63">
        <f>'Monthly Data'!X91</f>
        <v>3268.7</v>
      </c>
      <c r="I91" s="29">
        <f>'Monthly Data'!BF91</f>
        <v>0</v>
      </c>
      <c r="K91" s="29">
        <f>'GS&lt;50 PW'!$B$6</f>
        <v>50.759309292559799</v>
      </c>
      <c r="L91" s="29">
        <f>E91*'GS&lt;50 PW'!$B$7</f>
        <v>0</v>
      </c>
      <c r="M91" s="29">
        <f>F91*'GS&lt;50 PW'!$B$8</f>
        <v>8.5098505962957436</v>
      </c>
      <c r="N91" s="29">
        <f>G91*'GS&lt;50 PW'!$B$9</f>
        <v>-8.6723824422872973</v>
      </c>
      <c r="O91" s="29">
        <f>H91*'GS&lt;50 PW'!$B$10</f>
        <v>41.550835666860763</v>
      </c>
      <c r="P91" s="29">
        <f>I91*'GS&lt;50 PW'!$B$11</f>
        <v>0</v>
      </c>
      <c r="Q91" s="158">
        <f>'Monthly Data'!H91</f>
        <v>5339</v>
      </c>
      <c r="R91" s="29">
        <f>'Monthly Data'!BH91</f>
        <v>30</v>
      </c>
      <c r="S91" s="44">
        <f t="shared" si="11"/>
        <v>14759283.192377925</v>
      </c>
      <c r="T91" s="44">
        <f t="shared" si="9"/>
        <v>318417.4760774374</v>
      </c>
      <c r="U91" s="48">
        <f t="shared" si="10"/>
        <v>2.2049749809529475E-2</v>
      </c>
    </row>
    <row r="92" spans="1:21" x14ac:dyDescent="0.2">
      <c r="A92" s="45">
        <f>'Monthly Data'!A92</f>
        <v>42917</v>
      </c>
      <c r="B92" s="29">
        <f t="shared" si="7"/>
        <v>2017</v>
      </c>
      <c r="C92" s="29">
        <f t="shared" si="8"/>
        <v>7</v>
      </c>
      <c r="D92" s="158">
        <f>'Monthly Data'!J92</f>
        <v>15754493.716300488</v>
      </c>
      <c r="E92" s="251">
        <f>'Monthly Data'!AL92</f>
        <v>0</v>
      </c>
      <c r="F92" s="251">
        <f>'Monthly Data'!AI92</f>
        <v>175.5</v>
      </c>
      <c r="G92" s="29">
        <f>'Monthly Data'!BG92</f>
        <v>91</v>
      </c>
      <c r="H92" s="63">
        <f>'Monthly Data'!X92</f>
        <v>3270</v>
      </c>
      <c r="I92" s="29">
        <f>'Monthly Data'!BF92</f>
        <v>0</v>
      </c>
      <c r="K92" s="29">
        <f>'GS&lt;50 PW'!$B$6</f>
        <v>50.759309292559799</v>
      </c>
      <c r="L92" s="29">
        <f>E92*'GS&lt;50 PW'!$B$7</f>
        <v>0</v>
      </c>
      <c r="M92" s="29">
        <f>F92*'GS&lt;50 PW'!$B$8</f>
        <v>13.828507218980587</v>
      </c>
      <c r="N92" s="29">
        <f>G92*'GS&lt;50 PW'!$B$9</f>
        <v>-8.7687422472015992</v>
      </c>
      <c r="O92" s="29">
        <f>H92*'GS&lt;50 PW'!$B$10</f>
        <v>41.56736091737838</v>
      </c>
      <c r="P92" s="29">
        <f>I92*'GS&lt;50 PW'!$B$11</f>
        <v>0</v>
      </c>
      <c r="Q92" s="158">
        <f>'Monthly Data'!H92</f>
        <v>5337</v>
      </c>
      <c r="R92" s="29">
        <f>'Monthly Data'!BH92</f>
        <v>31</v>
      </c>
      <c r="S92" s="44">
        <f t="shared" si="11"/>
        <v>16112293.541509559</v>
      </c>
      <c r="T92" s="44">
        <f t="shared" si="9"/>
        <v>357799.82520907186</v>
      </c>
      <c r="U92" s="48">
        <f t="shared" si="10"/>
        <v>2.2710969432097459E-2</v>
      </c>
    </row>
    <row r="93" spans="1:21" x14ac:dyDescent="0.2">
      <c r="A93" s="45">
        <f>'Monthly Data'!A93</f>
        <v>42948</v>
      </c>
      <c r="B93" s="29">
        <f t="shared" si="7"/>
        <v>2017</v>
      </c>
      <c r="C93" s="29">
        <f t="shared" si="8"/>
        <v>8</v>
      </c>
      <c r="D93" s="158">
        <f>'Monthly Data'!J93</f>
        <v>15368668.716300488</v>
      </c>
      <c r="E93" s="251">
        <f>'Monthly Data'!AL93</f>
        <v>0</v>
      </c>
      <c r="F93" s="251">
        <f>'Monthly Data'!AI93</f>
        <v>140.19999999999999</v>
      </c>
      <c r="G93" s="29">
        <f>'Monthly Data'!BG93</f>
        <v>92</v>
      </c>
      <c r="H93" s="63">
        <f>'Monthly Data'!X93</f>
        <v>3278.6</v>
      </c>
      <c r="I93" s="29">
        <f>'Monthly Data'!BF93</f>
        <v>0</v>
      </c>
      <c r="K93" s="29">
        <f>'GS&lt;50 PW'!$B$6</f>
        <v>50.759309292559799</v>
      </c>
      <c r="L93" s="29">
        <f>E93*'GS&lt;50 PW'!$B$7</f>
        <v>0</v>
      </c>
      <c r="M93" s="29">
        <f>F93*'GS&lt;50 PW'!$B$8</f>
        <v>11.047046792598735</v>
      </c>
      <c r="N93" s="29">
        <f>G93*'GS&lt;50 PW'!$B$9</f>
        <v>-8.865102052115903</v>
      </c>
      <c r="O93" s="29">
        <f>H93*'GS&lt;50 PW'!$B$10</f>
        <v>41.676681805417971</v>
      </c>
      <c r="P93" s="29">
        <f>I93*'GS&lt;50 PW'!$B$11</f>
        <v>0</v>
      </c>
      <c r="Q93" s="158">
        <f>'Monthly Data'!H93</f>
        <v>5344</v>
      </c>
      <c r="R93" s="29">
        <f>'Monthly Data'!BH93</f>
        <v>31</v>
      </c>
      <c r="S93" s="44">
        <f t="shared" si="11"/>
        <v>15674785.722742736</v>
      </c>
      <c r="T93" s="44">
        <f t="shared" si="9"/>
        <v>306117.00644224882</v>
      </c>
      <c r="U93" s="48">
        <f t="shared" si="10"/>
        <v>1.9918251352348537E-2</v>
      </c>
    </row>
    <row r="94" spans="1:21" x14ac:dyDescent="0.2">
      <c r="A94" s="45">
        <f>'Monthly Data'!A94</f>
        <v>42979</v>
      </c>
      <c r="B94" s="29">
        <f t="shared" si="7"/>
        <v>2017</v>
      </c>
      <c r="C94" s="29">
        <f t="shared" si="8"/>
        <v>9</v>
      </c>
      <c r="D94" s="158">
        <f>'Monthly Data'!J94</f>
        <v>14399680.716300488</v>
      </c>
      <c r="E94" s="251">
        <f>'Monthly Data'!AL94</f>
        <v>1</v>
      </c>
      <c r="F94" s="251">
        <f>'Monthly Data'!AI94</f>
        <v>96.9</v>
      </c>
      <c r="G94" s="29">
        <f>'Monthly Data'!BG94</f>
        <v>93</v>
      </c>
      <c r="H94" s="63">
        <f>'Monthly Data'!X94</f>
        <v>3297.7</v>
      </c>
      <c r="I94" s="29">
        <f>'Monthly Data'!BF94</f>
        <v>1</v>
      </c>
      <c r="K94" s="29">
        <f>'GS&lt;50 PW'!$B$6</f>
        <v>50.759309292559799</v>
      </c>
      <c r="L94" s="29">
        <f>E94*'GS&lt;50 PW'!$B$7</f>
        <v>3.0709582740179899E-2</v>
      </c>
      <c r="M94" s="29">
        <f>F94*'GS&lt;50 PW'!$B$8</f>
        <v>7.635227062787572</v>
      </c>
      <c r="N94" s="29">
        <f>G94*'GS&lt;50 PW'!$B$9</f>
        <v>-8.9614618570302067</v>
      </c>
      <c r="O94" s="29">
        <f>H94*'GS&lt;50 PW'!$B$10</f>
        <v>41.919475870715189</v>
      </c>
      <c r="P94" s="29">
        <f>I94*'GS&lt;50 PW'!$B$11</f>
        <v>-1.9723066266223299</v>
      </c>
      <c r="Q94" s="158">
        <f>'Monthly Data'!H94</f>
        <v>5350</v>
      </c>
      <c r="R94" s="29">
        <f>'Monthly Data'!BH94</f>
        <v>30</v>
      </c>
      <c r="S94" s="44">
        <f t="shared" si="11"/>
        <v>14350458.008686608</v>
      </c>
      <c r="T94" s="44">
        <f t="shared" si="9"/>
        <v>-49222.707613879815</v>
      </c>
      <c r="U94" s="48">
        <f t="shared" si="10"/>
        <v>3.4183193769122631E-3</v>
      </c>
    </row>
    <row r="95" spans="1:21" x14ac:dyDescent="0.2">
      <c r="A95" s="45">
        <f>'Monthly Data'!A95</f>
        <v>43009</v>
      </c>
      <c r="B95" s="29">
        <f t="shared" si="7"/>
        <v>2017</v>
      </c>
      <c r="C95" s="29">
        <f t="shared" si="8"/>
        <v>10</v>
      </c>
      <c r="D95" s="158">
        <f>'Monthly Data'!J95</f>
        <v>14109770.716300488</v>
      </c>
      <c r="E95" s="251">
        <f>'Monthly Data'!AL95</f>
        <v>26.3</v>
      </c>
      <c r="F95" s="251">
        <f>'Monthly Data'!AI95</f>
        <v>33.599999999999994</v>
      </c>
      <c r="G95" s="29">
        <f>'Monthly Data'!BG95</f>
        <v>94</v>
      </c>
      <c r="H95" s="63">
        <f>'Monthly Data'!X95</f>
        <v>3320.8</v>
      </c>
      <c r="I95" s="29">
        <f>'Monthly Data'!BF95</f>
        <v>1</v>
      </c>
      <c r="K95" s="29">
        <f>'GS&lt;50 PW'!$B$6</f>
        <v>50.759309292559799</v>
      </c>
      <c r="L95" s="29">
        <f>E95*'GS&lt;50 PW'!$B$7</f>
        <v>0.80766202606673132</v>
      </c>
      <c r="M95" s="29">
        <f>F95*'GS&lt;50 PW'!$B$8</f>
        <v>2.6475090744031204</v>
      </c>
      <c r="N95" s="29">
        <f>G95*'GS&lt;50 PW'!$B$9</f>
        <v>-9.0578216619445087</v>
      </c>
      <c r="O95" s="29">
        <f>H95*'GS&lt;50 PW'!$B$10</f>
        <v>42.213116860682</v>
      </c>
      <c r="P95" s="29">
        <f>I95*'GS&lt;50 PW'!$B$11</f>
        <v>-1.9723066266223299</v>
      </c>
      <c r="Q95" s="158">
        <f>'Monthly Data'!H95</f>
        <v>5350</v>
      </c>
      <c r="R95" s="29">
        <f>'Monthly Data'!BH95</f>
        <v>31</v>
      </c>
      <c r="S95" s="44">
        <f t="shared" si="11"/>
        <v>14163170.227869267</v>
      </c>
      <c r="T95" s="44">
        <f t="shared" si="9"/>
        <v>53399.511568779126</v>
      </c>
      <c r="U95" s="48">
        <f t="shared" si="10"/>
        <v>3.7845768469567461E-3</v>
      </c>
    </row>
    <row r="96" spans="1:21" x14ac:dyDescent="0.2">
      <c r="A96" s="45">
        <f>'Monthly Data'!A96</f>
        <v>43040</v>
      </c>
      <c r="B96" s="29">
        <f t="shared" si="7"/>
        <v>2017</v>
      </c>
      <c r="C96" s="29">
        <f t="shared" si="8"/>
        <v>11</v>
      </c>
      <c r="D96" s="158">
        <f>'Monthly Data'!J96</f>
        <v>14159054.716300488</v>
      </c>
      <c r="E96" s="251">
        <f>'Monthly Data'!AL96</f>
        <v>208.10000000000005</v>
      </c>
      <c r="F96" s="251">
        <f>'Monthly Data'!AI96</f>
        <v>0</v>
      </c>
      <c r="G96" s="29">
        <f>'Monthly Data'!BG96</f>
        <v>95</v>
      </c>
      <c r="H96" s="63">
        <f>'Monthly Data'!X96</f>
        <v>3335.4</v>
      </c>
      <c r="I96" s="29">
        <f>'Monthly Data'!BF96</f>
        <v>1</v>
      </c>
      <c r="K96" s="29">
        <f>'GS&lt;50 PW'!$B$6</f>
        <v>50.759309292559799</v>
      </c>
      <c r="L96" s="29">
        <f>E96*'GS&lt;50 PW'!$B$7</f>
        <v>6.3906641682314387</v>
      </c>
      <c r="M96" s="29">
        <f>F96*'GS&lt;50 PW'!$B$8</f>
        <v>0</v>
      </c>
      <c r="N96" s="29">
        <f>G96*'GS&lt;50 PW'!$B$9</f>
        <v>-9.1541814668588124</v>
      </c>
      <c r="O96" s="29">
        <f>H96*'GS&lt;50 PW'!$B$10</f>
        <v>42.398708135725947</v>
      </c>
      <c r="P96" s="29">
        <f>I96*'GS&lt;50 PW'!$B$11</f>
        <v>-1.9723066266223299</v>
      </c>
      <c r="Q96" s="158">
        <f>'Monthly Data'!H96</f>
        <v>5353</v>
      </c>
      <c r="R96" s="29">
        <f>'Monthly Data'!BH96</f>
        <v>30</v>
      </c>
      <c r="S96" s="44">
        <f t="shared" si="11"/>
        <v>14199720.054652561</v>
      </c>
      <c r="T96" s="44">
        <f t="shared" si="9"/>
        <v>40665.338352072984</v>
      </c>
      <c r="U96" s="48">
        <f t="shared" si="10"/>
        <v>2.872037658365524E-3</v>
      </c>
    </row>
    <row r="97" spans="1:21" x14ac:dyDescent="0.2">
      <c r="A97" s="45">
        <f>'Monthly Data'!A97</f>
        <v>43070</v>
      </c>
      <c r="B97" s="29">
        <f t="shared" si="7"/>
        <v>2017</v>
      </c>
      <c r="C97" s="29">
        <f t="shared" si="8"/>
        <v>12</v>
      </c>
      <c r="D97" s="158">
        <f>'Monthly Data'!J97</f>
        <v>15720500.716300488</v>
      </c>
      <c r="E97" s="251">
        <f>'Monthly Data'!AL97</f>
        <v>463.20000000000005</v>
      </c>
      <c r="F97" s="251">
        <f>'Monthly Data'!AI97</f>
        <v>0</v>
      </c>
      <c r="G97" s="29">
        <f>'Monthly Data'!BG97</f>
        <v>96</v>
      </c>
      <c r="H97" s="63">
        <f>'Monthly Data'!X97</f>
        <v>3352.3</v>
      </c>
      <c r="I97" s="29">
        <f>'Monthly Data'!BF97</f>
        <v>0</v>
      </c>
      <c r="K97" s="29">
        <f>'GS&lt;50 PW'!$B$6</f>
        <v>50.759309292559799</v>
      </c>
      <c r="L97" s="29">
        <f>E97*'GS&lt;50 PW'!$B$7</f>
        <v>14.22467872525133</v>
      </c>
      <c r="M97" s="29">
        <f>F97*'GS&lt;50 PW'!$B$8</f>
        <v>0</v>
      </c>
      <c r="N97" s="29">
        <f>G97*'GS&lt;50 PW'!$B$9</f>
        <v>-9.2505412717731161</v>
      </c>
      <c r="O97" s="29">
        <f>H97*'GS&lt;50 PW'!$B$10</f>
        <v>42.613536392454911</v>
      </c>
      <c r="P97" s="29">
        <f>I97*'GS&lt;50 PW'!$B$11</f>
        <v>0</v>
      </c>
      <c r="Q97" s="158">
        <f>'Monthly Data'!H97</f>
        <v>5356</v>
      </c>
      <c r="R97" s="29">
        <f>'Monthly Data'!BH97</f>
        <v>31</v>
      </c>
      <c r="S97" s="44">
        <f t="shared" si="11"/>
        <v>16329139.692382811</v>
      </c>
      <c r="T97" s="44">
        <f t="shared" si="9"/>
        <v>608638.97608232312</v>
      </c>
      <c r="U97" s="48">
        <f t="shared" si="10"/>
        <v>3.8716258919872015E-2</v>
      </c>
    </row>
    <row r="98" spans="1:21" x14ac:dyDescent="0.2">
      <c r="A98" s="45">
        <f>'Monthly Data'!A98</f>
        <v>43101</v>
      </c>
      <c r="B98" s="29">
        <f t="shared" si="7"/>
        <v>2018</v>
      </c>
      <c r="C98" s="29">
        <f t="shared" si="8"/>
        <v>1</v>
      </c>
      <c r="D98" s="158">
        <f>'Monthly Data'!J98</f>
        <v>16654358.367339365</v>
      </c>
      <c r="E98" s="251">
        <f>'Monthly Data'!AL98</f>
        <v>494.3</v>
      </c>
      <c r="F98" s="251">
        <f>'Monthly Data'!AI98</f>
        <v>0</v>
      </c>
      <c r="G98" s="29">
        <f>'Monthly Data'!BG98</f>
        <v>97</v>
      </c>
      <c r="H98" s="63">
        <f>'Monthly Data'!X98</f>
        <v>3357.1</v>
      </c>
      <c r="I98" s="29">
        <f>'Monthly Data'!BF98</f>
        <v>0</v>
      </c>
      <c r="K98" s="29">
        <f>'GS&lt;50 PW'!$B$6</f>
        <v>50.759309292559799</v>
      </c>
      <c r="L98" s="29">
        <f>E98*'GS&lt;50 PW'!$B$7</f>
        <v>15.179746748470924</v>
      </c>
      <c r="M98" s="29">
        <f>F98*'GS&lt;50 PW'!$B$8</f>
        <v>0</v>
      </c>
      <c r="N98" s="29">
        <f>G98*'GS&lt;50 PW'!$B$9</f>
        <v>-9.3469010766874199</v>
      </c>
      <c r="O98" s="29">
        <f>H98*'GS&lt;50 PW'!$B$10</f>
        <v>42.674552702058399</v>
      </c>
      <c r="P98" s="29">
        <f>I98*'GS&lt;50 PW'!$B$11</f>
        <v>0</v>
      </c>
      <c r="Q98" s="158">
        <f>'Monthly Data'!H98</f>
        <v>5365</v>
      </c>
      <c r="R98" s="29">
        <f>'Monthly Data'!BH98</f>
        <v>31</v>
      </c>
      <c r="S98" s="44">
        <f t="shared" si="11"/>
        <v>16509542.485537603</v>
      </c>
      <c r="T98" s="44">
        <f t="shared" ref="T98:T121" si="12">S98-D98</f>
        <v>-144815.88180176169</v>
      </c>
      <c r="U98" s="48">
        <f t="shared" ref="U98:U121" si="13">ABS(T98/D98)</f>
        <v>8.6953744243763922E-3</v>
      </c>
    </row>
    <row r="99" spans="1:21" x14ac:dyDescent="0.2">
      <c r="A99" s="45">
        <f>'Monthly Data'!A99</f>
        <v>43132</v>
      </c>
      <c r="B99" s="29">
        <f t="shared" si="7"/>
        <v>2018</v>
      </c>
      <c r="C99" s="29">
        <f t="shared" si="8"/>
        <v>2</v>
      </c>
      <c r="D99" s="158">
        <f>'Monthly Data'!J99</f>
        <v>14649762.367339365</v>
      </c>
      <c r="E99" s="251">
        <f>'Monthly Data'!AL99</f>
        <v>344.10000000000008</v>
      </c>
      <c r="F99" s="251">
        <f>'Monthly Data'!AI99</f>
        <v>0</v>
      </c>
      <c r="G99" s="29">
        <f>'Monthly Data'!BG99</f>
        <v>98</v>
      </c>
      <c r="H99" s="63">
        <f>'Monthly Data'!X99</f>
        <v>3356.1</v>
      </c>
      <c r="I99" s="29">
        <f>'Monthly Data'!BF99</f>
        <v>0</v>
      </c>
      <c r="K99" s="29">
        <f>'GS&lt;50 PW'!$B$6</f>
        <v>50.759309292559799</v>
      </c>
      <c r="L99" s="29">
        <f>E99*'GS&lt;50 PW'!$B$7</f>
        <v>10.567167420895906</v>
      </c>
      <c r="M99" s="29">
        <f>F99*'GS&lt;50 PW'!$B$8</f>
        <v>0</v>
      </c>
      <c r="N99" s="29">
        <f>G99*'GS&lt;50 PW'!$B$9</f>
        <v>-9.4432608816017236</v>
      </c>
      <c r="O99" s="29">
        <f>H99*'GS&lt;50 PW'!$B$10</f>
        <v>42.661840970890999</v>
      </c>
      <c r="P99" s="29">
        <f>I99*'GS&lt;50 PW'!$B$11</f>
        <v>0</v>
      </c>
      <c r="Q99" s="158">
        <f>'Monthly Data'!H99</f>
        <v>5367</v>
      </c>
      <c r="R99" s="29">
        <f>'Monthly Data'!BH99</f>
        <v>28</v>
      </c>
      <c r="S99" s="44">
        <f t="shared" si="11"/>
        <v>14207852.956089305</v>
      </c>
      <c r="T99" s="44">
        <f t="shared" si="12"/>
        <v>-441909.41125006042</v>
      </c>
      <c r="U99" s="48">
        <f t="shared" si="13"/>
        <v>3.0164954227193948E-2</v>
      </c>
    </row>
    <row r="100" spans="1:21" x14ac:dyDescent="0.2">
      <c r="A100" s="45">
        <f>'Monthly Data'!A100</f>
        <v>43160</v>
      </c>
      <c r="B100" s="29">
        <f t="shared" si="7"/>
        <v>2018</v>
      </c>
      <c r="C100" s="29">
        <f t="shared" si="8"/>
        <v>3</v>
      </c>
      <c r="D100" s="158">
        <f>'Monthly Data'!J100</f>
        <v>15509147.367339365</v>
      </c>
      <c r="E100" s="251">
        <f>'Monthly Data'!AL100</f>
        <v>347.89999999999986</v>
      </c>
      <c r="F100" s="251">
        <f>'Monthly Data'!AI100</f>
        <v>0</v>
      </c>
      <c r="G100" s="29">
        <f>'Monthly Data'!BG100</f>
        <v>99</v>
      </c>
      <c r="H100" s="63">
        <f>'Monthly Data'!X100</f>
        <v>3345.3</v>
      </c>
      <c r="I100" s="29">
        <f>'Monthly Data'!BF100</f>
        <v>1</v>
      </c>
      <c r="K100" s="29">
        <f>'GS&lt;50 PW'!$B$6</f>
        <v>50.759309292559799</v>
      </c>
      <c r="L100" s="29">
        <f>E100*'GS&lt;50 PW'!$B$7</f>
        <v>10.683863835308582</v>
      </c>
      <c r="M100" s="29">
        <f>F100*'GS&lt;50 PW'!$B$8</f>
        <v>0</v>
      </c>
      <c r="N100" s="29">
        <f>G100*'GS&lt;50 PW'!$B$9</f>
        <v>-9.5396206865160256</v>
      </c>
      <c r="O100" s="29">
        <f>H100*'GS&lt;50 PW'!$B$10</f>
        <v>42.524554274283147</v>
      </c>
      <c r="P100" s="29">
        <f>I100*'GS&lt;50 PW'!$B$11</f>
        <v>-1.9723066266223299</v>
      </c>
      <c r="Q100" s="158">
        <f>'Monthly Data'!H100</f>
        <v>5382</v>
      </c>
      <c r="R100" s="29">
        <f>'Monthly Data'!BH100</f>
        <v>31</v>
      </c>
      <c r="S100" s="44">
        <f t="shared" si="11"/>
        <v>15425510.598451134</v>
      </c>
      <c r="T100" s="44">
        <f t="shared" si="12"/>
        <v>-83636.768888231367</v>
      </c>
      <c r="U100" s="48">
        <f t="shared" si="13"/>
        <v>5.3927380343526564E-3</v>
      </c>
    </row>
    <row r="101" spans="1:21" x14ac:dyDescent="0.2">
      <c r="A101" s="45">
        <f>'Monthly Data'!A101</f>
        <v>43191</v>
      </c>
      <c r="B101" s="29">
        <f t="shared" si="7"/>
        <v>2018</v>
      </c>
      <c r="C101" s="29">
        <f t="shared" si="8"/>
        <v>4</v>
      </c>
      <c r="D101" s="158">
        <f>'Monthly Data'!J101</f>
        <v>14451924.367339365</v>
      </c>
      <c r="E101" s="251">
        <f>'Monthly Data'!AL101</f>
        <v>239.3</v>
      </c>
      <c r="F101" s="251">
        <f>'Monthly Data'!AI101</f>
        <v>0</v>
      </c>
      <c r="G101" s="29">
        <f>'Monthly Data'!BG101</f>
        <v>100</v>
      </c>
      <c r="H101" s="63">
        <f>'Monthly Data'!X101</f>
        <v>3338.5</v>
      </c>
      <c r="I101" s="29">
        <f>'Monthly Data'!BF101</f>
        <v>1</v>
      </c>
      <c r="K101" s="29">
        <f>'GS&lt;50 PW'!$B$6</f>
        <v>50.759309292559799</v>
      </c>
      <c r="L101" s="29">
        <f>E101*'GS&lt;50 PW'!$B$7</f>
        <v>7.3488031497250503</v>
      </c>
      <c r="M101" s="29">
        <f>F101*'GS&lt;50 PW'!$B$8</f>
        <v>0</v>
      </c>
      <c r="N101" s="29">
        <f>G101*'GS&lt;50 PW'!$B$9</f>
        <v>-9.6359804914303293</v>
      </c>
      <c r="O101" s="29">
        <f>H101*'GS&lt;50 PW'!$B$10</f>
        <v>42.438114502344867</v>
      </c>
      <c r="P101" s="29">
        <f>I101*'GS&lt;50 PW'!$B$11</f>
        <v>-1.9723066266223299</v>
      </c>
      <c r="Q101" s="158">
        <f>'Monthly Data'!H101</f>
        <v>5377</v>
      </c>
      <c r="R101" s="29">
        <f>'Monthly Data'!BH101</f>
        <v>30</v>
      </c>
      <c r="S101" s="44">
        <f t="shared" si="11"/>
        <v>14346579.073425146</v>
      </c>
      <c r="T101" s="44">
        <f t="shared" si="12"/>
        <v>-105345.29391421936</v>
      </c>
      <c r="U101" s="48">
        <f t="shared" si="13"/>
        <v>7.2893610038739561E-3</v>
      </c>
    </row>
    <row r="102" spans="1:21" x14ac:dyDescent="0.2">
      <c r="A102" s="45">
        <f>'Monthly Data'!A102</f>
        <v>43221</v>
      </c>
      <c r="B102" s="29">
        <f t="shared" si="7"/>
        <v>2018</v>
      </c>
      <c r="C102" s="29">
        <f t="shared" si="8"/>
        <v>5</v>
      </c>
      <c r="D102" s="158">
        <f>'Monthly Data'!J102</f>
        <v>14807257.367339365</v>
      </c>
      <c r="E102" s="251">
        <f>'Monthly Data'!AL102</f>
        <v>25.199999999999996</v>
      </c>
      <c r="F102" s="251">
        <f>'Monthly Data'!AI102</f>
        <v>48.5</v>
      </c>
      <c r="G102" s="29">
        <f>'Monthly Data'!BG102</f>
        <v>101</v>
      </c>
      <c r="H102" s="63">
        <f>'Monthly Data'!X102</f>
        <v>3335</v>
      </c>
      <c r="I102" s="29">
        <f>'Monthly Data'!BF102</f>
        <v>1</v>
      </c>
      <c r="K102" s="29">
        <f>'GS&lt;50 PW'!$B$6</f>
        <v>50.759309292559799</v>
      </c>
      <c r="L102" s="29">
        <f>E102*'GS&lt;50 PW'!$B$7</f>
        <v>0.77388148505253329</v>
      </c>
      <c r="M102" s="29">
        <f>F102*'GS&lt;50 PW'!$B$8</f>
        <v>3.821553277040219</v>
      </c>
      <c r="N102" s="29">
        <f>G102*'GS&lt;50 PW'!$B$9</f>
        <v>-9.732340296344633</v>
      </c>
      <c r="O102" s="29">
        <f>H102*'GS&lt;50 PW'!$B$10</f>
        <v>42.393623443258988</v>
      </c>
      <c r="P102" s="29">
        <f>I102*'GS&lt;50 PW'!$B$11</f>
        <v>-1.9723066266223299</v>
      </c>
      <c r="Q102" s="158">
        <f>'Monthly Data'!H102</f>
        <v>5371</v>
      </c>
      <c r="R102" s="29">
        <f>'Monthly Data'!BH102</f>
        <v>31</v>
      </c>
      <c r="S102" s="44">
        <f t="shared" si="11"/>
        <v>14326365.51944885</v>
      </c>
      <c r="T102" s="44">
        <f t="shared" si="12"/>
        <v>-480891.84789051488</v>
      </c>
      <c r="U102" s="48">
        <f t="shared" si="13"/>
        <v>3.2476767031227989E-2</v>
      </c>
    </row>
    <row r="103" spans="1:21" x14ac:dyDescent="0.2">
      <c r="A103" s="45">
        <f>'Monthly Data'!A103</f>
        <v>43252</v>
      </c>
      <c r="B103" s="29">
        <f t="shared" si="7"/>
        <v>2018</v>
      </c>
      <c r="C103" s="29">
        <f t="shared" si="8"/>
        <v>6</v>
      </c>
      <c r="D103" s="158">
        <f>'Monthly Data'!J103</f>
        <v>15605806.367339365</v>
      </c>
      <c r="E103" s="251">
        <f>'Monthly Data'!AL103</f>
        <v>0</v>
      </c>
      <c r="F103" s="251">
        <f>'Monthly Data'!AI103</f>
        <v>95.899999999999977</v>
      </c>
      <c r="G103" s="29">
        <f>'Monthly Data'!BG103</f>
        <v>102</v>
      </c>
      <c r="H103" s="63">
        <f>'Monthly Data'!X103</f>
        <v>3341.9</v>
      </c>
      <c r="I103" s="29">
        <f>'Monthly Data'!BF103</f>
        <v>0</v>
      </c>
      <c r="K103" s="29">
        <f>'GS&lt;50 PW'!$B$6</f>
        <v>50.759309292559799</v>
      </c>
      <c r="L103" s="29">
        <f>E103*'GS&lt;50 PW'!$B$7</f>
        <v>0</v>
      </c>
      <c r="M103" s="29">
        <f>F103*'GS&lt;50 PW'!$B$8</f>
        <v>7.5564321498589049</v>
      </c>
      <c r="N103" s="29">
        <f>G103*'GS&lt;50 PW'!$B$9</f>
        <v>-9.828700101258935</v>
      </c>
      <c r="O103" s="29">
        <f>H103*'GS&lt;50 PW'!$B$10</f>
        <v>42.481334388314011</v>
      </c>
      <c r="P103" s="29">
        <f>I103*'GS&lt;50 PW'!$B$11</f>
        <v>0</v>
      </c>
      <c r="Q103" s="158">
        <f>'Monthly Data'!H103</f>
        <v>5437</v>
      </c>
      <c r="R103" s="29">
        <f>'Monthly Data'!BH103</f>
        <v>30</v>
      </c>
      <c r="S103" s="44">
        <f t="shared" si="11"/>
        <v>14837851.765234467</v>
      </c>
      <c r="T103" s="44">
        <f t="shared" si="12"/>
        <v>-767954.60210489854</v>
      </c>
      <c r="U103" s="48">
        <f t="shared" si="13"/>
        <v>4.9209543167991206E-2</v>
      </c>
    </row>
    <row r="104" spans="1:21" x14ac:dyDescent="0.2">
      <c r="A104" s="45">
        <f>'Monthly Data'!A104</f>
        <v>43282</v>
      </c>
      <c r="B104" s="29">
        <f t="shared" si="7"/>
        <v>2018</v>
      </c>
      <c r="C104" s="29">
        <f t="shared" si="8"/>
        <v>7</v>
      </c>
      <c r="D104" s="158">
        <f>'Monthly Data'!J104</f>
        <v>17337110.367339365</v>
      </c>
      <c r="E104" s="251">
        <f>'Monthly Data'!AL104</f>
        <v>0</v>
      </c>
      <c r="F104" s="251">
        <f>'Monthly Data'!AI104</f>
        <v>226.19999999999996</v>
      </c>
      <c r="G104" s="29">
        <f>'Monthly Data'!BG104</f>
        <v>103</v>
      </c>
      <c r="H104" s="63">
        <f>'Monthly Data'!X104</f>
        <v>3357.7</v>
      </c>
      <c r="I104" s="29">
        <f>'Monthly Data'!BF104</f>
        <v>0</v>
      </c>
      <c r="K104" s="29">
        <f>'GS&lt;50 PW'!$B$6</f>
        <v>50.759309292559799</v>
      </c>
      <c r="L104" s="29">
        <f>E104*'GS&lt;50 PW'!$B$7</f>
        <v>0</v>
      </c>
      <c r="M104" s="29">
        <f>F104*'GS&lt;50 PW'!$B$8</f>
        <v>17.823409304463862</v>
      </c>
      <c r="N104" s="29">
        <f>G104*'GS&lt;50 PW'!$B$9</f>
        <v>-9.9250599061732387</v>
      </c>
      <c r="O104" s="29">
        <f>H104*'GS&lt;50 PW'!$B$10</f>
        <v>42.682179740758833</v>
      </c>
      <c r="P104" s="29">
        <f>I104*'GS&lt;50 PW'!$B$11</f>
        <v>0</v>
      </c>
      <c r="Q104" s="158">
        <f>'Monthly Data'!H104</f>
        <v>5443</v>
      </c>
      <c r="R104" s="29">
        <f>'Monthly Data'!BH104</f>
        <v>31</v>
      </c>
      <c r="S104" s="44">
        <f t="shared" si="11"/>
        <v>17099374.958080724</v>
      </c>
      <c r="T104" s="44">
        <f t="shared" si="12"/>
        <v>-237735.4092586413</v>
      </c>
      <c r="U104" s="48">
        <f t="shared" si="13"/>
        <v>1.3712516343352165E-2</v>
      </c>
    </row>
    <row r="105" spans="1:21" x14ac:dyDescent="0.2">
      <c r="A105" s="45">
        <f>'Monthly Data'!A105</f>
        <v>43313</v>
      </c>
      <c r="B105" s="29">
        <f t="shared" si="7"/>
        <v>2018</v>
      </c>
      <c r="C105" s="29">
        <f t="shared" si="8"/>
        <v>8</v>
      </c>
      <c r="D105" s="158">
        <f>'Monthly Data'!J105</f>
        <v>17142851.367339365</v>
      </c>
      <c r="E105" s="251">
        <f>'Monthly Data'!AL105</f>
        <v>0</v>
      </c>
      <c r="F105" s="251">
        <f>'Monthly Data'!AI105</f>
        <v>225.8</v>
      </c>
      <c r="G105" s="29">
        <f>'Monthly Data'!BG105</f>
        <v>104</v>
      </c>
      <c r="H105" s="63">
        <f>'Monthly Data'!X105</f>
        <v>3354.6</v>
      </c>
      <c r="I105" s="29">
        <f>'Monthly Data'!BF105</f>
        <v>0</v>
      </c>
      <c r="K105" s="29">
        <f>'GS&lt;50 PW'!$B$6</f>
        <v>50.759309292559799</v>
      </c>
      <c r="L105" s="29">
        <f>E105*'GS&lt;50 PW'!$B$7</f>
        <v>0</v>
      </c>
      <c r="M105" s="29">
        <f>F105*'GS&lt;50 PW'!$B$8</f>
        <v>17.791891339292402</v>
      </c>
      <c r="N105" s="29">
        <f>G105*'GS&lt;50 PW'!$B$9</f>
        <v>-10.021419711087542</v>
      </c>
      <c r="O105" s="29">
        <f>H105*'GS&lt;50 PW'!$B$10</f>
        <v>42.642773374139914</v>
      </c>
      <c r="P105" s="29">
        <f>I105*'GS&lt;50 PW'!$B$11</f>
        <v>0</v>
      </c>
      <c r="Q105" s="158">
        <f>'Monthly Data'!H105</f>
        <v>5466</v>
      </c>
      <c r="R105" s="29">
        <f>'Monthly Data'!BH105</f>
        <v>31</v>
      </c>
      <c r="S105" s="44">
        <f t="shared" si="11"/>
        <v>17143284.635054395</v>
      </c>
      <c r="T105" s="44">
        <f t="shared" si="12"/>
        <v>433.26771502941847</v>
      </c>
      <c r="U105" s="48">
        <f t="shared" si="13"/>
        <v>2.5273958558310899E-5</v>
      </c>
    </row>
    <row r="106" spans="1:21" x14ac:dyDescent="0.2">
      <c r="A106" s="45">
        <f>'Monthly Data'!A106</f>
        <v>43344</v>
      </c>
      <c r="B106" s="29">
        <f t="shared" si="7"/>
        <v>2018</v>
      </c>
      <c r="C106" s="29">
        <f t="shared" si="8"/>
        <v>9</v>
      </c>
      <c r="D106" s="158">
        <f>'Monthly Data'!J106</f>
        <v>15306561.367339365</v>
      </c>
      <c r="E106" s="251">
        <f>'Monthly Data'!AL106</f>
        <v>0</v>
      </c>
      <c r="F106" s="251">
        <f>'Monthly Data'!AI106</f>
        <v>114.70000000000003</v>
      </c>
      <c r="G106" s="29">
        <f>'Monthly Data'!BG106</f>
        <v>105</v>
      </c>
      <c r="H106" s="63">
        <f>'Monthly Data'!X106</f>
        <v>3347.2</v>
      </c>
      <c r="I106" s="29">
        <f>'Monthly Data'!BF106</f>
        <v>1</v>
      </c>
      <c r="K106" s="29">
        <f>'GS&lt;50 PW'!$B$6</f>
        <v>50.759309292559799</v>
      </c>
      <c r="L106" s="29">
        <f>E106*'GS&lt;50 PW'!$B$7</f>
        <v>0</v>
      </c>
      <c r="M106" s="29">
        <f>F106*'GS&lt;50 PW'!$B$8</f>
        <v>9.037776512917798</v>
      </c>
      <c r="N106" s="29">
        <f>G106*'GS&lt;50 PW'!$B$9</f>
        <v>-10.117779516001846</v>
      </c>
      <c r="O106" s="29">
        <f>H106*'GS&lt;50 PW'!$B$10</f>
        <v>42.548706563501192</v>
      </c>
      <c r="P106" s="29">
        <f>I106*'GS&lt;50 PW'!$B$11</f>
        <v>-1.9723066266223299</v>
      </c>
      <c r="Q106" s="158">
        <f>'Monthly Data'!H106</f>
        <v>5466</v>
      </c>
      <c r="R106" s="29">
        <f>'Monthly Data'!BH106</f>
        <v>30</v>
      </c>
      <c r="S106" s="44">
        <f t="shared" si="11"/>
        <v>14800130.706997629</v>
      </c>
      <c r="T106" s="44">
        <f t="shared" si="12"/>
        <v>-506430.66034173593</v>
      </c>
      <c r="U106" s="48">
        <f t="shared" si="13"/>
        <v>3.3085854372383136E-2</v>
      </c>
    </row>
    <row r="107" spans="1:21" x14ac:dyDescent="0.2">
      <c r="A107" s="45">
        <f>'Monthly Data'!A107</f>
        <v>43374</v>
      </c>
      <c r="B107" s="29">
        <f t="shared" si="7"/>
        <v>2018</v>
      </c>
      <c r="C107" s="29">
        <f t="shared" si="8"/>
        <v>10</v>
      </c>
      <c r="D107" s="158">
        <f>'Monthly Data'!J107</f>
        <v>14377808.367339365</v>
      </c>
      <c r="E107" s="251">
        <f>'Monthly Data'!AL107</f>
        <v>88.200000000000031</v>
      </c>
      <c r="F107" s="251">
        <f>'Monthly Data'!AI107</f>
        <v>16.2</v>
      </c>
      <c r="G107" s="29">
        <f>'Monthly Data'!BG107</f>
        <v>106</v>
      </c>
      <c r="H107" s="63">
        <f>'Monthly Data'!X107</f>
        <v>3346.6</v>
      </c>
      <c r="I107" s="29">
        <f>'Monthly Data'!BF107</f>
        <v>1</v>
      </c>
      <c r="K107" s="29">
        <f>'GS&lt;50 PW'!$B$6</f>
        <v>50.759309292559799</v>
      </c>
      <c r="L107" s="29">
        <f>E107*'GS&lt;50 PW'!$B$7</f>
        <v>2.7085851976838682</v>
      </c>
      <c r="M107" s="29">
        <f>F107*'GS&lt;50 PW'!$B$8</f>
        <v>1.2764775894443616</v>
      </c>
      <c r="N107" s="29">
        <f>G107*'GS&lt;50 PW'!$B$9</f>
        <v>-10.21413932091615</v>
      </c>
      <c r="O107" s="29">
        <f>H107*'GS&lt;50 PW'!$B$10</f>
        <v>42.541079524800757</v>
      </c>
      <c r="P107" s="29">
        <f>I107*'GS&lt;50 PW'!$B$11</f>
        <v>-1.9723066266223299</v>
      </c>
      <c r="Q107" s="158">
        <f>'Monthly Data'!H107</f>
        <v>5469</v>
      </c>
      <c r="R107" s="29">
        <f>'Monthly Data'!BH107</f>
        <v>31</v>
      </c>
      <c r="S107" s="44">
        <f t="shared" si="11"/>
        <v>14427600.320073698</v>
      </c>
      <c r="T107" s="44">
        <f t="shared" si="12"/>
        <v>49791.952734332532</v>
      </c>
      <c r="U107" s="48">
        <f t="shared" si="13"/>
        <v>3.4631114466263128E-3</v>
      </c>
    </row>
    <row r="108" spans="1:21" x14ac:dyDescent="0.2">
      <c r="A108" s="45">
        <f>'Monthly Data'!A108</f>
        <v>43405</v>
      </c>
      <c r="B108" s="29">
        <f t="shared" si="7"/>
        <v>2018</v>
      </c>
      <c r="C108" s="29">
        <f t="shared" si="8"/>
        <v>11</v>
      </c>
      <c r="D108" s="158">
        <f>'Monthly Data'!J108</f>
        <v>14845972.367339365</v>
      </c>
      <c r="E108" s="251">
        <f>'Monthly Data'!AL108</f>
        <v>272.40000000000003</v>
      </c>
      <c r="F108" s="251">
        <f>'Monthly Data'!AI108</f>
        <v>0</v>
      </c>
      <c r="G108" s="29">
        <f>'Monthly Data'!BG108</f>
        <v>107</v>
      </c>
      <c r="H108" s="63">
        <f>'Monthly Data'!X108</f>
        <v>3365.9</v>
      </c>
      <c r="I108" s="29">
        <f>'Monthly Data'!BF108</f>
        <v>1</v>
      </c>
      <c r="K108" s="29">
        <f>'GS&lt;50 PW'!$B$6</f>
        <v>50.759309292559799</v>
      </c>
      <c r="L108" s="29">
        <f>E108*'GS&lt;50 PW'!$B$7</f>
        <v>8.3652903384250052</v>
      </c>
      <c r="M108" s="29">
        <f>F108*'GS&lt;50 PW'!$B$8</f>
        <v>0</v>
      </c>
      <c r="N108" s="29">
        <f>G108*'GS&lt;50 PW'!$B$9</f>
        <v>-10.310499125830452</v>
      </c>
      <c r="O108" s="29">
        <f>H108*'GS&lt;50 PW'!$B$10</f>
        <v>42.786415936331466</v>
      </c>
      <c r="P108" s="29">
        <f>I108*'GS&lt;50 PW'!$B$11</f>
        <v>-1.9723066266223299</v>
      </c>
      <c r="Q108" s="158">
        <f>'Monthly Data'!H108</f>
        <v>5496</v>
      </c>
      <c r="R108" s="29">
        <f>'Monthly Data'!BH108</f>
        <v>30</v>
      </c>
      <c r="S108" s="44">
        <f t="shared" si="11"/>
        <v>14777899.234274691</v>
      </c>
      <c r="T108" s="44">
        <f t="shared" si="12"/>
        <v>-68073.133064674214</v>
      </c>
      <c r="U108" s="48">
        <f t="shared" si="13"/>
        <v>4.5852929926255819E-3</v>
      </c>
    </row>
    <row r="109" spans="1:21" x14ac:dyDescent="0.2">
      <c r="A109" s="45">
        <f>'Monthly Data'!A109</f>
        <v>43435</v>
      </c>
      <c r="B109" s="29">
        <f t="shared" si="7"/>
        <v>2018</v>
      </c>
      <c r="C109" s="29">
        <f t="shared" si="8"/>
        <v>12</v>
      </c>
      <c r="D109" s="158">
        <f>'Monthly Data'!J109</f>
        <v>15695898.367339365</v>
      </c>
      <c r="E109" s="251">
        <f>'Monthly Data'!AL109</f>
        <v>330</v>
      </c>
      <c r="F109" s="251">
        <f>'Monthly Data'!AI109</f>
        <v>0</v>
      </c>
      <c r="G109" s="29">
        <f>'Monthly Data'!BG109</f>
        <v>108</v>
      </c>
      <c r="H109" s="63">
        <f>'Monthly Data'!X109</f>
        <v>3382.8</v>
      </c>
      <c r="I109" s="29">
        <f>'Monthly Data'!BF109</f>
        <v>0</v>
      </c>
      <c r="K109" s="29">
        <f>'GS&lt;50 PW'!$B$6</f>
        <v>50.759309292559799</v>
      </c>
      <c r="L109" s="29">
        <f>E109*'GS&lt;50 PW'!$B$7</f>
        <v>10.134162304259366</v>
      </c>
      <c r="M109" s="29">
        <f>F109*'GS&lt;50 PW'!$B$8</f>
        <v>0</v>
      </c>
      <c r="N109" s="29">
        <f>G109*'GS&lt;50 PW'!$B$9</f>
        <v>-10.406858930744756</v>
      </c>
      <c r="O109" s="29">
        <f>H109*'GS&lt;50 PW'!$B$10</f>
        <v>43.001244193060423</v>
      </c>
      <c r="P109" s="29">
        <f>I109*'GS&lt;50 PW'!$B$11</f>
        <v>0</v>
      </c>
      <c r="Q109" s="158">
        <f>'Monthly Data'!H109</f>
        <v>5494</v>
      </c>
      <c r="R109" s="29">
        <f>'Monthly Data'!BH109</f>
        <v>31</v>
      </c>
      <c r="S109" s="44">
        <f t="shared" si="11"/>
        <v>15922290.853106691</v>
      </c>
      <c r="T109" s="44">
        <f t="shared" si="12"/>
        <v>226392.48576732539</v>
      </c>
      <c r="U109" s="48">
        <f t="shared" si="13"/>
        <v>1.4423671743339755E-2</v>
      </c>
    </row>
    <row r="110" spans="1:21" x14ac:dyDescent="0.2">
      <c r="A110" s="45">
        <f>'Monthly Data'!A110</f>
        <v>43466</v>
      </c>
      <c r="B110" s="29">
        <f t="shared" si="7"/>
        <v>2019</v>
      </c>
      <c r="C110" s="29">
        <f t="shared" si="8"/>
        <v>1</v>
      </c>
      <c r="D110" s="158">
        <f>'Monthly Data'!J110</f>
        <v>16830375.066078711</v>
      </c>
      <c r="E110" s="251">
        <f>'Monthly Data'!AL110</f>
        <v>514</v>
      </c>
      <c r="F110" s="251">
        <f>'Monthly Data'!AI110</f>
        <v>0</v>
      </c>
      <c r="G110" s="29">
        <f>'Monthly Data'!BG110</f>
        <v>109</v>
      </c>
      <c r="H110" s="63">
        <f>'Monthly Data'!X110</f>
        <v>3394.9</v>
      </c>
      <c r="I110" s="29">
        <f>'Monthly Data'!BF110</f>
        <v>0</v>
      </c>
      <c r="K110" s="29">
        <f>'GS&lt;50 PW'!$B$6</f>
        <v>50.759309292559799</v>
      </c>
      <c r="L110" s="29">
        <f>E110*'GS&lt;50 PW'!$B$7</f>
        <v>15.784725528452467</v>
      </c>
      <c r="M110" s="29">
        <f>F110*'GS&lt;50 PW'!$B$8</f>
        <v>0</v>
      </c>
      <c r="N110" s="29">
        <f>G110*'GS&lt;50 PW'!$B$9</f>
        <v>-10.503218735659059</v>
      </c>
      <c r="O110" s="29">
        <f>H110*'GS&lt;50 PW'!$B$10</f>
        <v>43.155056140185891</v>
      </c>
      <c r="P110" s="29">
        <f>I110*'GS&lt;50 PW'!$B$11</f>
        <v>0</v>
      </c>
      <c r="Q110" s="158">
        <f>'Monthly Data'!H110</f>
        <v>5499</v>
      </c>
      <c r="R110" s="29">
        <f>'Monthly Data'!BH110</f>
        <v>31</v>
      </c>
      <c r="S110" s="44">
        <f t="shared" si="11"/>
        <v>16909821.142415423</v>
      </c>
      <c r="T110" s="44">
        <f t="shared" si="12"/>
        <v>79446.076336711645</v>
      </c>
      <c r="U110" s="48">
        <f t="shared" si="13"/>
        <v>4.7203984477347536E-3</v>
      </c>
    </row>
    <row r="111" spans="1:21" x14ac:dyDescent="0.2">
      <c r="A111" s="45">
        <f>'Monthly Data'!A111</f>
        <v>43497</v>
      </c>
      <c r="B111" s="29">
        <f t="shared" si="7"/>
        <v>2019</v>
      </c>
      <c r="C111" s="29">
        <f t="shared" si="8"/>
        <v>2</v>
      </c>
      <c r="D111" s="158">
        <f>'Monthly Data'!J111</f>
        <v>15569003.066078711</v>
      </c>
      <c r="E111" s="251">
        <f>'Monthly Data'!AL111</f>
        <v>403.70000000000005</v>
      </c>
      <c r="F111" s="251">
        <f>'Monthly Data'!AI111</f>
        <v>0</v>
      </c>
      <c r="G111" s="29">
        <f>'Monthly Data'!BG111</f>
        <v>110</v>
      </c>
      <c r="H111" s="63">
        <f>'Monthly Data'!X111</f>
        <v>3412.3</v>
      </c>
      <c r="I111" s="29">
        <f>'Monthly Data'!BF111</f>
        <v>0</v>
      </c>
      <c r="K111" s="29">
        <f>'GS&lt;50 PW'!$B$6</f>
        <v>50.759309292559799</v>
      </c>
      <c r="L111" s="29">
        <f>E111*'GS&lt;50 PW'!$B$7</f>
        <v>12.397458552210626</v>
      </c>
      <c r="M111" s="29">
        <f>F111*'GS&lt;50 PW'!$B$8</f>
        <v>0</v>
      </c>
      <c r="N111" s="29">
        <f>G111*'GS&lt;50 PW'!$B$9</f>
        <v>-10.599578540573361</v>
      </c>
      <c r="O111" s="29">
        <f>H111*'GS&lt;50 PW'!$B$10</f>
        <v>43.376240262498548</v>
      </c>
      <c r="P111" s="29">
        <f>I111*'GS&lt;50 PW'!$B$11</f>
        <v>0</v>
      </c>
      <c r="Q111" s="158">
        <f>'Monthly Data'!H111</f>
        <v>5507</v>
      </c>
      <c r="R111" s="29">
        <f>'Monthly Data'!BH111</f>
        <v>28</v>
      </c>
      <c r="S111" s="44">
        <f t="shared" si="11"/>
        <v>14792551.105466198</v>
      </c>
      <c r="T111" s="44">
        <f t="shared" si="12"/>
        <v>-776451.96061251312</v>
      </c>
      <c r="U111" s="48">
        <f t="shared" si="13"/>
        <v>4.9871655706987685E-2</v>
      </c>
    </row>
    <row r="112" spans="1:21" x14ac:dyDescent="0.2">
      <c r="A112" s="45">
        <f>'Monthly Data'!A112</f>
        <v>43525</v>
      </c>
      <c r="B112" s="29">
        <f t="shared" si="7"/>
        <v>2019</v>
      </c>
      <c r="C112" s="29">
        <f t="shared" si="8"/>
        <v>3</v>
      </c>
      <c r="D112" s="158">
        <f>'Monthly Data'!J112</f>
        <v>16318845.066078711</v>
      </c>
      <c r="E112" s="251">
        <f>'Monthly Data'!AL112</f>
        <v>370.49999999999989</v>
      </c>
      <c r="F112" s="251">
        <f>'Monthly Data'!AI112</f>
        <v>0</v>
      </c>
      <c r="G112" s="29">
        <f>'Monthly Data'!BG112</f>
        <v>111</v>
      </c>
      <c r="H112" s="63">
        <f>'Monthly Data'!X112</f>
        <v>3430.6</v>
      </c>
      <c r="I112" s="29">
        <f>'Monthly Data'!BF112</f>
        <v>1</v>
      </c>
      <c r="K112" s="29">
        <f>'GS&lt;50 PW'!$B$6</f>
        <v>50.759309292559799</v>
      </c>
      <c r="L112" s="29">
        <f>E112*'GS&lt;50 PW'!$B$7</f>
        <v>11.37790040523665</v>
      </c>
      <c r="M112" s="29">
        <f>F112*'GS&lt;50 PW'!$B$8</f>
        <v>0</v>
      </c>
      <c r="N112" s="29">
        <f>G112*'GS&lt;50 PW'!$B$9</f>
        <v>-10.695938345487665</v>
      </c>
      <c r="O112" s="29">
        <f>H112*'GS&lt;50 PW'!$B$10</f>
        <v>43.608864942861857</v>
      </c>
      <c r="P112" s="29">
        <f>I112*'GS&lt;50 PW'!$B$11</f>
        <v>-1.9723066266223299</v>
      </c>
      <c r="Q112" s="158">
        <f>'Monthly Data'!H112</f>
        <v>5500</v>
      </c>
      <c r="R112" s="29">
        <f>'Monthly Data'!BH112</f>
        <v>31</v>
      </c>
      <c r="S112" s="44">
        <f t="shared" si="11"/>
        <v>15869769.958487488</v>
      </c>
      <c r="T112" s="44">
        <f t="shared" si="12"/>
        <v>-449075.10759122297</v>
      </c>
      <c r="U112" s="48">
        <f t="shared" si="13"/>
        <v>2.7518804533826741E-2</v>
      </c>
    </row>
    <row r="113" spans="1:24" x14ac:dyDescent="0.2">
      <c r="A113" s="45">
        <f>'Monthly Data'!A113</f>
        <v>43556</v>
      </c>
      <c r="B113" s="29">
        <f t="shared" si="7"/>
        <v>2019</v>
      </c>
      <c r="C113" s="29">
        <f t="shared" si="8"/>
        <v>4</v>
      </c>
      <c r="D113" s="158">
        <f>'Monthly Data'!J113</f>
        <v>14529418.066078711</v>
      </c>
      <c r="E113" s="251">
        <f>'Monthly Data'!AL113</f>
        <v>173.29999999999998</v>
      </c>
      <c r="F113" s="251">
        <f>'Monthly Data'!AI113</f>
        <v>0</v>
      </c>
      <c r="G113" s="29">
        <f>'Monthly Data'!BG113</f>
        <v>112</v>
      </c>
      <c r="H113" s="63">
        <f>'Monthly Data'!X113</f>
        <v>3447.9</v>
      </c>
      <c r="I113" s="29">
        <f>'Monthly Data'!BF113</f>
        <v>1</v>
      </c>
      <c r="K113" s="29">
        <f>'GS&lt;50 PW'!$B$6</f>
        <v>50.759309292559799</v>
      </c>
      <c r="L113" s="29">
        <f>E113*'GS&lt;50 PW'!$B$7</f>
        <v>5.3219706888731757</v>
      </c>
      <c r="M113" s="29">
        <f>F113*'GS&lt;50 PW'!$B$8</f>
        <v>0</v>
      </c>
      <c r="N113" s="29">
        <f>G113*'GS&lt;50 PW'!$B$9</f>
        <v>-10.792298150401969</v>
      </c>
      <c r="O113" s="29">
        <f>H113*'GS&lt;50 PW'!$B$10</f>
        <v>43.828777892057772</v>
      </c>
      <c r="P113" s="29">
        <f>I113*'GS&lt;50 PW'!$B$11</f>
        <v>-1.9723066266223299</v>
      </c>
      <c r="Q113" s="158">
        <f>'Monthly Data'!H113</f>
        <v>5496</v>
      </c>
      <c r="R113" s="29">
        <f>'Monthly Data'!BH113</f>
        <v>30</v>
      </c>
      <c r="S113" s="44">
        <f t="shared" si="11"/>
        <v>14368542.306545388</v>
      </c>
      <c r="T113" s="44">
        <f t="shared" si="12"/>
        <v>-160875.75953332335</v>
      </c>
      <c r="U113" s="48">
        <f t="shared" si="13"/>
        <v>1.107241589454391E-2</v>
      </c>
    </row>
    <row r="114" spans="1:24" x14ac:dyDescent="0.2">
      <c r="A114" s="45">
        <f>'Monthly Data'!A114</f>
        <v>43586</v>
      </c>
      <c r="B114" s="29">
        <f t="shared" si="7"/>
        <v>2019</v>
      </c>
      <c r="C114" s="29">
        <f t="shared" si="8"/>
        <v>5</v>
      </c>
      <c r="D114" s="158">
        <f>'Monthly Data'!J114</f>
        <v>14271330.066078711</v>
      </c>
      <c r="E114" s="251">
        <f>'Monthly Data'!AL114</f>
        <v>63.5</v>
      </c>
      <c r="F114" s="251">
        <f>'Monthly Data'!AI114</f>
        <v>4.5999999999999979</v>
      </c>
      <c r="G114" s="29">
        <f>'Monthly Data'!BG114</f>
        <v>113</v>
      </c>
      <c r="H114" s="63">
        <f>'Monthly Data'!X114</f>
        <v>3461.7</v>
      </c>
      <c r="I114" s="29">
        <f>'Monthly Data'!BF114</f>
        <v>1</v>
      </c>
      <c r="K114" s="29">
        <f>'GS&lt;50 PW'!$B$6</f>
        <v>50.759309292559799</v>
      </c>
      <c r="L114" s="29">
        <f>E114*'GS&lt;50 PW'!$B$7</f>
        <v>1.9500585040014236</v>
      </c>
      <c r="M114" s="29">
        <f>F114*'GS&lt;50 PW'!$B$8</f>
        <v>0.36245659947185566</v>
      </c>
      <c r="N114" s="29">
        <f>G114*'GS&lt;50 PW'!$B$9</f>
        <v>-10.888657955316273</v>
      </c>
      <c r="O114" s="29">
        <f>H114*'GS&lt;50 PW'!$B$10</f>
        <v>44.004199782167809</v>
      </c>
      <c r="P114" s="29">
        <f>I114*'GS&lt;50 PW'!$B$11</f>
        <v>-1.9723066266223299</v>
      </c>
      <c r="Q114" s="158">
        <f>'Monthly Data'!H114</f>
        <v>5489</v>
      </c>
      <c r="R114" s="29">
        <f>'Monthly Data'!BH114</f>
        <v>31</v>
      </c>
      <c r="S114" s="44">
        <f t="shared" si="11"/>
        <v>14329950.325840393</v>
      </c>
      <c r="T114" s="44">
        <f t="shared" si="12"/>
        <v>58620.25976168178</v>
      </c>
      <c r="U114" s="48">
        <f t="shared" si="13"/>
        <v>4.1075540605017124E-3</v>
      </c>
    </row>
    <row r="115" spans="1:24" x14ac:dyDescent="0.2">
      <c r="A115" s="45">
        <f>'Monthly Data'!A115</f>
        <v>43617</v>
      </c>
      <c r="B115" s="29">
        <f t="shared" si="7"/>
        <v>2019</v>
      </c>
      <c r="C115" s="29">
        <f t="shared" si="8"/>
        <v>6</v>
      </c>
      <c r="D115" s="158">
        <f>'Monthly Data'!J115</f>
        <v>14804296.066078711</v>
      </c>
      <c r="E115" s="251">
        <f>'Monthly Data'!AL115</f>
        <v>0.19999999999999929</v>
      </c>
      <c r="F115" s="251">
        <f>'Monthly Data'!AI115</f>
        <v>61.2</v>
      </c>
      <c r="G115" s="29">
        <f>'Monthly Data'!BG115</f>
        <v>114</v>
      </c>
      <c r="H115" s="63">
        <f>'Monthly Data'!X115</f>
        <v>3472.4</v>
      </c>
      <c r="I115" s="29">
        <f>'Monthly Data'!BF115</f>
        <v>0</v>
      </c>
      <c r="K115" s="29">
        <f>'GS&lt;50 PW'!$B$6</f>
        <v>50.759309292559799</v>
      </c>
      <c r="L115" s="29">
        <f>E115*'GS&lt;50 PW'!$B$7</f>
        <v>6.1419165480359576E-3</v>
      </c>
      <c r="M115" s="29">
        <f>F115*'GS&lt;50 PW'!$B$8</f>
        <v>4.8222486712342558</v>
      </c>
      <c r="N115" s="29">
        <f>G115*'GS&lt;50 PW'!$B$9</f>
        <v>-10.985017760230576</v>
      </c>
      <c r="O115" s="29">
        <f>H115*'GS&lt;50 PW'!$B$10</f>
        <v>44.140215305658927</v>
      </c>
      <c r="P115" s="29">
        <f>I115*'GS&lt;50 PW'!$B$11</f>
        <v>0</v>
      </c>
      <c r="Q115" s="158">
        <f>'Monthly Data'!H115</f>
        <v>5489</v>
      </c>
      <c r="R115" s="29">
        <f>'Monthly Data'!BH115</f>
        <v>30</v>
      </c>
      <c r="S115" s="44">
        <f t="shared" si="11"/>
        <v>14613292.91910162</v>
      </c>
      <c r="T115" s="44">
        <f t="shared" si="12"/>
        <v>-191003.14697709121</v>
      </c>
      <c r="U115" s="48">
        <f t="shared" si="13"/>
        <v>1.2901872951240104E-2</v>
      </c>
    </row>
    <row r="116" spans="1:24" x14ac:dyDescent="0.2">
      <c r="A116" s="45">
        <f>'Monthly Data'!A116</f>
        <v>43647</v>
      </c>
      <c r="B116" s="29">
        <f t="shared" si="7"/>
        <v>2019</v>
      </c>
      <c r="C116" s="29">
        <f t="shared" si="8"/>
        <v>7</v>
      </c>
      <c r="D116" s="158">
        <f>'Monthly Data'!J116</f>
        <v>17319087.066078711</v>
      </c>
      <c r="E116" s="251">
        <f>'Monthly Data'!AL116</f>
        <v>0</v>
      </c>
      <c r="F116" s="251">
        <f>'Monthly Data'!AI116</f>
        <v>214.60000000000002</v>
      </c>
      <c r="G116" s="29">
        <f>'Monthly Data'!BG116</f>
        <v>115</v>
      </c>
      <c r="H116" s="63">
        <f>'Monthly Data'!X116</f>
        <v>3487.5</v>
      </c>
      <c r="I116" s="29">
        <f>'Monthly Data'!BF116</f>
        <v>0</v>
      </c>
      <c r="K116" s="29">
        <f>'GS&lt;50 PW'!$B$6</f>
        <v>50.759309292559799</v>
      </c>
      <c r="L116" s="29">
        <f>E116*'GS&lt;50 PW'!$B$7</f>
        <v>0</v>
      </c>
      <c r="M116" s="29">
        <f>F116*'GS&lt;50 PW'!$B$8</f>
        <v>16.909388314491363</v>
      </c>
      <c r="N116" s="29">
        <f>G116*'GS&lt;50 PW'!$B$9</f>
        <v>-11.081377565144878</v>
      </c>
      <c r="O116" s="29">
        <f>H116*'GS&lt;50 PW'!$B$10</f>
        <v>44.332162446286574</v>
      </c>
      <c r="P116" s="29">
        <f>I116*'GS&lt;50 PW'!$B$11</f>
        <v>0</v>
      </c>
      <c r="Q116" s="158">
        <f>'Monthly Data'!H116</f>
        <v>5495</v>
      </c>
      <c r="R116" s="29">
        <f>'Monthly Data'!BH116</f>
        <v>31</v>
      </c>
      <c r="S116" s="44">
        <f t="shared" si="11"/>
        <v>17191129.244451214</v>
      </c>
      <c r="T116" s="44">
        <f t="shared" si="12"/>
        <v>-127957.82162749767</v>
      </c>
      <c r="U116" s="48">
        <f t="shared" si="13"/>
        <v>7.3882544235323346E-3</v>
      </c>
    </row>
    <row r="117" spans="1:24" x14ac:dyDescent="0.2">
      <c r="A117" s="45">
        <f>'Monthly Data'!A117</f>
        <v>43678</v>
      </c>
      <c r="B117" s="29">
        <f t="shared" si="7"/>
        <v>2019</v>
      </c>
      <c r="C117" s="29">
        <f t="shared" si="8"/>
        <v>8</v>
      </c>
      <c r="D117" s="158">
        <f>'Monthly Data'!J117</f>
        <v>16585053.066078711</v>
      </c>
      <c r="E117" s="251">
        <f>'Monthly Data'!AL117</f>
        <v>0</v>
      </c>
      <c r="F117" s="251">
        <f>'Monthly Data'!AI117</f>
        <v>163.29999999999998</v>
      </c>
      <c r="G117" s="29">
        <f>'Monthly Data'!BG117</f>
        <v>116</v>
      </c>
      <c r="H117" s="63">
        <f>'Monthly Data'!X117</f>
        <v>3500.1</v>
      </c>
      <c r="I117" s="29">
        <f>'Monthly Data'!BF117</f>
        <v>0</v>
      </c>
      <c r="K117" s="29">
        <f>'GS&lt;50 PW'!$B$6</f>
        <v>50.759309292559799</v>
      </c>
      <c r="L117" s="29">
        <f>E117*'GS&lt;50 PW'!$B$7</f>
        <v>0</v>
      </c>
      <c r="M117" s="29">
        <f>F117*'GS&lt;50 PW'!$B$8</f>
        <v>12.867209281250879</v>
      </c>
      <c r="N117" s="29">
        <f>G117*'GS&lt;50 PW'!$B$9</f>
        <v>-11.177737370059182</v>
      </c>
      <c r="O117" s="29">
        <f>H117*'GS&lt;50 PW'!$B$10</f>
        <v>44.492330258995736</v>
      </c>
      <c r="P117" s="29">
        <f>I117*'GS&lt;50 PW'!$B$11</f>
        <v>0</v>
      </c>
      <c r="Q117" s="158">
        <f>'Monthly Data'!H117</f>
        <v>5492</v>
      </c>
      <c r="R117" s="29">
        <f>'Monthly Data'!BH117</f>
        <v>31</v>
      </c>
      <c r="S117" s="44">
        <f t="shared" si="11"/>
        <v>16504418.108755643</v>
      </c>
      <c r="T117" s="44">
        <f t="shared" si="12"/>
        <v>-80634.957323068753</v>
      </c>
      <c r="U117" s="48">
        <f t="shared" si="13"/>
        <v>4.8619052951956385E-3</v>
      </c>
    </row>
    <row r="118" spans="1:24" x14ac:dyDescent="0.2">
      <c r="A118" s="45">
        <f>'Monthly Data'!A118</f>
        <v>43709</v>
      </c>
      <c r="B118" s="29">
        <f t="shared" si="7"/>
        <v>2019</v>
      </c>
      <c r="C118" s="29">
        <f t="shared" si="8"/>
        <v>9</v>
      </c>
      <c r="D118" s="158">
        <f>'Monthly Data'!J118</f>
        <v>14725435.066078711</v>
      </c>
      <c r="E118" s="251">
        <f>'Monthly Data'!AL118</f>
        <v>0</v>
      </c>
      <c r="F118" s="251">
        <f>'Monthly Data'!AI118</f>
        <v>78.7</v>
      </c>
      <c r="G118" s="29">
        <f>'Monthly Data'!BG118</f>
        <v>117</v>
      </c>
      <c r="H118" s="63">
        <f>'Monthly Data'!X118</f>
        <v>3522.9</v>
      </c>
      <c r="I118" s="29">
        <f>'Monthly Data'!BF118</f>
        <v>1</v>
      </c>
      <c r="K118" s="29">
        <f>'GS&lt;50 PW'!$B$6</f>
        <v>50.759309292559799</v>
      </c>
      <c r="L118" s="29">
        <f>E118*'GS&lt;50 PW'!$B$7</f>
        <v>0</v>
      </c>
      <c r="M118" s="29">
        <f>F118*'GS&lt;50 PW'!$B$8</f>
        <v>6.2011596474858814</v>
      </c>
      <c r="N118" s="29">
        <f>G118*'GS&lt;50 PW'!$B$9</f>
        <v>-11.274097174973486</v>
      </c>
      <c r="O118" s="29">
        <f>H118*'GS&lt;50 PW'!$B$10</f>
        <v>44.782157729612322</v>
      </c>
      <c r="P118" s="29">
        <f>I118*'GS&lt;50 PW'!$B$11</f>
        <v>-1.9723066266223299</v>
      </c>
      <c r="Q118" s="158">
        <f>'Monthly Data'!H118</f>
        <v>5496</v>
      </c>
      <c r="R118" s="29">
        <f>'Monthly Data'!BH118</f>
        <v>30</v>
      </c>
      <c r="S118" s="44">
        <f t="shared" si="11"/>
        <v>14591257.226486094</v>
      </c>
      <c r="T118" s="44">
        <f t="shared" si="12"/>
        <v>-134177.83959261701</v>
      </c>
      <c r="U118" s="48">
        <f t="shared" si="13"/>
        <v>9.1119779477149051E-3</v>
      </c>
    </row>
    <row r="119" spans="1:24" x14ac:dyDescent="0.2">
      <c r="A119" s="45">
        <f>'Monthly Data'!A119</f>
        <v>43739</v>
      </c>
      <c r="B119" s="29">
        <f t="shared" si="7"/>
        <v>2019</v>
      </c>
      <c r="C119" s="29">
        <f t="shared" si="8"/>
        <v>10</v>
      </c>
      <c r="D119" s="158">
        <f>'Monthly Data'!J119</f>
        <v>14042656.066078711</v>
      </c>
      <c r="E119" s="251">
        <f>'Monthly Data'!AL119</f>
        <v>32</v>
      </c>
      <c r="F119" s="251">
        <f>'Monthly Data'!AI119</f>
        <v>8.3999999999999986</v>
      </c>
      <c r="G119" s="29">
        <f>'Monthly Data'!BG119</f>
        <v>118</v>
      </c>
      <c r="H119" s="63">
        <f>'Monthly Data'!X119</f>
        <v>3525.5</v>
      </c>
      <c r="I119" s="29">
        <f>'Monthly Data'!BF119</f>
        <v>1</v>
      </c>
      <c r="K119" s="29">
        <f>'GS&lt;50 PW'!$B$6</f>
        <v>50.759309292559799</v>
      </c>
      <c r="L119" s="29">
        <f>E119*'GS&lt;50 PW'!$B$7</f>
        <v>0.98270664768575677</v>
      </c>
      <c r="M119" s="29">
        <f>F119*'GS&lt;50 PW'!$B$8</f>
        <v>0.66187726860078011</v>
      </c>
      <c r="N119" s="29">
        <f>G119*'GS&lt;50 PW'!$B$9</f>
        <v>-11.370456979887788</v>
      </c>
      <c r="O119" s="29">
        <f>H119*'GS&lt;50 PW'!$B$10</f>
        <v>44.815208230647549</v>
      </c>
      <c r="P119" s="29">
        <f>I119*'GS&lt;50 PW'!$B$11</f>
        <v>-1.9723066266223299</v>
      </c>
      <c r="Q119" s="158">
        <f>'Monthly Data'!H119</f>
        <v>5495</v>
      </c>
      <c r="R119" s="29">
        <f>'Monthly Data'!BH119</f>
        <v>31</v>
      </c>
      <c r="S119" s="44">
        <f t="shared" si="11"/>
        <v>14287914.76815962</v>
      </c>
      <c r="T119" s="44">
        <f t="shared" si="12"/>
        <v>245258.70208090916</v>
      </c>
      <c r="U119" s="48">
        <f t="shared" si="13"/>
        <v>1.7465264471822638E-2</v>
      </c>
    </row>
    <row r="120" spans="1:24" x14ac:dyDescent="0.2">
      <c r="A120" s="45">
        <f>'Monthly Data'!A120</f>
        <v>43770</v>
      </c>
      <c r="B120" s="29">
        <f t="shared" si="7"/>
        <v>2019</v>
      </c>
      <c r="C120" s="29">
        <f t="shared" si="8"/>
        <v>11</v>
      </c>
      <c r="D120" s="158">
        <f>'Monthly Data'!J120</f>
        <v>14515114.066078711</v>
      </c>
      <c r="E120" s="251">
        <f>'Monthly Data'!AL120</f>
        <v>284</v>
      </c>
      <c r="F120" s="251">
        <f>'Monthly Data'!AI120</f>
        <v>0</v>
      </c>
      <c r="G120" s="29">
        <f>'Monthly Data'!BG120</f>
        <v>119</v>
      </c>
      <c r="H120" s="63">
        <f>'Monthly Data'!X120</f>
        <v>3531.7</v>
      </c>
      <c r="I120" s="29">
        <f>'Monthly Data'!BF120</f>
        <v>1</v>
      </c>
      <c r="K120" s="29">
        <f>'GS&lt;50 PW'!$B$6</f>
        <v>50.759309292559799</v>
      </c>
      <c r="L120" s="29">
        <f>E120*'GS&lt;50 PW'!$B$7</f>
        <v>8.7215214982110911</v>
      </c>
      <c r="M120" s="29">
        <f>F120*'GS&lt;50 PW'!$B$8</f>
        <v>0</v>
      </c>
      <c r="N120" s="29">
        <f>G120*'GS&lt;50 PW'!$B$9</f>
        <v>-11.466816784802091</v>
      </c>
      <c r="O120" s="29">
        <f>H120*'GS&lt;50 PW'!$B$10</f>
        <v>44.894020963885389</v>
      </c>
      <c r="P120" s="29">
        <f>I120*'GS&lt;50 PW'!$B$11</f>
        <v>-1.9723066266223299</v>
      </c>
      <c r="Q120" s="158">
        <f>'Monthly Data'!H120</f>
        <v>5456</v>
      </c>
      <c r="R120" s="29">
        <f>'Monthly Data'!BH120</f>
        <v>30</v>
      </c>
      <c r="S120" s="44">
        <f t="shared" si="11"/>
        <v>14884360.015220191</v>
      </c>
      <c r="T120" s="44">
        <f t="shared" si="12"/>
        <v>369245.94914148003</v>
      </c>
      <c r="U120" s="48">
        <f t="shared" si="13"/>
        <v>2.5438721835772154E-2</v>
      </c>
    </row>
    <row r="121" spans="1:24" x14ac:dyDescent="0.2">
      <c r="A121" s="45">
        <f>'Monthly Data'!A121</f>
        <v>43800</v>
      </c>
      <c r="B121" s="29">
        <f t="shared" si="7"/>
        <v>2019</v>
      </c>
      <c r="C121" s="29">
        <f t="shared" si="8"/>
        <v>12</v>
      </c>
      <c r="D121" s="158">
        <f>'Monthly Data'!J121</f>
        <v>15355560.066078711</v>
      </c>
      <c r="E121" s="251">
        <f>'Monthly Data'!AL121</f>
        <v>334.40000000000003</v>
      </c>
      <c r="F121" s="251">
        <f>'Monthly Data'!AI121</f>
        <v>0</v>
      </c>
      <c r="G121" s="29">
        <f>'Monthly Data'!BG121</f>
        <v>120</v>
      </c>
      <c r="H121" s="63">
        <f>'Monthly Data'!X121</f>
        <v>3532</v>
      </c>
      <c r="I121" s="29">
        <f>'Monthly Data'!BF121</f>
        <v>0</v>
      </c>
      <c r="K121" s="29">
        <f>'GS&lt;50 PW'!$B$6</f>
        <v>50.759309292559799</v>
      </c>
      <c r="L121" s="29">
        <f>E121*'GS&lt;50 PW'!$B$7</f>
        <v>10.26928446831616</v>
      </c>
      <c r="M121" s="29">
        <f>F121*'GS&lt;50 PW'!$B$8</f>
        <v>0</v>
      </c>
      <c r="N121" s="29">
        <f>G121*'GS&lt;50 PW'!$B$9</f>
        <v>-11.563176589716395</v>
      </c>
      <c r="O121" s="29">
        <f>H121*'GS&lt;50 PW'!$B$10</f>
        <v>44.897834483235606</v>
      </c>
      <c r="P121" s="29">
        <f>I121*'GS&lt;50 PW'!$B$11</f>
        <v>0</v>
      </c>
      <c r="Q121" s="158">
        <f>'Monthly Data'!H121</f>
        <v>5460</v>
      </c>
      <c r="R121" s="29">
        <f>'Monthly Data'!BH121</f>
        <v>31</v>
      </c>
      <c r="S121" s="44">
        <f t="shared" si="11"/>
        <v>15971923.975022925</v>
      </c>
      <c r="T121" s="44">
        <f t="shared" si="12"/>
        <v>616363.90894421376</v>
      </c>
      <c r="U121" s="48">
        <f t="shared" si="13"/>
        <v>4.013946129557306E-2</v>
      </c>
    </row>
    <row r="122" spans="1:24" x14ac:dyDescent="0.2">
      <c r="A122" s="45"/>
      <c r="U122" s="49">
        <f>AVERAGE(U2:U121)</f>
        <v>1.4099714412374268E-2</v>
      </c>
    </row>
    <row r="123" spans="1:24" x14ac:dyDescent="0.2">
      <c r="A123" s="45"/>
    </row>
    <row r="124" spans="1:24" x14ac:dyDescent="0.2">
      <c r="A124" s="45"/>
      <c r="W124" s="26"/>
      <c r="X124" s="48"/>
    </row>
    <row r="125" spans="1:24" x14ac:dyDescent="0.2">
      <c r="A125" s="45"/>
      <c r="W125" s="26"/>
      <c r="X125" s="48"/>
    </row>
    <row r="126" spans="1:24" x14ac:dyDescent="0.2">
      <c r="A126" s="45"/>
      <c r="W126" s="26"/>
      <c r="X126" s="48"/>
    </row>
    <row r="127" spans="1:24" x14ac:dyDescent="0.2">
      <c r="A127" s="45"/>
      <c r="W127" s="26"/>
      <c r="X127" s="48"/>
    </row>
    <row r="128" spans="1:24" x14ac:dyDescent="0.2">
      <c r="A128" s="45"/>
      <c r="W128" s="26"/>
      <c r="X128" s="48"/>
    </row>
    <row r="129" spans="1:28" x14ac:dyDescent="0.2">
      <c r="A129" s="45"/>
      <c r="W129" s="26"/>
      <c r="X129" s="48"/>
    </row>
    <row r="130" spans="1:28" x14ac:dyDescent="0.2">
      <c r="A130" s="45"/>
      <c r="W130" s="26"/>
      <c r="X130" s="48"/>
    </row>
    <row r="131" spans="1:28" x14ac:dyDescent="0.2">
      <c r="A131" s="45"/>
      <c r="W131" s="26"/>
      <c r="X131" s="48"/>
    </row>
    <row r="132" spans="1:28" x14ac:dyDescent="0.2">
      <c r="A132" s="45"/>
      <c r="W132" s="26"/>
      <c r="X132" s="48"/>
    </row>
    <row r="133" spans="1:28" x14ac:dyDescent="0.2">
      <c r="A133" s="45"/>
      <c r="W133" s="26"/>
      <c r="X133" s="48"/>
    </row>
    <row r="134" spans="1:28" x14ac:dyDescent="0.2">
      <c r="A134" s="45"/>
      <c r="W134" s="26"/>
      <c r="X134" s="48"/>
    </row>
    <row r="135" spans="1:28" x14ac:dyDescent="0.2">
      <c r="A135" s="45"/>
      <c r="W135" s="26"/>
      <c r="X135" s="48"/>
    </row>
    <row r="136" spans="1:28" x14ac:dyDescent="0.2">
      <c r="A136" s="45"/>
      <c r="X136" s="48"/>
    </row>
    <row r="137" spans="1:28" x14ac:dyDescent="0.2">
      <c r="A137" s="45"/>
      <c r="W137" s="26"/>
      <c r="X137" s="48"/>
    </row>
    <row r="138" spans="1:28" x14ac:dyDescent="0.2">
      <c r="A138" s="45"/>
      <c r="W138" s="26"/>
      <c r="X138" s="48"/>
      <c r="Z138" s="26"/>
      <c r="AA138" s="26"/>
      <c r="AB138" s="161"/>
    </row>
    <row r="139" spans="1:28" x14ac:dyDescent="0.2">
      <c r="A139" s="45"/>
      <c r="W139" s="26"/>
      <c r="X139" s="48"/>
      <c r="Z139" s="26"/>
      <c r="AA139" s="26"/>
      <c r="AB139" s="161"/>
    </row>
    <row r="140" spans="1:28" x14ac:dyDescent="0.2">
      <c r="A140" s="45"/>
      <c r="W140" s="26"/>
      <c r="X140" s="48"/>
      <c r="Z140" s="26"/>
      <c r="AA140" s="26"/>
      <c r="AB140" s="161"/>
    </row>
    <row r="141" spans="1:28" x14ac:dyDescent="0.2">
      <c r="A141" s="45"/>
      <c r="W141" s="26"/>
      <c r="X141" s="48"/>
      <c r="Z141" s="26"/>
      <c r="AA141" s="26"/>
      <c r="AB141" s="161"/>
    </row>
    <row r="142" spans="1:28" x14ac:dyDescent="0.2">
      <c r="A142" s="45"/>
      <c r="W142" s="26"/>
      <c r="X142" s="48"/>
      <c r="Z142" s="26"/>
      <c r="AA142" s="26"/>
      <c r="AB142" s="161"/>
    </row>
    <row r="143" spans="1:28" x14ac:dyDescent="0.2">
      <c r="A143" s="45"/>
      <c r="W143" s="26"/>
      <c r="X143" s="48"/>
      <c r="Z143" s="26"/>
      <c r="AA143" s="26"/>
      <c r="AB143" s="161"/>
    </row>
    <row r="144" spans="1:28" x14ac:dyDescent="0.2">
      <c r="A144" s="45"/>
      <c r="W144" s="26"/>
      <c r="X144" s="48"/>
      <c r="Z144" s="26"/>
      <c r="AA144" s="26"/>
      <c r="AB144" s="161"/>
    </row>
    <row r="145" spans="1:28" x14ac:dyDescent="0.2">
      <c r="A145" s="45"/>
      <c r="W145" s="26"/>
      <c r="X145" s="48"/>
      <c r="Z145" s="26"/>
      <c r="AA145" s="26"/>
      <c r="AB145" s="161"/>
    </row>
    <row r="146" spans="1:28" x14ac:dyDescent="0.2">
      <c r="A146" s="45"/>
      <c r="W146" s="26"/>
      <c r="X146" s="48"/>
      <c r="Z146" s="26"/>
      <c r="AA146" s="26"/>
      <c r="AB146" s="161"/>
    </row>
    <row r="147" spans="1:28" x14ac:dyDescent="0.2">
      <c r="A147" s="45"/>
      <c r="W147" s="26"/>
      <c r="X147" s="48"/>
      <c r="Z147" s="26"/>
      <c r="AA147" s="26"/>
      <c r="AB147" s="161"/>
    </row>
    <row r="148" spans="1:28" x14ac:dyDescent="0.2">
      <c r="A148" s="45"/>
      <c r="W148" s="26"/>
    </row>
    <row r="149" spans="1:28" x14ac:dyDescent="0.2">
      <c r="A149" s="45"/>
      <c r="AB149" s="162"/>
    </row>
    <row r="150" spans="1:28" x14ac:dyDescent="0.2">
      <c r="A150" s="45"/>
    </row>
    <row r="151" spans="1:28" x14ac:dyDescent="0.2">
      <c r="A151" s="45"/>
    </row>
    <row r="152" spans="1:28" x14ac:dyDescent="0.2">
      <c r="A152" s="45"/>
    </row>
    <row r="153" spans="1:28" x14ac:dyDescent="0.2">
      <c r="A153" s="45"/>
    </row>
    <row r="154" spans="1:28" x14ac:dyDescent="0.2">
      <c r="A154" s="45"/>
    </row>
    <row r="155" spans="1:28" x14ac:dyDescent="0.2">
      <c r="A155" s="45"/>
    </row>
    <row r="156" spans="1:28" x14ac:dyDescent="0.2">
      <c r="A156" s="45"/>
    </row>
    <row r="157" spans="1:28" x14ac:dyDescent="0.2">
      <c r="A157" s="45"/>
    </row>
    <row r="158" spans="1:28" x14ac:dyDescent="0.2">
      <c r="A158" s="45"/>
    </row>
    <row r="159" spans="1:28" x14ac:dyDescent="0.2">
      <c r="A159" s="45"/>
    </row>
    <row r="160" spans="1:28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/>
  <dimension ref="A1:E18"/>
  <sheetViews>
    <sheetView workbookViewId="0">
      <selection sqref="A1:E19"/>
    </sheetView>
  </sheetViews>
  <sheetFormatPr defaultRowHeight="12.75" x14ac:dyDescent="0.2"/>
  <cols>
    <col min="1" max="1" width="9.33203125" style="174"/>
    <col min="2" max="2" width="13.33203125" style="174" customWidth="1"/>
    <col min="3" max="3" width="9.6640625" style="174" bestFit="1" customWidth="1"/>
    <col min="4" max="5" width="9.5" style="174" bestFit="1" customWidth="1"/>
    <col min="6" max="16384" width="9.33203125" style="174"/>
  </cols>
  <sheetData>
    <row r="1" spans="1:5" x14ac:dyDescent="0.2">
      <c r="A1" s="174" t="s">
        <v>226</v>
      </c>
    </row>
    <row r="2" spans="1:5" x14ac:dyDescent="0.2">
      <c r="A2" s="174" t="s">
        <v>213</v>
      </c>
    </row>
    <row r="3" spans="1:5" x14ac:dyDescent="0.2">
      <c r="A3" s="174" t="s">
        <v>265</v>
      </c>
    </row>
    <row r="5" spans="1:5" x14ac:dyDescent="0.2">
      <c r="B5" s="174" t="s">
        <v>72</v>
      </c>
      <c r="C5" s="174" t="s">
        <v>73</v>
      </c>
      <c r="D5" s="174" t="s">
        <v>74</v>
      </c>
      <c r="E5" s="43" t="s">
        <v>75</v>
      </c>
    </row>
    <row r="6" spans="1:5" x14ac:dyDescent="0.2">
      <c r="A6" s="174" t="s">
        <v>76</v>
      </c>
      <c r="B6" s="239">
        <v>556.26088485683897</v>
      </c>
      <c r="C6" s="239">
        <v>512.35386161566396</v>
      </c>
      <c r="D6" s="239">
        <v>1.0856966767123</v>
      </c>
      <c r="E6" s="239">
        <v>0.27990370101657602</v>
      </c>
    </row>
    <row r="7" spans="1:5" x14ac:dyDescent="0.2">
      <c r="A7" s="174" t="s">
        <v>39</v>
      </c>
      <c r="B7" s="239">
        <v>0.45521016812920001</v>
      </c>
      <c r="C7" s="239">
        <v>3.2746542121373901E-2</v>
      </c>
      <c r="D7" s="239">
        <v>13.901014844314799</v>
      </c>
      <c r="E7" s="239">
        <v>2.6824575112725103E-26</v>
      </c>
    </row>
    <row r="8" spans="1:5" x14ac:dyDescent="0.2">
      <c r="A8" s="174" t="s">
        <v>40</v>
      </c>
      <c r="B8" s="239">
        <v>1.5479161933902901</v>
      </c>
      <c r="C8" s="239">
        <v>6.1470641585933801E-2</v>
      </c>
      <c r="D8" s="239">
        <v>25.1813899034446</v>
      </c>
      <c r="E8" s="239">
        <v>2.1655209773463001E-48</v>
      </c>
    </row>
    <row r="9" spans="1:5" x14ac:dyDescent="0.2">
      <c r="A9" s="174" t="s">
        <v>17</v>
      </c>
      <c r="B9" s="239">
        <v>2.9248199793858701E-3</v>
      </c>
      <c r="C9" s="239">
        <v>8.6151563189604502E-4</v>
      </c>
      <c r="D9" s="239">
        <v>3.3949702954882599</v>
      </c>
      <c r="E9" s="239">
        <v>9.4516185513341105E-4</v>
      </c>
    </row>
    <row r="10" spans="1:5" x14ac:dyDescent="0.2">
      <c r="A10" s="174" t="s">
        <v>69</v>
      </c>
      <c r="B10" s="239">
        <v>-3.5783154252662701</v>
      </c>
      <c r="C10" s="239">
        <v>1.08755698039722</v>
      </c>
      <c r="D10" s="239">
        <v>-3.2902325944883501</v>
      </c>
      <c r="E10" s="239">
        <v>1.3324015493289499E-3</v>
      </c>
    </row>
    <row r="11" spans="1:5" x14ac:dyDescent="0.2">
      <c r="A11" s="174" t="s">
        <v>65</v>
      </c>
      <c r="B11" s="239">
        <v>-107.242128303215</v>
      </c>
      <c r="C11" s="239">
        <v>16.060991992716499</v>
      </c>
      <c r="D11" s="239">
        <v>-6.6771796133045997</v>
      </c>
      <c r="E11" s="239">
        <v>9.2821463925426497E-10</v>
      </c>
    </row>
    <row r="13" spans="1:5" x14ac:dyDescent="0.2">
      <c r="A13" s="174" t="s">
        <v>199</v>
      </c>
      <c r="D13" s="43"/>
    </row>
    <row r="14" spans="1:5" x14ac:dyDescent="0.2">
      <c r="A14" s="174" t="s">
        <v>77</v>
      </c>
      <c r="B14" s="240">
        <v>2505.7457497673699</v>
      </c>
      <c r="C14" s="240" t="s">
        <v>78</v>
      </c>
      <c r="D14" s="240">
        <v>124.920401985138</v>
      </c>
    </row>
    <row r="15" spans="1:5" x14ac:dyDescent="0.2">
      <c r="A15" s="174" t="s">
        <v>79</v>
      </c>
      <c r="B15" s="240">
        <v>200994.890961945</v>
      </c>
      <c r="C15" s="240" t="s">
        <v>80</v>
      </c>
      <c r="D15" s="240">
        <v>41.989440084544498</v>
      </c>
    </row>
    <row r="16" spans="1:5" x14ac:dyDescent="0.2">
      <c r="A16" s="174" t="s">
        <v>81</v>
      </c>
      <c r="B16" s="240">
        <v>0.89179748529525305</v>
      </c>
      <c r="C16" s="240" t="s">
        <v>82</v>
      </c>
      <c r="D16" s="240">
        <v>0.88705176096609795</v>
      </c>
    </row>
    <row r="17" spans="1:4" x14ac:dyDescent="0.2">
      <c r="A17" s="174" t="s">
        <v>88</v>
      </c>
      <c r="B17" s="240">
        <v>179.654513540306</v>
      </c>
      <c r="C17" s="240" t="s">
        <v>83</v>
      </c>
      <c r="D17" s="240">
        <v>2.4519362843645098E-52</v>
      </c>
    </row>
    <row r="18" spans="1:4" x14ac:dyDescent="0.2">
      <c r="A18" s="174" t="s">
        <v>84</v>
      </c>
      <c r="B18" s="240">
        <v>-1.7424369313886899E-3</v>
      </c>
      <c r="C18" s="240" t="s">
        <v>85</v>
      </c>
      <c r="D18" s="240">
        <v>1.97554111198347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1:AB195"/>
  <sheetViews>
    <sheetView topLeftCell="D1" workbookViewId="0"/>
  </sheetViews>
  <sheetFormatPr defaultRowHeight="12.75" x14ac:dyDescent="0.2"/>
  <cols>
    <col min="1" max="1" width="10.5" style="29" bestFit="1" customWidth="1"/>
    <col min="2" max="3" width="9.33203125" style="29"/>
    <col min="4" max="4" width="20.1640625" style="29" bestFit="1" customWidth="1"/>
    <col min="5" max="10" width="9.33203125" style="29"/>
    <col min="11" max="11" width="11.83203125" style="29" bestFit="1" customWidth="1"/>
    <col min="12" max="13" width="9.33203125" style="29"/>
    <col min="14" max="14" width="11.1640625" style="29" bestFit="1" customWidth="1"/>
    <col min="15" max="16" width="15.5" style="29" customWidth="1"/>
    <col min="17" max="18" width="9.33203125" style="29"/>
    <col min="19" max="19" width="14.1640625" style="29" customWidth="1"/>
    <col min="20" max="20" width="13.83203125" style="29" customWidth="1"/>
    <col min="21" max="22" width="9.33203125" style="29"/>
    <col min="23" max="23" width="13.83203125" style="29" bestFit="1" customWidth="1"/>
    <col min="24" max="25" width="9.33203125" style="29"/>
    <col min="26" max="27" width="12.5" style="29" bestFit="1" customWidth="1"/>
    <col min="28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Data'!M1</f>
        <v>GS_gt_50_NoCDM</v>
      </c>
      <c r="E1" s="46" t="str">
        <f>'Monthly Data'!AJ1</f>
        <v>HDD14</v>
      </c>
      <c r="F1" s="46" t="str">
        <f>'Monthly Data'!AK1</f>
        <v>CDD14</v>
      </c>
      <c r="G1" s="46" t="str">
        <f>'Monthly Data'!V1</f>
        <v>GDP</v>
      </c>
      <c r="H1" s="44" t="str">
        <f>'Monthly Data'!BG1</f>
        <v>Trend</v>
      </c>
      <c r="I1" s="44" t="str">
        <f>'Monthly Data'!BC1</f>
        <v>Dec</v>
      </c>
      <c r="K1" s="29" t="s">
        <v>76</v>
      </c>
      <c r="L1" s="46" t="str">
        <f>E1</f>
        <v>HDD14</v>
      </c>
      <c r="M1" s="46" t="str">
        <f>F1</f>
        <v>CDD14</v>
      </c>
      <c r="N1" s="46" t="str">
        <f>G1</f>
        <v>GDP</v>
      </c>
      <c r="O1" s="46" t="str">
        <f>H1</f>
        <v>Trend</v>
      </c>
      <c r="P1" s="46" t="str">
        <f>I1</f>
        <v>Dec</v>
      </c>
      <c r="Q1" s="46" t="str">
        <f>'Monthly Data'!BH1</f>
        <v>Month Days</v>
      </c>
      <c r="R1" s="44" t="str">
        <f>'Monthly Data'!O1</f>
        <v>GS_gt_50_Customers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158">
        <f>'Monthly Data'!M2</f>
        <v>77865432</v>
      </c>
      <c r="E2" s="46">
        <f>'Monthly Data'!AJ2</f>
        <v>545.20000000000005</v>
      </c>
      <c r="F2" s="46">
        <f>'Monthly Data'!AK2</f>
        <v>0</v>
      </c>
      <c r="G2" s="46">
        <f>'Monthly Data'!V2</f>
        <v>609770.30000000005</v>
      </c>
      <c r="H2" s="44">
        <f>'Monthly Data'!BG2</f>
        <v>1</v>
      </c>
      <c r="I2" s="44">
        <f>'Monthly Data'!BC2</f>
        <v>0</v>
      </c>
      <c r="K2" s="29">
        <f>'GS&gt;50 PW'!$B$6</f>
        <v>556.26088485683897</v>
      </c>
      <c r="L2" s="29">
        <f>E2*'GS&gt;50 PW'!$B$7</f>
        <v>248.18058366403986</v>
      </c>
      <c r="M2" s="29">
        <f>F2*'GS&gt;50 PW'!$B$8</f>
        <v>0</v>
      </c>
      <c r="N2" s="29">
        <f>G2*'GS&gt;50 PW'!$B$9</f>
        <v>1783.4683562761159</v>
      </c>
      <c r="O2" s="44">
        <f>H2*'GS&gt;50 PW'!$B$10</f>
        <v>-3.5783154252662701</v>
      </c>
      <c r="P2" s="44">
        <f>I2*'GS&gt;50 PW'!$B$11</f>
        <v>0</v>
      </c>
      <c r="Q2" s="46">
        <f>'Monthly Data'!BH2</f>
        <v>31</v>
      </c>
      <c r="R2" s="44">
        <f>'Monthly Data'!O2</f>
        <v>979</v>
      </c>
      <c r="S2" s="44">
        <f>SUM(K2:P2)*Q2*R2</f>
        <v>78431876.977922589</v>
      </c>
      <c r="T2" s="44">
        <f t="shared" ref="T2:T33" si="2">S2-D2</f>
        <v>566444.97792258859</v>
      </c>
      <c r="U2" s="48">
        <f t="shared" ref="U2:U33" si="3">ABS(T2/D2)</f>
        <v>7.2746655784634781E-3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158">
        <f>'Monthly Data'!M3</f>
        <v>70892677</v>
      </c>
      <c r="E3" s="46">
        <f>'Monthly Data'!AJ3</f>
        <v>448.6</v>
      </c>
      <c r="F3" s="46">
        <f>'Monthly Data'!AK3</f>
        <v>0</v>
      </c>
      <c r="G3" s="46">
        <f>'Monthly Data'!V3</f>
        <v>609770.30000000005</v>
      </c>
      <c r="H3" s="44">
        <f>'Monthly Data'!BG3</f>
        <v>2</v>
      </c>
      <c r="I3" s="44">
        <f>'Monthly Data'!BC3</f>
        <v>0</v>
      </c>
      <c r="K3" s="29">
        <f>'GS&gt;50 PW'!$B$6</f>
        <v>556.26088485683897</v>
      </c>
      <c r="L3" s="29">
        <f>E3*'GS&gt;50 PW'!$B$7</f>
        <v>204.20728142275914</v>
      </c>
      <c r="M3" s="29">
        <f>F3*'GS&gt;50 PW'!$B$8</f>
        <v>0</v>
      </c>
      <c r="N3" s="29">
        <f>G3*'GS&gt;50 PW'!$B$9</f>
        <v>1783.4683562761159</v>
      </c>
      <c r="O3" s="44">
        <f>H3*'GS&gt;50 PW'!$B$10</f>
        <v>-7.1566308505325402</v>
      </c>
      <c r="P3" s="44">
        <f>I3*'GS&gt;50 PW'!$B$11</f>
        <v>0</v>
      </c>
      <c r="Q3" s="46">
        <f>'Monthly Data'!BH3</f>
        <v>28</v>
      </c>
      <c r="R3" s="44">
        <f>'Monthly Data'!O3</f>
        <v>978</v>
      </c>
      <c r="S3" s="44">
        <f t="shared" ref="S3:S66" si="4">SUM(K3:P3)*Q3*R3</f>
        <v>69467180.554454684</v>
      </c>
      <c r="T3" s="44">
        <f t="shared" si="2"/>
        <v>-1425496.4455453157</v>
      </c>
      <c r="U3" s="48">
        <f t="shared" si="3"/>
        <v>2.0107809520937062E-2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158">
        <f>'Monthly Data'!M4</f>
        <v>76083324</v>
      </c>
      <c r="E4" s="46">
        <f>'Monthly Data'!AJ4</f>
        <v>294.40000000000003</v>
      </c>
      <c r="F4" s="46">
        <f>'Monthly Data'!AK4</f>
        <v>0</v>
      </c>
      <c r="G4" s="46">
        <f>'Monthly Data'!V4</f>
        <v>609770.30000000005</v>
      </c>
      <c r="H4" s="44">
        <f>'Monthly Data'!BG4</f>
        <v>3</v>
      </c>
      <c r="I4" s="44">
        <f>'Monthly Data'!BC4</f>
        <v>0</v>
      </c>
      <c r="K4" s="29">
        <f>'GS&gt;50 PW'!$B$6</f>
        <v>556.26088485683897</v>
      </c>
      <c r="L4" s="29">
        <f>E4*'GS&gt;50 PW'!$B$7</f>
        <v>134.01387349723649</v>
      </c>
      <c r="M4" s="29">
        <f>F4*'GS&gt;50 PW'!$B$8</f>
        <v>0</v>
      </c>
      <c r="N4" s="29">
        <f>G4*'GS&gt;50 PW'!$B$9</f>
        <v>1783.4683562761159</v>
      </c>
      <c r="O4" s="44">
        <f>H4*'GS&gt;50 PW'!$B$10</f>
        <v>-10.73494627579881</v>
      </c>
      <c r="P4" s="44">
        <f>I4*'GS&gt;50 PW'!$B$11</f>
        <v>0</v>
      </c>
      <c r="Q4" s="46">
        <f>'Monthly Data'!BH4</f>
        <v>31</v>
      </c>
      <c r="R4" s="44">
        <f>'Monthly Data'!O4</f>
        <v>983</v>
      </c>
      <c r="S4" s="44">
        <f t="shared" si="4"/>
        <v>75055247.914263397</v>
      </c>
      <c r="T4" s="44">
        <f t="shared" si="2"/>
        <v>-1028076.0857366025</v>
      </c>
      <c r="U4" s="48">
        <f t="shared" si="3"/>
        <v>1.3512502236844996E-2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158">
        <f>'Monthly Data'!M5</f>
        <v>70016664</v>
      </c>
      <c r="E5" s="46">
        <f>'Monthly Data'!AJ5</f>
        <v>130.30000000000001</v>
      </c>
      <c r="F5" s="46">
        <f>'Monthly Data'!AK5</f>
        <v>1.4000000000000004</v>
      </c>
      <c r="G5" s="46">
        <f>'Monthly Data'!V5</f>
        <v>609770.30000000005</v>
      </c>
      <c r="H5" s="44">
        <f>'Monthly Data'!BG5</f>
        <v>4</v>
      </c>
      <c r="I5" s="44">
        <f>'Monthly Data'!BC5</f>
        <v>0</v>
      </c>
      <c r="K5" s="29">
        <f>'GS&gt;50 PW'!$B$6</f>
        <v>556.26088485683897</v>
      </c>
      <c r="L5" s="29">
        <f>E5*'GS&gt;50 PW'!$B$7</f>
        <v>59.313884907234765</v>
      </c>
      <c r="M5" s="29">
        <f>F5*'GS&gt;50 PW'!$B$8</f>
        <v>2.1670826707464066</v>
      </c>
      <c r="N5" s="29">
        <f>G5*'GS&gt;50 PW'!$B$9</f>
        <v>1783.4683562761159</v>
      </c>
      <c r="O5" s="44">
        <f>H5*'GS&gt;50 PW'!$B$10</f>
        <v>-14.31326170106508</v>
      </c>
      <c r="P5" s="44">
        <f>I5*'GS&gt;50 PW'!$B$11</f>
        <v>0</v>
      </c>
      <c r="Q5" s="46">
        <f>'Monthly Data'!BH5</f>
        <v>30</v>
      </c>
      <c r="R5" s="44">
        <f>'Monthly Data'!O5</f>
        <v>994</v>
      </c>
      <c r="S5" s="44">
        <f t="shared" si="4"/>
        <v>71177266.959834352</v>
      </c>
      <c r="T5" s="44">
        <f t="shared" si="2"/>
        <v>1160602.9598343521</v>
      </c>
      <c r="U5" s="48">
        <f t="shared" si="3"/>
        <v>1.6576096225240783E-2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158">
        <f>'Monthly Data'!M6</f>
        <v>75214102</v>
      </c>
      <c r="E6" s="46">
        <f>'Monthly Data'!AJ6</f>
        <v>59.900000000000006</v>
      </c>
      <c r="F6" s="46">
        <f>'Monthly Data'!AK6</f>
        <v>76.900000000000006</v>
      </c>
      <c r="G6" s="46">
        <f>'Monthly Data'!V6</f>
        <v>609770.30000000005</v>
      </c>
      <c r="H6" s="44">
        <f>'Monthly Data'!BG6</f>
        <v>5</v>
      </c>
      <c r="I6" s="44">
        <f>'Monthly Data'!BC6</f>
        <v>0</v>
      </c>
      <c r="K6" s="29">
        <f>'GS&gt;50 PW'!$B$6</f>
        <v>556.26088485683897</v>
      </c>
      <c r="L6" s="29">
        <f>E6*'GS&gt;50 PW'!$B$7</f>
        <v>27.267089070939083</v>
      </c>
      <c r="M6" s="29">
        <f>F6*'GS&gt;50 PW'!$B$8</f>
        <v>119.03475527171331</v>
      </c>
      <c r="N6" s="29">
        <f>G6*'GS&gt;50 PW'!$B$9</f>
        <v>1783.4683562761159</v>
      </c>
      <c r="O6" s="44">
        <f>H6*'GS&gt;50 PW'!$B$10</f>
        <v>-17.891577126331349</v>
      </c>
      <c r="P6" s="44">
        <f>I6*'GS&gt;50 PW'!$B$11</f>
        <v>0</v>
      </c>
      <c r="Q6" s="46">
        <f>'Monthly Data'!BH6</f>
        <v>31</v>
      </c>
      <c r="R6" s="44">
        <f>'Monthly Data'!O6</f>
        <v>996</v>
      </c>
      <c r="S6" s="44">
        <f t="shared" si="4"/>
        <v>76206275.459792227</v>
      </c>
      <c r="T6" s="44">
        <f t="shared" si="2"/>
        <v>992173.45979222655</v>
      </c>
      <c r="U6" s="48">
        <f t="shared" si="3"/>
        <v>1.3191322284114041E-2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158">
        <f>'Monthly Data'!M7</f>
        <v>78113215</v>
      </c>
      <c r="E7" s="46">
        <f>'Monthly Data'!AJ7</f>
        <v>0</v>
      </c>
      <c r="F7" s="46">
        <f>'Monthly Data'!AK7</f>
        <v>161.1</v>
      </c>
      <c r="G7" s="46">
        <f>'Monthly Data'!V7</f>
        <v>609770.30000000005</v>
      </c>
      <c r="H7" s="44">
        <f>'Monthly Data'!BG7</f>
        <v>6</v>
      </c>
      <c r="I7" s="44">
        <f>'Monthly Data'!BC7</f>
        <v>0</v>
      </c>
      <c r="K7" s="29">
        <f>'GS&gt;50 PW'!$B$6</f>
        <v>556.26088485683897</v>
      </c>
      <c r="L7" s="29">
        <f>E7*'GS&gt;50 PW'!$B$7</f>
        <v>0</v>
      </c>
      <c r="M7" s="29">
        <f>F7*'GS&gt;50 PW'!$B$8</f>
        <v>249.36929875517572</v>
      </c>
      <c r="N7" s="29">
        <f>G7*'GS&gt;50 PW'!$B$9</f>
        <v>1783.4683562761159</v>
      </c>
      <c r="O7" s="44">
        <f>H7*'GS&gt;50 PW'!$B$10</f>
        <v>-21.469892551597621</v>
      </c>
      <c r="P7" s="44">
        <f>I7*'GS&gt;50 PW'!$B$11</f>
        <v>0</v>
      </c>
      <c r="Q7" s="46">
        <f>'Monthly Data'!BH7</f>
        <v>30</v>
      </c>
      <c r="R7" s="44">
        <f>'Monthly Data'!O7</f>
        <v>997</v>
      </c>
      <c r="S7" s="44">
        <f t="shared" si="4"/>
        <v>76797772.841835693</v>
      </c>
      <c r="T7" s="44">
        <f t="shared" si="2"/>
        <v>-1315442.1581643075</v>
      </c>
      <c r="U7" s="48">
        <f t="shared" si="3"/>
        <v>1.6840199934982928E-2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158">
        <f>'Monthly Data'!M8</f>
        <v>83811408</v>
      </c>
      <c r="E8" s="46">
        <f>'Monthly Data'!AJ8</f>
        <v>0</v>
      </c>
      <c r="F8" s="46">
        <f>'Monthly Data'!AK8</f>
        <v>291.7999999999999</v>
      </c>
      <c r="G8" s="46">
        <f>'Monthly Data'!V8</f>
        <v>609770.30000000005</v>
      </c>
      <c r="H8" s="44">
        <f>'Monthly Data'!BG8</f>
        <v>7</v>
      </c>
      <c r="I8" s="44">
        <f>'Monthly Data'!BC8</f>
        <v>0</v>
      </c>
      <c r="K8" s="29">
        <f>'GS&gt;50 PW'!$B$6</f>
        <v>556.26088485683897</v>
      </c>
      <c r="L8" s="29">
        <f>E8*'GS&gt;50 PW'!$B$7</f>
        <v>0</v>
      </c>
      <c r="M8" s="29">
        <f>F8*'GS&gt;50 PW'!$B$8</f>
        <v>451.68194523128648</v>
      </c>
      <c r="N8" s="29">
        <f>G8*'GS&gt;50 PW'!$B$9</f>
        <v>1783.4683562761159</v>
      </c>
      <c r="O8" s="44">
        <f>H8*'GS&gt;50 PW'!$B$10</f>
        <v>-25.048207976863893</v>
      </c>
      <c r="P8" s="44">
        <f>I8*'GS&gt;50 PW'!$B$11</f>
        <v>0</v>
      </c>
      <c r="Q8" s="46">
        <f>'Monthly Data'!BH8</f>
        <v>31</v>
      </c>
      <c r="R8" s="44">
        <f>'Monthly Data'!O8</f>
        <v>995</v>
      </c>
      <c r="S8" s="44">
        <f t="shared" si="4"/>
        <v>85328466.068358645</v>
      </c>
      <c r="T8" s="44">
        <f t="shared" si="2"/>
        <v>1517058.0683586448</v>
      </c>
      <c r="U8" s="48">
        <f t="shared" si="3"/>
        <v>1.8100854102804775E-2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158">
        <f>'Monthly Data'!M9</f>
        <v>83014987</v>
      </c>
      <c r="E9" s="46">
        <f>'Monthly Data'!AJ9</f>
        <v>0</v>
      </c>
      <c r="F9" s="46">
        <f>'Monthly Data'!AK9</f>
        <v>269.7</v>
      </c>
      <c r="G9" s="46">
        <f>'Monthly Data'!V9</f>
        <v>609770.30000000005</v>
      </c>
      <c r="H9" s="44">
        <f>'Monthly Data'!BG9</f>
        <v>8</v>
      </c>
      <c r="I9" s="44">
        <f>'Monthly Data'!BC9</f>
        <v>0</v>
      </c>
      <c r="K9" s="29">
        <f>'GS&gt;50 PW'!$B$6</f>
        <v>556.26088485683897</v>
      </c>
      <c r="L9" s="29">
        <f>E9*'GS&gt;50 PW'!$B$7</f>
        <v>0</v>
      </c>
      <c r="M9" s="29">
        <f>F9*'GS&gt;50 PW'!$B$8</f>
        <v>417.47299735736124</v>
      </c>
      <c r="N9" s="29">
        <f>G9*'GS&gt;50 PW'!$B$9</f>
        <v>1783.4683562761159</v>
      </c>
      <c r="O9" s="44">
        <f>H9*'GS&gt;50 PW'!$B$10</f>
        <v>-28.626523402130161</v>
      </c>
      <c r="P9" s="44">
        <f>I9*'GS&gt;50 PW'!$B$11</f>
        <v>0</v>
      </c>
      <c r="Q9" s="46">
        <f>'Monthly Data'!BH9</f>
        <v>31</v>
      </c>
      <c r="R9" s="44">
        <f>'Monthly Data'!O9</f>
        <v>998</v>
      </c>
      <c r="S9" s="44">
        <f t="shared" si="4"/>
        <v>84416675.473398298</v>
      </c>
      <c r="T9" s="44">
        <f t="shared" si="2"/>
        <v>1401688.473398298</v>
      </c>
      <c r="U9" s="48">
        <f t="shared" si="3"/>
        <v>1.6884764113717178E-2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158">
        <f>'Monthly Data'!M10</f>
        <v>73574953</v>
      </c>
      <c r="E10" s="46">
        <f>'Monthly Data'!AJ10</f>
        <v>5.7999999999999989</v>
      </c>
      <c r="F10" s="46">
        <f>'Monthly Data'!AK10</f>
        <v>94.4</v>
      </c>
      <c r="G10" s="46">
        <f>'Monthly Data'!V10</f>
        <v>609770.30000000005</v>
      </c>
      <c r="H10" s="44">
        <f>'Monthly Data'!BG10</f>
        <v>9</v>
      </c>
      <c r="I10" s="44">
        <f>'Monthly Data'!BC10</f>
        <v>0</v>
      </c>
      <c r="K10" s="29">
        <f>'GS&gt;50 PW'!$B$6</f>
        <v>556.26088485683897</v>
      </c>
      <c r="L10" s="29">
        <f>E10*'GS&gt;50 PW'!$B$7</f>
        <v>2.6402189751493594</v>
      </c>
      <c r="M10" s="29">
        <f>F10*'GS&gt;50 PW'!$B$8</f>
        <v>146.1232886560434</v>
      </c>
      <c r="N10" s="29">
        <f>G10*'GS&gt;50 PW'!$B$9</f>
        <v>1783.4683562761159</v>
      </c>
      <c r="O10" s="44">
        <f>H10*'GS&gt;50 PW'!$B$10</f>
        <v>-32.204838827396429</v>
      </c>
      <c r="P10" s="44">
        <f>I10*'GS&gt;50 PW'!$B$11</f>
        <v>0</v>
      </c>
      <c r="Q10" s="46">
        <f>'Monthly Data'!BH10</f>
        <v>30</v>
      </c>
      <c r="R10" s="44">
        <f>'Monthly Data'!O10</f>
        <v>1000</v>
      </c>
      <c r="S10" s="44">
        <f t="shared" si="4"/>
        <v>73688637.298102528</v>
      </c>
      <c r="T10" s="44">
        <f t="shared" si="2"/>
        <v>113684.29810252786</v>
      </c>
      <c r="U10" s="48">
        <f t="shared" si="3"/>
        <v>1.5451494491954057E-3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158">
        <f>'Monthly Data'!M11</f>
        <v>71065323</v>
      </c>
      <c r="E11" s="46">
        <f>'Monthly Data'!AJ11</f>
        <v>89.199999999999989</v>
      </c>
      <c r="F11" s="46">
        <f>'Monthly Data'!AK11</f>
        <v>13.500000000000002</v>
      </c>
      <c r="G11" s="46">
        <f>'Monthly Data'!V11</f>
        <v>609770.30000000005</v>
      </c>
      <c r="H11" s="44">
        <f>'Monthly Data'!BG11</f>
        <v>10</v>
      </c>
      <c r="I11" s="44">
        <f>'Monthly Data'!BC11</f>
        <v>0</v>
      </c>
      <c r="K11" s="29">
        <f>'GS&gt;50 PW'!$B$6</f>
        <v>556.26088485683897</v>
      </c>
      <c r="L11" s="29">
        <f>E11*'GS&gt;50 PW'!$B$7</f>
        <v>40.604746997124636</v>
      </c>
      <c r="M11" s="29">
        <f>F11*'GS&gt;50 PW'!$B$8</f>
        <v>20.896868610768919</v>
      </c>
      <c r="N11" s="29">
        <f>G11*'GS&gt;50 PW'!$B$9</f>
        <v>1783.4683562761159</v>
      </c>
      <c r="O11" s="44">
        <f>H11*'GS&gt;50 PW'!$B$10</f>
        <v>-35.783154252662698</v>
      </c>
      <c r="P11" s="44">
        <f>I11*'GS&gt;50 PW'!$B$11</f>
        <v>0</v>
      </c>
      <c r="Q11" s="46">
        <f>'Monthly Data'!BH11</f>
        <v>31</v>
      </c>
      <c r="R11" s="44">
        <f>'Monthly Data'!O11</f>
        <v>1006</v>
      </c>
      <c r="S11" s="44">
        <f t="shared" si="4"/>
        <v>73768852.049796537</v>
      </c>
      <c r="T11" s="44">
        <f t="shared" si="2"/>
        <v>2703529.0497965366</v>
      </c>
      <c r="U11" s="48">
        <f t="shared" si="3"/>
        <v>3.8042872890291887E-2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158">
        <f>'Monthly Data'!M12</f>
        <v>71655511</v>
      </c>
      <c r="E12" s="46">
        <f>'Monthly Data'!AJ12</f>
        <v>262.10000000000002</v>
      </c>
      <c r="F12" s="46">
        <f>'Monthly Data'!AK12</f>
        <v>0</v>
      </c>
      <c r="G12" s="46">
        <f>'Monthly Data'!V12</f>
        <v>609770.30000000005</v>
      </c>
      <c r="H12" s="44">
        <f>'Monthly Data'!BG12</f>
        <v>11</v>
      </c>
      <c r="I12" s="44">
        <f>'Monthly Data'!BC12</f>
        <v>0</v>
      </c>
      <c r="K12" s="29">
        <f>'GS&gt;50 PW'!$B$6</f>
        <v>556.26088485683897</v>
      </c>
      <c r="L12" s="29">
        <f>E12*'GS&gt;50 PW'!$B$7</f>
        <v>119.31058506666334</v>
      </c>
      <c r="M12" s="29">
        <f>F12*'GS&gt;50 PW'!$B$8</f>
        <v>0</v>
      </c>
      <c r="N12" s="29">
        <f>G12*'GS&gt;50 PW'!$B$9</f>
        <v>1783.4683562761159</v>
      </c>
      <c r="O12" s="44">
        <f>H12*'GS&gt;50 PW'!$B$10</f>
        <v>-39.361469677928973</v>
      </c>
      <c r="P12" s="44">
        <f>I12*'GS&gt;50 PW'!$B$11</f>
        <v>0</v>
      </c>
      <c r="Q12" s="46">
        <f>'Monthly Data'!BH12</f>
        <v>30</v>
      </c>
      <c r="R12" s="44">
        <f>'Monthly Data'!O12</f>
        <v>1007</v>
      </c>
      <c r="S12" s="44">
        <f t="shared" si="4"/>
        <v>73098483.15052022</v>
      </c>
      <c r="T12" s="44">
        <f t="shared" si="2"/>
        <v>1442972.1505202204</v>
      </c>
      <c r="U12" s="48">
        <f t="shared" si="3"/>
        <v>2.0137629756352173E-2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158">
        <f>'Monthly Data'!M13</f>
        <v>74889412</v>
      </c>
      <c r="E13" s="46">
        <f>'Monthly Data'!AJ13</f>
        <v>509.6</v>
      </c>
      <c r="F13" s="46">
        <f>'Monthly Data'!AK13</f>
        <v>0</v>
      </c>
      <c r="G13" s="46">
        <f>'Monthly Data'!V13</f>
        <v>609770.30000000005</v>
      </c>
      <c r="H13" s="44">
        <f>'Monthly Data'!BG13</f>
        <v>12</v>
      </c>
      <c r="I13" s="44">
        <f>'Monthly Data'!BC13</f>
        <v>1</v>
      </c>
      <c r="K13" s="29">
        <f>'GS&gt;50 PW'!$B$6</f>
        <v>556.26088485683897</v>
      </c>
      <c r="L13" s="29">
        <f>E13*'GS&gt;50 PW'!$B$7</f>
        <v>231.97510167864033</v>
      </c>
      <c r="M13" s="29">
        <f>F13*'GS&gt;50 PW'!$B$8</f>
        <v>0</v>
      </c>
      <c r="N13" s="29">
        <f>G13*'GS&gt;50 PW'!$B$9</f>
        <v>1783.4683562761159</v>
      </c>
      <c r="O13" s="44">
        <f>H13*'GS&gt;50 PW'!$B$10</f>
        <v>-42.939785103195241</v>
      </c>
      <c r="P13" s="44">
        <f>I13*'GS&gt;50 PW'!$B$11</f>
        <v>-107.242128303215</v>
      </c>
      <c r="Q13" s="46">
        <f>'Monthly Data'!BH13</f>
        <v>31</v>
      </c>
      <c r="R13" s="44">
        <f>'Monthly Data'!O13</f>
        <v>1013</v>
      </c>
      <c r="S13" s="44">
        <f t="shared" si="4"/>
        <v>76043068.850611001</v>
      </c>
      <c r="T13" s="44">
        <f t="shared" si="2"/>
        <v>1153656.8506110013</v>
      </c>
      <c r="U13" s="48">
        <f t="shared" si="3"/>
        <v>1.5404805830375611E-2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158">
        <f>'Monthly Data'!M14</f>
        <v>79499206.092769086</v>
      </c>
      <c r="E14" s="46">
        <f>'Monthly Data'!AJ14</f>
        <v>602.69999999999993</v>
      </c>
      <c r="F14" s="46">
        <f>'Monthly Data'!AK14</f>
        <v>0</v>
      </c>
      <c r="G14" s="46">
        <f>'Monthly Data'!V14</f>
        <v>625936.9</v>
      </c>
      <c r="H14" s="44">
        <f>'Monthly Data'!BG14</f>
        <v>13</v>
      </c>
      <c r="I14" s="44">
        <f>'Monthly Data'!BC14</f>
        <v>0</v>
      </c>
      <c r="K14" s="29">
        <f>'GS&gt;50 PW'!$B$6</f>
        <v>556.26088485683897</v>
      </c>
      <c r="L14" s="29">
        <f>E14*'GS&gt;50 PW'!$B$7</f>
        <v>274.3551683314688</v>
      </c>
      <c r="M14" s="29">
        <f>F14*'GS&gt;50 PW'!$B$8</f>
        <v>0</v>
      </c>
      <c r="N14" s="29">
        <f>G14*'GS&gt;50 PW'!$B$9</f>
        <v>1830.7527509548554</v>
      </c>
      <c r="O14" s="44">
        <f>H14*'GS&gt;50 PW'!$B$10</f>
        <v>-46.51810052846151</v>
      </c>
      <c r="P14" s="44">
        <f>I14*'GS&gt;50 PW'!$B$11</f>
        <v>0</v>
      </c>
      <c r="Q14" s="46">
        <f>'Monthly Data'!BH14</f>
        <v>31</v>
      </c>
      <c r="R14" s="44">
        <f>'Monthly Data'!O14</f>
        <v>1021</v>
      </c>
      <c r="S14" s="44">
        <f t="shared" si="4"/>
        <v>82762639.620108917</v>
      </c>
      <c r="T14" s="44">
        <f t="shared" si="2"/>
        <v>3263433.527339831</v>
      </c>
      <c r="U14" s="48">
        <f t="shared" si="3"/>
        <v>4.1049888265949103E-2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158">
        <f>'Monthly Data'!M15</f>
        <v>71789116.092769086</v>
      </c>
      <c r="E15" s="46">
        <f>'Monthly Data'!AJ15</f>
        <v>493.20000000000005</v>
      </c>
      <c r="F15" s="46">
        <f>'Monthly Data'!AK15</f>
        <v>0</v>
      </c>
      <c r="G15" s="46">
        <f>'Monthly Data'!V15</f>
        <v>625936.9</v>
      </c>
      <c r="H15" s="44">
        <f>'Monthly Data'!BG15</f>
        <v>14</v>
      </c>
      <c r="I15" s="44">
        <f>'Monthly Data'!BC15</f>
        <v>0</v>
      </c>
      <c r="K15" s="29">
        <f>'GS&gt;50 PW'!$B$6</f>
        <v>556.26088485683897</v>
      </c>
      <c r="L15" s="29">
        <f>E15*'GS&gt;50 PW'!$B$7</f>
        <v>224.50965492132147</v>
      </c>
      <c r="M15" s="29">
        <f>F15*'GS&gt;50 PW'!$B$8</f>
        <v>0</v>
      </c>
      <c r="N15" s="29">
        <f>G15*'GS&gt;50 PW'!$B$9</f>
        <v>1830.7527509548554</v>
      </c>
      <c r="O15" s="44">
        <f>H15*'GS&gt;50 PW'!$B$10</f>
        <v>-50.096415953727785</v>
      </c>
      <c r="P15" s="44">
        <f>I15*'GS&gt;50 PW'!$B$11</f>
        <v>0</v>
      </c>
      <c r="Q15" s="46">
        <f>'Monthly Data'!BH15</f>
        <v>28</v>
      </c>
      <c r="R15" s="44">
        <f>'Monthly Data'!O15</f>
        <v>977</v>
      </c>
      <c r="S15" s="44">
        <f t="shared" si="4"/>
        <v>70070393.5864622</v>
      </c>
      <c r="T15" s="44">
        <f t="shared" si="2"/>
        <v>-1718722.5063068867</v>
      </c>
      <c r="U15" s="48">
        <f t="shared" si="3"/>
        <v>2.3941268535551782E-2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158">
        <f>'Monthly Data'!M16</f>
        <v>79353259.092769086</v>
      </c>
      <c r="E16" s="46">
        <f>'Monthly Data'!AJ16</f>
        <v>421.50000000000006</v>
      </c>
      <c r="F16" s="46">
        <f>'Monthly Data'!AK16</f>
        <v>0</v>
      </c>
      <c r="G16" s="46">
        <f>'Monthly Data'!V16</f>
        <v>625936.9</v>
      </c>
      <c r="H16" s="44">
        <f>'Monthly Data'!BG16</f>
        <v>15</v>
      </c>
      <c r="I16" s="44">
        <f>'Monthly Data'!BC16</f>
        <v>0</v>
      </c>
      <c r="K16" s="29">
        <f>'GS&gt;50 PW'!$B$6</f>
        <v>556.26088485683897</v>
      </c>
      <c r="L16" s="29">
        <f>E16*'GS&gt;50 PW'!$B$7</f>
        <v>191.87108586645783</v>
      </c>
      <c r="M16" s="29">
        <f>F16*'GS&gt;50 PW'!$B$8</f>
        <v>0</v>
      </c>
      <c r="N16" s="29">
        <f>G16*'GS&gt;50 PW'!$B$9</f>
        <v>1830.7527509548554</v>
      </c>
      <c r="O16" s="44">
        <f>H16*'GS&gt;50 PW'!$B$10</f>
        <v>-53.674731378994053</v>
      </c>
      <c r="P16" s="44">
        <f>I16*'GS&gt;50 PW'!$B$11</f>
        <v>0</v>
      </c>
      <c r="Q16" s="46">
        <f>'Monthly Data'!BH16</f>
        <v>31</v>
      </c>
      <c r="R16" s="44">
        <f>'Monthly Data'!O16</f>
        <v>979</v>
      </c>
      <c r="S16" s="44">
        <f t="shared" si="4"/>
        <v>76637597.995589152</v>
      </c>
      <c r="T16" s="44">
        <f t="shared" si="2"/>
        <v>-2715661.0971799344</v>
      </c>
      <c r="U16" s="48">
        <f t="shared" si="3"/>
        <v>3.4222426756349747E-2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158">
        <f>'Monthly Data'!M17</f>
        <v>71579772.092769086</v>
      </c>
      <c r="E17" s="46">
        <f>'Monthly Data'!AJ17</f>
        <v>235.69999999999996</v>
      </c>
      <c r="F17" s="46">
        <f>'Monthly Data'!AK17</f>
        <v>0</v>
      </c>
      <c r="G17" s="46">
        <f>'Monthly Data'!V17</f>
        <v>625936.9</v>
      </c>
      <c r="H17" s="44">
        <f>'Monthly Data'!BG17</f>
        <v>16</v>
      </c>
      <c r="I17" s="44">
        <f>'Monthly Data'!BC17</f>
        <v>0</v>
      </c>
      <c r="K17" s="29">
        <f>'GS&gt;50 PW'!$B$6</f>
        <v>556.26088485683897</v>
      </c>
      <c r="L17" s="29">
        <f>E17*'GS&gt;50 PW'!$B$7</f>
        <v>107.29303662805242</v>
      </c>
      <c r="M17" s="29">
        <f>F17*'GS&gt;50 PW'!$B$8</f>
        <v>0</v>
      </c>
      <c r="N17" s="29">
        <f>G17*'GS&gt;50 PW'!$B$9</f>
        <v>1830.7527509548554</v>
      </c>
      <c r="O17" s="44">
        <f>H17*'GS&gt;50 PW'!$B$10</f>
        <v>-57.253046804260322</v>
      </c>
      <c r="P17" s="44">
        <f>I17*'GS&gt;50 PW'!$B$11</f>
        <v>0</v>
      </c>
      <c r="Q17" s="46">
        <f>'Monthly Data'!BH17</f>
        <v>30</v>
      </c>
      <c r="R17" s="44">
        <f>'Monthly Data'!O17</f>
        <v>980</v>
      </c>
      <c r="S17" s="44">
        <f t="shared" si="4"/>
        <v>71649376.593683302</v>
      </c>
      <c r="T17" s="44">
        <f t="shared" si="2"/>
        <v>69604.500914216042</v>
      </c>
      <c r="U17" s="48">
        <f t="shared" si="3"/>
        <v>9.7240461766219305E-4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158">
        <f>'Monthly Data'!M18</f>
        <v>74262685.092769086</v>
      </c>
      <c r="E18" s="46">
        <f>'Monthly Data'!AJ18</f>
        <v>85.7</v>
      </c>
      <c r="F18" s="46">
        <f>'Monthly Data'!AK18</f>
        <v>22.700000000000003</v>
      </c>
      <c r="G18" s="46">
        <f>'Monthly Data'!V18</f>
        <v>625936.9</v>
      </c>
      <c r="H18" s="44">
        <f>'Monthly Data'!BG18</f>
        <v>17</v>
      </c>
      <c r="I18" s="44">
        <f>'Monthly Data'!BC18</f>
        <v>0</v>
      </c>
      <c r="K18" s="29">
        <f>'GS&gt;50 PW'!$B$6</f>
        <v>556.26088485683897</v>
      </c>
      <c r="L18" s="29">
        <f>E18*'GS&gt;50 PW'!$B$7</f>
        <v>39.01151140867244</v>
      </c>
      <c r="M18" s="29">
        <f>F18*'GS&gt;50 PW'!$B$8</f>
        <v>35.137697589959586</v>
      </c>
      <c r="N18" s="29">
        <f>G18*'GS&gt;50 PW'!$B$9</f>
        <v>1830.7527509548554</v>
      </c>
      <c r="O18" s="44">
        <f>H18*'GS&gt;50 PW'!$B$10</f>
        <v>-60.83136222952659</v>
      </c>
      <c r="P18" s="44">
        <f>I18*'GS&gt;50 PW'!$B$11</f>
        <v>0</v>
      </c>
      <c r="Q18" s="46">
        <f>'Monthly Data'!BH18</f>
        <v>31</v>
      </c>
      <c r="R18" s="44">
        <f>'Monthly Data'!O18</f>
        <v>982</v>
      </c>
      <c r="S18" s="44">
        <f t="shared" si="4"/>
        <v>73070890.992724702</v>
      </c>
      <c r="T18" s="44">
        <f t="shared" si="2"/>
        <v>-1191794.1000443846</v>
      </c>
      <c r="U18" s="48">
        <f t="shared" si="3"/>
        <v>1.6048357240996514E-2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158">
        <f>'Monthly Data'!M19</f>
        <v>77117693.092769086</v>
      </c>
      <c r="E19" s="46">
        <f>'Monthly Data'!AJ19</f>
        <v>0.30000000000000071</v>
      </c>
      <c r="F19" s="46">
        <f>'Monthly Data'!AK19</f>
        <v>139.9</v>
      </c>
      <c r="G19" s="46">
        <f>'Monthly Data'!V19</f>
        <v>625936.9</v>
      </c>
      <c r="H19" s="44">
        <f>'Monthly Data'!BG19</f>
        <v>18</v>
      </c>
      <c r="I19" s="44">
        <f>'Monthly Data'!BC19</f>
        <v>0</v>
      </c>
      <c r="K19" s="29">
        <f>'GS&gt;50 PW'!$B$6</f>
        <v>556.26088485683897</v>
      </c>
      <c r="L19" s="29">
        <f>E19*'GS&gt;50 PW'!$B$7</f>
        <v>0.13656305043876033</v>
      </c>
      <c r="M19" s="29">
        <f>F19*'GS&gt;50 PW'!$B$8</f>
        <v>216.55347545530159</v>
      </c>
      <c r="N19" s="29">
        <f>G19*'GS&gt;50 PW'!$B$9</f>
        <v>1830.7527509548554</v>
      </c>
      <c r="O19" s="44">
        <f>H19*'GS&gt;50 PW'!$B$10</f>
        <v>-64.409677654792858</v>
      </c>
      <c r="P19" s="44">
        <f>I19*'GS&gt;50 PW'!$B$11</f>
        <v>0</v>
      </c>
      <c r="Q19" s="46">
        <f>'Monthly Data'!BH19</f>
        <v>30</v>
      </c>
      <c r="R19" s="44">
        <f>'Monthly Data'!O19</f>
        <v>985</v>
      </c>
      <c r="S19" s="44">
        <f t="shared" si="4"/>
        <v>75036137.601381063</v>
      </c>
      <c r="T19" s="44">
        <f t="shared" si="2"/>
        <v>-2081555.4913880229</v>
      </c>
      <c r="U19" s="48">
        <f t="shared" si="3"/>
        <v>2.6991931525804411E-2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158">
        <f>'Monthly Data'!M20</f>
        <v>84651520.092769086</v>
      </c>
      <c r="E20" s="46">
        <f>'Monthly Data'!AJ20</f>
        <v>0</v>
      </c>
      <c r="F20" s="46">
        <f>'Monthly Data'!AK20</f>
        <v>313.90000000000003</v>
      </c>
      <c r="G20" s="46">
        <f>'Monthly Data'!V20</f>
        <v>625936.9</v>
      </c>
      <c r="H20" s="44">
        <f>'Monthly Data'!BG20</f>
        <v>19</v>
      </c>
      <c r="I20" s="44">
        <f>'Monthly Data'!BC20</f>
        <v>0</v>
      </c>
      <c r="K20" s="29">
        <f>'GS&gt;50 PW'!$B$6</f>
        <v>556.26088485683897</v>
      </c>
      <c r="L20" s="29">
        <f>E20*'GS&gt;50 PW'!$B$7</f>
        <v>0</v>
      </c>
      <c r="M20" s="29">
        <f>F20*'GS&gt;50 PW'!$B$8</f>
        <v>485.89089310521211</v>
      </c>
      <c r="N20" s="29">
        <f>G20*'GS&gt;50 PW'!$B$9</f>
        <v>1830.7527509548554</v>
      </c>
      <c r="O20" s="44">
        <f>H20*'GS&gt;50 PW'!$B$10</f>
        <v>-67.987993080059127</v>
      </c>
      <c r="P20" s="44">
        <f>I20*'GS&gt;50 PW'!$B$11</f>
        <v>0</v>
      </c>
      <c r="Q20" s="46">
        <f>'Monthly Data'!BH20</f>
        <v>31</v>
      </c>
      <c r="R20" s="44">
        <f>'Monthly Data'!O20</f>
        <v>983</v>
      </c>
      <c r="S20" s="44">
        <f t="shared" si="4"/>
        <v>85474221.596556246</v>
      </c>
      <c r="T20" s="44">
        <f t="shared" si="2"/>
        <v>822701.50378715992</v>
      </c>
      <c r="U20" s="48">
        <f t="shared" si="3"/>
        <v>9.7186855343597642E-3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158">
        <f>'Monthly Data'!M21</f>
        <v>82199049.092769086</v>
      </c>
      <c r="E21" s="46">
        <f>'Monthly Data'!AJ21</f>
        <v>0</v>
      </c>
      <c r="F21" s="46">
        <f>'Monthly Data'!AK21</f>
        <v>242.40000000000003</v>
      </c>
      <c r="G21" s="46">
        <f>'Monthly Data'!V21</f>
        <v>625936.9</v>
      </c>
      <c r="H21" s="44">
        <f>'Monthly Data'!BG21</f>
        <v>20</v>
      </c>
      <c r="I21" s="44">
        <f>'Monthly Data'!BC21</f>
        <v>0</v>
      </c>
      <c r="K21" s="29">
        <f>'GS&gt;50 PW'!$B$6</f>
        <v>556.26088485683897</v>
      </c>
      <c r="L21" s="29">
        <f>E21*'GS&gt;50 PW'!$B$7</f>
        <v>0</v>
      </c>
      <c r="M21" s="29">
        <f>F21*'GS&gt;50 PW'!$B$8</f>
        <v>375.21488527780639</v>
      </c>
      <c r="N21" s="29">
        <f>G21*'GS&gt;50 PW'!$B$9</f>
        <v>1830.7527509548554</v>
      </c>
      <c r="O21" s="44">
        <f>H21*'GS&gt;50 PW'!$B$10</f>
        <v>-71.566308505325395</v>
      </c>
      <c r="P21" s="44">
        <f>I21*'GS&gt;50 PW'!$B$11</f>
        <v>0</v>
      </c>
      <c r="Q21" s="46">
        <f>'Monthly Data'!BH21</f>
        <v>31</v>
      </c>
      <c r="R21" s="44">
        <f>'Monthly Data'!O21</f>
        <v>983</v>
      </c>
      <c r="S21" s="44">
        <f t="shared" si="4"/>
        <v>81992549.604077578</v>
      </c>
      <c r="T21" s="44">
        <f t="shared" si="2"/>
        <v>-206499.48869150877</v>
      </c>
      <c r="U21" s="48">
        <f t="shared" si="3"/>
        <v>2.5121882913566964E-3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158">
        <f>'Monthly Data'!M22</f>
        <v>74484945.092769086</v>
      </c>
      <c r="E22" s="46">
        <f>'Monthly Data'!AJ22</f>
        <v>5.6999999999999993</v>
      </c>
      <c r="F22" s="46">
        <f>'Monthly Data'!AK22</f>
        <v>114.19999999999996</v>
      </c>
      <c r="G22" s="46">
        <f>'Monthly Data'!V22</f>
        <v>625936.9</v>
      </c>
      <c r="H22" s="44">
        <f>'Monthly Data'!BG22</f>
        <v>21</v>
      </c>
      <c r="I22" s="44">
        <f>'Monthly Data'!BC22</f>
        <v>0</v>
      </c>
      <c r="K22" s="29">
        <f>'GS&gt;50 PW'!$B$6</f>
        <v>556.26088485683897</v>
      </c>
      <c r="L22" s="29">
        <f>E22*'GS&gt;50 PW'!$B$7</f>
        <v>2.5946979583364396</v>
      </c>
      <c r="M22" s="29">
        <f>F22*'GS&gt;50 PW'!$B$8</f>
        <v>176.77202928517107</v>
      </c>
      <c r="N22" s="29">
        <f>G22*'GS&gt;50 PW'!$B$9</f>
        <v>1830.7527509548554</v>
      </c>
      <c r="O22" s="44">
        <f>H22*'GS&gt;50 PW'!$B$10</f>
        <v>-75.144623930591678</v>
      </c>
      <c r="P22" s="44">
        <f>I22*'GS&gt;50 PW'!$B$11</f>
        <v>0</v>
      </c>
      <c r="Q22" s="46">
        <f>'Monthly Data'!BH22</f>
        <v>30</v>
      </c>
      <c r="R22" s="44">
        <f>'Monthly Data'!O22</f>
        <v>984</v>
      </c>
      <c r="S22" s="44">
        <f t="shared" si="4"/>
        <v>73541279.018958494</v>
      </c>
      <c r="T22" s="44">
        <f t="shared" si="2"/>
        <v>-943666.07381059229</v>
      </c>
      <c r="U22" s="48">
        <f t="shared" si="3"/>
        <v>1.266921889564771E-2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158">
        <f>'Monthly Data'!M23</f>
        <v>72131128.092769086</v>
      </c>
      <c r="E23" s="46">
        <f>'Monthly Data'!AJ23</f>
        <v>102.2</v>
      </c>
      <c r="F23" s="46">
        <f>'Monthly Data'!AK23</f>
        <v>27.4</v>
      </c>
      <c r="G23" s="46">
        <f>'Monthly Data'!V23</f>
        <v>625936.9</v>
      </c>
      <c r="H23" s="44">
        <f>'Monthly Data'!BG23</f>
        <v>22</v>
      </c>
      <c r="I23" s="44">
        <f>'Monthly Data'!BC23</f>
        <v>0</v>
      </c>
      <c r="K23" s="29">
        <f>'GS&gt;50 PW'!$B$6</f>
        <v>556.26088485683897</v>
      </c>
      <c r="L23" s="29">
        <f>E23*'GS&gt;50 PW'!$B$7</f>
        <v>46.52247918280424</v>
      </c>
      <c r="M23" s="29">
        <f>F23*'GS&gt;50 PW'!$B$8</f>
        <v>42.412903698893949</v>
      </c>
      <c r="N23" s="29">
        <f>G23*'GS&gt;50 PW'!$B$9</f>
        <v>1830.7527509548554</v>
      </c>
      <c r="O23" s="44">
        <f>H23*'GS&gt;50 PW'!$B$10</f>
        <v>-78.722939355857946</v>
      </c>
      <c r="P23" s="44">
        <f>I23*'GS&gt;50 PW'!$B$11</f>
        <v>0</v>
      </c>
      <c r="Q23" s="46">
        <f>'Monthly Data'!BH23</f>
        <v>31</v>
      </c>
      <c r="R23" s="44">
        <f>'Monthly Data'!O23</f>
        <v>983</v>
      </c>
      <c r="S23" s="44">
        <f t="shared" si="4"/>
        <v>73050670.315652698</v>
      </c>
      <c r="T23" s="44">
        <f t="shared" si="2"/>
        <v>919542.22288361192</v>
      </c>
      <c r="U23" s="48">
        <f t="shared" si="3"/>
        <v>1.274820243627651E-2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158">
        <f>'Monthly Data'!M24</f>
        <v>71065271.092769086</v>
      </c>
      <c r="E24" s="46">
        <f>'Monthly Data'!AJ24</f>
        <v>179.4</v>
      </c>
      <c r="F24" s="46">
        <f>'Monthly Data'!AK24</f>
        <v>0.99999999999999822</v>
      </c>
      <c r="G24" s="46">
        <f>'Monthly Data'!V24</f>
        <v>625936.9</v>
      </c>
      <c r="H24" s="44">
        <f>'Monthly Data'!BG24</f>
        <v>23</v>
      </c>
      <c r="I24" s="44">
        <f>'Monthly Data'!BC24</f>
        <v>0</v>
      </c>
      <c r="K24" s="29">
        <f>'GS&gt;50 PW'!$B$6</f>
        <v>556.26088485683897</v>
      </c>
      <c r="L24" s="29">
        <f>E24*'GS&gt;50 PW'!$B$7</f>
        <v>81.664704162378484</v>
      </c>
      <c r="M24" s="29">
        <f>F24*'GS&gt;50 PW'!$B$8</f>
        <v>1.5479161933902874</v>
      </c>
      <c r="N24" s="29">
        <f>G24*'GS&gt;50 PW'!$B$9</f>
        <v>1830.7527509548554</v>
      </c>
      <c r="O24" s="44">
        <f>H24*'GS&gt;50 PW'!$B$10</f>
        <v>-82.301254781124214</v>
      </c>
      <c r="P24" s="44">
        <f>I24*'GS&gt;50 PW'!$B$11</f>
        <v>0</v>
      </c>
      <c r="Q24" s="46">
        <f>'Monthly Data'!BH24</f>
        <v>30</v>
      </c>
      <c r="R24" s="44">
        <f>'Monthly Data'!O24</f>
        <v>991</v>
      </c>
      <c r="S24" s="44">
        <f t="shared" si="4"/>
        <v>70993010.291215867</v>
      </c>
      <c r="T24" s="44">
        <f t="shared" si="2"/>
        <v>-72260.801553219557</v>
      </c>
      <c r="U24" s="48">
        <f t="shared" si="3"/>
        <v>1.0168229916254004E-3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158">
        <f>'Monthly Data'!M25</f>
        <v>72314878.092769086</v>
      </c>
      <c r="E25" s="46">
        <f>'Monthly Data'!AJ25</f>
        <v>357.29999999999995</v>
      </c>
      <c r="F25" s="46">
        <f>'Monthly Data'!AK25</f>
        <v>0</v>
      </c>
      <c r="G25" s="46">
        <f>'Monthly Data'!V25</f>
        <v>625936.9</v>
      </c>
      <c r="H25" s="44">
        <f>'Monthly Data'!BG25</f>
        <v>24</v>
      </c>
      <c r="I25" s="44">
        <f>'Monthly Data'!BC25</f>
        <v>1</v>
      </c>
      <c r="K25" s="29">
        <f>'GS&gt;50 PW'!$B$6</f>
        <v>556.26088485683897</v>
      </c>
      <c r="L25" s="29">
        <f>E25*'GS&gt;50 PW'!$B$7</f>
        <v>162.64659307256315</v>
      </c>
      <c r="M25" s="29">
        <f>F25*'GS&gt;50 PW'!$B$8</f>
        <v>0</v>
      </c>
      <c r="N25" s="29">
        <f>G25*'GS&gt;50 PW'!$B$9</f>
        <v>1830.7527509548554</v>
      </c>
      <c r="O25" s="44">
        <f>H25*'GS&gt;50 PW'!$B$10</f>
        <v>-85.879570206390483</v>
      </c>
      <c r="P25" s="44">
        <f>I25*'GS&gt;50 PW'!$B$11</f>
        <v>-107.242128303215</v>
      </c>
      <c r="Q25" s="46">
        <f>'Monthly Data'!BH25</f>
        <v>31</v>
      </c>
      <c r="R25" s="44">
        <f>'Monthly Data'!O25</f>
        <v>995</v>
      </c>
      <c r="S25" s="44">
        <f t="shared" si="4"/>
        <v>72687430.969406158</v>
      </c>
      <c r="T25" s="44">
        <f t="shared" si="2"/>
        <v>372552.87663707137</v>
      </c>
      <c r="U25" s="48">
        <f t="shared" si="3"/>
        <v>5.1518150408708732E-3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158">
        <f>'Monthly Data'!M26</f>
        <v>77861343.963004857</v>
      </c>
      <c r="E26" s="46">
        <f>'Monthly Data'!AJ26</f>
        <v>444.70000000000005</v>
      </c>
      <c r="F26" s="46">
        <f>'Monthly Data'!AK26</f>
        <v>0</v>
      </c>
      <c r="G26" s="46">
        <f>'Monthly Data'!V26</f>
        <v>634944.30000000005</v>
      </c>
      <c r="H26" s="44">
        <f>'Monthly Data'!BG26</f>
        <v>25</v>
      </c>
      <c r="I26" s="44">
        <f>'Monthly Data'!BC26</f>
        <v>0</v>
      </c>
      <c r="K26" s="29">
        <f>'GS&gt;50 PW'!$B$6</f>
        <v>556.26088485683897</v>
      </c>
      <c r="L26" s="29">
        <f>E26*'GS&gt;50 PW'!$B$7</f>
        <v>202.43196176705527</v>
      </c>
      <c r="M26" s="29">
        <f>F26*'GS&gt;50 PW'!$B$8</f>
        <v>0</v>
      </c>
      <c r="N26" s="29">
        <f>G26*'GS&gt;50 PW'!$B$9</f>
        <v>1857.0977744371758</v>
      </c>
      <c r="O26" s="44">
        <f>H26*'GS&gt;50 PW'!$B$10</f>
        <v>-89.457885631656751</v>
      </c>
      <c r="P26" s="44">
        <f>I26*'GS&gt;50 PW'!$B$11</f>
        <v>0</v>
      </c>
      <c r="Q26" s="46">
        <f>'Monthly Data'!BH26</f>
        <v>31</v>
      </c>
      <c r="R26" s="44">
        <f>'Monthly Data'!O26</f>
        <v>996</v>
      </c>
      <c r="S26" s="44">
        <f t="shared" si="4"/>
        <v>78003049.539118558</v>
      </c>
      <c r="T26" s="44">
        <f t="shared" si="2"/>
        <v>141705.57611370087</v>
      </c>
      <c r="U26" s="48">
        <f t="shared" si="3"/>
        <v>1.8199734155761689E-3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158">
        <f>'Monthly Data'!M27</f>
        <v>72912305.963004857</v>
      </c>
      <c r="E27" s="46">
        <f>'Monthly Data'!AJ27</f>
        <v>381.4</v>
      </c>
      <c r="F27" s="46">
        <f>'Monthly Data'!AK27</f>
        <v>0</v>
      </c>
      <c r="G27" s="46">
        <f>'Monthly Data'!V27</f>
        <v>634944.30000000005</v>
      </c>
      <c r="H27" s="44">
        <f>'Monthly Data'!BG27</f>
        <v>26</v>
      </c>
      <c r="I27" s="44">
        <f>'Monthly Data'!BC27</f>
        <v>0</v>
      </c>
      <c r="K27" s="29">
        <f>'GS&gt;50 PW'!$B$6</f>
        <v>556.26088485683897</v>
      </c>
      <c r="L27" s="29">
        <f>E27*'GS&gt;50 PW'!$B$7</f>
        <v>173.61715812447687</v>
      </c>
      <c r="M27" s="29">
        <f>F27*'GS&gt;50 PW'!$B$8</f>
        <v>0</v>
      </c>
      <c r="N27" s="29">
        <f>G27*'GS&gt;50 PW'!$B$9</f>
        <v>1857.0977744371758</v>
      </c>
      <c r="O27" s="44">
        <f>H27*'GS&gt;50 PW'!$B$10</f>
        <v>-93.036201056923019</v>
      </c>
      <c r="P27" s="44">
        <f>I27*'GS&gt;50 PW'!$B$11</f>
        <v>0</v>
      </c>
      <c r="Q27" s="46">
        <f>'Monthly Data'!BH27</f>
        <v>29</v>
      </c>
      <c r="R27" s="44">
        <f>'Monthly Data'!O27</f>
        <v>995</v>
      </c>
      <c r="S27" s="44">
        <f t="shared" si="4"/>
        <v>71962627.630113065</v>
      </c>
      <c r="T27" s="44">
        <f t="shared" si="2"/>
        <v>-949678.33289179206</v>
      </c>
      <c r="U27" s="48">
        <f t="shared" si="3"/>
        <v>1.3024938936558275E-2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158">
        <f>'Monthly Data'!M28</f>
        <v>74889795.963004857</v>
      </c>
      <c r="E28" s="46">
        <f>'Monthly Data'!AJ28</f>
        <v>244.8</v>
      </c>
      <c r="F28" s="46">
        <f>'Monthly Data'!AK28</f>
        <v>0.30000000000000071</v>
      </c>
      <c r="G28" s="46">
        <f>'Monthly Data'!V28</f>
        <v>634944.30000000005</v>
      </c>
      <c r="H28" s="44">
        <f>'Monthly Data'!BG28</f>
        <v>27</v>
      </c>
      <c r="I28" s="44">
        <f>'Monthly Data'!BC28</f>
        <v>0</v>
      </c>
      <c r="K28" s="29">
        <f>'GS&gt;50 PW'!$B$6</f>
        <v>556.26088485683897</v>
      </c>
      <c r="L28" s="29">
        <f>E28*'GS&gt;50 PW'!$B$7</f>
        <v>111.43544915802816</v>
      </c>
      <c r="M28" s="29">
        <f>F28*'GS&gt;50 PW'!$B$8</f>
        <v>0.46437485801708811</v>
      </c>
      <c r="N28" s="29">
        <f>G28*'GS&gt;50 PW'!$B$9</f>
        <v>1857.0977744371758</v>
      </c>
      <c r="O28" s="44">
        <f>H28*'GS&gt;50 PW'!$B$10</f>
        <v>-96.614516482189288</v>
      </c>
      <c r="P28" s="44">
        <f>I28*'GS&gt;50 PW'!$B$11</f>
        <v>0</v>
      </c>
      <c r="Q28" s="46">
        <f>'Monthly Data'!BH28</f>
        <v>31</v>
      </c>
      <c r="R28" s="44">
        <f>'Monthly Data'!O28</f>
        <v>996</v>
      </c>
      <c r="S28" s="44">
        <f t="shared" si="4"/>
        <v>74986811.119777337</v>
      </c>
      <c r="T28" s="44">
        <f t="shared" si="2"/>
        <v>97015.156772479415</v>
      </c>
      <c r="U28" s="48">
        <f t="shared" si="3"/>
        <v>1.2954389249558694E-3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158">
        <f>'Monthly Data'!M29</f>
        <v>69901221.963004857</v>
      </c>
      <c r="E29" s="46">
        <f>'Monthly Data'!AJ29</f>
        <v>186.6</v>
      </c>
      <c r="F29" s="46">
        <f>'Monthly Data'!AK29</f>
        <v>2.4000000000000004</v>
      </c>
      <c r="G29" s="46">
        <f>'Monthly Data'!V29</f>
        <v>634944.30000000005</v>
      </c>
      <c r="H29" s="44">
        <f>'Monthly Data'!BG29</f>
        <v>28</v>
      </c>
      <c r="I29" s="44">
        <f>'Monthly Data'!BC29</f>
        <v>0</v>
      </c>
      <c r="K29" s="29">
        <f>'GS&gt;50 PW'!$B$6</f>
        <v>556.26088485683897</v>
      </c>
      <c r="L29" s="29">
        <f>E29*'GS&gt;50 PW'!$B$7</f>
        <v>84.942217372908715</v>
      </c>
      <c r="M29" s="29">
        <f>F29*'GS&gt;50 PW'!$B$8</f>
        <v>3.7149988641366969</v>
      </c>
      <c r="N29" s="29">
        <f>G29*'GS&gt;50 PW'!$B$9</f>
        <v>1857.0977744371758</v>
      </c>
      <c r="O29" s="44">
        <f>H29*'GS&gt;50 PW'!$B$10</f>
        <v>-100.19283190745557</v>
      </c>
      <c r="P29" s="44">
        <f>I29*'GS&gt;50 PW'!$B$11</f>
        <v>0</v>
      </c>
      <c r="Q29" s="46">
        <f>'Monthly Data'!BH29</f>
        <v>30</v>
      </c>
      <c r="R29" s="44">
        <f>'Monthly Data'!O29</f>
        <v>996</v>
      </c>
      <c r="S29" s="44">
        <f t="shared" si="4"/>
        <v>71766472.543473303</v>
      </c>
      <c r="T29" s="44">
        <f t="shared" si="2"/>
        <v>1865250.580468446</v>
      </c>
      <c r="U29" s="48">
        <f t="shared" si="3"/>
        <v>2.6684091180203227E-2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158">
        <f>'Monthly Data'!M30</f>
        <v>75697992.963004857</v>
      </c>
      <c r="E30" s="46">
        <f>'Monthly Data'!AJ30</f>
        <v>31.1</v>
      </c>
      <c r="F30" s="46">
        <f>'Monthly Data'!AK30</f>
        <v>77.3</v>
      </c>
      <c r="G30" s="46">
        <f>'Monthly Data'!V30</f>
        <v>634944.30000000005</v>
      </c>
      <c r="H30" s="44">
        <f>'Monthly Data'!BG30</f>
        <v>29</v>
      </c>
      <c r="I30" s="44">
        <f>'Monthly Data'!BC30</f>
        <v>0</v>
      </c>
      <c r="K30" s="29">
        <f>'GS&gt;50 PW'!$B$6</f>
        <v>556.26088485683897</v>
      </c>
      <c r="L30" s="29">
        <f>E30*'GS&gt;50 PW'!$B$7</f>
        <v>14.157036228818122</v>
      </c>
      <c r="M30" s="29">
        <f>F30*'GS&gt;50 PW'!$B$8</f>
        <v>119.65392174906941</v>
      </c>
      <c r="N30" s="29">
        <f>G30*'GS&gt;50 PW'!$B$9</f>
        <v>1857.0977744371758</v>
      </c>
      <c r="O30" s="44">
        <f>H30*'GS&gt;50 PW'!$B$10</f>
        <v>-103.77114733272184</v>
      </c>
      <c r="P30" s="44">
        <f>I30*'GS&gt;50 PW'!$B$11</f>
        <v>0</v>
      </c>
      <c r="Q30" s="46">
        <f>'Monthly Data'!BH30</f>
        <v>31</v>
      </c>
      <c r="R30" s="44">
        <f>'Monthly Data'!O30</f>
        <v>998</v>
      </c>
      <c r="S30" s="44">
        <f t="shared" si="4"/>
        <v>75593861.862978354</v>
      </c>
      <c r="T30" s="44">
        <f t="shared" si="2"/>
        <v>-104131.10002650321</v>
      </c>
      <c r="U30" s="48">
        <f t="shared" si="3"/>
        <v>1.3756124297429416E-3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158">
        <f>'Monthly Data'!M31</f>
        <v>78642737.963004857</v>
      </c>
      <c r="E31" s="46">
        <f>'Monthly Data'!AJ31</f>
        <v>1.0999999999999996</v>
      </c>
      <c r="F31" s="46">
        <f>'Monthly Data'!AK31</f>
        <v>200.09999999999997</v>
      </c>
      <c r="G31" s="46">
        <f>'Monthly Data'!V31</f>
        <v>634944.30000000005</v>
      </c>
      <c r="H31" s="44">
        <f>'Monthly Data'!BG31</f>
        <v>30</v>
      </c>
      <c r="I31" s="44">
        <f>'Monthly Data'!BC31</f>
        <v>0</v>
      </c>
      <c r="K31" s="29">
        <f>'GS&gt;50 PW'!$B$6</f>
        <v>556.26088485683897</v>
      </c>
      <c r="L31" s="29">
        <f>E31*'GS&gt;50 PW'!$B$7</f>
        <v>0.50073118494211988</v>
      </c>
      <c r="M31" s="29">
        <f>F31*'GS&gt;50 PW'!$B$8</f>
        <v>309.73803029739702</v>
      </c>
      <c r="N31" s="29">
        <f>G31*'GS&gt;50 PW'!$B$9</f>
        <v>1857.0977744371758</v>
      </c>
      <c r="O31" s="44">
        <f>H31*'GS&gt;50 PW'!$B$10</f>
        <v>-107.34946275798811</v>
      </c>
      <c r="P31" s="44">
        <f>I31*'GS&gt;50 PW'!$B$11</f>
        <v>0</v>
      </c>
      <c r="Q31" s="46">
        <f>'Monthly Data'!BH31</f>
        <v>30</v>
      </c>
      <c r="R31" s="44">
        <f>'Monthly Data'!O31</f>
        <v>999</v>
      </c>
      <c r="S31" s="44">
        <f t="shared" si="4"/>
        <v>78408951.301810429</v>
      </c>
      <c r="T31" s="44">
        <f t="shared" si="2"/>
        <v>-233786.6611944288</v>
      </c>
      <c r="U31" s="48">
        <f t="shared" si="3"/>
        <v>2.9727685893185308E-3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158">
        <f>'Monthly Data'!M32</f>
        <v>85309315.963004857</v>
      </c>
      <c r="E32" s="46">
        <f>'Monthly Data'!AJ32</f>
        <v>0</v>
      </c>
      <c r="F32" s="46">
        <f>'Monthly Data'!AK32</f>
        <v>317</v>
      </c>
      <c r="G32" s="46">
        <f>'Monthly Data'!V32</f>
        <v>634944.30000000005</v>
      </c>
      <c r="H32" s="44">
        <f>'Monthly Data'!BG32</f>
        <v>31</v>
      </c>
      <c r="I32" s="44">
        <f>'Monthly Data'!BC32</f>
        <v>0</v>
      </c>
      <c r="K32" s="29">
        <f>'GS&gt;50 PW'!$B$6</f>
        <v>556.26088485683897</v>
      </c>
      <c r="L32" s="29">
        <f>E32*'GS&gt;50 PW'!$B$7</f>
        <v>0</v>
      </c>
      <c r="M32" s="29">
        <f>F32*'GS&gt;50 PW'!$B$8</f>
        <v>490.68943330472194</v>
      </c>
      <c r="N32" s="29">
        <f>G32*'GS&gt;50 PW'!$B$9</f>
        <v>1857.0977744371758</v>
      </c>
      <c r="O32" s="44">
        <f>H32*'GS&gt;50 PW'!$B$10</f>
        <v>-110.92777818325438</v>
      </c>
      <c r="P32" s="44">
        <f>I32*'GS&gt;50 PW'!$B$11</f>
        <v>0</v>
      </c>
      <c r="Q32" s="46">
        <f>'Monthly Data'!BH32</f>
        <v>31</v>
      </c>
      <c r="R32" s="44">
        <f>'Monthly Data'!O32</f>
        <v>1000</v>
      </c>
      <c r="S32" s="44">
        <f t="shared" si="4"/>
        <v>86586729.74687995</v>
      </c>
      <c r="T32" s="44">
        <f t="shared" si="2"/>
        <v>1277413.7838750929</v>
      </c>
      <c r="U32" s="48">
        <f t="shared" si="3"/>
        <v>1.4973907239263935E-2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158">
        <f>'Monthly Data'!M33</f>
        <v>82517115.963004857</v>
      </c>
      <c r="E33" s="46">
        <f>'Monthly Data'!AJ33</f>
        <v>0</v>
      </c>
      <c r="F33" s="46">
        <f>'Monthly Data'!AK33</f>
        <v>254.8</v>
      </c>
      <c r="G33" s="46">
        <f>'Monthly Data'!V33</f>
        <v>634944.30000000005</v>
      </c>
      <c r="H33" s="44">
        <f>'Monthly Data'!BG33</f>
        <v>32</v>
      </c>
      <c r="I33" s="44">
        <f>'Monthly Data'!BC33</f>
        <v>0</v>
      </c>
      <c r="K33" s="29">
        <f>'GS&gt;50 PW'!$B$6</f>
        <v>556.26088485683897</v>
      </c>
      <c r="L33" s="29">
        <f>E33*'GS&gt;50 PW'!$B$7</f>
        <v>0</v>
      </c>
      <c r="M33" s="29">
        <f>F33*'GS&gt;50 PW'!$B$8</f>
        <v>394.40904607584594</v>
      </c>
      <c r="N33" s="29">
        <f>G33*'GS&gt;50 PW'!$B$9</f>
        <v>1857.0977744371758</v>
      </c>
      <c r="O33" s="44">
        <f>H33*'GS&gt;50 PW'!$B$10</f>
        <v>-114.50609360852064</v>
      </c>
      <c r="P33" s="44">
        <f>I33*'GS&gt;50 PW'!$B$11</f>
        <v>0</v>
      </c>
      <c r="Q33" s="46">
        <f>'Monthly Data'!BH33</f>
        <v>31</v>
      </c>
      <c r="R33" s="44">
        <f>'Monthly Data'!O33</f>
        <v>999</v>
      </c>
      <c r="S33" s="44">
        <f t="shared" si="4"/>
        <v>83407618.854636952</v>
      </c>
      <c r="T33" s="44">
        <f t="shared" si="2"/>
        <v>890502.89163209498</v>
      </c>
      <c r="U33" s="48">
        <f t="shared" si="3"/>
        <v>1.0791735523468087E-2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158">
        <f>'Monthly Data'!M34</f>
        <v>74673729.963004857</v>
      </c>
      <c r="E34" s="46">
        <f>'Monthly Data'!AJ34</f>
        <v>11.3</v>
      </c>
      <c r="F34" s="46">
        <f>'Monthly Data'!AK34</f>
        <v>112.89999999999999</v>
      </c>
      <c r="G34" s="46">
        <f>'Monthly Data'!V34</f>
        <v>634944.30000000005</v>
      </c>
      <c r="H34" s="44">
        <f>'Monthly Data'!BG34</f>
        <v>33</v>
      </c>
      <c r="I34" s="44">
        <f>'Monthly Data'!BC34</f>
        <v>0</v>
      </c>
      <c r="K34" s="29">
        <f>'GS&gt;50 PW'!$B$6</f>
        <v>556.26088485683897</v>
      </c>
      <c r="L34" s="29">
        <f>E34*'GS&gt;50 PW'!$B$7</f>
        <v>5.1438748998599602</v>
      </c>
      <c r="M34" s="29">
        <f>F34*'GS&gt;50 PW'!$B$8</f>
        <v>174.75973823376373</v>
      </c>
      <c r="N34" s="29">
        <f>G34*'GS&gt;50 PW'!$B$9</f>
        <v>1857.0977744371758</v>
      </c>
      <c r="O34" s="44">
        <f>H34*'GS&gt;50 PW'!$B$10</f>
        <v>-118.08440903378691</v>
      </c>
      <c r="P34" s="44">
        <f>I34*'GS&gt;50 PW'!$B$11</f>
        <v>0</v>
      </c>
      <c r="Q34" s="46">
        <f>'Monthly Data'!BH34</f>
        <v>30</v>
      </c>
      <c r="R34" s="44">
        <f>'Monthly Data'!O34</f>
        <v>999</v>
      </c>
      <c r="S34" s="44">
        <f t="shared" si="4"/>
        <v>74181080.565913737</v>
      </c>
      <c r="T34" s="44">
        <f t="shared" ref="T34:T65" si="5">S34-D34</f>
        <v>-492649.39709112048</v>
      </c>
      <c r="U34" s="48">
        <f t="shared" ref="U34:U65" si="6">ABS(T34/D34)</f>
        <v>6.597358901653777E-3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158">
        <f>'Monthly Data'!M35</f>
        <v>73374496.963004857</v>
      </c>
      <c r="E35" s="46">
        <f>'Monthly Data'!AJ35</f>
        <v>110.60000000000001</v>
      </c>
      <c r="F35" s="46">
        <f>'Monthly Data'!AK35</f>
        <v>11.9</v>
      </c>
      <c r="G35" s="46">
        <f>'Monthly Data'!V35</f>
        <v>634944.30000000005</v>
      </c>
      <c r="H35" s="44">
        <f>'Monthly Data'!BG35</f>
        <v>34</v>
      </c>
      <c r="I35" s="44">
        <f>'Monthly Data'!BC35</f>
        <v>0</v>
      </c>
      <c r="K35" s="29">
        <f>'GS&gt;50 PW'!$B$6</f>
        <v>556.26088485683897</v>
      </c>
      <c r="L35" s="29">
        <f>E35*'GS&gt;50 PW'!$B$7</f>
        <v>50.346244595089523</v>
      </c>
      <c r="M35" s="29">
        <f>F35*'GS&gt;50 PW'!$B$8</f>
        <v>18.420202701344451</v>
      </c>
      <c r="N35" s="29">
        <f>G35*'GS&gt;50 PW'!$B$9</f>
        <v>1857.0977744371758</v>
      </c>
      <c r="O35" s="44">
        <f>H35*'GS&gt;50 PW'!$B$10</f>
        <v>-121.66272445905318</v>
      </c>
      <c r="P35" s="44">
        <f>I35*'GS&gt;50 PW'!$B$11</f>
        <v>0</v>
      </c>
      <c r="Q35" s="46">
        <f>'Monthly Data'!BH35</f>
        <v>31</v>
      </c>
      <c r="R35" s="44">
        <f>'Monthly Data'!O35</f>
        <v>998</v>
      </c>
      <c r="S35" s="44">
        <f t="shared" si="4"/>
        <v>73027985.178381115</v>
      </c>
      <c r="T35" s="44">
        <f t="shared" si="5"/>
        <v>-346511.7846237421</v>
      </c>
      <c r="U35" s="48">
        <f t="shared" si="6"/>
        <v>4.7225098496886733E-3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158">
        <f>'Monthly Data'!M36</f>
        <v>72808754.963004857</v>
      </c>
      <c r="E36" s="46">
        <f>'Monthly Data'!AJ36</f>
        <v>274.90000000000009</v>
      </c>
      <c r="F36" s="46">
        <f>'Monthly Data'!AK36</f>
        <v>0</v>
      </c>
      <c r="G36" s="46">
        <f>'Monthly Data'!V36</f>
        <v>634944.30000000005</v>
      </c>
      <c r="H36" s="44">
        <f>'Monthly Data'!BG36</f>
        <v>35</v>
      </c>
      <c r="I36" s="44">
        <f>'Monthly Data'!BC36</f>
        <v>0</v>
      </c>
      <c r="K36" s="29">
        <f>'GS&gt;50 PW'!$B$6</f>
        <v>556.26088485683897</v>
      </c>
      <c r="L36" s="29">
        <f>E36*'GS&gt;50 PW'!$B$7</f>
        <v>125.13727521871712</v>
      </c>
      <c r="M36" s="29">
        <f>F36*'GS&gt;50 PW'!$B$8</f>
        <v>0</v>
      </c>
      <c r="N36" s="29">
        <f>G36*'GS&gt;50 PW'!$B$9</f>
        <v>1857.0977744371758</v>
      </c>
      <c r="O36" s="44">
        <f>H36*'GS&gt;50 PW'!$B$10</f>
        <v>-125.24103988431945</v>
      </c>
      <c r="P36" s="44">
        <f>I36*'GS&gt;50 PW'!$B$11</f>
        <v>0</v>
      </c>
      <c r="Q36" s="46">
        <f>'Monthly Data'!BH36</f>
        <v>30</v>
      </c>
      <c r="R36" s="44">
        <f>'Monthly Data'!O36</f>
        <v>1000</v>
      </c>
      <c r="S36" s="44">
        <f t="shared" si="4"/>
        <v>72397646.838852361</v>
      </c>
      <c r="T36" s="44">
        <f t="shared" si="5"/>
        <v>-411108.12415249646</v>
      </c>
      <c r="U36" s="48">
        <f t="shared" si="6"/>
        <v>5.6464105774283084E-3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158">
        <f>'Monthly Data'!M37</f>
        <v>72687620.963004857</v>
      </c>
      <c r="E37" s="46">
        <f>'Monthly Data'!AJ37</f>
        <v>355.4</v>
      </c>
      <c r="F37" s="46">
        <f>'Monthly Data'!AK37</f>
        <v>0</v>
      </c>
      <c r="G37" s="46">
        <f>'Monthly Data'!V37</f>
        <v>634944.30000000005</v>
      </c>
      <c r="H37" s="44">
        <f>'Monthly Data'!BG37</f>
        <v>36</v>
      </c>
      <c r="I37" s="44">
        <f>'Monthly Data'!BC37</f>
        <v>1</v>
      </c>
      <c r="K37" s="29">
        <f>'GS&gt;50 PW'!$B$6</f>
        <v>556.26088485683897</v>
      </c>
      <c r="L37" s="29">
        <f>E37*'GS&gt;50 PW'!$B$7</f>
        <v>161.78169375311768</v>
      </c>
      <c r="M37" s="29">
        <f>F37*'GS&gt;50 PW'!$B$8</f>
        <v>0</v>
      </c>
      <c r="N37" s="29">
        <f>G37*'GS&gt;50 PW'!$B$9</f>
        <v>1857.0977744371758</v>
      </c>
      <c r="O37" s="44">
        <f>H37*'GS&gt;50 PW'!$B$10</f>
        <v>-128.81935530958572</v>
      </c>
      <c r="P37" s="44">
        <f>I37*'GS&gt;50 PW'!$B$11</f>
        <v>-107.242128303215</v>
      </c>
      <c r="Q37" s="46">
        <f>'Monthly Data'!BH37</f>
        <v>31</v>
      </c>
      <c r="R37" s="44">
        <f>'Monthly Data'!O37</f>
        <v>1004</v>
      </c>
      <c r="S37" s="44">
        <f t="shared" si="4"/>
        <v>72801490.732274145</v>
      </c>
      <c r="T37" s="44">
        <f t="shared" si="5"/>
        <v>113869.76926928759</v>
      </c>
      <c r="U37" s="48">
        <f t="shared" si="6"/>
        <v>1.5665634362588758E-3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158">
        <f>'Monthly Data'!M38</f>
        <v>79277065.894941643</v>
      </c>
      <c r="E38" s="46">
        <f>'Monthly Data'!AJ38</f>
        <v>457.2</v>
      </c>
      <c r="F38" s="46">
        <f>'Monthly Data'!AK38</f>
        <v>0</v>
      </c>
      <c r="G38" s="46">
        <f>'Monthly Data'!V38</f>
        <v>643937</v>
      </c>
      <c r="H38" s="44">
        <f>'Monthly Data'!BG38</f>
        <v>37</v>
      </c>
      <c r="I38" s="44">
        <f>'Monthly Data'!BC38</f>
        <v>0</v>
      </c>
      <c r="K38" s="29">
        <f>'GS&gt;50 PW'!$B$6</f>
        <v>556.26088485683897</v>
      </c>
      <c r="L38" s="29">
        <f>E38*'GS&gt;50 PW'!$B$7</f>
        <v>208.12208886867023</v>
      </c>
      <c r="M38" s="29">
        <f>F38*'GS&gt;50 PW'!$B$8</f>
        <v>0</v>
      </c>
      <c r="N38" s="29">
        <f>G38*'GS&gt;50 PW'!$B$9</f>
        <v>1883.399803065799</v>
      </c>
      <c r="O38" s="44">
        <f>H38*'GS&gt;50 PW'!$B$10</f>
        <v>-132.397670734852</v>
      </c>
      <c r="P38" s="44">
        <f>I38*'GS&gt;50 PW'!$B$11</f>
        <v>0</v>
      </c>
      <c r="Q38" s="46">
        <f>'Monthly Data'!BH38</f>
        <v>31</v>
      </c>
      <c r="R38" s="44">
        <f>'Monthly Data'!O38</f>
        <v>1001</v>
      </c>
      <c r="S38" s="44">
        <f t="shared" si="4"/>
        <v>78054915.22603789</v>
      </c>
      <c r="T38" s="44">
        <f t="shared" si="5"/>
        <v>-1222150.6689037532</v>
      </c>
      <c r="U38" s="48">
        <f t="shared" si="6"/>
        <v>1.5416194521166477E-2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158">
        <f>'Monthly Data'!M39</f>
        <v>72766224.894941643</v>
      </c>
      <c r="E39" s="46">
        <f>'Monthly Data'!AJ39</f>
        <v>475.5</v>
      </c>
      <c r="F39" s="46">
        <f>'Monthly Data'!AK39</f>
        <v>0</v>
      </c>
      <c r="G39" s="46">
        <f>'Monthly Data'!V39</f>
        <v>643937</v>
      </c>
      <c r="H39" s="44">
        <f>'Monthly Data'!BG39</f>
        <v>38</v>
      </c>
      <c r="I39" s="44">
        <f>'Monthly Data'!BC39</f>
        <v>0</v>
      </c>
      <c r="K39" s="29">
        <f>'GS&gt;50 PW'!$B$6</f>
        <v>556.26088485683897</v>
      </c>
      <c r="L39" s="29">
        <f>E39*'GS&gt;50 PW'!$B$7</f>
        <v>216.45243494543462</v>
      </c>
      <c r="M39" s="29">
        <f>F39*'GS&gt;50 PW'!$B$8</f>
        <v>0</v>
      </c>
      <c r="N39" s="29">
        <f>G39*'GS&gt;50 PW'!$B$9</f>
        <v>1883.399803065799</v>
      </c>
      <c r="O39" s="44">
        <f>H39*'GS&gt;50 PW'!$B$10</f>
        <v>-135.97598616011825</v>
      </c>
      <c r="P39" s="44">
        <f>I39*'GS&gt;50 PW'!$B$11</f>
        <v>0</v>
      </c>
      <c r="Q39" s="46">
        <f>'Monthly Data'!BH39</f>
        <v>28</v>
      </c>
      <c r="R39" s="44">
        <f>'Monthly Data'!O39</f>
        <v>1002</v>
      </c>
      <c r="S39" s="44">
        <f t="shared" si="4"/>
        <v>70704967.507478356</v>
      </c>
      <c r="T39" s="44">
        <f t="shared" si="5"/>
        <v>-2061257.3874632865</v>
      </c>
      <c r="U39" s="48">
        <f t="shared" si="6"/>
        <v>2.8327117291563318E-2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158">
        <f>'Monthly Data'!M40</f>
        <v>76895003.894941643</v>
      </c>
      <c r="E40" s="46">
        <f>'Monthly Data'!AJ40</f>
        <v>399.30000000000007</v>
      </c>
      <c r="F40" s="46">
        <f>'Monthly Data'!AK40</f>
        <v>0</v>
      </c>
      <c r="G40" s="46">
        <f>'Monthly Data'!V40</f>
        <v>643937</v>
      </c>
      <c r="H40" s="44">
        <f>'Monthly Data'!BG40</f>
        <v>39</v>
      </c>
      <c r="I40" s="44">
        <f>'Monthly Data'!BC40</f>
        <v>0</v>
      </c>
      <c r="K40" s="29">
        <f>'GS&gt;50 PW'!$B$6</f>
        <v>556.26088485683897</v>
      </c>
      <c r="L40" s="29">
        <f>E40*'GS&gt;50 PW'!$B$7</f>
        <v>181.76542013398961</v>
      </c>
      <c r="M40" s="29">
        <f>F40*'GS&gt;50 PW'!$B$8</f>
        <v>0</v>
      </c>
      <c r="N40" s="29">
        <f>G40*'GS&gt;50 PW'!$B$9</f>
        <v>1883.399803065799</v>
      </c>
      <c r="O40" s="44">
        <f>H40*'GS&gt;50 PW'!$B$10</f>
        <v>-139.55430158538454</v>
      </c>
      <c r="P40" s="44">
        <f>I40*'GS&gt;50 PW'!$B$11</f>
        <v>0</v>
      </c>
      <c r="Q40" s="46">
        <f>'Monthly Data'!BH40</f>
        <v>31</v>
      </c>
      <c r="R40" s="44">
        <f>'Monthly Data'!O40</f>
        <v>1004</v>
      </c>
      <c r="S40" s="44">
        <f t="shared" si="4"/>
        <v>77245778.104610965</v>
      </c>
      <c r="T40" s="44">
        <f t="shared" si="5"/>
        <v>350774.20966932178</v>
      </c>
      <c r="U40" s="48">
        <f t="shared" si="6"/>
        <v>4.5617295259984588E-3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158">
        <f>'Monthly Data'!M41</f>
        <v>72485963.894941643</v>
      </c>
      <c r="E41" s="46">
        <f>'Monthly Data'!AJ41</f>
        <v>240.19999999999993</v>
      </c>
      <c r="F41" s="46">
        <f>'Monthly Data'!AK41</f>
        <v>1.5999999999999996</v>
      </c>
      <c r="G41" s="46">
        <f>'Monthly Data'!V41</f>
        <v>643937</v>
      </c>
      <c r="H41" s="44">
        <f>'Monthly Data'!BG41</f>
        <v>40</v>
      </c>
      <c r="I41" s="44">
        <f>'Monthly Data'!BC41</f>
        <v>0</v>
      </c>
      <c r="K41" s="29">
        <f>'GS&gt;50 PW'!$B$6</f>
        <v>556.26088485683897</v>
      </c>
      <c r="L41" s="29">
        <f>E41*'GS&gt;50 PW'!$B$7</f>
        <v>109.34148238463381</v>
      </c>
      <c r="M41" s="29">
        <f>F41*'GS&gt;50 PW'!$B$8</f>
        <v>2.4766659094244634</v>
      </c>
      <c r="N41" s="29">
        <f>G41*'GS&gt;50 PW'!$B$9</f>
        <v>1883.399803065799</v>
      </c>
      <c r="O41" s="44">
        <f>H41*'GS&gt;50 PW'!$B$10</f>
        <v>-143.13261701065079</v>
      </c>
      <c r="P41" s="44">
        <f>I41*'GS&gt;50 PW'!$B$11</f>
        <v>0</v>
      </c>
      <c r="Q41" s="46">
        <f>'Monthly Data'!BH41</f>
        <v>30</v>
      </c>
      <c r="R41" s="44">
        <f>'Monthly Data'!O41</f>
        <v>1006</v>
      </c>
      <c r="S41" s="44">
        <f t="shared" si="4"/>
        <v>72683888.895638451</v>
      </c>
      <c r="T41" s="44">
        <f t="shared" si="5"/>
        <v>197925.0006968081</v>
      </c>
      <c r="U41" s="48">
        <f t="shared" si="6"/>
        <v>2.7305286439133643E-3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158">
        <f>'Monthly Data'!M42</f>
        <v>74512872.894941643</v>
      </c>
      <c r="E42" s="46">
        <f>'Monthly Data'!AJ42</f>
        <v>64.599999999999994</v>
      </c>
      <c r="F42" s="46">
        <f>'Monthly Data'!AK42</f>
        <v>43.3</v>
      </c>
      <c r="G42" s="46">
        <f>'Monthly Data'!V42</f>
        <v>643937</v>
      </c>
      <c r="H42" s="44">
        <f>'Monthly Data'!BG42</f>
        <v>41</v>
      </c>
      <c r="I42" s="44">
        <f>'Monthly Data'!BC42</f>
        <v>0</v>
      </c>
      <c r="K42" s="29">
        <f>'GS&gt;50 PW'!$B$6</f>
        <v>556.26088485683897</v>
      </c>
      <c r="L42" s="29">
        <f>E42*'GS&gt;50 PW'!$B$7</f>
        <v>29.406576861146316</v>
      </c>
      <c r="M42" s="29">
        <f>F42*'GS&gt;50 PW'!$B$8</f>
        <v>67.02477117379955</v>
      </c>
      <c r="N42" s="29">
        <f>G42*'GS&gt;50 PW'!$B$9</f>
        <v>1883.399803065799</v>
      </c>
      <c r="O42" s="44">
        <f>H42*'GS&gt;50 PW'!$B$10</f>
        <v>-146.71093243591707</v>
      </c>
      <c r="P42" s="44">
        <f>I42*'GS&gt;50 PW'!$B$11</f>
        <v>0</v>
      </c>
      <c r="Q42" s="46">
        <f>'Monthly Data'!BH42</f>
        <v>31</v>
      </c>
      <c r="R42" s="44">
        <f>'Monthly Data'!O42</f>
        <v>1006</v>
      </c>
      <c r="S42" s="44">
        <f t="shared" si="4"/>
        <v>74515239.094426706</v>
      </c>
      <c r="T42" s="44">
        <f t="shared" si="5"/>
        <v>2366.1994850635529</v>
      </c>
      <c r="U42" s="48">
        <f t="shared" si="6"/>
        <v>3.1755579849937363E-5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158">
        <f>'Monthly Data'!M43</f>
        <v>76269513.894941643</v>
      </c>
      <c r="E43" s="46">
        <f>'Monthly Data'!AJ43</f>
        <v>5.5999999999999979</v>
      </c>
      <c r="F43" s="46">
        <f>'Monthly Data'!AK43</f>
        <v>137.6</v>
      </c>
      <c r="G43" s="46">
        <f>'Monthly Data'!V43</f>
        <v>643937</v>
      </c>
      <c r="H43" s="44">
        <f>'Monthly Data'!BG43</f>
        <v>42</v>
      </c>
      <c r="I43" s="44">
        <f>'Monthly Data'!BC43</f>
        <v>0</v>
      </c>
      <c r="K43" s="29">
        <f>'GS&gt;50 PW'!$B$6</f>
        <v>556.26088485683897</v>
      </c>
      <c r="L43" s="29">
        <f>E43*'GS&gt;50 PW'!$B$7</f>
        <v>2.5491769415235193</v>
      </c>
      <c r="M43" s="29">
        <f>F43*'GS&gt;50 PW'!$B$8</f>
        <v>212.99326821050391</v>
      </c>
      <c r="N43" s="29">
        <f>G43*'GS&gt;50 PW'!$B$9</f>
        <v>1883.399803065799</v>
      </c>
      <c r="O43" s="44">
        <f>H43*'GS&gt;50 PW'!$B$10</f>
        <v>-150.28924786118336</v>
      </c>
      <c r="P43" s="44">
        <f>I43*'GS&gt;50 PW'!$B$11</f>
        <v>0</v>
      </c>
      <c r="Q43" s="46">
        <f>'Monthly Data'!BH43</f>
        <v>30</v>
      </c>
      <c r="R43" s="44">
        <f>'Monthly Data'!O43</f>
        <v>1005</v>
      </c>
      <c r="S43" s="44">
        <f t="shared" si="4"/>
        <v>75523153.639186487</v>
      </c>
      <c r="T43" s="44">
        <f t="shared" si="5"/>
        <v>-746360.25575515628</v>
      </c>
      <c r="U43" s="48">
        <f t="shared" si="6"/>
        <v>9.7858268348640469E-3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158">
        <f>'Monthly Data'!M44</f>
        <v>83459194.894941643</v>
      </c>
      <c r="E44" s="46">
        <f>'Monthly Data'!AJ44</f>
        <v>0</v>
      </c>
      <c r="F44" s="46">
        <f>'Monthly Data'!AK44</f>
        <v>254.90000000000003</v>
      </c>
      <c r="G44" s="46">
        <f>'Monthly Data'!V44</f>
        <v>643937</v>
      </c>
      <c r="H44" s="44">
        <f>'Monthly Data'!BG44</f>
        <v>43</v>
      </c>
      <c r="I44" s="44">
        <f>'Monthly Data'!BC44</f>
        <v>0</v>
      </c>
      <c r="K44" s="29">
        <f>'GS&gt;50 PW'!$B$6</f>
        <v>556.26088485683897</v>
      </c>
      <c r="L44" s="29">
        <f>E44*'GS&gt;50 PW'!$B$7</f>
        <v>0</v>
      </c>
      <c r="M44" s="29">
        <f>F44*'GS&gt;50 PW'!$B$8</f>
        <v>394.56383769518499</v>
      </c>
      <c r="N44" s="29">
        <f>G44*'GS&gt;50 PW'!$B$9</f>
        <v>1883.399803065799</v>
      </c>
      <c r="O44" s="44">
        <f>H44*'GS&gt;50 PW'!$B$10</f>
        <v>-153.86756328644961</v>
      </c>
      <c r="P44" s="44">
        <f>I44*'GS&gt;50 PW'!$B$11</f>
        <v>0</v>
      </c>
      <c r="Q44" s="46">
        <f>'Monthly Data'!BH44</f>
        <v>31</v>
      </c>
      <c r="R44" s="44">
        <f>'Monthly Data'!O44</f>
        <v>1007</v>
      </c>
      <c r="S44" s="44">
        <f t="shared" si="4"/>
        <v>83672703.293098494</v>
      </c>
      <c r="T44" s="44">
        <f t="shared" si="5"/>
        <v>213508.39815685153</v>
      </c>
      <c r="U44" s="48">
        <f t="shared" si="6"/>
        <v>2.5582369734768674E-3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158">
        <f>'Monthly Data'!M45</f>
        <v>80843786.894941643</v>
      </c>
      <c r="E45" s="46">
        <f>'Monthly Data'!AJ45</f>
        <v>0</v>
      </c>
      <c r="F45" s="46">
        <f>'Monthly Data'!AK45</f>
        <v>213</v>
      </c>
      <c r="G45" s="46">
        <f>'Monthly Data'!V45</f>
        <v>643937</v>
      </c>
      <c r="H45" s="44">
        <f>'Monthly Data'!BG45</f>
        <v>44</v>
      </c>
      <c r="I45" s="44">
        <f>'Monthly Data'!BC45</f>
        <v>0</v>
      </c>
      <c r="K45" s="29">
        <f>'GS&gt;50 PW'!$B$6</f>
        <v>556.26088485683897</v>
      </c>
      <c r="L45" s="29">
        <f>E45*'GS&gt;50 PW'!$B$7</f>
        <v>0</v>
      </c>
      <c r="M45" s="29">
        <f>F45*'GS&gt;50 PW'!$B$8</f>
        <v>329.70614919213176</v>
      </c>
      <c r="N45" s="29">
        <f>G45*'GS&gt;50 PW'!$B$9</f>
        <v>1883.399803065799</v>
      </c>
      <c r="O45" s="44">
        <f>H45*'GS&gt;50 PW'!$B$10</f>
        <v>-157.44587871171589</v>
      </c>
      <c r="P45" s="44">
        <f>I45*'GS&gt;50 PW'!$B$11</f>
        <v>0</v>
      </c>
      <c r="Q45" s="46">
        <f>'Monthly Data'!BH45</f>
        <v>31</v>
      </c>
      <c r="R45" s="44">
        <f>'Monthly Data'!O45</f>
        <v>1008</v>
      </c>
      <c r="S45" s="44">
        <f t="shared" si="4"/>
        <v>81617306.10817863</v>
      </c>
      <c r="T45" s="44">
        <f t="shared" si="5"/>
        <v>773519.21323698759</v>
      </c>
      <c r="U45" s="48">
        <f t="shared" si="6"/>
        <v>9.5680724882691789E-3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158">
        <f>'Monthly Data'!M46</f>
        <v>74048827.894941643</v>
      </c>
      <c r="E46" s="46">
        <f>'Monthly Data'!AJ46</f>
        <v>12.4</v>
      </c>
      <c r="F46" s="46">
        <f>'Monthly Data'!AK46</f>
        <v>95.4</v>
      </c>
      <c r="G46" s="46">
        <f>'Monthly Data'!V46</f>
        <v>643937</v>
      </c>
      <c r="H46" s="44">
        <f>'Monthly Data'!BG46</f>
        <v>45</v>
      </c>
      <c r="I46" s="44">
        <f>'Monthly Data'!BC46</f>
        <v>0</v>
      </c>
      <c r="K46" s="29">
        <f>'GS&gt;50 PW'!$B$6</f>
        <v>556.26088485683897</v>
      </c>
      <c r="L46" s="29">
        <f>E46*'GS&gt;50 PW'!$B$7</f>
        <v>5.6446060848020805</v>
      </c>
      <c r="M46" s="29">
        <f>F46*'GS&gt;50 PW'!$B$8</f>
        <v>147.67120484943368</v>
      </c>
      <c r="N46" s="29">
        <f>G46*'GS&gt;50 PW'!$B$9</f>
        <v>1883.399803065799</v>
      </c>
      <c r="O46" s="44">
        <f>H46*'GS&gt;50 PW'!$B$10</f>
        <v>-161.02419413698215</v>
      </c>
      <c r="P46" s="44">
        <f>I46*'GS&gt;50 PW'!$B$11</f>
        <v>0</v>
      </c>
      <c r="Q46" s="46">
        <f>'Monthly Data'!BH46</f>
        <v>30</v>
      </c>
      <c r="R46" s="44">
        <f>'Monthly Data'!O46</f>
        <v>1009</v>
      </c>
      <c r="S46" s="44">
        <f t="shared" si="4"/>
        <v>73615196.263871118</v>
      </c>
      <c r="T46" s="44">
        <f t="shared" si="5"/>
        <v>-433631.63107052445</v>
      </c>
      <c r="U46" s="48">
        <f t="shared" si="6"/>
        <v>5.856022889190746E-3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158">
        <f>'Monthly Data'!M47</f>
        <v>74442701.894941643</v>
      </c>
      <c r="E47" s="46">
        <f>'Monthly Data'!AJ47</f>
        <v>93.100000000000009</v>
      </c>
      <c r="F47" s="46">
        <f>'Monthly Data'!AK47</f>
        <v>26.6</v>
      </c>
      <c r="G47" s="46">
        <f>'Monthly Data'!V47</f>
        <v>643937</v>
      </c>
      <c r="H47" s="44">
        <f>'Monthly Data'!BG47</f>
        <v>46</v>
      </c>
      <c r="I47" s="44">
        <f>'Monthly Data'!BC47</f>
        <v>0</v>
      </c>
      <c r="K47" s="29">
        <f>'GS&gt;50 PW'!$B$6</f>
        <v>556.26088485683897</v>
      </c>
      <c r="L47" s="29">
        <f>E47*'GS&gt;50 PW'!$B$7</f>
        <v>42.380066652828525</v>
      </c>
      <c r="M47" s="29">
        <f>F47*'GS&gt;50 PW'!$B$8</f>
        <v>41.174570744181722</v>
      </c>
      <c r="N47" s="29">
        <f>G47*'GS&gt;50 PW'!$B$9</f>
        <v>1883.399803065799</v>
      </c>
      <c r="O47" s="44">
        <f>H47*'GS&gt;50 PW'!$B$10</f>
        <v>-164.60250956224843</v>
      </c>
      <c r="P47" s="44">
        <f>I47*'GS&gt;50 PW'!$B$11</f>
        <v>0</v>
      </c>
      <c r="Q47" s="46">
        <f>'Monthly Data'!BH47</f>
        <v>31</v>
      </c>
      <c r="R47" s="44">
        <f>'Monthly Data'!O47</f>
        <v>1013</v>
      </c>
      <c r="S47" s="44">
        <f t="shared" si="4"/>
        <v>74067518.253229633</v>
      </c>
      <c r="T47" s="44">
        <f t="shared" si="5"/>
        <v>-375183.64171200991</v>
      </c>
      <c r="U47" s="48">
        <f t="shared" si="6"/>
        <v>5.03989823262317E-3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158">
        <f>'Monthly Data'!M48</f>
        <v>73596562.894941643</v>
      </c>
      <c r="E48" s="46">
        <f>'Monthly Data'!AJ48</f>
        <v>306.7</v>
      </c>
      <c r="F48" s="46">
        <f>'Monthly Data'!AK48</f>
        <v>0</v>
      </c>
      <c r="G48" s="46">
        <f>'Monthly Data'!V48</f>
        <v>643937</v>
      </c>
      <c r="H48" s="44">
        <f>'Monthly Data'!BG48</f>
        <v>47</v>
      </c>
      <c r="I48" s="44">
        <f>'Monthly Data'!BC48</f>
        <v>0</v>
      </c>
      <c r="K48" s="29">
        <f>'GS&gt;50 PW'!$B$6</f>
        <v>556.26088485683897</v>
      </c>
      <c r="L48" s="29">
        <f>E48*'GS&gt;50 PW'!$B$7</f>
        <v>139.61295856522563</v>
      </c>
      <c r="M48" s="29">
        <f>F48*'GS&gt;50 PW'!$B$8</f>
        <v>0</v>
      </c>
      <c r="N48" s="29">
        <f>G48*'GS&gt;50 PW'!$B$9</f>
        <v>1883.399803065799</v>
      </c>
      <c r="O48" s="44">
        <f>H48*'GS&gt;50 PW'!$B$10</f>
        <v>-168.18082498751468</v>
      </c>
      <c r="P48" s="44">
        <f>I48*'GS&gt;50 PW'!$B$11</f>
        <v>0</v>
      </c>
      <c r="Q48" s="46">
        <f>'Monthly Data'!BH48</f>
        <v>30</v>
      </c>
      <c r="R48" s="44">
        <f>'Monthly Data'!O48</f>
        <v>1014</v>
      </c>
      <c r="S48" s="44">
        <f t="shared" si="4"/>
        <v>73345443.630040601</v>
      </c>
      <c r="T48" s="44">
        <f t="shared" si="5"/>
        <v>-251119.26490104198</v>
      </c>
      <c r="U48" s="48">
        <f t="shared" si="6"/>
        <v>3.4121058786333843E-3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158">
        <f>'Monthly Data'!M49</f>
        <v>76011256.894941643</v>
      </c>
      <c r="E49" s="46">
        <f>'Monthly Data'!AJ49</f>
        <v>500.00000000000006</v>
      </c>
      <c r="F49" s="46">
        <f>'Monthly Data'!AK49</f>
        <v>0</v>
      </c>
      <c r="G49" s="46">
        <f>'Monthly Data'!V49</f>
        <v>643937</v>
      </c>
      <c r="H49" s="44">
        <f>'Monthly Data'!BG49</f>
        <v>48</v>
      </c>
      <c r="I49" s="44">
        <f>'Monthly Data'!BC49</f>
        <v>1</v>
      </c>
      <c r="K49" s="29">
        <f>'GS&gt;50 PW'!$B$6</f>
        <v>556.26088485683897</v>
      </c>
      <c r="L49" s="29">
        <f>E49*'GS&gt;50 PW'!$B$7</f>
        <v>227.60508406460002</v>
      </c>
      <c r="M49" s="29">
        <f>F49*'GS&gt;50 PW'!$B$8</f>
        <v>0</v>
      </c>
      <c r="N49" s="29">
        <f>G49*'GS&gt;50 PW'!$B$9</f>
        <v>1883.399803065799</v>
      </c>
      <c r="O49" s="44">
        <f>H49*'GS&gt;50 PW'!$B$10</f>
        <v>-171.75914041278097</v>
      </c>
      <c r="P49" s="44">
        <f>I49*'GS&gt;50 PW'!$B$11</f>
        <v>-107.242128303215</v>
      </c>
      <c r="Q49" s="46">
        <f>'Monthly Data'!BH49</f>
        <v>31</v>
      </c>
      <c r="R49" s="44">
        <f>'Monthly Data'!O49</f>
        <v>1015</v>
      </c>
      <c r="S49" s="44">
        <f t="shared" si="4"/>
        <v>75146742.595429614</v>
      </c>
      <c r="T49" s="44">
        <f t="shared" si="5"/>
        <v>-864514.29951202869</v>
      </c>
      <c r="U49" s="48">
        <f t="shared" si="6"/>
        <v>1.137350354180974E-2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158">
        <f>'Monthly Data'!M50</f>
        <v>82552599.294809774</v>
      </c>
      <c r="E50" s="46">
        <f>'Monthly Data'!AJ50</f>
        <v>648.1</v>
      </c>
      <c r="F50" s="46">
        <f>'Monthly Data'!AK50</f>
        <v>0</v>
      </c>
      <c r="G50" s="46">
        <f>'Monthly Data'!V50</f>
        <v>659861.19999999995</v>
      </c>
      <c r="H50" s="44">
        <f>'Monthly Data'!BG50</f>
        <v>49</v>
      </c>
      <c r="I50" s="44">
        <f>'Monthly Data'!BC50</f>
        <v>0</v>
      </c>
      <c r="K50" s="29">
        <f>'GS&gt;50 PW'!$B$6</f>
        <v>556.26088485683897</v>
      </c>
      <c r="L50" s="29">
        <f>E50*'GS&gt;50 PW'!$B$7</f>
        <v>295.02170996453452</v>
      </c>
      <c r="M50" s="29">
        <f>F50*'GS&gt;50 PW'!$B$8</f>
        <v>0</v>
      </c>
      <c r="N50" s="29">
        <f>G50*'GS&gt;50 PW'!$B$9</f>
        <v>1929.9752213815354</v>
      </c>
      <c r="O50" s="44">
        <f>H50*'GS&gt;50 PW'!$B$10</f>
        <v>-175.33745583804725</v>
      </c>
      <c r="P50" s="44">
        <f>I50*'GS&gt;50 PW'!$B$11</f>
        <v>0</v>
      </c>
      <c r="Q50" s="46">
        <f>'Monthly Data'!BH50</f>
        <v>31</v>
      </c>
      <c r="R50" s="44">
        <f>'Monthly Data'!O50</f>
        <v>1020</v>
      </c>
      <c r="S50" s="44">
        <f t="shared" si="4"/>
        <v>82399201.794736922</v>
      </c>
      <c r="T50" s="44">
        <f t="shared" si="5"/>
        <v>-153397.50007285178</v>
      </c>
      <c r="U50" s="48">
        <f t="shared" si="6"/>
        <v>1.858178923295225E-3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158">
        <f>'Monthly Data'!M51</f>
        <v>74935797.294809774</v>
      </c>
      <c r="E51" s="46">
        <f>'Monthly Data'!AJ51</f>
        <v>584.60000000000014</v>
      </c>
      <c r="F51" s="46">
        <f>'Monthly Data'!AK51</f>
        <v>0</v>
      </c>
      <c r="G51" s="46">
        <f>'Monthly Data'!V51</f>
        <v>659861.19999999995</v>
      </c>
      <c r="H51" s="44">
        <f>'Monthly Data'!BG51</f>
        <v>50</v>
      </c>
      <c r="I51" s="44">
        <f>'Monthly Data'!BC51</f>
        <v>0</v>
      </c>
      <c r="K51" s="29">
        <f>'GS&gt;50 PW'!$B$6</f>
        <v>556.26088485683897</v>
      </c>
      <c r="L51" s="29">
        <f>E51*'GS&gt;50 PW'!$B$7</f>
        <v>266.11586428833039</v>
      </c>
      <c r="M51" s="29">
        <f>F51*'GS&gt;50 PW'!$B$8</f>
        <v>0</v>
      </c>
      <c r="N51" s="29">
        <f>G51*'GS&gt;50 PW'!$B$9</f>
        <v>1929.9752213815354</v>
      </c>
      <c r="O51" s="44">
        <f>H51*'GS&gt;50 PW'!$B$10</f>
        <v>-178.9157712633135</v>
      </c>
      <c r="P51" s="44">
        <f>I51*'GS&gt;50 PW'!$B$11</f>
        <v>0</v>
      </c>
      <c r="Q51" s="46">
        <f>'Monthly Data'!BH51</f>
        <v>28</v>
      </c>
      <c r="R51" s="44">
        <f>'Monthly Data'!O51</f>
        <v>1020</v>
      </c>
      <c r="S51" s="44">
        <f t="shared" si="4"/>
        <v>73497337.850962445</v>
      </c>
      <c r="T51" s="44">
        <f t="shared" si="5"/>
        <v>-1438459.4438473284</v>
      </c>
      <c r="U51" s="48">
        <f t="shared" si="6"/>
        <v>1.919589162691086E-2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158">
        <f>'Monthly Data'!M52</f>
        <v>79784798.294809774</v>
      </c>
      <c r="E52" s="46">
        <f>'Monthly Data'!AJ52</f>
        <v>526.39999999999986</v>
      </c>
      <c r="F52" s="46">
        <f>'Monthly Data'!AK52</f>
        <v>0</v>
      </c>
      <c r="G52" s="46">
        <f>'Monthly Data'!V52</f>
        <v>659861.19999999995</v>
      </c>
      <c r="H52" s="44">
        <f>'Monthly Data'!BG52</f>
        <v>51</v>
      </c>
      <c r="I52" s="44">
        <f>'Monthly Data'!BC52</f>
        <v>0</v>
      </c>
      <c r="K52" s="29">
        <f>'GS&gt;50 PW'!$B$6</f>
        <v>556.26088485683897</v>
      </c>
      <c r="L52" s="29">
        <f>E52*'GS&gt;50 PW'!$B$7</f>
        <v>239.62263250321081</v>
      </c>
      <c r="M52" s="29">
        <f>F52*'GS&gt;50 PW'!$B$8</f>
        <v>0</v>
      </c>
      <c r="N52" s="29">
        <f>G52*'GS&gt;50 PW'!$B$9</f>
        <v>1929.9752213815354</v>
      </c>
      <c r="O52" s="44">
        <f>H52*'GS&gt;50 PW'!$B$10</f>
        <v>-182.49408668857978</v>
      </c>
      <c r="P52" s="44">
        <f>I52*'GS&gt;50 PW'!$B$11</f>
        <v>0</v>
      </c>
      <c r="Q52" s="46">
        <f>'Monthly Data'!BH52</f>
        <v>31</v>
      </c>
      <c r="R52" s="44">
        <f>'Monthly Data'!O52</f>
        <v>1020</v>
      </c>
      <c r="S52" s="44">
        <f t="shared" si="4"/>
        <v>80421190.29791604</v>
      </c>
      <c r="T52" s="44">
        <f t="shared" si="5"/>
        <v>636392.00310626626</v>
      </c>
      <c r="U52" s="48">
        <f t="shared" si="6"/>
        <v>7.9763566081192359E-3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158">
        <f>'Monthly Data'!M53</f>
        <v>72659808.294809774</v>
      </c>
      <c r="E53" s="46">
        <f>'Monthly Data'!AJ53</f>
        <v>244.29999999999993</v>
      </c>
      <c r="F53" s="46">
        <f>'Monthly Data'!AK53</f>
        <v>0</v>
      </c>
      <c r="G53" s="46">
        <f>'Monthly Data'!V53</f>
        <v>659861.19999999995</v>
      </c>
      <c r="H53" s="44">
        <f>'Monthly Data'!BG53</f>
        <v>52</v>
      </c>
      <c r="I53" s="44">
        <f>'Monthly Data'!BC53</f>
        <v>0</v>
      </c>
      <c r="K53" s="29">
        <f>'GS&gt;50 PW'!$B$6</f>
        <v>556.26088485683897</v>
      </c>
      <c r="L53" s="29">
        <f>E53*'GS&gt;50 PW'!$B$7</f>
        <v>111.20784407396353</v>
      </c>
      <c r="M53" s="29">
        <f>F53*'GS&gt;50 PW'!$B$8</f>
        <v>0</v>
      </c>
      <c r="N53" s="29">
        <f>G53*'GS&gt;50 PW'!$B$9</f>
        <v>1929.9752213815354</v>
      </c>
      <c r="O53" s="44">
        <f>H53*'GS&gt;50 PW'!$B$10</f>
        <v>-186.07240211384604</v>
      </c>
      <c r="P53" s="44">
        <f>I53*'GS&gt;50 PW'!$B$11</f>
        <v>0</v>
      </c>
      <c r="Q53" s="46">
        <f>'Monthly Data'!BH53</f>
        <v>30</v>
      </c>
      <c r="R53" s="44">
        <f>'Monthly Data'!O53</f>
        <v>1019</v>
      </c>
      <c r="S53" s="44">
        <f t="shared" si="4"/>
        <v>73715628.228427902</v>
      </c>
      <c r="T53" s="44">
        <f t="shared" si="5"/>
        <v>1055819.9336181283</v>
      </c>
      <c r="U53" s="48">
        <f t="shared" si="6"/>
        <v>1.4531003568496167E-2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158">
        <f>'Monthly Data'!M54</f>
        <v>73690526.294809774</v>
      </c>
      <c r="E54" s="46">
        <f>'Monthly Data'!AJ54</f>
        <v>71.099999999999994</v>
      </c>
      <c r="F54" s="46">
        <f>'Monthly Data'!AK54</f>
        <v>35.799999999999997</v>
      </c>
      <c r="G54" s="46">
        <f>'Monthly Data'!V54</f>
        <v>659861.19999999995</v>
      </c>
      <c r="H54" s="44">
        <f>'Monthly Data'!BG54</f>
        <v>53</v>
      </c>
      <c r="I54" s="44">
        <f>'Monthly Data'!BC54</f>
        <v>0</v>
      </c>
      <c r="K54" s="29">
        <f>'GS&gt;50 PW'!$B$6</f>
        <v>556.26088485683897</v>
      </c>
      <c r="L54" s="29">
        <f>E54*'GS&gt;50 PW'!$B$7</f>
        <v>32.365442953986118</v>
      </c>
      <c r="M54" s="29">
        <f>F54*'GS&gt;50 PW'!$B$8</f>
        <v>55.415399723372381</v>
      </c>
      <c r="N54" s="29">
        <f>G54*'GS&gt;50 PW'!$B$9</f>
        <v>1929.9752213815354</v>
      </c>
      <c r="O54" s="44">
        <f>H54*'GS&gt;50 PW'!$B$10</f>
        <v>-189.65071753911232</v>
      </c>
      <c r="P54" s="44">
        <f>I54*'GS&gt;50 PW'!$B$11</f>
        <v>0</v>
      </c>
      <c r="Q54" s="46">
        <f>'Monthly Data'!BH54</f>
        <v>31</v>
      </c>
      <c r="R54" s="44">
        <f>'Monthly Data'!O54</f>
        <v>1017</v>
      </c>
      <c r="S54" s="44">
        <f t="shared" si="4"/>
        <v>75171914.176610708</v>
      </c>
      <c r="T54" s="44">
        <f t="shared" si="5"/>
        <v>1481387.8818009347</v>
      </c>
      <c r="U54" s="48">
        <f t="shared" si="6"/>
        <v>2.0102826730730963E-2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158">
        <f>'Monthly Data'!M55</f>
        <v>77041220.294809774</v>
      </c>
      <c r="E55" s="46">
        <f>'Monthly Data'!AJ55</f>
        <v>1.9000000000000004</v>
      </c>
      <c r="F55" s="46">
        <f>'Monthly Data'!AK55</f>
        <v>137.30000000000001</v>
      </c>
      <c r="G55" s="46">
        <f>'Monthly Data'!V55</f>
        <v>659861.19999999995</v>
      </c>
      <c r="H55" s="44">
        <f>'Monthly Data'!BG55</f>
        <v>54</v>
      </c>
      <c r="I55" s="44">
        <f>'Monthly Data'!BC55</f>
        <v>0</v>
      </c>
      <c r="K55" s="29">
        <f>'GS&gt;50 PW'!$B$6</f>
        <v>556.26088485683897</v>
      </c>
      <c r="L55" s="29">
        <f>E55*'GS&gt;50 PW'!$B$7</f>
        <v>0.86489931944548015</v>
      </c>
      <c r="M55" s="29">
        <f>F55*'GS&gt;50 PW'!$B$8</f>
        <v>212.52889335248685</v>
      </c>
      <c r="N55" s="29">
        <f>G55*'GS&gt;50 PW'!$B$9</f>
        <v>1929.9752213815354</v>
      </c>
      <c r="O55" s="44">
        <f>H55*'GS&gt;50 PW'!$B$10</f>
        <v>-193.22903296437858</v>
      </c>
      <c r="P55" s="44">
        <f>I55*'GS&gt;50 PW'!$B$11</f>
        <v>0</v>
      </c>
      <c r="Q55" s="46">
        <f>'Monthly Data'!BH55</f>
        <v>30</v>
      </c>
      <c r="R55" s="44">
        <f>'Monthly Data'!O55</f>
        <v>1016.5</v>
      </c>
      <c r="S55" s="44">
        <f t="shared" si="4"/>
        <v>76432694.40702109</v>
      </c>
      <c r="T55" s="44">
        <f t="shared" si="5"/>
        <v>-608525.88778868318</v>
      </c>
      <c r="U55" s="48">
        <f t="shared" si="6"/>
        <v>7.898705205603802E-3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158">
        <f>'Monthly Data'!M56</f>
        <v>81112465.294809774</v>
      </c>
      <c r="E56" s="46">
        <f>'Monthly Data'!AJ56</f>
        <v>0</v>
      </c>
      <c r="F56" s="46">
        <f>'Monthly Data'!AK56</f>
        <v>180.6</v>
      </c>
      <c r="G56" s="46">
        <f>'Monthly Data'!V56</f>
        <v>659861.19999999995</v>
      </c>
      <c r="H56" s="44">
        <f>'Monthly Data'!BG56</f>
        <v>55</v>
      </c>
      <c r="I56" s="44">
        <f>'Monthly Data'!BC56</f>
        <v>0</v>
      </c>
      <c r="K56" s="29">
        <f>'GS&gt;50 PW'!$B$6</f>
        <v>556.26088485683897</v>
      </c>
      <c r="L56" s="29">
        <f>E56*'GS&gt;50 PW'!$B$7</f>
        <v>0</v>
      </c>
      <c r="M56" s="29">
        <f>F56*'GS&gt;50 PW'!$B$8</f>
        <v>279.55366452628635</v>
      </c>
      <c r="N56" s="29">
        <f>G56*'GS&gt;50 PW'!$B$9</f>
        <v>1929.9752213815354</v>
      </c>
      <c r="O56" s="44">
        <f>H56*'GS&gt;50 PW'!$B$10</f>
        <v>-196.80734838964486</v>
      </c>
      <c r="P56" s="44">
        <f>I56*'GS&gt;50 PW'!$B$11</f>
        <v>0</v>
      </c>
      <c r="Q56" s="46">
        <f>'Monthly Data'!BH56</f>
        <v>31</v>
      </c>
      <c r="R56" s="44">
        <f>'Monthly Data'!O56</f>
        <v>1016</v>
      </c>
      <c r="S56" s="44">
        <f t="shared" si="4"/>
        <v>80912670.375123486</v>
      </c>
      <c r="T56" s="44">
        <f t="shared" si="5"/>
        <v>-199794.91968628764</v>
      </c>
      <c r="U56" s="48">
        <f t="shared" si="6"/>
        <v>2.4631839133494086E-3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158">
        <f>'Monthly Data'!M57</f>
        <v>79689322.294809774</v>
      </c>
      <c r="E57" s="46">
        <f>'Monthly Data'!AJ57</f>
        <v>0</v>
      </c>
      <c r="F57" s="46">
        <f>'Monthly Data'!AK57</f>
        <v>188.19999999999996</v>
      </c>
      <c r="G57" s="46">
        <f>'Monthly Data'!V57</f>
        <v>659861.19999999995</v>
      </c>
      <c r="H57" s="44">
        <f>'Monthly Data'!BG57</f>
        <v>56</v>
      </c>
      <c r="I57" s="44">
        <f>'Monthly Data'!BC57</f>
        <v>0</v>
      </c>
      <c r="K57" s="29">
        <f>'GS&gt;50 PW'!$B$6</f>
        <v>556.26088485683897</v>
      </c>
      <c r="L57" s="29">
        <f>E57*'GS&gt;50 PW'!$B$7</f>
        <v>0</v>
      </c>
      <c r="M57" s="29">
        <f>F57*'GS&gt;50 PW'!$B$8</f>
        <v>291.31782759605255</v>
      </c>
      <c r="N57" s="29">
        <f>G57*'GS&gt;50 PW'!$B$9</f>
        <v>1929.9752213815354</v>
      </c>
      <c r="O57" s="44">
        <f>H57*'GS&gt;50 PW'!$B$10</f>
        <v>-200.38566381491114</v>
      </c>
      <c r="P57" s="44">
        <f>I57*'GS&gt;50 PW'!$B$11</f>
        <v>0</v>
      </c>
      <c r="Q57" s="46">
        <f>'Monthly Data'!BH57</f>
        <v>31</v>
      </c>
      <c r="R57" s="44">
        <f>'Monthly Data'!O57</f>
        <v>1016</v>
      </c>
      <c r="S57" s="44">
        <f t="shared" si="4"/>
        <v>81170491.832534671</v>
      </c>
      <c r="T57" s="44">
        <f t="shared" si="5"/>
        <v>1481169.5377248973</v>
      </c>
      <c r="U57" s="48">
        <f t="shared" si="6"/>
        <v>1.8586800528248022E-2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158">
        <f>'Monthly Data'!M58</f>
        <v>76306860.294809774</v>
      </c>
      <c r="E58" s="46">
        <f>'Monthly Data'!AJ58</f>
        <v>10.299999999999999</v>
      </c>
      <c r="F58" s="46">
        <f>'Monthly Data'!AK58</f>
        <v>108.9</v>
      </c>
      <c r="G58" s="46">
        <f>'Monthly Data'!V58</f>
        <v>659861.19999999995</v>
      </c>
      <c r="H58" s="44">
        <f>'Monthly Data'!BG58</f>
        <v>57</v>
      </c>
      <c r="I58" s="44">
        <f>'Monthly Data'!BC58</f>
        <v>0</v>
      </c>
      <c r="K58" s="29">
        <f>'GS&gt;50 PW'!$B$6</f>
        <v>556.26088485683897</v>
      </c>
      <c r="L58" s="29">
        <f>E58*'GS&gt;50 PW'!$B$7</f>
        <v>4.6886647317307597</v>
      </c>
      <c r="M58" s="29">
        <f>F58*'GS&gt;50 PW'!$B$8</f>
        <v>168.56807346020258</v>
      </c>
      <c r="N58" s="29">
        <f>G58*'GS&gt;50 PW'!$B$9</f>
        <v>1929.9752213815354</v>
      </c>
      <c r="O58" s="44">
        <f>H58*'GS&gt;50 PW'!$B$10</f>
        <v>-203.96397924017739</v>
      </c>
      <c r="P58" s="44">
        <f>I58*'GS&gt;50 PW'!$B$11</f>
        <v>0</v>
      </c>
      <c r="Q58" s="46">
        <f>'Monthly Data'!BH58</f>
        <v>30</v>
      </c>
      <c r="R58" s="44">
        <f>'Monthly Data'!O58</f>
        <v>1025</v>
      </c>
      <c r="S58" s="44">
        <f t="shared" si="4"/>
        <v>75507512.604596525</v>
      </c>
      <c r="T58" s="44">
        <f t="shared" si="5"/>
        <v>-799347.69021324813</v>
      </c>
      <c r="U58" s="48">
        <f t="shared" si="6"/>
        <v>1.0475436771018844E-2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158">
        <f>'Monthly Data'!M59</f>
        <v>74592542.294809774</v>
      </c>
      <c r="E59" s="46">
        <f>'Monthly Data'!AJ59</f>
        <v>90.8</v>
      </c>
      <c r="F59" s="46">
        <f>'Monthly Data'!AK59</f>
        <v>19.899999999999999</v>
      </c>
      <c r="G59" s="46">
        <f>'Monthly Data'!V59</f>
        <v>659861.19999999995</v>
      </c>
      <c r="H59" s="44">
        <f>'Monthly Data'!BG59</f>
        <v>58</v>
      </c>
      <c r="I59" s="44">
        <f>'Monthly Data'!BC59</f>
        <v>0</v>
      </c>
      <c r="K59" s="29">
        <f>'GS&gt;50 PW'!$B$6</f>
        <v>556.26088485683897</v>
      </c>
      <c r="L59" s="29">
        <f>E59*'GS&gt;50 PW'!$B$7</f>
        <v>41.333083266131361</v>
      </c>
      <c r="M59" s="29">
        <f>F59*'GS&gt;50 PW'!$B$8</f>
        <v>30.80353224846677</v>
      </c>
      <c r="N59" s="29">
        <f>G59*'GS&gt;50 PW'!$B$9</f>
        <v>1929.9752213815354</v>
      </c>
      <c r="O59" s="44">
        <f>H59*'GS&gt;50 PW'!$B$10</f>
        <v>-207.54229466544368</v>
      </c>
      <c r="P59" s="44">
        <f>I59*'GS&gt;50 PW'!$B$11</f>
        <v>0</v>
      </c>
      <c r="Q59" s="46">
        <f>'Monthly Data'!BH59</f>
        <v>31</v>
      </c>
      <c r="R59" s="44">
        <f>'Monthly Data'!O59</f>
        <v>1028</v>
      </c>
      <c r="S59" s="44">
        <f t="shared" si="4"/>
        <v>74916264.05042538</v>
      </c>
      <c r="T59" s="44">
        <f t="shared" si="5"/>
        <v>323721.7556156069</v>
      </c>
      <c r="U59" s="48">
        <f t="shared" si="6"/>
        <v>4.339867574645352E-3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158">
        <f>'Monthly Data'!M60</f>
        <v>74134367.294809774</v>
      </c>
      <c r="E60" s="46">
        <f>'Monthly Data'!AJ60</f>
        <v>321.5</v>
      </c>
      <c r="F60" s="46">
        <f>'Monthly Data'!AK60</f>
        <v>0</v>
      </c>
      <c r="G60" s="46">
        <f>'Monthly Data'!V60</f>
        <v>659861.19999999995</v>
      </c>
      <c r="H60" s="44">
        <f>'Monthly Data'!BG60</f>
        <v>59</v>
      </c>
      <c r="I60" s="44">
        <f>'Monthly Data'!BC60</f>
        <v>0</v>
      </c>
      <c r="K60" s="29">
        <f>'GS&gt;50 PW'!$B$6</f>
        <v>556.26088485683897</v>
      </c>
      <c r="L60" s="29">
        <f>E60*'GS&gt;50 PW'!$B$7</f>
        <v>146.35006905353779</v>
      </c>
      <c r="M60" s="29">
        <f>F60*'GS&gt;50 PW'!$B$8</f>
        <v>0</v>
      </c>
      <c r="N60" s="29">
        <f>G60*'GS&gt;50 PW'!$B$9</f>
        <v>1929.9752213815354</v>
      </c>
      <c r="O60" s="44">
        <f>H60*'GS&gt;50 PW'!$B$10</f>
        <v>-211.12061009070993</v>
      </c>
      <c r="P60" s="44">
        <f>I60*'GS&gt;50 PW'!$B$11</f>
        <v>0</v>
      </c>
      <c r="Q60" s="46">
        <f>'Monthly Data'!BH60</f>
        <v>30</v>
      </c>
      <c r="R60" s="44">
        <f>'Monthly Data'!O60</f>
        <v>1029</v>
      </c>
      <c r="S60" s="44">
        <f t="shared" si="4"/>
        <v>74750641.99776113</v>
      </c>
      <c r="T60" s="44">
        <f t="shared" si="5"/>
        <v>616274.70295135677</v>
      </c>
      <c r="U60" s="48">
        <f t="shared" si="6"/>
        <v>8.3129421001277345E-3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158">
        <f>'Monthly Data'!M61</f>
        <v>75324781.294809774</v>
      </c>
      <c r="E61" s="46">
        <f>'Monthly Data'!AJ61</f>
        <v>395.1</v>
      </c>
      <c r="F61" s="46">
        <f>'Monthly Data'!AK61</f>
        <v>0</v>
      </c>
      <c r="G61" s="46">
        <f>'Monthly Data'!V61</f>
        <v>659861.19999999995</v>
      </c>
      <c r="H61" s="44">
        <f>'Monthly Data'!BG61</f>
        <v>60</v>
      </c>
      <c r="I61" s="44">
        <f>'Monthly Data'!BC61</f>
        <v>1</v>
      </c>
      <c r="K61" s="29">
        <f>'GS&gt;50 PW'!$B$6</f>
        <v>556.26088485683897</v>
      </c>
      <c r="L61" s="29">
        <f>E61*'GS&gt;50 PW'!$B$7</f>
        <v>179.85353742784693</v>
      </c>
      <c r="M61" s="29">
        <f>F61*'GS&gt;50 PW'!$B$8</f>
        <v>0</v>
      </c>
      <c r="N61" s="29">
        <f>G61*'GS&gt;50 PW'!$B$9</f>
        <v>1929.9752213815354</v>
      </c>
      <c r="O61" s="44">
        <f>H61*'GS&gt;50 PW'!$B$10</f>
        <v>-214.69892551597621</v>
      </c>
      <c r="P61" s="44">
        <f>I61*'GS&gt;50 PW'!$B$11</f>
        <v>-107.242128303215</v>
      </c>
      <c r="Q61" s="46">
        <f>'Monthly Data'!BH61</f>
        <v>31</v>
      </c>
      <c r="R61" s="44">
        <f>'Monthly Data'!O61</f>
        <v>1028</v>
      </c>
      <c r="S61" s="44">
        <f t="shared" si="4"/>
        <v>74703327.261245176</v>
      </c>
      <c r="T61" s="44">
        <f t="shared" si="5"/>
        <v>-621454.03356459737</v>
      </c>
      <c r="U61" s="48">
        <f t="shared" si="6"/>
        <v>8.2503264248763031E-3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158">
        <f>'Monthly Data'!M62</f>
        <v>81657018.901304796</v>
      </c>
      <c r="E62" s="46">
        <f>'Monthly Data'!AJ62</f>
        <v>615.5999999999998</v>
      </c>
      <c r="F62" s="46">
        <f>'Monthly Data'!AK62</f>
        <v>0</v>
      </c>
      <c r="G62" s="46">
        <f>'Monthly Data'!V62</f>
        <v>677384</v>
      </c>
      <c r="H62" s="44">
        <f>'Monthly Data'!BG62</f>
        <v>61</v>
      </c>
      <c r="I62" s="44">
        <f>'Monthly Data'!BC62</f>
        <v>0</v>
      </c>
      <c r="K62" s="29">
        <f>'GS&gt;50 PW'!$B$6</f>
        <v>556.26088485683897</v>
      </c>
      <c r="L62" s="29">
        <f>E62*'GS&gt;50 PW'!$B$7</f>
        <v>280.22737950033542</v>
      </c>
      <c r="M62" s="29">
        <f>F62*'GS&gt;50 PW'!$B$8</f>
        <v>0</v>
      </c>
      <c r="N62" s="29">
        <f>G62*'GS&gt;50 PW'!$B$9</f>
        <v>1981.2262569163183</v>
      </c>
      <c r="O62" s="44">
        <f>H62*'GS&gt;50 PW'!$B$10</f>
        <v>-218.27724094124247</v>
      </c>
      <c r="P62" s="44">
        <f>I62*'GS&gt;50 PW'!$B$11</f>
        <v>0</v>
      </c>
      <c r="Q62" s="46">
        <f>'Monthly Data'!BH62</f>
        <v>31</v>
      </c>
      <c r="R62" s="44">
        <f>'Monthly Data'!O62</f>
        <v>1028</v>
      </c>
      <c r="S62" s="44">
        <f t="shared" si="4"/>
        <v>82838867.249628156</v>
      </c>
      <c r="T62" s="44">
        <f t="shared" si="5"/>
        <v>1181848.3483233601</v>
      </c>
      <c r="U62" s="48">
        <f t="shared" si="6"/>
        <v>1.4473322247433593E-2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158">
        <f>'Monthly Data'!M63</f>
        <v>76315766.901304796</v>
      </c>
      <c r="E63" s="46">
        <f>'Monthly Data'!AJ63</f>
        <v>703.89999999999986</v>
      </c>
      <c r="F63" s="46">
        <f>'Monthly Data'!AK63</f>
        <v>0</v>
      </c>
      <c r="G63" s="46">
        <f>'Monthly Data'!V63</f>
        <v>677384</v>
      </c>
      <c r="H63" s="44">
        <f>'Monthly Data'!BG63</f>
        <v>62</v>
      </c>
      <c r="I63" s="44">
        <f>'Monthly Data'!BC63</f>
        <v>0</v>
      </c>
      <c r="K63" s="29">
        <f>'GS&gt;50 PW'!$B$6</f>
        <v>556.26088485683897</v>
      </c>
      <c r="L63" s="29">
        <f>E63*'GS&gt;50 PW'!$B$7</f>
        <v>320.42243734614385</v>
      </c>
      <c r="M63" s="29">
        <f>F63*'GS&gt;50 PW'!$B$8</f>
        <v>0</v>
      </c>
      <c r="N63" s="29">
        <f>G63*'GS&gt;50 PW'!$B$9</f>
        <v>1981.2262569163183</v>
      </c>
      <c r="O63" s="44">
        <f>H63*'GS&gt;50 PW'!$B$10</f>
        <v>-221.85555636650875</v>
      </c>
      <c r="P63" s="44">
        <f>I63*'GS&gt;50 PW'!$B$11</f>
        <v>0</v>
      </c>
      <c r="Q63" s="46">
        <f>'Monthly Data'!BH63</f>
        <v>28</v>
      </c>
      <c r="R63" s="44">
        <f>'Monthly Data'!O63</f>
        <v>1027</v>
      </c>
      <c r="S63" s="44">
        <f t="shared" si="4"/>
        <v>75802369.478279307</v>
      </c>
      <c r="T63" s="44">
        <f t="shared" si="5"/>
        <v>-513397.42302548885</v>
      </c>
      <c r="U63" s="48">
        <f t="shared" si="6"/>
        <v>6.7272785673429579E-3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158">
        <f>'Monthly Data'!M64</f>
        <v>79384809.901304796</v>
      </c>
      <c r="E64" s="46">
        <f>'Monthly Data'!AJ64</f>
        <v>469.99999999999994</v>
      </c>
      <c r="F64" s="46">
        <f>'Monthly Data'!AK64</f>
        <v>0</v>
      </c>
      <c r="G64" s="46">
        <f>'Monthly Data'!V64</f>
        <v>677384</v>
      </c>
      <c r="H64" s="44">
        <f>'Monthly Data'!BG64</f>
        <v>63</v>
      </c>
      <c r="I64" s="44">
        <f>'Monthly Data'!BC64</f>
        <v>0</v>
      </c>
      <c r="K64" s="29">
        <f>'GS&gt;50 PW'!$B$6</f>
        <v>556.26088485683897</v>
      </c>
      <c r="L64" s="29">
        <f>E64*'GS&gt;50 PW'!$B$7</f>
        <v>213.94877902072398</v>
      </c>
      <c r="M64" s="29">
        <f>F64*'GS&gt;50 PW'!$B$8</f>
        <v>0</v>
      </c>
      <c r="N64" s="29">
        <f>G64*'GS&gt;50 PW'!$B$9</f>
        <v>1981.2262569163183</v>
      </c>
      <c r="O64" s="44">
        <f>H64*'GS&gt;50 PW'!$B$10</f>
        <v>-225.433871791775</v>
      </c>
      <c r="P64" s="44">
        <f>I64*'GS&gt;50 PW'!$B$11</f>
        <v>0</v>
      </c>
      <c r="Q64" s="46">
        <f>'Monthly Data'!BH64</f>
        <v>31</v>
      </c>
      <c r="R64" s="44">
        <f>'Monthly Data'!O64</f>
        <v>1030</v>
      </c>
      <c r="S64" s="44">
        <f t="shared" si="4"/>
        <v>80655245.424637258</v>
      </c>
      <c r="T64" s="44">
        <f t="shared" si="5"/>
        <v>1270435.5233324617</v>
      </c>
      <c r="U64" s="48">
        <f t="shared" si="6"/>
        <v>1.6003509045520562E-2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158">
        <f>'Monthly Data'!M65</f>
        <v>71921603.901304796</v>
      </c>
      <c r="E65" s="46">
        <f>'Monthly Data'!AJ65</f>
        <v>203.49999999999991</v>
      </c>
      <c r="F65" s="46">
        <f>'Monthly Data'!AK65</f>
        <v>1.5999999999999996</v>
      </c>
      <c r="G65" s="46">
        <f>'Monthly Data'!V65</f>
        <v>677384</v>
      </c>
      <c r="H65" s="44">
        <f>'Monthly Data'!BG65</f>
        <v>64</v>
      </c>
      <c r="I65" s="44">
        <f>'Monthly Data'!BC65</f>
        <v>0</v>
      </c>
      <c r="K65" s="29">
        <f>'GS&gt;50 PW'!$B$6</f>
        <v>556.26088485683897</v>
      </c>
      <c r="L65" s="29">
        <f>E65*'GS&gt;50 PW'!$B$7</f>
        <v>92.635269214292165</v>
      </c>
      <c r="M65" s="29">
        <f>F65*'GS&gt;50 PW'!$B$8</f>
        <v>2.4766659094244634</v>
      </c>
      <c r="N65" s="29">
        <f>G65*'GS&gt;50 PW'!$B$9</f>
        <v>1981.2262569163183</v>
      </c>
      <c r="O65" s="44">
        <f>H65*'GS&gt;50 PW'!$B$10</f>
        <v>-229.01218721704129</v>
      </c>
      <c r="P65" s="44">
        <f>I65*'GS&gt;50 PW'!$B$11</f>
        <v>0</v>
      </c>
      <c r="Q65" s="46">
        <f>'Monthly Data'!BH65</f>
        <v>30</v>
      </c>
      <c r="R65" s="44">
        <f>'Monthly Data'!O65</f>
        <v>1028</v>
      </c>
      <c r="S65" s="44">
        <f t="shared" si="4"/>
        <v>74126619.677726045</v>
      </c>
      <c r="T65" s="44">
        <f t="shared" si="5"/>
        <v>2205015.7764212489</v>
      </c>
      <c r="U65" s="48">
        <f t="shared" si="6"/>
        <v>3.0658601265999376E-2</v>
      </c>
    </row>
    <row r="66" spans="1:21" x14ac:dyDescent="0.2">
      <c r="A66" s="45">
        <f>'Monthly Data'!A66</f>
        <v>42125</v>
      </c>
      <c r="B66" s="29">
        <f t="shared" ref="B66:B121" si="7">YEAR(A66)</f>
        <v>2015</v>
      </c>
      <c r="C66" s="29">
        <f t="shared" ref="C66:C121" si="8">MONTH(A66)</f>
        <v>5</v>
      </c>
      <c r="D66" s="158">
        <f>'Monthly Data'!M66</f>
        <v>75614661.901304796</v>
      </c>
      <c r="E66" s="46">
        <f>'Monthly Data'!AJ66</f>
        <v>44.20000000000001</v>
      </c>
      <c r="F66" s="46">
        <f>'Monthly Data'!AK66</f>
        <v>60.8</v>
      </c>
      <c r="G66" s="46">
        <f>'Monthly Data'!V66</f>
        <v>677384</v>
      </c>
      <c r="H66" s="44">
        <f>'Monthly Data'!BG66</f>
        <v>65</v>
      </c>
      <c r="I66" s="44">
        <f>'Monthly Data'!BC66</f>
        <v>0</v>
      </c>
      <c r="K66" s="29">
        <f>'GS&gt;50 PW'!$B$6</f>
        <v>556.26088485683897</v>
      </c>
      <c r="L66" s="29">
        <f>E66*'GS&gt;50 PW'!$B$7</f>
        <v>20.120289431310646</v>
      </c>
      <c r="M66" s="29">
        <f>F66*'GS&gt;50 PW'!$B$8</f>
        <v>94.113304558129627</v>
      </c>
      <c r="N66" s="29">
        <f>G66*'GS&gt;50 PW'!$B$9</f>
        <v>1981.2262569163183</v>
      </c>
      <c r="O66" s="44">
        <f>H66*'GS&gt;50 PW'!$B$10</f>
        <v>-232.59050264230757</v>
      </c>
      <c r="P66" s="44">
        <f>I66*'GS&gt;50 PW'!$B$11</f>
        <v>0</v>
      </c>
      <c r="Q66" s="46">
        <f>'Monthly Data'!BH66</f>
        <v>31</v>
      </c>
      <c r="R66" s="44">
        <f>'Monthly Data'!O66</f>
        <v>1028</v>
      </c>
      <c r="S66" s="44">
        <f t="shared" si="4"/>
        <v>77092842.269077405</v>
      </c>
      <c r="T66" s="44">
        <f t="shared" ref="T66:T97" si="9">S66-D66</f>
        <v>1478180.367772609</v>
      </c>
      <c r="U66" s="48">
        <f t="shared" ref="U66:U97" si="10">ABS(T66/D66)</f>
        <v>1.9548859051991632E-2</v>
      </c>
    </row>
    <row r="67" spans="1:21" x14ac:dyDescent="0.2">
      <c r="A67" s="45">
        <f>'Monthly Data'!A67</f>
        <v>42156</v>
      </c>
      <c r="B67" s="29">
        <f t="shared" si="7"/>
        <v>2015</v>
      </c>
      <c r="C67" s="29">
        <f t="shared" si="8"/>
        <v>6</v>
      </c>
      <c r="D67" s="158">
        <f>'Monthly Data'!M67</f>
        <v>77512457.901304796</v>
      </c>
      <c r="E67" s="46">
        <f>'Monthly Data'!AJ67</f>
        <v>11.4</v>
      </c>
      <c r="F67" s="46">
        <f>'Monthly Data'!AK67</f>
        <v>98.000000000000028</v>
      </c>
      <c r="G67" s="46">
        <f>'Monthly Data'!V67</f>
        <v>677384</v>
      </c>
      <c r="H67" s="44">
        <f>'Monthly Data'!BG67</f>
        <v>66</v>
      </c>
      <c r="I67" s="44">
        <f>'Monthly Data'!BC67</f>
        <v>0</v>
      </c>
      <c r="K67" s="29">
        <f>'GS&gt;50 PW'!$B$6</f>
        <v>556.26088485683897</v>
      </c>
      <c r="L67" s="29">
        <f>E67*'GS&gt;50 PW'!$B$7</f>
        <v>5.18939591667288</v>
      </c>
      <c r="M67" s="29">
        <f>F67*'GS&gt;50 PW'!$B$8</f>
        <v>151.69578695224848</v>
      </c>
      <c r="N67" s="29">
        <f>G67*'GS&gt;50 PW'!$B$9</f>
        <v>1981.2262569163183</v>
      </c>
      <c r="O67" s="44">
        <f>H67*'GS&gt;50 PW'!$B$10</f>
        <v>-236.16881806757382</v>
      </c>
      <c r="P67" s="44">
        <f>I67*'GS&gt;50 PW'!$B$11</f>
        <v>0</v>
      </c>
      <c r="Q67" s="46">
        <f>'Monthly Data'!BH67</f>
        <v>30</v>
      </c>
      <c r="R67" s="44">
        <f>'Monthly Data'!O67</f>
        <v>1027</v>
      </c>
      <c r="S67" s="44">
        <f t="shared" ref="S67:S121" si="11">SUM(K67:P67)*Q67*R67</f>
        <v>75737250.037560493</v>
      </c>
      <c r="T67" s="44">
        <f t="shared" si="9"/>
        <v>-1775207.8637443036</v>
      </c>
      <c r="U67" s="48">
        <f t="shared" si="10"/>
        <v>2.290222645248385E-2</v>
      </c>
    </row>
    <row r="68" spans="1:21" x14ac:dyDescent="0.2">
      <c r="A68" s="45">
        <f>'Monthly Data'!A68</f>
        <v>42186</v>
      </c>
      <c r="B68" s="29">
        <f t="shared" si="7"/>
        <v>2015</v>
      </c>
      <c r="C68" s="29">
        <f t="shared" si="8"/>
        <v>7</v>
      </c>
      <c r="D68" s="158">
        <f>'Monthly Data'!M68</f>
        <v>84109914.901304796</v>
      </c>
      <c r="E68" s="46">
        <f>'Monthly Data'!AJ68</f>
        <v>0</v>
      </c>
      <c r="F68" s="46">
        <f>'Monthly Data'!AK68</f>
        <v>244.9</v>
      </c>
      <c r="G68" s="46">
        <f>'Monthly Data'!V68</f>
        <v>677384</v>
      </c>
      <c r="H68" s="44">
        <f>'Monthly Data'!BG68</f>
        <v>67</v>
      </c>
      <c r="I68" s="44">
        <f>'Monthly Data'!BC68</f>
        <v>0</v>
      </c>
      <c r="K68" s="29">
        <f>'GS&gt;50 PW'!$B$6</f>
        <v>556.26088485683897</v>
      </c>
      <c r="L68" s="29">
        <f>E68*'GS&gt;50 PW'!$B$7</f>
        <v>0</v>
      </c>
      <c r="M68" s="29">
        <f>F68*'GS&gt;50 PW'!$B$8</f>
        <v>379.08467576128203</v>
      </c>
      <c r="N68" s="29">
        <f>G68*'GS&gt;50 PW'!$B$9</f>
        <v>1981.2262569163183</v>
      </c>
      <c r="O68" s="44">
        <f>H68*'GS&gt;50 PW'!$B$10</f>
        <v>-239.74713349284011</v>
      </c>
      <c r="P68" s="44">
        <f>I68*'GS&gt;50 PW'!$B$11</f>
        <v>0</v>
      </c>
      <c r="Q68" s="46">
        <f>'Monthly Data'!BH68</f>
        <v>31</v>
      </c>
      <c r="R68" s="44">
        <f>'Monthly Data'!O68</f>
        <v>1027</v>
      </c>
      <c r="S68" s="44">
        <f t="shared" si="11"/>
        <v>85222067.465832397</v>
      </c>
      <c r="T68" s="44">
        <f t="shared" si="9"/>
        <v>1112152.564527601</v>
      </c>
      <c r="U68" s="48">
        <f t="shared" si="10"/>
        <v>1.3222609555991218E-2</v>
      </c>
    </row>
    <row r="69" spans="1:21" x14ac:dyDescent="0.2">
      <c r="A69" s="45">
        <f>'Monthly Data'!A69</f>
        <v>42217</v>
      </c>
      <c r="B69" s="29">
        <f t="shared" si="7"/>
        <v>2015</v>
      </c>
      <c r="C69" s="29">
        <f t="shared" si="8"/>
        <v>8</v>
      </c>
      <c r="D69" s="158">
        <f>'Monthly Data'!M69</f>
        <v>82970684.901304796</v>
      </c>
      <c r="E69" s="46">
        <f>'Monthly Data'!AJ69</f>
        <v>0</v>
      </c>
      <c r="F69" s="46">
        <f>'Monthly Data'!AK69</f>
        <v>210.70000000000002</v>
      </c>
      <c r="G69" s="46">
        <f>'Monthly Data'!V69</f>
        <v>677384</v>
      </c>
      <c r="H69" s="44">
        <f>'Monthly Data'!BG69</f>
        <v>68</v>
      </c>
      <c r="I69" s="44">
        <f>'Monthly Data'!BC69</f>
        <v>0</v>
      </c>
      <c r="K69" s="29">
        <f>'GS&gt;50 PW'!$B$6</f>
        <v>556.26088485683897</v>
      </c>
      <c r="L69" s="29">
        <f>E69*'GS&gt;50 PW'!$B$7</f>
        <v>0</v>
      </c>
      <c r="M69" s="29">
        <f>F69*'GS&gt;50 PW'!$B$8</f>
        <v>326.14594194733417</v>
      </c>
      <c r="N69" s="29">
        <f>G69*'GS&gt;50 PW'!$B$9</f>
        <v>1981.2262569163183</v>
      </c>
      <c r="O69" s="44">
        <f>H69*'GS&gt;50 PW'!$B$10</f>
        <v>-243.32544891810636</v>
      </c>
      <c r="P69" s="44">
        <f>I69*'GS&gt;50 PW'!$B$11</f>
        <v>0</v>
      </c>
      <c r="Q69" s="46">
        <f>'Monthly Data'!BH69</f>
        <v>31</v>
      </c>
      <c r="R69" s="44">
        <f>'Monthly Data'!O69</f>
        <v>1029</v>
      </c>
      <c r="S69" s="44">
        <f t="shared" si="11"/>
        <v>83585193.242561281</v>
      </c>
      <c r="T69" s="44">
        <f t="shared" si="9"/>
        <v>614508.34125648439</v>
      </c>
      <c r="U69" s="48">
        <f t="shared" si="10"/>
        <v>7.406330826212339E-3</v>
      </c>
    </row>
    <row r="70" spans="1:21" x14ac:dyDescent="0.2">
      <c r="A70" s="45">
        <f>'Monthly Data'!A70</f>
        <v>42248</v>
      </c>
      <c r="B70" s="29">
        <f t="shared" si="7"/>
        <v>2015</v>
      </c>
      <c r="C70" s="29">
        <f t="shared" si="8"/>
        <v>9</v>
      </c>
      <c r="D70" s="158">
        <f>'Monthly Data'!M70</f>
        <v>80471106.901304796</v>
      </c>
      <c r="E70" s="46">
        <f>'Monthly Data'!AJ70</f>
        <v>9.9999999999999645E-2</v>
      </c>
      <c r="F70" s="46">
        <f>'Monthly Data'!AK70</f>
        <v>181</v>
      </c>
      <c r="G70" s="46">
        <f>'Monthly Data'!V70</f>
        <v>677384</v>
      </c>
      <c r="H70" s="44">
        <f>'Monthly Data'!BG70</f>
        <v>69</v>
      </c>
      <c r="I70" s="44">
        <f>'Monthly Data'!BC70</f>
        <v>0</v>
      </c>
      <c r="K70" s="29">
        <f>'GS&gt;50 PW'!$B$6</f>
        <v>556.26088485683897</v>
      </c>
      <c r="L70" s="29">
        <f>E70*'GS&gt;50 PW'!$B$7</f>
        <v>4.552101681291984E-2</v>
      </c>
      <c r="M70" s="29">
        <f>F70*'GS&gt;50 PW'!$B$8</f>
        <v>280.1728310036425</v>
      </c>
      <c r="N70" s="29">
        <f>G70*'GS&gt;50 PW'!$B$9</f>
        <v>1981.2262569163183</v>
      </c>
      <c r="O70" s="44">
        <f>H70*'GS&gt;50 PW'!$B$10</f>
        <v>-246.90376434337264</v>
      </c>
      <c r="P70" s="44">
        <f>I70*'GS&gt;50 PW'!$B$11</f>
        <v>0</v>
      </c>
      <c r="Q70" s="46">
        <f>'Monthly Data'!BH70</f>
        <v>30</v>
      </c>
      <c r="R70" s="44">
        <f>'Monthly Data'!O70</f>
        <v>1028</v>
      </c>
      <c r="S70" s="44">
        <f t="shared" si="11"/>
        <v>79283525.336245403</v>
      </c>
      <c r="T70" s="44">
        <f t="shared" si="9"/>
        <v>-1187581.5650593936</v>
      </c>
      <c r="U70" s="48">
        <f t="shared" si="10"/>
        <v>1.4757862924837406E-2</v>
      </c>
    </row>
    <row r="71" spans="1:21" x14ac:dyDescent="0.2">
      <c r="A71" s="45">
        <f>'Monthly Data'!A71</f>
        <v>42278</v>
      </c>
      <c r="B71" s="29">
        <f t="shared" si="7"/>
        <v>2015</v>
      </c>
      <c r="C71" s="29">
        <f t="shared" si="8"/>
        <v>10</v>
      </c>
      <c r="D71" s="158">
        <f>'Monthly Data'!M71</f>
        <v>74766344.901304796</v>
      </c>
      <c r="E71" s="46">
        <f>'Monthly Data'!AJ71</f>
        <v>89.2</v>
      </c>
      <c r="F71" s="46">
        <f>'Monthly Data'!AK71</f>
        <v>14.399999999999997</v>
      </c>
      <c r="G71" s="46">
        <f>'Monthly Data'!V71</f>
        <v>677384</v>
      </c>
      <c r="H71" s="44">
        <f>'Monthly Data'!BG71</f>
        <v>70</v>
      </c>
      <c r="I71" s="44">
        <f>'Monthly Data'!BC71</f>
        <v>0</v>
      </c>
      <c r="K71" s="29">
        <f>'GS&gt;50 PW'!$B$6</f>
        <v>556.26088485683897</v>
      </c>
      <c r="L71" s="29">
        <f>E71*'GS&gt;50 PW'!$B$7</f>
        <v>40.604746997124643</v>
      </c>
      <c r="M71" s="29">
        <f>F71*'GS&gt;50 PW'!$B$8</f>
        <v>22.289993184820172</v>
      </c>
      <c r="N71" s="29">
        <f>G71*'GS&gt;50 PW'!$B$9</f>
        <v>1981.2262569163183</v>
      </c>
      <c r="O71" s="44">
        <f>H71*'GS&gt;50 PW'!$B$10</f>
        <v>-250.4820797686389</v>
      </c>
      <c r="P71" s="44">
        <f>I71*'GS&gt;50 PW'!$B$11</f>
        <v>0</v>
      </c>
      <c r="Q71" s="46">
        <f>'Monthly Data'!BH71</f>
        <v>31</v>
      </c>
      <c r="R71" s="44">
        <f>'Monthly Data'!O71</f>
        <v>1024</v>
      </c>
      <c r="S71" s="44">
        <f t="shared" si="11"/>
        <v>74595219.320607081</v>
      </c>
      <c r="T71" s="44">
        <f t="shared" si="9"/>
        <v>-171125.58069771528</v>
      </c>
      <c r="U71" s="48">
        <f t="shared" si="10"/>
        <v>2.2888049552724473E-3</v>
      </c>
    </row>
    <row r="72" spans="1:21" x14ac:dyDescent="0.2">
      <c r="A72" s="45">
        <f>'Monthly Data'!A72</f>
        <v>42309</v>
      </c>
      <c r="B72" s="29">
        <f t="shared" si="7"/>
        <v>2015</v>
      </c>
      <c r="C72" s="29">
        <f t="shared" si="8"/>
        <v>11</v>
      </c>
      <c r="D72" s="158">
        <f>'Monthly Data'!M72</f>
        <v>73580200.901304796</v>
      </c>
      <c r="E72" s="46">
        <f>'Monthly Data'!AJ72</f>
        <v>185.10000000000002</v>
      </c>
      <c r="F72" s="46">
        <f>'Monthly Data'!AK72</f>
        <v>4.0000000000000018</v>
      </c>
      <c r="G72" s="46">
        <f>'Monthly Data'!V72</f>
        <v>677384</v>
      </c>
      <c r="H72" s="44">
        <f>'Monthly Data'!BG72</f>
        <v>71</v>
      </c>
      <c r="I72" s="44">
        <f>'Monthly Data'!BC72</f>
        <v>0</v>
      </c>
      <c r="K72" s="29">
        <f>'GS&gt;50 PW'!$B$6</f>
        <v>556.26088485683897</v>
      </c>
      <c r="L72" s="29">
        <f>E72*'GS&gt;50 PW'!$B$7</f>
        <v>84.259402120714938</v>
      </c>
      <c r="M72" s="29">
        <f>F72*'GS&gt;50 PW'!$B$8</f>
        <v>6.191664773561163</v>
      </c>
      <c r="N72" s="29">
        <f>G72*'GS&gt;50 PW'!$B$9</f>
        <v>1981.2262569163183</v>
      </c>
      <c r="O72" s="44">
        <f>H72*'GS&gt;50 PW'!$B$10</f>
        <v>-254.06039519390518</v>
      </c>
      <c r="P72" s="44">
        <f>I72*'GS&gt;50 PW'!$B$11</f>
        <v>0</v>
      </c>
      <c r="Q72" s="46">
        <f>'Monthly Data'!BH72</f>
        <v>30</v>
      </c>
      <c r="R72" s="44">
        <f>'Monthly Data'!O72</f>
        <v>1027</v>
      </c>
      <c r="S72" s="44">
        <f t="shared" si="11"/>
        <v>73139175.433119401</v>
      </c>
      <c r="T72" s="44">
        <f t="shared" si="9"/>
        <v>-441025.468185395</v>
      </c>
      <c r="U72" s="48">
        <f t="shared" si="10"/>
        <v>5.9938062519964428E-3</v>
      </c>
    </row>
    <row r="73" spans="1:21" x14ac:dyDescent="0.2">
      <c r="A73" s="45">
        <f>'Monthly Data'!A73</f>
        <v>42339</v>
      </c>
      <c r="B73" s="29">
        <f t="shared" si="7"/>
        <v>2015</v>
      </c>
      <c r="C73" s="29">
        <f t="shared" si="8"/>
        <v>12</v>
      </c>
      <c r="D73" s="158">
        <f>'Monthly Data'!M73</f>
        <v>74354600.901304796</v>
      </c>
      <c r="E73" s="46">
        <f>'Monthly Data'!AJ73</f>
        <v>270.5</v>
      </c>
      <c r="F73" s="46">
        <f>'Monthly Data'!AK73</f>
        <v>0</v>
      </c>
      <c r="G73" s="46">
        <f>'Monthly Data'!V73</f>
        <v>677384</v>
      </c>
      <c r="H73" s="44">
        <f>'Monthly Data'!BG73</f>
        <v>72</v>
      </c>
      <c r="I73" s="44">
        <f>'Monthly Data'!BC73</f>
        <v>1</v>
      </c>
      <c r="K73" s="29">
        <f>'GS&gt;50 PW'!$B$6</f>
        <v>556.26088485683897</v>
      </c>
      <c r="L73" s="29">
        <f>E73*'GS&gt;50 PW'!$B$7</f>
        <v>123.1343504789486</v>
      </c>
      <c r="M73" s="29">
        <f>F73*'GS&gt;50 PW'!$B$8</f>
        <v>0</v>
      </c>
      <c r="N73" s="29">
        <f>G73*'GS&gt;50 PW'!$B$9</f>
        <v>1981.2262569163183</v>
      </c>
      <c r="O73" s="44">
        <f>H73*'GS&gt;50 PW'!$B$10</f>
        <v>-257.63871061917143</v>
      </c>
      <c r="P73" s="44">
        <f>I73*'GS&gt;50 PW'!$B$11</f>
        <v>-107.242128303215</v>
      </c>
      <c r="Q73" s="46">
        <f>'Monthly Data'!BH73</f>
        <v>31</v>
      </c>
      <c r="R73" s="44">
        <f>'Monthly Data'!O73</f>
        <v>1029</v>
      </c>
      <c r="S73" s="44">
        <f t="shared" si="11"/>
        <v>73231831.100564718</v>
      </c>
      <c r="T73" s="44">
        <f t="shared" si="9"/>
        <v>-1122769.8007400781</v>
      </c>
      <c r="U73" s="48">
        <f t="shared" si="10"/>
        <v>1.5100206135601427E-2</v>
      </c>
    </row>
    <row r="74" spans="1:21" x14ac:dyDescent="0.2">
      <c r="A74" s="45">
        <f>'Monthly Data'!A74</f>
        <v>42370</v>
      </c>
      <c r="B74" s="29">
        <f t="shared" si="7"/>
        <v>2016</v>
      </c>
      <c r="C74" s="29">
        <f t="shared" si="8"/>
        <v>1</v>
      </c>
      <c r="D74" s="158">
        <f>'Monthly Data'!M74</f>
        <v>80877446.451951042</v>
      </c>
      <c r="E74" s="46">
        <f>'Monthly Data'!AJ74</f>
        <v>501</v>
      </c>
      <c r="F74" s="46">
        <f>'Monthly Data'!AK74</f>
        <v>0</v>
      </c>
      <c r="G74" s="46">
        <f>'Monthly Data'!V74</f>
        <v>692620.80000000005</v>
      </c>
      <c r="H74" s="44">
        <f>'Monthly Data'!BG74</f>
        <v>73</v>
      </c>
      <c r="I74" s="44">
        <f>'Monthly Data'!BC74</f>
        <v>0</v>
      </c>
      <c r="K74" s="29">
        <f>'GS&gt;50 PW'!$B$6</f>
        <v>556.26088485683897</v>
      </c>
      <c r="L74" s="29">
        <f>E74*'GS&gt;50 PW'!$B$7</f>
        <v>228.06029423272921</v>
      </c>
      <c r="M74" s="29">
        <f>F74*'GS&gt;50 PW'!$B$8</f>
        <v>0</v>
      </c>
      <c r="N74" s="29">
        <f>G74*'GS&gt;50 PW'!$B$9</f>
        <v>2025.7911539782249</v>
      </c>
      <c r="O74" s="44">
        <f>H74*'GS&gt;50 PW'!$B$10</f>
        <v>-261.21702604443772</v>
      </c>
      <c r="P74" s="44">
        <f>I74*'GS&gt;50 PW'!$B$11</f>
        <v>0</v>
      </c>
      <c r="Q74" s="46">
        <f>'Monthly Data'!BH74</f>
        <v>31</v>
      </c>
      <c r="R74" s="44">
        <f>'Monthly Data'!O74</f>
        <v>1031</v>
      </c>
      <c r="S74" s="44">
        <f t="shared" si="11"/>
        <v>81465242.90777345</v>
      </c>
      <c r="T74" s="44">
        <f t="shared" si="9"/>
        <v>587796.4558224082</v>
      </c>
      <c r="U74" s="48">
        <f t="shared" si="10"/>
        <v>7.2677425117720013E-3</v>
      </c>
    </row>
    <row r="75" spans="1:21" x14ac:dyDescent="0.2">
      <c r="A75" s="45">
        <f>'Monthly Data'!A75</f>
        <v>42401</v>
      </c>
      <c r="B75" s="29">
        <f t="shared" si="7"/>
        <v>2016</v>
      </c>
      <c r="C75" s="29">
        <f t="shared" si="8"/>
        <v>2</v>
      </c>
      <c r="D75" s="158">
        <f>'Monthly Data'!M75</f>
        <v>76696727.451951042</v>
      </c>
      <c r="E75" s="46">
        <f>'Monthly Data'!AJ75</f>
        <v>428.29999999999995</v>
      </c>
      <c r="F75" s="46">
        <f>'Monthly Data'!AK75</f>
        <v>0</v>
      </c>
      <c r="G75" s="46">
        <f>'Monthly Data'!V75</f>
        <v>692620.80000000005</v>
      </c>
      <c r="H75" s="44">
        <f>'Monthly Data'!BG75</f>
        <v>74</v>
      </c>
      <c r="I75" s="44">
        <f>'Monthly Data'!BC75</f>
        <v>0</v>
      </c>
      <c r="K75" s="29">
        <f>'GS&gt;50 PW'!$B$6</f>
        <v>556.26088485683897</v>
      </c>
      <c r="L75" s="29">
        <f>E75*'GS&gt;50 PW'!$B$7</f>
        <v>194.96651500973636</v>
      </c>
      <c r="M75" s="29">
        <f>F75*'GS&gt;50 PW'!$B$8</f>
        <v>0</v>
      </c>
      <c r="N75" s="29">
        <f>G75*'GS&gt;50 PW'!$B$9</f>
        <v>2025.7911539782249</v>
      </c>
      <c r="O75" s="44">
        <f>H75*'GS&gt;50 PW'!$B$10</f>
        <v>-264.795341469704</v>
      </c>
      <c r="P75" s="44">
        <f>I75*'GS&gt;50 PW'!$B$11</f>
        <v>0</v>
      </c>
      <c r="Q75" s="46">
        <f>'Monthly Data'!BH75</f>
        <v>29</v>
      </c>
      <c r="R75" s="44">
        <f>'Monthly Data'!O75</f>
        <v>1033</v>
      </c>
      <c r="S75" s="44">
        <f t="shared" si="11"/>
        <v>75258670.773120761</v>
      </c>
      <c r="T75" s="44">
        <f t="shared" si="9"/>
        <v>-1438056.6788302809</v>
      </c>
      <c r="U75" s="48">
        <f t="shared" si="10"/>
        <v>1.8749909241319255E-2</v>
      </c>
    </row>
    <row r="76" spans="1:21" x14ac:dyDescent="0.2">
      <c r="A76" s="45">
        <f>'Monthly Data'!A76</f>
        <v>42430</v>
      </c>
      <c r="B76" s="29">
        <f t="shared" si="7"/>
        <v>2016</v>
      </c>
      <c r="C76" s="29">
        <f t="shared" si="8"/>
        <v>3</v>
      </c>
      <c r="D76" s="158">
        <f>'Monthly Data'!M76</f>
        <v>79053293.451951042</v>
      </c>
      <c r="E76" s="46">
        <f>'Monthly Data'!AJ76</f>
        <v>327.2</v>
      </c>
      <c r="F76" s="46">
        <f>'Monthly Data'!AK76</f>
        <v>0</v>
      </c>
      <c r="G76" s="46">
        <f>'Monthly Data'!V76</f>
        <v>692620.80000000005</v>
      </c>
      <c r="H76" s="44">
        <f>'Monthly Data'!BG76</f>
        <v>75</v>
      </c>
      <c r="I76" s="44">
        <f>'Monthly Data'!BC76</f>
        <v>0</v>
      </c>
      <c r="K76" s="29">
        <f>'GS&gt;50 PW'!$B$6</f>
        <v>556.26088485683897</v>
      </c>
      <c r="L76" s="29">
        <f>E76*'GS&gt;50 PW'!$B$7</f>
        <v>148.94476701187423</v>
      </c>
      <c r="M76" s="29">
        <f>F76*'GS&gt;50 PW'!$B$8</f>
        <v>0</v>
      </c>
      <c r="N76" s="29">
        <f>G76*'GS&gt;50 PW'!$B$9</f>
        <v>2025.7911539782249</v>
      </c>
      <c r="O76" s="44">
        <f>H76*'GS&gt;50 PW'!$B$10</f>
        <v>-268.37365689497028</v>
      </c>
      <c r="P76" s="44">
        <f>I76*'GS&gt;50 PW'!$B$11</f>
        <v>0</v>
      </c>
      <c r="Q76" s="46">
        <f>'Monthly Data'!BH76</f>
        <v>31</v>
      </c>
      <c r="R76" s="44">
        <f>'Monthly Data'!O76</f>
        <v>1034</v>
      </c>
      <c r="S76" s="44">
        <f t="shared" si="11"/>
        <v>78936922.416506365</v>
      </c>
      <c r="T76" s="44">
        <f t="shared" si="9"/>
        <v>-116371.03544467688</v>
      </c>
      <c r="U76" s="48">
        <f t="shared" si="10"/>
        <v>1.4720580302629357E-3</v>
      </c>
    </row>
    <row r="77" spans="1:21" x14ac:dyDescent="0.2">
      <c r="A77" s="45">
        <f>'Monthly Data'!A77</f>
        <v>42461</v>
      </c>
      <c r="B77" s="29">
        <f t="shared" si="7"/>
        <v>2016</v>
      </c>
      <c r="C77" s="29">
        <f t="shared" si="8"/>
        <v>4</v>
      </c>
      <c r="D77" s="158">
        <f>'Monthly Data'!M77</f>
        <v>75326609.451951042</v>
      </c>
      <c r="E77" s="46">
        <f>'Monthly Data'!AJ77</f>
        <v>273.7999999999999</v>
      </c>
      <c r="F77" s="46">
        <f>'Monthly Data'!AK77</f>
        <v>2.8000000000000007</v>
      </c>
      <c r="G77" s="46">
        <f>'Monthly Data'!V77</f>
        <v>692620.80000000005</v>
      </c>
      <c r="H77" s="44">
        <f>'Monthly Data'!BG77</f>
        <v>76</v>
      </c>
      <c r="I77" s="44">
        <f>'Monthly Data'!BC77</f>
        <v>0</v>
      </c>
      <c r="K77" s="29">
        <f>'GS&gt;50 PW'!$B$6</f>
        <v>556.26088485683897</v>
      </c>
      <c r="L77" s="29">
        <f>E77*'GS&gt;50 PW'!$B$7</f>
        <v>124.63654403377491</v>
      </c>
      <c r="M77" s="29">
        <f>F77*'GS&gt;50 PW'!$B$8</f>
        <v>4.3341653414928132</v>
      </c>
      <c r="N77" s="29">
        <f>G77*'GS&gt;50 PW'!$B$9</f>
        <v>2025.7911539782249</v>
      </c>
      <c r="O77" s="44">
        <f>H77*'GS&gt;50 PW'!$B$10</f>
        <v>-271.95197232023651</v>
      </c>
      <c r="P77" s="44">
        <f>I77*'GS&gt;50 PW'!$B$11</f>
        <v>0</v>
      </c>
      <c r="Q77" s="46">
        <f>'Monthly Data'!BH77</f>
        <v>30</v>
      </c>
      <c r="R77" s="44">
        <f>'Monthly Data'!O77</f>
        <v>1035</v>
      </c>
      <c r="S77" s="44">
        <f t="shared" si="11"/>
        <v>75733147.591387451</v>
      </c>
      <c r="T77" s="44">
        <f t="shared" si="9"/>
        <v>406538.13943640888</v>
      </c>
      <c r="U77" s="48">
        <f t="shared" si="10"/>
        <v>5.3970056848998277E-3</v>
      </c>
    </row>
    <row r="78" spans="1:21" x14ac:dyDescent="0.2">
      <c r="A78" s="45">
        <f>'Monthly Data'!A78</f>
        <v>42491</v>
      </c>
      <c r="B78" s="29">
        <f t="shared" si="7"/>
        <v>2016</v>
      </c>
      <c r="C78" s="29">
        <f t="shared" si="8"/>
        <v>5</v>
      </c>
      <c r="D78" s="158">
        <f>'Monthly Data'!M78</f>
        <v>77298721.451951042</v>
      </c>
      <c r="E78" s="46">
        <f>'Monthly Data'!AJ78</f>
        <v>74.600000000000009</v>
      </c>
      <c r="F78" s="46">
        <f>'Monthly Data'!AK78</f>
        <v>70.599999999999994</v>
      </c>
      <c r="G78" s="46">
        <f>'Monthly Data'!V78</f>
        <v>692620.80000000005</v>
      </c>
      <c r="H78" s="44">
        <f>'Monthly Data'!BG78</f>
        <v>77</v>
      </c>
      <c r="I78" s="44">
        <f>'Monthly Data'!BC78</f>
        <v>0</v>
      </c>
      <c r="K78" s="29">
        <f>'GS&gt;50 PW'!$B$6</f>
        <v>556.26088485683897</v>
      </c>
      <c r="L78" s="29">
        <f>E78*'GS&gt;50 PW'!$B$7</f>
        <v>33.958678542438328</v>
      </c>
      <c r="M78" s="29">
        <f>F78*'GS&gt;50 PW'!$B$8</f>
        <v>109.28288325335447</v>
      </c>
      <c r="N78" s="29">
        <f>G78*'GS&gt;50 PW'!$B$9</f>
        <v>2025.7911539782249</v>
      </c>
      <c r="O78" s="44">
        <f>H78*'GS&gt;50 PW'!$B$10</f>
        <v>-275.53028774550279</v>
      </c>
      <c r="P78" s="44">
        <f>I78*'GS&gt;50 PW'!$B$11</f>
        <v>0</v>
      </c>
      <c r="Q78" s="46">
        <f>'Monthly Data'!BH78</f>
        <v>31</v>
      </c>
      <c r="R78" s="44">
        <f>'Monthly Data'!O78</f>
        <v>1035</v>
      </c>
      <c r="S78" s="44">
        <f t="shared" si="11"/>
        <v>78600655.893926576</v>
      </c>
      <c r="T78" s="44">
        <f t="shared" si="9"/>
        <v>1301934.441975534</v>
      </c>
      <c r="U78" s="48">
        <f t="shared" si="10"/>
        <v>1.684289749585079E-2</v>
      </c>
    </row>
    <row r="79" spans="1:21" x14ac:dyDescent="0.2">
      <c r="A79" s="45">
        <f>'Monthly Data'!A79</f>
        <v>42522</v>
      </c>
      <c r="B79" s="29">
        <f t="shared" si="7"/>
        <v>2016</v>
      </c>
      <c r="C79" s="29">
        <f t="shared" si="8"/>
        <v>6</v>
      </c>
      <c r="D79" s="158">
        <f>'Monthly Data'!M79</f>
        <v>80715843.451951042</v>
      </c>
      <c r="E79" s="46">
        <f>'Monthly Data'!AJ79</f>
        <v>2</v>
      </c>
      <c r="F79" s="46">
        <f>'Monthly Data'!AK79</f>
        <v>163.6</v>
      </c>
      <c r="G79" s="46">
        <f>'Monthly Data'!V79</f>
        <v>692620.80000000005</v>
      </c>
      <c r="H79" s="44">
        <f>'Monthly Data'!BG79</f>
        <v>78</v>
      </c>
      <c r="I79" s="44">
        <f>'Monthly Data'!BC79</f>
        <v>0</v>
      </c>
      <c r="K79" s="29">
        <f>'GS&gt;50 PW'!$B$6</f>
        <v>556.26088485683897</v>
      </c>
      <c r="L79" s="29">
        <f>E79*'GS&gt;50 PW'!$B$7</f>
        <v>0.91042033625840002</v>
      </c>
      <c r="M79" s="29">
        <f>F79*'GS&gt;50 PW'!$B$8</f>
        <v>253.23908923865145</v>
      </c>
      <c r="N79" s="29">
        <f>G79*'GS&gt;50 PW'!$B$9</f>
        <v>2025.7911539782249</v>
      </c>
      <c r="O79" s="44">
        <f>H79*'GS&gt;50 PW'!$B$10</f>
        <v>-279.10860317076907</v>
      </c>
      <c r="P79" s="44">
        <f>I79*'GS&gt;50 PW'!$B$11</f>
        <v>0</v>
      </c>
      <c r="Q79" s="46">
        <f>'Monthly Data'!BH79</f>
        <v>30</v>
      </c>
      <c r="R79" s="44">
        <f>'Monthly Data'!O79</f>
        <v>1033</v>
      </c>
      <c r="S79" s="44">
        <f t="shared" si="11"/>
        <v>79244310.372962967</v>
      </c>
      <c r="T79" s="44">
        <f t="shared" si="9"/>
        <v>-1471533.0789880753</v>
      </c>
      <c r="U79" s="48">
        <f t="shared" si="10"/>
        <v>1.8231031431444524E-2</v>
      </c>
    </row>
    <row r="80" spans="1:21" x14ac:dyDescent="0.2">
      <c r="A80" s="45">
        <f>'Monthly Data'!A80</f>
        <v>42552</v>
      </c>
      <c r="B80" s="29">
        <f t="shared" si="7"/>
        <v>2016</v>
      </c>
      <c r="C80" s="29">
        <f t="shared" si="8"/>
        <v>7</v>
      </c>
      <c r="D80" s="158">
        <f>'Monthly Data'!M80</f>
        <v>86828378.451951042</v>
      </c>
      <c r="E80" s="46">
        <f>'Monthly Data'!AJ80</f>
        <v>0</v>
      </c>
      <c r="F80" s="46">
        <f>'Monthly Data'!AK80</f>
        <v>276.5</v>
      </c>
      <c r="G80" s="46">
        <f>'Monthly Data'!V80</f>
        <v>692620.80000000005</v>
      </c>
      <c r="H80" s="44">
        <f>'Monthly Data'!BG80</f>
        <v>79</v>
      </c>
      <c r="I80" s="44">
        <f>'Monthly Data'!BC80</f>
        <v>0</v>
      </c>
      <c r="K80" s="29">
        <f>'GS&gt;50 PW'!$B$6</f>
        <v>556.26088485683897</v>
      </c>
      <c r="L80" s="29">
        <f>E80*'GS&gt;50 PW'!$B$7</f>
        <v>0</v>
      </c>
      <c r="M80" s="29">
        <f>F80*'GS&gt;50 PW'!$B$8</f>
        <v>427.9988274724152</v>
      </c>
      <c r="N80" s="29">
        <f>G80*'GS&gt;50 PW'!$B$9</f>
        <v>2025.7911539782249</v>
      </c>
      <c r="O80" s="44">
        <f>H80*'GS&gt;50 PW'!$B$10</f>
        <v>-282.68691859603535</v>
      </c>
      <c r="P80" s="44">
        <f>I80*'GS&gt;50 PW'!$B$11</f>
        <v>0</v>
      </c>
      <c r="Q80" s="46">
        <f>'Monthly Data'!BH80</f>
        <v>31</v>
      </c>
      <c r="R80" s="44">
        <f>'Monthly Data'!O80</f>
        <v>1034</v>
      </c>
      <c r="S80" s="44">
        <f t="shared" si="11"/>
        <v>87422923.979942605</v>
      </c>
      <c r="T80" s="44">
        <f t="shared" si="9"/>
        <v>594545.52799156308</v>
      </c>
      <c r="U80" s="48">
        <f t="shared" si="10"/>
        <v>6.8473641750729205E-3</v>
      </c>
    </row>
    <row r="81" spans="1:21" x14ac:dyDescent="0.2">
      <c r="A81" s="45">
        <f>'Monthly Data'!A81</f>
        <v>42583</v>
      </c>
      <c r="B81" s="29">
        <f t="shared" si="7"/>
        <v>2016</v>
      </c>
      <c r="C81" s="29">
        <f t="shared" si="8"/>
        <v>8</v>
      </c>
      <c r="D81" s="158">
        <f>'Monthly Data'!M81</f>
        <v>89984192.451951042</v>
      </c>
      <c r="E81" s="46">
        <f>'Monthly Data'!AJ81</f>
        <v>0</v>
      </c>
      <c r="F81" s="46">
        <f>'Monthly Data'!AK81</f>
        <v>301.80000000000007</v>
      </c>
      <c r="G81" s="46">
        <f>'Monthly Data'!V81</f>
        <v>692620.80000000005</v>
      </c>
      <c r="H81" s="44">
        <f>'Monthly Data'!BG81</f>
        <v>80</v>
      </c>
      <c r="I81" s="44">
        <f>'Monthly Data'!BC81</f>
        <v>0</v>
      </c>
      <c r="K81" s="29">
        <f>'GS&gt;50 PW'!$B$6</f>
        <v>556.26088485683897</v>
      </c>
      <c r="L81" s="29">
        <f>E81*'GS&gt;50 PW'!$B$7</f>
        <v>0</v>
      </c>
      <c r="M81" s="29">
        <f>F81*'GS&gt;50 PW'!$B$8</f>
        <v>467.16110716518966</v>
      </c>
      <c r="N81" s="29">
        <f>G81*'GS&gt;50 PW'!$B$9</f>
        <v>2025.7911539782249</v>
      </c>
      <c r="O81" s="44">
        <f>H81*'GS&gt;50 PW'!$B$10</f>
        <v>-286.26523402130158</v>
      </c>
      <c r="P81" s="44">
        <f>I81*'GS&gt;50 PW'!$B$11</f>
        <v>0</v>
      </c>
      <c r="Q81" s="46">
        <f>'Monthly Data'!BH81</f>
        <v>31</v>
      </c>
      <c r="R81" s="44">
        <f>'Monthly Data'!O81</f>
        <v>1034</v>
      </c>
      <c r="S81" s="44">
        <f t="shared" si="11"/>
        <v>88563532.370573342</v>
      </c>
      <c r="T81" s="44">
        <f t="shared" si="9"/>
        <v>-1420660.0813777</v>
      </c>
      <c r="U81" s="48">
        <f t="shared" si="10"/>
        <v>1.5787884990314176E-2</v>
      </c>
    </row>
    <row r="82" spans="1:21" x14ac:dyDescent="0.2">
      <c r="A82" s="45">
        <f>'Monthly Data'!A82</f>
        <v>42614</v>
      </c>
      <c r="B82" s="29">
        <f t="shared" si="7"/>
        <v>2016</v>
      </c>
      <c r="C82" s="29">
        <f t="shared" si="8"/>
        <v>9</v>
      </c>
      <c r="D82" s="158">
        <f>'Monthly Data'!M82</f>
        <v>80657191.451951042</v>
      </c>
      <c r="E82" s="46">
        <f>'Monthly Data'!AJ82</f>
        <v>9.9999999999999645E-2</v>
      </c>
      <c r="F82" s="46">
        <f>'Monthly Data'!AK82</f>
        <v>181</v>
      </c>
      <c r="G82" s="46">
        <f>'Monthly Data'!V82</f>
        <v>692620.80000000005</v>
      </c>
      <c r="H82" s="44">
        <f>'Monthly Data'!BG82</f>
        <v>81</v>
      </c>
      <c r="I82" s="44">
        <f>'Monthly Data'!BC82</f>
        <v>0</v>
      </c>
      <c r="K82" s="29">
        <f>'GS&gt;50 PW'!$B$6</f>
        <v>556.26088485683897</v>
      </c>
      <c r="L82" s="29">
        <f>E82*'GS&gt;50 PW'!$B$7</f>
        <v>4.552101681291984E-2</v>
      </c>
      <c r="M82" s="29">
        <f>F82*'GS&gt;50 PW'!$B$8</f>
        <v>280.1728310036425</v>
      </c>
      <c r="N82" s="29">
        <f>G82*'GS&gt;50 PW'!$B$9</f>
        <v>2025.7911539782249</v>
      </c>
      <c r="O82" s="44">
        <f>H82*'GS&gt;50 PW'!$B$10</f>
        <v>-289.84354944656786</v>
      </c>
      <c r="P82" s="44">
        <f>I82*'GS&gt;50 PW'!$B$11</f>
        <v>0</v>
      </c>
      <c r="Q82" s="46">
        <f>'Monthly Data'!BH82</f>
        <v>30</v>
      </c>
      <c r="R82" s="44">
        <f>'Monthly Data'!O82</f>
        <v>1033</v>
      </c>
      <c r="S82" s="44">
        <f t="shared" si="11"/>
        <v>79719507.815263405</v>
      </c>
      <c r="T82" s="44">
        <f t="shared" si="9"/>
        <v>-937683.63668763638</v>
      </c>
      <c r="U82" s="48">
        <f t="shared" si="10"/>
        <v>1.1625542866146431E-2</v>
      </c>
    </row>
    <row r="83" spans="1:21" x14ac:dyDescent="0.2">
      <c r="A83" s="45">
        <f>'Monthly Data'!A83</f>
        <v>42644</v>
      </c>
      <c r="B83" s="29">
        <f t="shared" si="7"/>
        <v>2016</v>
      </c>
      <c r="C83" s="29">
        <f t="shared" si="8"/>
        <v>10</v>
      </c>
      <c r="D83" s="158">
        <f>'Monthly Data'!M83</f>
        <v>75966711.451951042</v>
      </c>
      <c r="E83" s="46">
        <f>'Monthly Data'!AJ83</f>
        <v>77.199999999999989</v>
      </c>
      <c r="F83" s="46">
        <f>'Monthly Data'!AK83</f>
        <v>52.699999999999989</v>
      </c>
      <c r="G83" s="46">
        <f>'Monthly Data'!V83</f>
        <v>692620.80000000005</v>
      </c>
      <c r="H83" s="44">
        <f>'Monthly Data'!BG83</f>
        <v>82</v>
      </c>
      <c r="I83" s="44">
        <f>'Monthly Data'!BC83</f>
        <v>0</v>
      </c>
      <c r="K83" s="29">
        <f>'GS&gt;50 PW'!$B$6</f>
        <v>556.26088485683897</v>
      </c>
      <c r="L83" s="29">
        <f>E83*'GS&gt;50 PW'!$B$7</f>
        <v>35.142224979574237</v>
      </c>
      <c r="M83" s="29">
        <f>F83*'GS&gt;50 PW'!$B$8</f>
        <v>81.575183391668276</v>
      </c>
      <c r="N83" s="29">
        <f>G83*'GS&gt;50 PW'!$B$9</f>
        <v>2025.7911539782249</v>
      </c>
      <c r="O83" s="44">
        <f>H83*'GS&gt;50 PW'!$B$10</f>
        <v>-293.42186487183415</v>
      </c>
      <c r="P83" s="44">
        <f>I83*'GS&gt;50 PW'!$B$11</f>
        <v>0</v>
      </c>
      <c r="Q83" s="46">
        <f>'Monthly Data'!BH83</f>
        <v>31</v>
      </c>
      <c r="R83" s="44">
        <f>'Monthly Data'!O83</f>
        <v>1036</v>
      </c>
      <c r="S83" s="44">
        <f t="shared" si="11"/>
        <v>77250142.954253897</v>
      </c>
      <c r="T83" s="44">
        <f t="shared" si="9"/>
        <v>1283431.5023028553</v>
      </c>
      <c r="U83" s="48">
        <f t="shared" si="10"/>
        <v>1.6894656590665056E-2</v>
      </c>
    </row>
    <row r="84" spans="1:21" x14ac:dyDescent="0.2">
      <c r="A84" s="45">
        <f>'Monthly Data'!A84</f>
        <v>42675</v>
      </c>
      <c r="B84" s="29">
        <f t="shared" si="7"/>
        <v>2016</v>
      </c>
      <c r="C84" s="29">
        <f t="shared" si="8"/>
        <v>11</v>
      </c>
      <c r="D84" s="158">
        <f>'Monthly Data'!M84</f>
        <v>74431571.451951042</v>
      </c>
      <c r="E84" s="46">
        <f>'Monthly Data'!AJ84</f>
        <v>174.8</v>
      </c>
      <c r="F84" s="46">
        <f>'Monthly Data'!AK84</f>
        <v>1.9000000000000004</v>
      </c>
      <c r="G84" s="46">
        <f>'Monthly Data'!V84</f>
        <v>692620.80000000005</v>
      </c>
      <c r="H84" s="44">
        <f>'Monthly Data'!BG84</f>
        <v>83</v>
      </c>
      <c r="I84" s="44">
        <f>'Monthly Data'!BC84</f>
        <v>0</v>
      </c>
      <c r="K84" s="29">
        <f>'GS&gt;50 PW'!$B$6</f>
        <v>556.26088485683897</v>
      </c>
      <c r="L84" s="29">
        <f>E84*'GS&gt;50 PW'!$B$7</f>
        <v>79.57073738898417</v>
      </c>
      <c r="M84" s="29">
        <f>F84*'GS&gt;50 PW'!$B$8</f>
        <v>2.9410407674415517</v>
      </c>
      <c r="N84" s="29">
        <f>G84*'GS&gt;50 PW'!$B$9</f>
        <v>2025.7911539782249</v>
      </c>
      <c r="O84" s="44">
        <f>H84*'GS&gt;50 PW'!$B$10</f>
        <v>-297.00018029710043</v>
      </c>
      <c r="P84" s="44">
        <f>I84*'GS&gt;50 PW'!$B$11</f>
        <v>0</v>
      </c>
      <c r="Q84" s="46">
        <f>'Monthly Data'!BH84</f>
        <v>30</v>
      </c>
      <c r="R84" s="44">
        <f>'Monthly Data'!O84</f>
        <v>1036</v>
      </c>
      <c r="S84" s="44">
        <f t="shared" si="11"/>
        <v>73583877.828461617</v>
      </c>
      <c r="T84" s="44">
        <f t="shared" si="9"/>
        <v>-847693.62348942459</v>
      </c>
      <c r="U84" s="48">
        <f t="shared" si="10"/>
        <v>1.138889864815832E-2</v>
      </c>
    </row>
    <row r="85" spans="1:21" x14ac:dyDescent="0.2">
      <c r="A85" s="45">
        <f>'Monthly Data'!A85</f>
        <v>42705</v>
      </c>
      <c r="B85" s="29">
        <f t="shared" si="7"/>
        <v>2016</v>
      </c>
      <c r="C85" s="29">
        <f t="shared" si="8"/>
        <v>12</v>
      </c>
      <c r="D85" s="158">
        <f>'Monthly Data'!M85</f>
        <v>76796818.451951042</v>
      </c>
      <c r="E85" s="46">
        <f>'Monthly Data'!AJ85</f>
        <v>435.00000000000006</v>
      </c>
      <c r="F85" s="46">
        <f>'Monthly Data'!AK85</f>
        <v>0</v>
      </c>
      <c r="G85" s="46">
        <f>'Monthly Data'!V85</f>
        <v>692620.80000000005</v>
      </c>
      <c r="H85" s="44">
        <f>'Monthly Data'!BG85</f>
        <v>84</v>
      </c>
      <c r="I85" s="44">
        <f>'Monthly Data'!BC85</f>
        <v>1</v>
      </c>
      <c r="K85" s="29">
        <f>'GS&gt;50 PW'!$B$6</f>
        <v>556.26088485683897</v>
      </c>
      <c r="L85" s="29">
        <f>E85*'GS&gt;50 PW'!$B$7</f>
        <v>198.01642313620204</v>
      </c>
      <c r="M85" s="29">
        <f>F85*'GS&gt;50 PW'!$B$8</f>
        <v>0</v>
      </c>
      <c r="N85" s="29">
        <f>G85*'GS&gt;50 PW'!$B$9</f>
        <v>2025.7911539782249</v>
      </c>
      <c r="O85" s="44">
        <f>H85*'GS&gt;50 PW'!$B$10</f>
        <v>-300.57849572236671</v>
      </c>
      <c r="P85" s="44">
        <f>I85*'GS&gt;50 PW'!$B$11</f>
        <v>-107.242128303215</v>
      </c>
      <c r="Q85" s="46">
        <f>'Monthly Data'!BH85</f>
        <v>31</v>
      </c>
      <c r="R85" s="44">
        <f>'Monthly Data'!O85</f>
        <v>1036</v>
      </c>
      <c r="S85" s="44">
        <f t="shared" si="11"/>
        <v>76187111.563463584</v>
      </c>
      <c r="T85" s="44">
        <f t="shared" si="9"/>
        <v>-609706.88848745823</v>
      </c>
      <c r="U85" s="48">
        <f t="shared" si="10"/>
        <v>7.9392206705663146E-3</v>
      </c>
    </row>
    <row r="86" spans="1:21" x14ac:dyDescent="0.2">
      <c r="A86" s="45">
        <f>'Monthly Data'!A86</f>
        <v>42736</v>
      </c>
      <c r="B86" s="29">
        <f t="shared" si="7"/>
        <v>2017</v>
      </c>
      <c r="C86" s="29">
        <f t="shared" si="8"/>
        <v>1</v>
      </c>
      <c r="D86" s="158">
        <f>'Monthly Data'!M86</f>
        <v>79778744.666458026</v>
      </c>
      <c r="E86" s="46">
        <f>'Monthly Data'!AJ86</f>
        <v>444.60000000000008</v>
      </c>
      <c r="F86" s="46">
        <f>'Monthly Data'!AK86</f>
        <v>0</v>
      </c>
      <c r="G86" s="46">
        <f>'Monthly Data'!V86</f>
        <v>713254.1</v>
      </c>
      <c r="H86" s="44">
        <f>'Monthly Data'!BG86</f>
        <v>85</v>
      </c>
      <c r="I86" s="44">
        <f>'Monthly Data'!BC86</f>
        <v>0</v>
      </c>
      <c r="K86" s="29">
        <f>'GS&gt;50 PW'!$B$6</f>
        <v>556.26088485683897</v>
      </c>
      <c r="L86" s="29">
        <f>E86*'GS&gt;50 PW'!$B$7</f>
        <v>202.38644075024237</v>
      </c>
      <c r="M86" s="29">
        <f>F86*'GS&gt;50 PW'!$B$8</f>
        <v>0</v>
      </c>
      <c r="N86" s="29">
        <f>G86*'GS&gt;50 PW'!$B$9</f>
        <v>2086.1398420588871</v>
      </c>
      <c r="O86" s="44">
        <f>H86*'GS&gt;50 PW'!$B$10</f>
        <v>-304.15681114763294</v>
      </c>
      <c r="P86" s="44">
        <f>I86*'GS&gt;50 PW'!$B$11</f>
        <v>0</v>
      </c>
      <c r="Q86" s="46">
        <f>'Monthly Data'!BH86</f>
        <v>31</v>
      </c>
      <c r="R86" s="44">
        <f>'Monthly Data'!O86</f>
        <v>1035</v>
      </c>
      <c r="S86" s="44">
        <f t="shared" si="11"/>
        <v>81516124.988890782</v>
      </c>
      <c r="T86" s="44">
        <f t="shared" si="9"/>
        <v>1737380.3224327564</v>
      </c>
      <c r="U86" s="48">
        <f t="shared" si="10"/>
        <v>2.1777483836032535E-2</v>
      </c>
    </row>
    <row r="87" spans="1:21" x14ac:dyDescent="0.2">
      <c r="A87" s="45">
        <f>'Monthly Data'!A87</f>
        <v>42767</v>
      </c>
      <c r="B87" s="29">
        <f t="shared" si="7"/>
        <v>2017</v>
      </c>
      <c r="C87" s="29">
        <f t="shared" si="8"/>
        <v>2</v>
      </c>
      <c r="D87" s="158">
        <f>'Monthly Data'!M87</f>
        <v>71619045.666458026</v>
      </c>
      <c r="E87" s="46">
        <f>'Monthly Data'!AJ87</f>
        <v>359.19999999999993</v>
      </c>
      <c r="F87" s="46">
        <f>'Monthly Data'!AK87</f>
        <v>0</v>
      </c>
      <c r="G87" s="46">
        <f>'Monthly Data'!V87</f>
        <v>713254.1</v>
      </c>
      <c r="H87" s="44">
        <f>'Monthly Data'!BG87</f>
        <v>86</v>
      </c>
      <c r="I87" s="44">
        <f>'Monthly Data'!BC87</f>
        <v>0</v>
      </c>
      <c r="K87" s="29">
        <f>'GS&gt;50 PW'!$B$6</f>
        <v>556.26088485683897</v>
      </c>
      <c r="L87" s="29">
        <f>E87*'GS&gt;50 PW'!$B$7</f>
        <v>163.51149239200862</v>
      </c>
      <c r="M87" s="29">
        <f>F87*'GS&gt;50 PW'!$B$8</f>
        <v>0</v>
      </c>
      <c r="N87" s="29">
        <f>G87*'GS&gt;50 PW'!$B$9</f>
        <v>2086.1398420588871</v>
      </c>
      <c r="O87" s="44">
        <f>H87*'GS&gt;50 PW'!$B$10</f>
        <v>-307.73512657289922</v>
      </c>
      <c r="P87" s="44">
        <f>I87*'GS&gt;50 PW'!$B$11</f>
        <v>0</v>
      </c>
      <c r="Q87" s="46">
        <f>'Monthly Data'!BH87</f>
        <v>28</v>
      </c>
      <c r="R87" s="44">
        <f>'Monthly Data'!O87</f>
        <v>999</v>
      </c>
      <c r="S87" s="44">
        <f t="shared" si="11"/>
        <v>69879009.637978822</v>
      </c>
      <c r="T87" s="44">
        <f t="shared" si="9"/>
        <v>-1740036.0284792036</v>
      </c>
      <c r="U87" s="48">
        <f t="shared" si="10"/>
        <v>2.4295716485567886E-2</v>
      </c>
    </row>
    <row r="88" spans="1:21" x14ac:dyDescent="0.2">
      <c r="A88" s="45">
        <f>'Monthly Data'!A88</f>
        <v>42795</v>
      </c>
      <c r="B88" s="29">
        <f t="shared" si="7"/>
        <v>2017</v>
      </c>
      <c r="C88" s="29">
        <f t="shared" si="8"/>
        <v>3</v>
      </c>
      <c r="D88" s="158">
        <f>'Monthly Data'!M88</f>
        <v>78853175.666458026</v>
      </c>
      <c r="E88" s="46">
        <f>'Monthly Data'!AJ88</f>
        <v>417.20000000000005</v>
      </c>
      <c r="F88" s="46">
        <f>'Monthly Data'!AK88</f>
        <v>0</v>
      </c>
      <c r="G88" s="46">
        <f>'Monthly Data'!V88</f>
        <v>713254.1</v>
      </c>
      <c r="H88" s="44">
        <f>'Monthly Data'!BG88</f>
        <v>87</v>
      </c>
      <c r="I88" s="44">
        <f>'Monthly Data'!BC88</f>
        <v>0</v>
      </c>
      <c r="K88" s="29">
        <f>'GS&gt;50 PW'!$B$6</f>
        <v>556.26088485683897</v>
      </c>
      <c r="L88" s="29">
        <f>E88*'GS&gt;50 PW'!$B$7</f>
        <v>189.91368214350226</v>
      </c>
      <c r="M88" s="29">
        <f>F88*'GS&gt;50 PW'!$B$8</f>
        <v>0</v>
      </c>
      <c r="N88" s="29">
        <f>G88*'GS&gt;50 PW'!$B$9</f>
        <v>2086.1398420588871</v>
      </c>
      <c r="O88" s="44">
        <f>H88*'GS&gt;50 PW'!$B$10</f>
        <v>-311.3134419981655</v>
      </c>
      <c r="P88" s="44">
        <f>I88*'GS&gt;50 PW'!$B$11</f>
        <v>0</v>
      </c>
      <c r="Q88" s="46">
        <f>'Monthly Data'!BH88</f>
        <v>31</v>
      </c>
      <c r="R88" s="44">
        <f>'Monthly Data'!O88</f>
        <v>1000</v>
      </c>
      <c r="S88" s="44">
        <f t="shared" si="11"/>
        <v>78151029.978892937</v>
      </c>
      <c r="T88" s="44">
        <f t="shared" si="9"/>
        <v>-702145.68756508827</v>
      </c>
      <c r="U88" s="48">
        <f t="shared" si="10"/>
        <v>8.9044693714696102E-3</v>
      </c>
    </row>
    <row r="89" spans="1:21" x14ac:dyDescent="0.2">
      <c r="A89" s="45">
        <f>'Monthly Data'!A89</f>
        <v>42826</v>
      </c>
      <c r="B89" s="29">
        <f t="shared" si="7"/>
        <v>2017</v>
      </c>
      <c r="C89" s="29">
        <f t="shared" si="8"/>
        <v>4</v>
      </c>
      <c r="D89" s="158">
        <f>'Monthly Data'!M89</f>
        <v>71496185.666458026</v>
      </c>
      <c r="E89" s="46">
        <f>'Monthly Data'!AJ89</f>
        <v>156.79999999999998</v>
      </c>
      <c r="F89" s="46">
        <f>'Monthly Data'!AK89</f>
        <v>4.6999999999999993</v>
      </c>
      <c r="G89" s="46">
        <f>'Monthly Data'!V89</f>
        <v>713254.1</v>
      </c>
      <c r="H89" s="44">
        <f>'Monthly Data'!BG89</f>
        <v>88</v>
      </c>
      <c r="I89" s="44">
        <f>'Monthly Data'!BC89</f>
        <v>0</v>
      </c>
      <c r="K89" s="29">
        <f>'GS&gt;50 PW'!$B$6</f>
        <v>556.26088485683897</v>
      </c>
      <c r="L89" s="29">
        <f>E89*'GS&gt;50 PW'!$B$7</f>
        <v>71.376954362658552</v>
      </c>
      <c r="M89" s="29">
        <f>F89*'GS&gt;50 PW'!$B$8</f>
        <v>7.2752061089343618</v>
      </c>
      <c r="N89" s="29">
        <f>G89*'GS&gt;50 PW'!$B$9</f>
        <v>2086.1398420588871</v>
      </c>
      <c r="O89" s="44">
        <f>H89*'GS&gt;50 PW'!$B$10</f>
        <v>-314.89175742343178</v>
      </c>
      <c r="P89" s="44">
        <f>I89*'GS&gt;50 PW'!$B$11</f>
        <v>0</v>
      </c>
      <c r="Q89" s="46">
        <f>'Monthly Data'!BH89</f>
        <v>30</v>
      </c>
      <c r="R89" s="44">
        <f>'Monthly Data'!O89</f>
        <v>1000</v>
      </c>
      <c r="S89" s="44">
        <f t="shared" si="11"/>
        <v>72184833.898916602</v>
      </c>
      <c r="T89" s="44">
        <f t="shared" si="9"/>
        <v>688648.23245857656</v>
      </c>
      <c r="U89" s="48">
        <f t="shared" si="10"/>
        <v>9.6319576497582507E-3</v>
      </c>
    </row>
    <row r="90" spans="1:21" x14ac:dyDescent="0.2">
      <c r="A90" s="45">
        <f>'Monthly Data'!A90</f>
        <v>42856</v>
      </c>
      <c r="B90" s="29">
        <f t="shared" si="7"/>
        <v>2017</v>
      </c>
      <c r="C90" s="29">
        <f t="shared" si="8"/>
        <v>5</v>
      </c>
      <c r="D90" s="158">
        <f>'Monthly Data'!M90</f>
        <v>75455637.666458026</v>
      </c>
      <c r="E90" s="46">
        <f>'Monthly Data'!AJ90</f>
        <v>98.600000000000009</v>
      </c>
      <c r="F90" s="46">
        <f>'Monthly Data'!AK90</f>
        <v>29.9</v>
      </c>
      <c r="G90" s="46">
        <f>'Monthly Data'!V90</f>
        <v>713254.1</v>
      </c>
      <c r="H90" s="44">
        <f>'Monthly Data'!BG90</f>
        <v>89</v>
      </c>
      <c r="I90" s="44">
        <f>'Monthly Data'!BC90</f>
        <v>0</v>
      </c>
      <c r="K90" s="29">
        <f>'GS&gt;50 PW'!$B$6</f>
        <v>556.26088485683897</v>
      </c>
      <c r="L90" s="29">
        <f>E90*'GS&gt;50 PW'!$B$7</f>
        <v>44.883722577539125</v>
      </c>
      <c r="M90" s="29">
        <f>F90*'GS&gt;50 PW'!$B$8</f>
        <v>46.282694182369674</v>
      </c>
      <c r="N90" s="29">
        <f>G90*'GS&gt;50 PW'!$B$9</f>
        <v>2086.1398420588871</v>
      </c>
      <c r="O90" s="44">
        <f>H90*'GS&gt;50 PW'!$B$10</f>
        <v>-318.47007284869807</v>
      </c>
      <c r="P90" s="44">
        <f>I90*'GS&gt;50 PW'!$B$11</f>
        <v>0</v>
      </c>
      <c r="Q90" s="46">
        <f>'Monthly Data'!BH90</f>
        <v>31</v>
      </c>
      <c r="R90" s="44">
        <f>'Monthly Data'!O90</f>
        <v>997</v>
      </c>
      <c r="S90" s="44">
        <f t="shared" si="11"/>
        <v>74643405.168048128</v>
      </c>
      <c r="T90" s="44">
        <f t="shared" si="9"/>
        <v>-812232.49840989709</v>
      </c>
      <c r="U90" s="48">
        <f t="shared" si="10"/>
        <v>1.0764371272034924E-2</v>
      </c>
    </row>
    <row r="91" spans="1:21" x14ac:dyDescent="0.2">
      <c r="A91" s="45">
        <f>'Monthly Data'!A91</f>
        <v>42887</v>
      </c>
      <c r="B91" s="29">
        <f t="shared" si="7"/>
        <v>2017</v>
      </c>
      <c r="C91" s="29">
        <f t="shared" si="8"/>
        <v>6</v>
      </c>
      <c r="D91" s="158">
        <f>'Monthly Data'!M91</f>
        <v>78632788.666458026</v>
      </c>
      <c r="E91" s="46">
        <f>'Monthly Data'!AJ91</f>
        <v>0</v>
      </c>
      <c r="F91" s="46">
        <f>'Monthly Data'!AK91</f>
        <v>159.10000000000002</v>
      </c>
      <c r="G91" s="46">
        <f>'Monthly Data'!V91</f>
        <v>713254.1</v>
      </c>
      <c r="H91" s="44">
        <f>'Monthly Data'!BG91</f>
        <v>90</v>
      </c>
      <c r="I91" s="44">
        <f>'Monthly Data'!BC91</f>
        <v>0</v>
      </c>
      <c r="K91" s="29">
        <f>'GS&gt;50 PW'!$B$6</f>
        <v>556.26088485683897</v>
      </c>
      <c r="L91" s="29">
        <f>E91*'GS&gt;50 PW'!$B$7</f>
        <v>0</v>
      </c>
      <c r="M91" s="29">
        <f>F91*'GS&gt;50 PW'!$B$8</f>
        <v>246.27346636839519</v>
      </c>
      <c r="N91" s="29">
        <f>G91*'GS&gt;50 PW'!$B$9</f>
        <v>2086.1398420588871</v>
      </c>
      <c r="O91" s="44">
        <f>H91*'GS&gt;50 PW'!$B$10</f>
        <v>-322.04838827396429</v>
      </c>
      <c r="P91" s="44">
        <f>I91*'GS&gt;50 PW'!$B$11</f>
        <v>0</v>
      </c>
      <c r="Q91" s="46">
        <f>'Monthly Data'!BH91</f>
        <v>30</v>
      </c>
      <c r="R91" s="44">
        <f>'Monthly Data'!O91</f>
        <v>1001</v>
      </c>
      <c r="S91" s="44">
        <f t="shared" si="11"/>
        <v>77075772.924455002</v>
      </c>
      <c r="T91" s="44">
        <f t="shared" si="9"/>
        <v>-1557015.7420030236</v>
      </c>
      <c r="U91" s="48">
        <f t="shared" si="10"/>
        <v>1.9801100385839317E-2</v>
      </c>
    </row>
    <row r="92" spans="1:21" x14ac:dyDescent="0.2">
      <c r="A92" s="45">
        <f>'Monthly Data'!A92</f>
        <v>42917</v>
      </c>
      <c r="B92" s="29">
        <f t="shared" si="7"/>
        <v>2017</v>
      </c>
      <c r="C92" s="29">
        <f t="shared" si="8"/>
        <v>7</v>
      </c>
      <c r="D92" s="158">
        <f>'Monthly Data'!M92</f>
        <v>82422181.666458026</v>
      </c>
      <c r="E92" s="46">
        <f>'Monthly Data'!AJ92</f>
        <v>0</v>
      </c>
      <c r="F92" s="46">
        <f>'Monthly Data'!AK92</f>
        <v>237.5</v>
      </c>
      <c r="G92" s="46">
        <f>'Monthly Data'!V92</f>
        <v>713254.1</v>
      </c>
      <c r="H92" s="44">
        <f>'Monthly Data'!BG92</f>
        <v>91</v>
      </c>
      <c r="I92" s="44">
        <f>'Monthly Data'!BC92</f>
        <v>0</v>
      </c>
      <c r="K92" s="29">
        <f>'GS&gt;50 PW'!$B$6</f>
        <v>556.26088485683897</v>
      </c>
      <c r="L92" s="29">
        <f>E92*'GS&gt;50 PW'!$B$7</f>
        <v>0</v>
      </c>
      <c r="M92" s="29">
        <f>F92*'GS&gt;50 PW'!$B$8</f>
        <v>367.63009593019387</v>
      </c>
      <c r="N92" s="29">
        <f>G92*'GS&gt;50 PW'!$B$9</f>
        <v>2086.1398420588871</v>
      </c>
      <c r="O92" s="44">
        <f>H92*'GS&gt;50 PW'!$B$10</f>
        <v>-325.62670369923057</v>
      </c>
      <c r="P92" s="44">
        <f>I92*'GS&gt;50 PW'!$B$11</f>
        <v>0</v>
      </c>
      <c r="Q92" s="46">
        <f>'Monthly Data'!BH92</f>
        <v>31</v>
      </c>
      <c r="R92" s="44">
        <f>'Monthly Data'!O92</f>
        <v>1001</v>
      </c>
      <c r="S92" s="44">
        <f t="shared" si="11"/>
        <v>83299744.221240908</v>
      </c>
      <c r="T92" s="44">
        <f t="shared" si="9"/>
        <v>877562.55478288233</v>
      </c>
      <c r="U92" s="48">
        <f t="shared" si="10"/>
        <v>1.0647164841306418E-2</v>
      </c>
    </row>
    <row r="93" spans="1:21" x14ac:dyDescent="0.2">
      <c r="A93" s="45">
        <f>'Monthly Data'!A93</f>
        <v>42948</v>
      </c>
      <c r="B93" s="29">
        <f t="shared" si="7"/>
        <v>2017</v>
      </c>
      <c r="C93" s="29">
        <f t="shared" si="8"/>
        <v>8</v>
      </c>
      <c r="D93" s="158">
        <f>'Monthly Data'!M93</f>
        <v>82320840.666458026</v>
      </c>
      <c r="E93" s="46">
        <f>'Monthly Data'!AJ93</f>
        <v>0</v>
      </c>
      <c r="F93" s="46">
        <f>'Monthly Data'!AK93</f>
        <v>202.19999999999996</v>
      </c>
      <c r="G93" s="46">
        <f>'Monthly Data'!V93</f>
        <v>713254.1</v>
      </c>
      <c r="H93" s="44">
        <f>'Monthly Data'!BG93</f>
        <v>92</v>
      </c>
      <c r="I93" s="44">
        <f>'Monthly Data'!BC93</f>
        <v>0</v>
      </c>
      <c r="K93" s="29">
        <f>'GS&gt;50 PW'!$B$6</f>
        <v>556.26088485683897</v>
      </c>
      <c r="L93" s="29">
        <f>E93*'GS&gt;50 PW'!$B$7</f>
        <v>0</v>
      </c>
      <c r="M93" s="29">
        <f>F93*'GS&gt;50 PW'!$B$8</f>
        <v>312.98865430351657</v>
      </c>
      <c r="N93" s="29">
        <f>G93*'GS&gt;50 PW'!$B$9</f>
        <v>2086.1398420588871</v>
      </c>
      <c r="O93" s="44">
        <f>H93*'GS&gt;50 PW'!$B$10</f>
        <v>-329.20501912449686</v>
      </c>
      <c r="P93" s="44">
        <f>I93*'GS&gt;50 PW'!$B$11</f>
        <v>0</v>
      </c>
      <c r="Q93" s="46">
        <f>'Monthly Data'!BH93</f>
        <v>31</v>
      </c>
      <c r="R93" s="44">
        <f>'Monthly Data'!O93</f>
        <v>1002</v>
      </c>
      <c r="S93" s="44">
        <f t="shared" si="11"/>
        <v>81574538.655386984</v>
      </c>
      <c r="T93" s="44">
        <f t="shared" si="9"/>
        <v>-746302.01107104123</v>
      </c>
      <c r="U93" s="48">
        <f t="shared" si="10"/>
        <v>9.0657724706050668E-3</v>
      </c>
    </row>
    <row r="94" spans="1:21" x14ac:dyDescent="0.2">
      <c r="A94" s="45">
        <f>'Monthly Data'!A94</f>
        <v>42979</v>
      </c>
      <c r="B94" s="29">
        <f t="shared" si="7"/>
        <v>2017</v>
      </c>
      <c r="C94" s="29">
        <f t="shared" si="8"/>
        <v>9</v>
      </c>
      <c r="D94" s="158">
        <f>'Monthly Data'!M94</f>
        <v>78267352.666458026</v>
      </c>
      <c r="E94" s="46">
        <f>'Monthly Data'!AJ94</f>
        <v>4.0999999999999996</v>
      </c>
      <c r="F94" s="46">
        <f>'Monthly Data'!AK94</f>
        <v>142.4</v>
      </c>
      <c r="G94" s="46">
        <f>'Monthly Data'!V94</f>
        <v>713254.1</v>
      </c>
      <c r="H94" s="44">
        <f>'Monthly Data'!BG94</f>
        <v>93</v>
      </c>
      <c r="I94" s="44">
        <f>'Monthly Data'!BC94</f>
        <v>0</v>
      </c>
      <c r="K94" s="29">
        <f>'GS&gt;50 PW'!$B$6</f>
        <v>556.26088485683897</v>
      </c>
      <c r="L94" s="29">
        <f>E94*'GS&gt;50 PW'!$B$7</f>
        <v>1.8663616893297199</v>
      </c>
      <c r="M94" s="29">
        <f>F94*'GS&gt;50 PW'!$B$8</f>
        <v>220.42326593877732</v>
      </c>
      <c r="N94" s="29">
        <f>G94*'GS&gt;50 PW'!$B$9</f>
        <v>2086.1398420588871</v>
      </c>
      <c r="O94" s="44">
        <f>H94*'GS&gt;50 PW'!$B$10</f>
        <v>-332.78333454976314</v>
      </c>
      <c r="P94" s="44">
        <f>I94*'GS&gt;50 PW'!$B$11</f>
        <v>0</v>
      </c>
      <c r="Q94" s="46">
        <f>'Monthly Data'!BH94</f>
        <v>30</v>
      </c>
      <c r="R94" s="44">
        <f>'Monthly Data'!O94</f>
        <v>1001</v>
      </c>
      <c r="S94" s="44">
        <f t="shared" si="11"/>
        <v>76033167.810421914</v>
      </c>
      <c r="T94" s="44">
        <f t="shared" si="9"/>
        <v>-2234184.8560361117</v>
      </c>
      <c r="U94" s="48">
        <f t="shared" si="10"/>
        <v>2.8545552901952004E-2</v>
      </c>
    </row>
    <row r="95" spans="1:21" x14ac:dyDescent="0.2">
      <c r="A95" s="45">
        <f>'Monthly Data'!A95</f>
        <v>43009</v>
      </c>
      <c r="B95" s="29">
        <f t="shared" si="7"/>
        <v>2017</v>
      </c>
      <c r="C95" s="29">
        <f t="shared" si="8"/>
        <v>10</v>
      </c>
      <c r="D95" s="158">
        <f>'Monthly Data'!M95</f>
        <v>76411605.666458026</v>
      </c>
      <c r="E95" s="46">
        <f>'Monthly Data'!AJ95</f>
        <v>47.5</v>
      </c>
      <c r="F95" s="46">
        <f>'Monthly Data'!AK95</f>
        <v>67.900000000000006</v>
      </c>
      <c r="G95" s="46">
        <f>'Monthly Data'!V95</f>
        <v>713254.1</v>
      </c>
      <c r="H95" s="44">
        <f>'Monthly Data'!BG95</f>
        <v>94</v>
      </c>
      <c r="I95" s="44">
        <f>'Monthly Data'!BC95</f>
        <v>0</v>
      </c>
      <c r="K95" s="29">
        <f>'GS&gt;50 PW'!$B$6</f>
        <v>556.26088485683897</v>
      </c>
      <c r="L95" s="29">
        <f>E95*'GS&gt;50 PW'!$B$7</f>
        <v>21.622482986137001</v>
      </c>
      <c r="M95" s="29">
        <f>F95*'GS&gt;50 PW'!$B$8</f>
        <v>105.1035095312007</v>
      </c>
      <c r="N95" s="29">
        <f>G95*'GS&gt;50 PW'!$B$9</f>
        <v>2086.1398420588871</v>
      </c>
      <c r="O95" s="44">
        <f>H95*'GS&gt;50 PW'!$B$10</f>
        <v>-336.36164997502937</v>
      </c>
      <c r="P95" s="44">
        <f>I95*'GS&gt;50 PW'!$B$11</f>
        <v>0</v>
      </c>
      <c r="Q95" s="46">
        <f>'Monthly Data'!BH95</f>
        <v>31</v>
      </c>
      <c r="R95" s="44">
        <f>'Monthly Data'!O95</f>
        <v>1002</v>
      </c>
      <c r="S95" s="44">
        <f t="shared" si="11"/>
        <v>75566548.587505475</v>
      </c>
      <c r="T95" s="44">
        <f t="shared" si="9"/>
        <v>-845057.07895255089</v>
      </c>
      <c r="U95" s="48">
        <f t="shared" si="10"/>
        <v>1.1059276553371798E-2</v>
      </c>
    </row>
    <row r="96" spans="1:21" x14ac:dyDescent="0.2">
      <c r="A96" s="45">
        <f>'Monthly Data'!A96</f>
        <v>43040</v>
      </c>
      <c r="B96" s="29">
        <f t="shared" si="7"/>
        <v>2017</v>
      </c>
      <c r="C96" s="29">
        <f t="shared" si="8"/>
        <v>11</v>
      </c>
      <c r="D96" s="158">
        <f>'Monthly Data'!M96</f>
        <v>74842943.666458026</v>
      </c>
      <c r="E96" s="46">
        <f>'Monthly Data'!AJ96</f>
        <v>267.89999999999998</v>
      </c>
      <c r="F96" s="46">
        <f>'Monthly Data'!AK96</f>
        <v>0</v>
      </c>
      <c r="G96" s="46">
        <f>'Monthly Data'!V96</f>
        <v>713254.1</v>
      </c>
      <c r="H96" s="44">
        <f>'Monthly Data'!BG96</f>
        <v>95</v>
      </c>
      <c r="I96" s="44">
        <f>'Monthly Data'!BC96</f>
        <v>0</v>
      </c>
      <c r="K96" s="29">
        <f>'GS&gt;50 PW'!$B$6</f>
        <v>556.26088485683897</v>
      </c>
      <c r="L96" s="29">
        <f>E96*'GS&gt;50 PW'!$B$7</f>
        <v>121.95080404181267</v>
      </c>
      <c r="M96" s="29">
        <f>F96*'GS&gt;50 PW'!$B$8</f>
        <v>0</v>
      </c>
      <c r="N96" s="29">
        <f>G96*'GS&gt;50 PW'!$B$9</f>
        <v>2086.1398420588871</v>
      </c>
      <c r="O96" s="44">
        <f>H96*'GS&gt;50 PW'!$B$10</f>
        <v>-339.93996540029565</v>
      </c>
      <c r="P96" s="44">
        <f>I96*'GS&gt;50 PW'!$B$11</f>
        <v>0</v>
      </c>
      <c r="Q96" s="46">
        <f>'Monthly Data'!BH96</f>
        <v>30</v>
      </c>
      <c r="R96" s="44">
        <f>'Monthly Data'!O96</f>
        <v>1003</v>
      </c>
      <c r="S96" s="44">
        <f t="shared" si="11"/>
        <v>72950544.007617444</v>
      </c>
      <c r="T96" s="44">
        <f t="shared" si="9"/>
        <v>-1892399.6588405818</v>
      </c>
      <c r="U96" s="48">
        <f t="shared" si="10"/>
        <v>2.5284944259731046E-2</v>
      </c>
    </row>
    <row r="97" spans="1:21" x14ac:dyDescent="0.2">
      <c r="A97" s="45">
        <f>'Monthly Data'!A97</f>
        <v>43070</v>
      </c>
      <c r="B97" s="29">
        <f t="shared" si="7"/>
        <v>2017</v>
      </c>
      <c r="C97" s="29">
        <f t="shared" si="8"/>
        <v>12</v>
      </c>
      <c r="D97" s="158">
        <f>'Monthly Data'!M97</f>
        <v>76074354.666458026</v>
      </c>
      <c r="E97" s="46">
        <f>'Monthly Data'!AJ97</f>
        <v>525.19999999999993</v>
      </c>
      <c r="F97" s="46">
        <f>'Monthly Data'!AK97</f>
        <v>0</v>
      </c>
      <c r="G97" s="46">
        <f>'Monthly Data'!V97</f>
        <v>713254.1</v>
      </c>
      <c r="H97" s="44">
        <f>'Monthly Data'!BG97</f>
        <v>96</v>
      </c>
      <c r="I97" s="44">
        <f>'Monthly Data'!BC97</f>
        <v>1</v>
      </c>
      <c r="K97" s="29">
        <f>'GS&gt;50 PW'!$B$6</f>
        <v>556.26088485683897</v>
      </c>
      <c r="L97" s="29">
        <f>E97*'GS&gt;50 PW'!$B$7</f>
        <v>239.07638030145583</v>
      </c>
      <c r="M97" s="29">
        <f>F97*'GS&gt;50 PW'!$B$8</f>
        <v>0</v>
      </c>
      <c r="N97" s="29">
        <f>G97*'GS&gt;50 PW'!$B$9</f>
        <v>2086.1398420588871</v>
      </c>
      <c r="O97" s="44">
        <f>H97*'GS&gt;50 PW'!$B$10</f>
        <v>-343.51828082556193</v>
      </c>
      <c r="P97" s="44">
        <f>I97*'GS&gt;50 PW'!$B$11</f>
        <v>-107.242128303215</v>
      </c>
      <c r="Q97" s="46">
        <f>'Monthly Data'!BH97</f>
        <v>31</v>
      </c>
      <c r="R97" s="44">
        <f>'Monthly Data'!O97</f>
        <v>1003</v>
      </c>
      <c r="S97" s="44">
        <f t="shared" si="11"/>
        <v>75578274.293662786</v>
      </c>
      <c r="T97" s="44">
        <f t="shared" si="9"/>
        <v>-496080.37279523909</v>
      </c>
      <c r="U97" s="48">
        <f t="shared" si="10"/>
        <v>6.5209935065537409E-3</v>
      </c>
    </row>
    <row r="98" spans="1:21" x14ac:dyDescent="0.2">
      <c r="A98" s="45">
        <f>'Monthly Data'!A98</f>
        <v>43101</v>
      </c>
      <c r="B98" s="29">
        <f t="shared" si="7"/>
        <v>2018</v>
      </c>
      <c r="C98" s="29">
        <f t="shared" si="8"/>
        <v>1</v>
      </c>
      <c r="D98" s="158">
        <f>'Monthly Data'!M98</f>
        <v>81501426.656842589</v>
      </c>
      <c r="E98" s="46">
        <f>'Monthly Data'!AJ98</f>
        <v>556.29999999999995</v>
      </c>
      <c r="F98" s="46">
        <f>'Monthly Data'!AK98</f>
        <v>0</v>
      </c>
      <c r="G98" s="46">
        <f>'Monthly Data'!V98</f>
        <v>730276.2</v>
      </c>
      <c r="H98" s="44">
        <f>'Monthly Data'!BG98</f>
        <v>97</v>
      </c>
      <c r="I98" s="44">
        <f>'Monthly Data'!BC98</f>
        <v>0</v>
      </c>
      <c r="K98" s="29">
        <f>'GS&gt;50 PW'!$B$6</f>
        <v>556.26088485683897</v>
      </c>
      <c r="L98" s="29">
        <f>E98*'GS&gt;50 PW'!$B$7</f>
        <v>253.23341653027396</v>
      </c>
      <c r="M98" s="29">
        <f>F98*'GS&gt;50 PW'!$B$8</f>
        <v>0</v>
      </c>
      <c r="N98" s="29">
        <f>G98*'GS&gt;50 PW'!$B$9</f>
        <v>2135.9264202299914</v>
      </c>
      <c r="O98" s="44">
        <f>H98*'GS&gt;50 PW'!$B$10</f>
        <v>-347.09659625082821</v>
      </c>
      <c r="P98" s="44">
        <f>I98*'GS&gt;50 PW'!$B$11</f>
        <v>0</v>
      </c>
      <c r="Q98" s="46">
        <f>'Monthly Data'!BH98</f>
        <v>31</v>
      </c>
      <c r="R98" s="44">
        <f>'Monthly Data'!O98</f>
        <v>1002</v>
      </c>
      <c r="S98" s="44">
        <f t="shared" si="11"/>
        <v>80709143.982127279</v>
      </c>
      <c r="T98" s="44">
        <f t="shared" ref="T98:T121" si="12">S98-D98</f>
        <v>-792282.67471531034</v>
      </c>
      <c r="U98" s="48">
        <f t="shared" ref="U98:U121" si="13">ABS(T98/D98)</f>
        <v>9.7210896448619768E-3</v>
      </c>
    </row>
    <row r="99" spans="1:21" x14ac:dyDescent="0.2">
      <c r="A99" s="45">
        <f>'Monthly Data'!A99</f>
        <v>43132</v>
      </c>
      <c r="B99" s="29">
        <f t="shared" si="7"/>
        <v>2018</v>
      </c>
      <c r="C99" s="29">
        <f t="shared" si="8"/>
        <v>2</v>
      </c>
      <c r="D99" s="158">
        <f>'Monthly Data'!M99</f>
        <v>72389848.656842589</v>
      </c>
      <c r="E99" s="46">
        <f>'Monthly Data'!AJ99</f>
        <v>400.1</v>
      </c>
      <c r="F99" s="46">
        <f>'Monthly Data'!AK99</f>
        <v>0</v>
      </c>
      <c r="G99" s="46">
        <f>'Monthly Data'!V99</f>
        <v>730276.2</v>
      </c>
      <c r="H99" s="44">
        <f>'Monthly Data'!BG99</f>
        <v>98</v>
      </c>
      <c r="I99" s="44">
        <f>'Monthly Data'!BC99</f>
        <v>0</v>
      </c>
      <c r="K99" s="29">
        <f>'GS&gt;50 PW'!$B$6</f>
        <v>556.26088485683897</v>
      </c>
      <c r="L99" s="29">
        <f>E99*'GS&gt;50 PW'!$B$7</f>
        <v>182.12958826849294</v>
      </c>
      <c r="M99" s="29">
        <f>F99*'GS&gt;50 PW'!$B$8</f>
        <v>0</v>
      </c>
      <c r="N99" s="29">
        <f>G99*'GS&gt;50 PW'!$B$9</f>
        <v>2135.9264202299914</v>
      </c>
      <c r="O99" s="44">
        <f>H99*'GS&gt;50 PW'!$B$10</f>
        <v>-350.6749116760945</v>
      </c>
      <c r="P99" s="44">
        <f>I99*'GS&gt;50 PW'!$B$11</f>
        <v>0</v>
      </c>
      <c r="Q99" s="46">
        <f>'Monthly Data'!BH99</f>
        <v>28</v>
      </c>
      <c r="R99" s="44">
        <f>'Monthly Data'!O99</f>
        <v>1004</v>
      </c>
      <c r="S99" s="44">
        <f t="shared" si="11"/>
        <v>70944623.388966486</v>
      </c>
      <c r="T99" s="44">
        <f t="shared" si="12"/>
        <v>-1445225.2678761035</v>
      </c>
      <c r="U99" s="48">
        <f t="shared" si="13"/>
        <v>1.9964474227968907E-2</v>
      </c>
    </row>
    <row r="100" spans="1:21" x14ac:dyDescent="0.2">
      <c r="A100" s="45">
        <f>'Monthly Data'!A100</f>
        <v>43160</v>
      </c>
      <c r="B100" s="29">
        <f t="shared" si="7"/>
        <v>2018</v>
      </c>
      <c r="C100" s="29">
        <f t="shared" si="8"/>
        <v>3</v>
      </c>
      <c r="D100" s="158">
        <f>'Monthly Data'!M100</f>
        <v>77808315.656842589</v>
      </c>
      <c r="E100" s="46">
        <f>'Monthly Data'!AJ100</f>
        <v>409.89999999999986</v>
      </c>
      <c r="F100" s="46">
        <f>'Monthly Data'!AK100</f>
        <v>0</v>
      </c>
      <c r="G100" s="46">
        <f>'Monthly Data'!V100</f>
        <v>730276.2</v>
      </c>
      <c r="H100" s="44">
        <f>'Monthly Data'!BG100</f>
        <v>99</v>
      </c>
      <c r="I100" s="44">
        <f>'Monthly Data'!BC100</f>
        <v>0</v>
      </c>
      <c r="K100" s="29">
        <f>'GS&gt;50 PW'!$B$6</f>
        <v>556.26088485683897</v>
      </c>
      <c r="L100" s="29">
        <f>E100*'GS&gt;50 PW'!$B$7</f>
        <v>186.59064791615901</v>
      </c>
      <c r="M100" s="29">
        <f>F100*'GS&gt;50 PW'!$B$8</f>
        <v>0</v>
      </c>
      <c r="N100" s="29">
        <f>G100*'GS&gt;50 PW'!$B$9</f>
        <v>2135.9264202299914</v>
      </c>
      <c r="O100" s="44">
        <f>H100*'GS&gt;50 PW'!$B$10</f>
        <v>-354.25322710136072</v>
      </c>
      <c r="P100" s="44">
        <f>I100*'GS&gt;50 PW'!$B$11</f>
        <v>0</v>
      </c>
      <c r="Q100" s="46">
        <f>'Monthly Data'!BH100</f>
        <v>31</v>
      </c>
      <c r="R100" s="44">
        <f>'Monthly Data'!O100</f>
        <v>1008</v>
      </c>
      <c r="S100" s="44">
        <f t="shared" si="11"/>
        <v>78886348.634974092</v>
      </c>
      <c r="T100" s="44">
        <f t="shared" si="12"/>
        <v>1078032.9781315029</v>
      </c>
      <c r="U100" s="48">
        <f t="shared" si="13"/>
        <v>1.3854984123881352E-2</v>
      </c>
    </row>
    <row r="101" spans="1:21" x14ac:dyDescent="0.2">
      <c r="A101" s="45">
        <f>'Monthly Data'!A101</f>
        <v>43191</v>
      </c>
      <c r="B101" s="29">
        <f t="shared" si="7"/>
        <v>2018</v>
      </c>
      <c r="C101" s="29">
        <f t="shared" si="8"/>
        <v>4</v>
      </c>
      <c r="D101" s="158">
        <f>'Monthly Data'!M101</f>
        <v>74246303.656842589</v>
      </c>
      <c r="E101" s="46">
        <f>'Monthly Data'!AJ101</f>
        <v>299.3</v>
      </c>
      <c r="F101" s="46">
        <f>'Monthly Data'!AK101</f>
        <v>0</v>
      </c>
      <c r="G101" s="46">
        <f>'Monthly Data'!V101</f>
        <v>730276.2</v>
      </c>
      <c r="H101" s="44">
        <f>'Monthly Data'!BG101</f>
        <v>100</v>
      </c>
      <c r="I101" s="44">
        <f>'Monthly Data'!BC101</f>
        <v>0</v>
      </c>
      <c r="K101" s="29">
        <f>'GS&gt;50 PW'!$B$6</f>
        <v>556.26088485683897</v>
      </c>
      <c r="L101" s="29">
        <f>E101*'GS&gt;50 PW'!$B$7</f>
        <v>136.24440332106957</v>
      </c>
      <c r="M101" s="29">
        <f>F101*'GS&gt;50 PW'!$B$8</f>
        <v>0</v>
      </c>
      <c r="N101" s="29">
        <f>G101*'GS&gt;50 PW'!$B$9</f>
        <v>2135.9264202299914</v>
      </c>
      <c r="O101" s="44">
        <f>H101*'GS&gt;50 PW'!$B$10</f>
        <v>-357.831542526627</v>
      </c>
      <c r="P101" s="44">
        <f>I101*'GS&gt;50 PW'!$B$11</f>
        <v>0</v>
      </c>
      <c r="Q101" s="46">
        <f>'Monthly Data'!BH101</f>
        <v>30</v>
      </c>
      <c r="R101" s="44">
        <f>'Monthly Data'!O101</f>
        <v>1006</v>
      </c>
      <c r="S101" s="44">
        <f t="shared" si="11"/>
        <v>74562713.006296828</v>
      </c>
      <c r="T101" s="44">
        <f t="shared" si="12"/>
        <v>316409.34945423901</v>
      </c>
      <c r="U101" s="48">
        <f t="shared" si="13"/>
        <v>4.261617533401321E-3</v>
      </c>
    </row>
    <row r="102" spans="1:21" x14ac:dyDescent="0.2">
      <c r="A102" s="45">
        <f>'Monthly Data'!A102</f>
        <v>43221</v>
      </c>
      <c r="B102" s="29">
        <f t="shared" si="7"/>
        <v>2018</v>
      </c>
      <c r="C102" s="29">
        <f t="shared" si="8"/>
        <v>5</v>
      </c>
      <c r="D102" s="158">
        <f>'Monthly Data'!M102</f>
        <v>76803143.656842589</v>
      </c>
      <c r="E102" s="46">
        <f>'Monthly Data'!AJ102</f>
        <v>50.5</v>
      </c>
      <c r="F102" s="46">
        <f>'Monthly Data'!AK102</f>
        <v>74.999999999999986</v>
      </c>
      <c r="G102" s="46">
        <f>'Monthly Data'!V102</f>
        <v>730276.2</v>
      </c>
      <c r="H102" s="44">
        <f>'Monthly Data'!BG102</f>
        <v>101</v>
      </c>
      <c r="I102" s="44">
        <f>'Monthly Data'!BC102</f>
        <v>0</v>
      </c>
      <c r="K102" s="29">
        <f>'GS&gt;50 PW'!$B$6</f>
        <v>556.26088485683897</v>
      </c>
      <c r="L102" s="29">
        <f>E102*'GS&gt;50 PW'!$B$7</f>
        <v>22.988113490524601</v>
      </c>
      <c r="M102" s="29">
        <f>F102*'GS&gt;50 PW'!$B$8</f>
        <v>116.09371450427173</v>
      </c>
      <c r="N102" s="29">
        <f>G102*'GS&gt;50 PW'!$B$9</f>
        <v>2135.9264202299914</v>
      </c>
      <c r="O102" s="44">
        <f>H102*'GS&gt;50 PW'!$B$10</f>
        <v>-361.40985795189329</v>
      </c>
      <c r="P102" s="44">
        <f>I102*'GS&gt;50 PW'!$B$11</f>
        <v>0</v>
      </c>
      <c r="Q102" s="46">
        <f>'Monthly Data'!BH102</f>
        <v>31</v>
      </c>
      <c r="R102" s="44">
        <f>'Monthly Data'!O102</f>
        <v>1008</v>
      </c>
      <c r="S102" s="44">
        <f t="shared" si="11"/>
        <v>77178162.629253909</v>
      </c>
      <c r="T102" s="44">
        <f t="shared" si="12"/>
        <v>375018.97241131961</v>
      </c>
      <c r="U102" s="48">
        <f t="shared" si="13"/>
        <v>4.8828596663557039E-3</v>
      </c>
    </row>
    <row r="103" spans="1:21" x14ac:dyDescent="0.2">
      <c r="A103" s="45">
        <f>'Monthly Data'!A103</f>
        <v>43252</v>
      </c>
      <c r="B103" s="29">
        <f t="shared" si="7"/>
        <v>2018</v>
      </c>
      <c r="C103" s="29">
        <f t="shared" si="8"/>
        <v>6</v>
      </c>
      <c r="D103" s="158">
        <f>'Monthly Data'!M103</f>
        <v>78416513.656842589</v>
      </c>
      <c r="E103" s="46">
        <f>'Monthly Data'!AJ103</f>
        <v>0.60000000000000142</v>
      </c>
      <c r="F103" s="46">
        <f>'Monthly Data'!AK103</f>
        <v>151.49999999999997</v>
      </c>
      <c r="G103" s="46">
        <f>'Monthly Data'!V103</f>
        <v>730276.2</v>
      </c>
      <c r="H103" s="44">
        <f>'Monthly Data'!BG103</f>
        <v>102</v>
      </c>
      <c r="I103" s="44">
        <f>'Monthly Data'!BC103</f>
        <v>0</v>
      </c>
      <c r="K103" s="29">
        <f>'GS&gt;50 PW'!$B$6</f>
        <v>556.26088485683897</v>
      </c>
      <c r="L103" s="29">
        <f>E103*'GS&gt;50 PW'!$B$7</f>
        <v>0.27312610087752065</v>
      </c>
      <c r="M103" s="29">
        <f>F103*'GS&gt;50 PW'!$B$8</f>
        <v>234.50930329862891</v>
      </c>
      <c r="N103" s="29">
        <f>G103*'GS&gt;50 PW'!$B$9</f>
        <v>2135.9264202299914</v>
      </c>
      <c r="O103" s="44">
        <f>H103*'GS&gt;50 PW'!$B$10</f>
        <v>-364.98817337715957</v>
      </c>
      <c r="P103" s="44">
        <f>I103*'GS&gt;50 PW'!$B$11</f>
        <v>0</v>
      </c>
      <c r="Q103" s="46">
        <f>'Monthly Data'!BH103</f>
        <v>30</v>
      </c>
      <c r="R103" s="44">
        <f>'Monthly Data'!O103</f>
        <v>970</v>
      </c>
      <c r="S103" s="44">
        <f t="shared" si="11"/>
        <v>74553663.428277075</v>
      </c>
      <c r="T103" s="44">
        <f t="shared" si="12"/>
        <v>-3862850.2285655141</v>
      </c>
      <c r="U103" s="48">
        <f t="shared" si="13"/>
        <v>4.9260672891805406E-2</v>
      </c>
    </row>
    <row r="104" spans="1:21" x14ac:dyDescent="0.2">
      <c r="A104" s="45">
        <f>'Monthly Data'!A104</f>
        <v>43282</v>
      </c>
      <c r="B104" s="29">
        <f t="shared" si="7"/>
        <v>2018</v>
      </c>
      <c r="C104" s="29">
        <f t="shared" si="8"/>
        <v>7</v>
      </c>
      <c r="D104" s="158">
        <f>'Monthly Data'!M104</f>
        <v>83770689.656842589</v>
      </c>
      <c r="E104" s="46">
        <f>'Monthly Data'!AJ104</f>
        <v>0</v>
      </c>
      <c r="F104" s="46">
        <f>'Monthly Data'!AK104</f>
        <v>288.2</v>
      </c>
      <c r="G104" s="46">
        <f>'Monthly Data'!V104</f>
        <v>730276.2</v>
      </c>
      <c r="H104" s="44">
        <f>'Monthly Data'!BG104</f>
        <v>103</v>
      </c>
      <c r="I104" s="44">
        <f>'Monthly Data'!BC104</f>
        <v>0</v>
      </c>
      <c r="K104" s="29">
        <f>'GS&gt;50 PW'!$B$6</f>
        <v>556.26088485683897</v>
      </c>
      <c r="L104" s="29">
        <f>E104*'GS&gt;50 PW'!$B$7</f>
        <v>0</v>
      </c>
      <c r="M104" s="29">
        <f>F104*'GS&gt;50 PW'!$B$8</f>
        <v>446.10944693508156</v>
      </c>
      <c r="N104" s="29">
        <f>G104*'GS&gt;50 PW'!$B$9</f>
        <v>2135.9264202299914</v>
      </c>
      <c r="O104" s="44">
        <f>H104*'GS&gt;50 PW'!$B$10</f>
        <v>-368.56648880242579</v>
      </c>
      <c r="P104" s="44">
        <f>I104*'GS&gt;50 PW'!$B$11</f>
        <v>0</v>
      </c>
      <c r="Q104" s="46">
        <f>'Monthly Data'!BH104</f>
        <v>31</v>
      </c>
      <c r="R104" s="44">
        <f>'Monthly Data'!O104</f>
        <v>970</v>
      </c>
      <c r="S104" s="44">
        <f t="shared" si="11"/>
        <v>83285789.01500994</v>
      </c>
      <c r="T104" s="44">
        <f t="shared" si="12"/>
        <v>-484900.64183264971</v>
      </c>
      <c r="U104" s="48">
        <f t="shared" si="13"/>
        <v>5.7884284326533758E-3</v>
      </c>
    </row>
    <row r="105" spans="1:21" x14ac:dyDescent="0.2">
      <c r="A105" s="45">
        <f>'Monthly Data'!A105</f>
        <v>43313</v>
      </c>
      <c r="B105" s="29">
        <f t="shared" si="7"/>
        <v>2018</v>
      </c>
      <c r="C105" s="29">
        <f t="shared" si="8"/>
        <v>8</v>
      </c>
      <c r="D105" s="158">
        <f>'Monthly Data'!M105</f>
        <v>83927361.656842589</v>
      </c>
      <c r="E105" s="46">
        <f>'Monthly Data'!AJ105</f>
        <v>0</v>
      </c>
      <c r="F105" s="46">
        <f>'Monthly Data'!AK105</f>
        <v>287.79999999999995</v>
      </c>
      <c r="G105" s="46">
        <f>'Monthly Data'!V105</f>
        <v>730276.2</v>
      </c>
      <c r="H105" s="44">
        <f>'Monthly Data'!BG105</f>
        <v>104</v>
      </c>
      <c r="I105" s="44">
        <f>'Monthly Data'!BC105</f>
        <v>0</v>
      </c>
      <c r="K105" s="29">
        <f>'GS&gt;50 PW'!$B$6</f>
        <v>556.26088485683897</v>
      </c>
      <c r="L105" s="29">
        <f>E105*'GS&gt;50 PW'!$B$7</f>
        <v>0</v>
      </c>
      <c r="M105" s="29">
        <f>F105*'GS&gt;50 PW'!$B$8</f>
        <v>445.49028045772542</v>
      </c>
      <c r="N105" s="29">
        <f>G105*'GS&gt;50 PW'!$B$9</f>
        <v>2135.9264202299914</v>
      </c>
      <c r="O105" s="44">
        <f>H105*'GS&gt;50 PW'!$B$10</f>
        <v>-372.14480422769208</v>
      </c>
      <c r="P105" s="44">
        <f>I105*'GS&gt;50 PW'!$B$11</f>
        <v>0</v>
      </c>
      <c r="Q105" s="46">
        <f>'Monthly Data'!BH105</f>
        <v>31</v>
      </c>
      <c r="R105" s="44">
        <f>'Monthly Data'!O105</f>
        <v>970</v>
      </c>
      <c r="S105" s="44">
        <f t="shared" si="11"/>
        <v>83159570.734198093</v>
      </c>
      <c r="T105" s="44">
        <f t="shared" si="12"/>
        <v>-767790.92264449596</v>
      </c>
      <c r="U105" s="48">
        <f t="shared" si="13"/>
        <v>9.1482790294754607E-3</v>
      </c>
    </row>
    <row r="106" spans="1:21" x14ac:dyDescent="0.2">
      <c r="A106" s="45">
        <f>'Monthly Data'!A106</f>
        <v>43344</v>
      </c>
      <c r="B106" s="29">
        <f t="shared" si="7"/>
        <v>2018</v>
      </c>
      <c r="C106" s="29">
        <f t="shared" si="8"/>
        <v>9</v>
      </c>
      <c r="D106" s="158">
        <f>'Monthly Data'!M106</f>
        <v>76396317.656842589</v>
      </c>
      <c r="E106" s="46">
        <f>'Monthly Data'!AJ106</f>
        <v>2.0000000000000018</v>
      </c>
      <c r="F106" s="46">
        <f>'Monthly Data'!AK106</f>
        <v>165.40000000000003</v>
      </c>
      <c r="G106" s="46">
        <f>'Monthly Data'!V106</f>
        <v>730276.2</v>
      </c>
      <c r="H106" s="44">
        <f>'Monthly Data'!BG106</f>
        <v>105</v>
      </c>
      <c r="I106" s="44">
        <f>'Monthly Data'!BC106</f>
        <v>0</v>
      </c>
      <c r="K106" s="29">
        <f>'GS&gt;50 PW'!$B$6</f>
        <v>556.26088485683897</v>
      </c>
      <c r="L106" s="29">
        <f>E106*'GS&gt;50 PW'!$B$7</f>
        <v>0.9104203362584008</v>
      </c>
      <c r="M106" s="29">
        <f>F106*'GS&gt;50 PW'!$B$8</f>
        <v>256.02533838675402</v>
      </c>
      <c r="N106" s="29">
        <f>G106*'GS&gt;50 PW'!$B$9</f>
        <v>2135.9264202299914</v>
      </c>
      <c r="O106" s="44">
        <f>H106*'GS&gt;50 PW'!$B$10</f>
        <v>-375.72311965295836</v>
      </c>
      <c r="P106" s="44">
        <f>I106*'GS&gt;50 PW'!$B$11</f>
        <v>0</v>
      </c>
      <c r="Q106" s="46">
        <f>'Monthly Data'!BH106</f>
        <v>30</v>
      </c>
      <c r="R106" s="44">
        <f>'Monthly Data'!O106</f>
        <v>974</v>
      </c>
      <c r="S106" s="44">
        <f t="shared" si="11"/>
        <v>75194746.368264169</v>
      </c>
      <c r="T106" s="44">
        <f t="shared" si="12"/>
        <v>-1201571.2885784209</v>
      </c>
      <c r="U106" s="48">
        <f t="shared" si="13"/>
        <v>1.5728130954892953E-2</v>
      </c>
    </row>
    <row r="107" spans="1:21" x14ac:dyDescent="0.2">
      <c r="A107" s="45">
        <f>'Monthly Data'!A107</f>
        <v>43374</v>
      </c>
      <c r="B107" s="29">
        <f t="shared" si="7"/>
        <v>2018</v>
      </c>
      <c r="C107" s="29">
        <f t="shared" si="8"/>
        <v>10</v>
      </c>
      <c r="D107" s="158">
        <f>'Monthly Data'!M107</f>
        <v>72584854.656842589</v>
      </c>
      <c r="E107" s="46">
        <f>'Monthly Data'!AJ107</f>
        <v>132.70000000000002</v>
      </c>
      <c r="F107" s="46">
        <f>'Monthly Data'!AK107</f>
        <v>28.7</v>
      </c>
      <c r="G107" s="46">
        <f>'Monthly Data'!V107</f>
        <v>730276.2</v>
      </c>
      <c r="H107" s="44">
        <f>'Monthly Data'!BG107</f>
        <v>106</v>
      </c>
      <c r="I107" s="44">
        <f>'Monthly Data'!BC107</f>
        <v>0</v>
      </c>
      <c r="K107" s="29">
        <f>'GS&gt;50 PW'!$B$6</f>
        <v>556.26088485683897</v>
      </c>
      <c r="L107" s="29">
        <f>E107*'GS&gt;50 PW'!$B$7</f>
        <v>60.406389310744849</v>
      </c>
      <c r="M107" s="29">
        <f>F107*'GS&gt;50 PW'!$B$8</f>
        <v>44.425194750301323</v>
      </c>
      <c r="N107" s="29">
        <f>G107*'GS&gt;50 PW'!$B$9</f>
        <v>2135.9264202299914</v>
      </c>
      <c r="O107" s="44">
        <f>H107*'GS&gt;50 PW'!$B$10</f>
        <v>-379.30143507822464</v>
      </c>
      <c r="P107" s="44">
        <f>I107*'GS&gt;50 PW'!$B$11</f>
        <v>0</v>
      </c>
      <c r="Q107" s="46">
        <f>'Monthly Data'!BH107</f>
        <v>31</v>
      </c>
      <c r="R107" s="44">
        <f>'Monthly Data'!O107</f>
        <v>972</v>
      </c>
      <c r="S107" s="44">
        <f t="shared" si="11"/>
        <v>72850662.326026753</v>
      </c>
      <c r="T107" s="44">
        <f t="shared" si="12"/>
        <v>265807.66918416321</v>
      </c>
      <c r="U107" s="48">
        <f t="shared" si="13"/>
        <v>3.6620266092811616E-3</v>
      </c>
    </row>
    <row r="108" spans="1:21" x14ac:dyDescent="0.2">
      <c r="A108" s="45">
        <f>'Monthly Data'!A108</f>
        <v>43405</v>
      </c>
      <c r="B108" s="29">
        <f t="shared" si="7"/>
        <v>2018</v>
      </c>
      <c r="C108" s="29">
        <f t="shared" si="8"/>
        <v>11</v>
      </c>
      <c r="D108" s="158">
        <f>'Monthly Data'!M108</f>
        <v>72301301.656842589</v>
      </c>
      <c r="E108" s="46">
        <f>'Monthly Data'!AJ108</f>
        <v>332.40000000000003</v>
      </c>
      <c r="F108" s="46">
        <f>'Monthly Data'!AK108</f>
        <v>0</v>
      </c>
      <c r="G108" s="46">
        <f>'Monthly Data'!V108</f>
        <v>730276.2</v>
      </c>
      <c r="H108" s="44">
        <f>'Monthly Data'!BG108</f>
        <v>107</v>
      </c>
      <c r="I108" s="44">
        <f>'Monthly Data'!BC108</f>
        <v>0</v>
      </c>
      <c r="K108" s="29">
        <f>'GS&gt;50 PW'!$B$6</f>
        <v>556.26088485683897</v>
      </c>
      <c r="L108" s="29">
        <f>E108*'GS&gt;50 PW'!$B$7</f>
        <v>151.3118598861461</v>
      </c>
      <c r="M108" s="29">
        <f>F108*'GS&gt;50 PW'!$B$8</f>
        <v>0</v>
      </c>
      <c r="N108" s="29">
        <f>G108*'GS&gt;50 PW'!$B$9</f>
        <v>2135.9264202299914</v>
      </c>
      <c r="O108" s="44">
        <f>H108*'GS&gt;50 PW'!$B$10</f>
        <v>-382.87975050349092</v>
      </c>
      <c r="P108" s="44">
        <f>I108*'GS&gt;50 PW'!$B$11</f>
        <v>0</v>
      </c>
      <c r="Q108" s="46">
        <f>'Monthly Data'!BH108</f>
        <v>30</v>
      </c>
      <c r="R108" s="44">
        <f>'Monthly Data'!O108</f>
        <v>972</v>
      </c>
      <c r="S108" s="44">
        <f t="shared" si="11"/>
        <v>71751662.12593019</v>
      </c>
      <c r="T108" s="44">
        <f t="shared" si="12"/>
        <v>-549639.53091239929</v>
      </c>
      <c r="U108" s="48">
        <f t="shared" si="13"/>
        <v>7.6020696490514909E-3</v>
      </c>
    </row>
    <row r="109" spans="1:21" x14ac:dyDescent="0.2">
      <c r="A109" s="45">
        <f>'Monthly Data'!A109</f>
        <v>43435</v>
      </c>
      <c r="B109" s="29">
        <f t="shared" si="7"/>
        <v>2018</v>
      </c>
      <c r="C109" s="29">
        <f t="shared" si="8"/>
        <v>12</v>
      </c>
      <c r="D109" s="158">
        <f>'Monthly Data'!M109</f>
        <v>71622528.656842589</v>
      </c>
      <c r="E109" s="46">
        <f>'Monthly Data'!AJ109</f>
        <v>392.00000000000006</v>
      </c>
      <c r="F109" s="46">
        <f>'Monthly Data'!AK109</f>
        <v>0</v>
      </c>
      <c r="G109" s="46">
        <f>'Monthly Data'!V109</f>
        <v>730276.2</v>
      </c>
      <c r="H109" s="44">
        <f>'Monthly Data'!BG109</f>
        <v>108</v>
      </c>
      <c r="I109" s="44">
        <f>'Monthly Data'!BC109</f>
        <v>1</v>
      </c>
      <c r="K109" s="29">
        <f>'GS&gt;50 PW'!$B$6</f>
        <v>556.26088485683897</v>
      </c>
      <c r="L109" s="29">
        <f>E109*'GS&gt;50 PW'!$B$7</f>
        <v>178.44238590664642</v>
      </c>
      <c r="M109" s="29">
        <f>F109*'GS&gt;50 PW'!$B$8</f>
        <v>0</v>
      </c>
      <c r="N109" s="29">
        <f>G109*'GS&gt;50 PW'!$B$9</f>
        <v>2135.9264202299914</v>
      </c>
      <c r="O109" s="44">
        <f>H109*'GS&gt;50 PW'!$B$10</f>
        <v>-386.45806592875715</v>
      </c>
      <c r="P109" s="44">
        <f>I109*'GS&gt;50 PW'!$B$11</f>
        <v>-107.242128303215</v>
      </c>
      <c r="Q109" s="46">
        <f>'Monthly Data'!BH109</f>
        <v>31</v>
      </c>
      <c r="R109" s="44">
        <f>'Monthly Data'!O109</f>
        <v>974</v>
      </c>
      <c r="S109" s="44">
        <f t="shared" si="11"/>
        <v>71769009.22521688</v>
      </c>
      <c r="T109" s="44">
        <f t="shared" si="12"/>
        <v>146480.56837429106</v>
      </c>
      <c r="U109" s="48">
        <f t="shared" si="13"/>
        <v>2.0451744879897756E-3</v>
      </c>
    </row>
    <row r="110" spans="1:21" x14ac:dyDescent="0.2">
      <c r="A110" s="45">
        <f>'Monthly Data'!A110</f>
        <v>43466</v>
      </c>
      <c r="B110" s="29">
        <f t="shared" si="7"/>
        <v>2019</v>
      </c>
      <c r="C110" s="29">
        <f t="shared" si="8"/>
        <v>1</v>
      </c>
      <c r="D110" s="158">
        <f>'Monthly Data'!M110</f>
        <v>78801666.567807063</v>
      </c>
      <c r="E110" s="46">
        <f>'Monthly Data'!AJ110</f>
        <v>576</v>
      </c>
      <c r="F110" s="46">
        <f>'Monthly Data'!AK110</f>
        <v>0</v>
      </c>
      <c r="G110" s="46">
        <f>'Monthly Data'!V110</f>
        <v>744439.6</v>
      </c>
      <c r="H110" s="44">
        <f>'Monthly Data'!BG110</f>
        <v>109</v>
      </c>
      <c r="I110" s="44">
        <f>'Monthly Data'!BC110</f>
        <v>0</v>
      </c>
      <c r="K110" s="29">
        <f>'GS&gt;50 PW'!$B$6</f>
        <v>556.26088485683897</v>
      </c>
      <c r="L110" s="29">
        <f>E110*'GS&gt;50 PW'!$B$7</f>
        <v>262.20105684241923</v>
      </c>
      <c r="M110" s="29">
        <f>F110*'GS&gt;50 PW'!$B$8</f>
        <v>0</v>
      </c>
      <c r="N110" s="29">
        <f>G110*'GS&gt;50 PW'!$B$9</f>
        <v>2177.3518155260253</v>
      </c>
      <c r="O110" s="44">
        <f>H110*'GS&gt;50 PW'!$B$10</f>
        <v>-390.03638135402343</v>
      </c>
      <c r="P110" s="44">
        <f>I110*'GS&gt;50 PW'!$B$11</f>
        <v>0</v>
      </c>
      <c r="Q110" s="46">
        <f>'Monthly Data'!BH110</f>
        <v>31</v>
      </c>
      <c r="R110" s="44">
        <f>'Monthly Data'!O110</f>
        <v>974</v>
      </c>
      <c r="S110" s="44">
        <f t="shared" si="11"/>
        <v>78678842.087056831</v>
      </c>
      <c r="T110" s="44">
        <f t="shared" si="12"/>
        <v>-122824.48075023293</v>
      </c>
      <c r="U110" s="48">
        <f t="shared" si="13"/>
        <v>1.558653339451206E-3</v>
      </c>
    </row>
    <row r="111" spans="1:21" x14ac:dyDescent="0.2">
      <c r="A111" s="45">
        <f>'Monthly Data'!A111</f>
        <v>43497</v>
      </c>
      <c r="B111" s="29">
        <f t="shared" si="7"/>
        <v>2019</v>
      </c>
      <c r="C111" s="29">
        <f t="shared" si="8"/>
        <v>2</v>
      </c>
      <c r="D111" s="158">
        <f>'Monthly Data'!M111</f>
        <v>71331586.567807063</v>
      </c>
      <c r="E111" s="46">
        <f>'Monthly Data'!AJ111</f>
        <v>459.70000000000005</v>
      </c>
      <c r="F111" s="46">
        <f>'Monthly Data'!AK111</f>
        <v>0</v>
      </c>
      <c r="G111" s="46">
        <f>'Monthly Data'!V111</f>
        <v>744439.6</v>
      </c>
      <c r="H111" s="44">
        <f>'Monthly Data'!BG111</f>
        <v>110</v>
      </c>
      <c r="I111" s="44">
        <f>'Monthly Data'!BC111</f>
        <v>0</v>
      </c>
      <c r="K111" s="29">
        <f>'GS&gt;50 PW'!$B$6</f>
        <v>556.26088485683897</v>
      </c>
      <c r="L111" s="29">
        <f>E111*'GS&gt;50 PW'!$B$7</f>
        <v>209.26011428899326</v>
      </c>
      <c r="M111" s="29">
        <f>F111*'GS&gt;50 PW'!$B$8</f>
        <v>0</v>
      </c>
      <c r="N111" s="29">
        <f>G111*'GS&gt;50 PW'!$B$9</f>
        <v>2177.3518155260253</v>
      </c>
      <c r="O111" s="44">
        <f>H111*'GS&gt;50 PW'!$B$10</f>
        <v>-393.61469677928972</v>
      </c>
      <c r="P111" s="44">
        <f>I111*'GS&gt;50 PW'!$B$11</f>
        <v>0</v>
      </c>
      <c r="Q111" s="46">
        <f>'Monthly Data'!BH111</f>
        <v>28</v>
      </c>
      <c r="R111" s="44">
        <f>'Monthly Data'!O111</f>
        <v>972</v>
      </c>
      <c r="S111" s="44">
        <f t="shared" si="11"/>
        <v>69380608.936564133</v>
      </c>
      <c r="T111" s="44">
        <f t="shared" si="12"/>
        <v>-1950977.6312429309</v>
      </c>
      <c r="U111" s="48">
        <f t="shared" si="13"/>
        <v>2.735082345867005E-2</v>
      </c>
    </row>
    <row r="112" spans="1:21" x14ac:dyDescent="0.2">
      <c r="A112" s="45">
        <f>'Monthly Data'!A112</f>
        <v>43525</v>
      </c>
      <c r="B112" s="29">
        <f t="shared" si="7"/>
        <v>2019</v>
      </c>
      <c r="C112" s="29">
        <f t="shared" si="8"/>
        <v>3</v>
      </c>
      <c r="D112" s="158">
        <f>'Monthly Data'!M112</f>
        <v>76137811.567807063</v>
      </c>
      <c r="E112" s="46">
        <f>'Monthly Data'!AJ112</f>
        <v>432.49999999999989</v>
      </c>
      <c r="F112" s="46">
        <f>'Monthly Data'!AK112</f>
        <v>0</v>
      </c>
      <c r="G112" s="46">
        <f>'Monthly Data'!V112</f>
        <v>744439.6</v>
      </c>
      <c r="H112" s="44">
        <f>'Monthly Data'!BG112</f>
        <v>111</v>
      </c>
      <c r="I112" s="44">
        <f>'Monthly Data'!BC112</f>
        <v>0</v>
      </c>
      <c r="K112" s="29">
        <f>'GS&gt;50 PW'!$B$6</f>
        <v>556.26088485683897</v>
      </c>
      <c r="L112" s="29">
        <f>E112*'GS&gt;50 PW'!$B$7</f>
        <v>196.87839771587895</v>
      </c>
      <c r="M112" s="29">
        <f>F112*'GS&gt;50 PW'!$B$8</f>
        <v>0</v>
      </c>
      <c r="N112" s="29">
        <f>G112*'GS&gt;50 PW'!$B$9</f>
        <v>2177.3518155260253</v>
      </c>
      <c r="O112" s="44">
        <f>H112*'GS&gt;50 PW'!$B$10</f>
        <v>-397.193012204556</v>
      </c>
      <c r="P112" s="44">
        <f>I112*'GS&gt;50 PW'!$B$11</f>
        <v>0</v>
      </c>
      <c r="Q112" s="46">
        <f>'Monthly Data'!BH112</f>
        <v>31</v>
      </c>
      <c r="R112" s="44">
        <f>'Monthly Data'!O112</f>
        <v>972</v>
      </c>
      <c r="S112" s="44">
        <f t="shared" si="11"/>
        <v>76333337.924163654</v>
      </c>
      <c r="T112" s="44">
        <f t="shared" si="12"/>
        <v>195526.35635659099</v>
      </c>
      <c r="U112" s="48">
        <f t="shared" si="13"/>
        <v>2.5680585287437435E-3</v>
      </c>
    </row>
    <row r="113" spans="1:23" x14ac:dyDescent="0.2">
      <c r="A113" s="45">
        <f>'Monthly Data'!A113</f>
        <v>43556</v>
      </c>
      <c r="B113" s="29">
        <f t="shared" si="7"/>
        <v>2019</v>
      </c>
      <c r="C113" s="29">
        <f t="shared" si="8"/>
        <v>4</v>
      </c>
      <c r="D113" s="158">
        <f>'Monthly Data'!M113</f>
        <v>69883776.567807063</v>
      </c>
      <c r="E113" s="46">
        <f>'Monthly Data'!AJ113</f>
        <v>231.89999999999995</v>
      </c>
      <c r="F113" s="46">
        <f>'Monthly Data'!AK113</f>
        <v>0</v>
      </c>
      <c r="G113" s="46">
        <f>'Monthly Data'!V113</f>
        <v>744439.6</v>
      </c>
      <c r="H113" s="44">
        <f>'Monthly Data'!BG113</f>
        <v>112</v>
      </c>
      <c r="I113" s="44">
        <f>'Monthly Data'!BC113</f>
        <v>0</v>
      </c>
      <c r="K113" s="29">
        <f>'GS&gt;50 PW'!$B$6</f>
        <v>556.26088485683897</v>
      </c>
      <c r="L113" s="29">
        <f>E113*'GS&gt;50 PW'!$B$7</f>
        <v>105.56323798916146</v>
      </c>
      <c r="M113" s="29">
        <f>F113*'GS&gt;50 PW'!$B$8</f>
        <v>0</v>
      </c>
      <c r="N113" s="29">
        <f>G113*'GS&gt;50 PW'!$B$9</f>
        <v>2177.3518155260253</v>
      </c>
      <c r="O113" s="44">
        <f>H113*'GS&gt;50 PW'!$B$10</f>
        <v>-400.77132762982228</v>
      </c>
      <c r="P113" s="44">
        <f>I113*'GS&gt;50 PW'!$B$11</f>
        <v>0</v>
      </c>
      <c r="Q113" s="46">
        <f>'Monthly Data'!BH113</f>
        <v>30</v>
      </c>
      <c r="R113" s="44">
        <f>'Monthly Data'!O113</f>
        <v>973</v>
      </c>
      <c r="S113" s="44">
        <f t="shared" si="11"/>
        <v>71177030.58756493</v>
      </c>
      <c r="T113" s="44">
        <f t="shared" si="12"/>
        <v>1293254.0197578669</v>
      </c>
      <c r="U113" s="48">
        <f t="shared" si="13"/>
        <v>1.8505783219987318E-2</v>
      </c>
    </row>
    <row r="114" spans="1:23" x14ac:dyDescent="0.2">
      <c r="A114" s="45">
        <f>'Monthly Data'!A114</f>
        <v>43586</v>
      </c>
      <c r="B114" s="29">
        <f t="shared" si="7"/>
        <v>2019</v>
      </c>
      <c r="C114" s="29">
        <f t="shared" si="8"/>
        <v>5</v>
      </c>
      <c r="D114" s="158">
        <f>'Monthly Data'!M114</f>
        <v>70924333.567807063</v>
      </c>
      <c r="E114" s="46">
        <f>'Monthly Data'!AJ114</f>
        <v>105.80000000000003</v>
      </c>
      <c r="F114" s="46">
        <f>'Monthly Data'!AK114</f>
        <v>14.6</v>
      </c>
      <c r="G114" s="46">
        <f>'Monthly Data'!V114</f>
        <v>744439.6</v>
      </c>
      <c r="H114" s="44">
        <f>'Monthly Data'!BG114</f>
        <v>113</v>
      </c>
      <c r="I114" s="44">
        <f>'Monthly Data'!BC114</f>
        <v>0</v>
      </c>
      <c r="K114" s="29">
        <f>'GS&gt;50 PW'!$B$6</f>
        <v>556.26088485683897</v>
      </c>
      <c r="L114" s="29">
        <f>E114*'GS&gt;50 PW'!$B$7</f>
        <v>48.161235788069369</v>
      </c>
      <c r="M114" s="29">
        <f>F114*'GS&gt;50 PW'!$B$8</f>
        <v>22.599576423498235</v>
      </c>
      <c r="N114" s="29">
        <f>G114*'GS&gt;50 PW'!$B$9</f>
        <v>2177.3518155260253</v>
      </c>
      <c r="O114" s="44">
        <f>H114*'GS&gt;50 PW'!$B$10</f>
        <v>-404.34964305508851</v>
      </c>
      <c r="P114" s="44">
        <f>I114*'GS&gt;50 PW'!$B$11</f>
        <v>0</v>
      </c>
      <c r="Q114" s="46">
        <f>'Monthly Data'!BH114</f>
        <v>31</v>
      </c>
      <c r="R114" s="44">
        <f>'Monthly Data'!O114</f>
        <v>977</v>
      </c>
      <c r="S114" s="44">
        <f t="shared" si="11"/>
        <v>72689522.936738089</v>
      </c>
      <c r="T114" s="44">
        <f t="shared" si="12"/>
        <v>1765189.3689310253</v>
      </c>
      <c r="U114" s="48">
        <f t="shared" si="13"/>
        <v>2.4888346215384872E-2</v>
      </c>
    </row>
    <row r="115" spans="1:23" x14ac:dyDescent="0.2">
      <c r="A115" s="45">
        <f>'Monthly Data'!A115</f>
        <v>43617</v>
      </c>
      <c r="B115" s="29">
        <f t="shared" si="7"/>
        <v>2019</v>
      </c>
      <c r="C115" s="29">
        <f t="shared" si="8"/>
        <v>6</v>
      </c>
      <c r="D115" s="158">
        <f>'Monthly Data'!M115</f>
        <v>71942833.567807063</v>
      </c>
      <c r="E115" s="46">
        <f>'Monthly Data'!AJ115</f>
        <v>4.3999999999999986</v>
      </c>
      <c r="F115" s="46">
        <f>'Monthly Data'!AK115</f>
        <v>103.60000000000002</v>
      </c>
      <c r="G115" s="46">
        <f>'Monthly Data'!V115</f>
        <v>744439.6</v>
      </c>
      <c r="H115" s="44">
        <f>'Monthly Data'!BG115</f>
        <v>114</v>
      </c>
      <c r="I115" s="44">
        <f>'Monthly Data'!BC115</f>
        <v>0</v>
      </c>
      <c r="K115" s="29">
        <f>'GS&gt;50 PW'!$B$6</f>
        <v>556.26088485683897</v>
      </c>
      <c r="L115" s="29">
        <f>E115*'GS&gt;50 PW'!$B$7</f>
        <v>2.0029247397684795</v>
      </c>
      <c r="M115" s="29">
        <f>F115*'GS&gt;50 PW'!$B$8</f>
        <v>160.36411763523409</v>
      </c>
      <c r="N115" s="29">
        <f>G115*'GS&gt;50 PW'!$B$9</f>
        <v>2177.3518155260253</v>
      </c>
      <c r="O115" s="44">
        <f>H115*'GS&gt;50 PW'!$B$10</f>
        <v>-407.92795848035479</v>
      </c>
      <c r="P115" s="44">
        <f>I115*'GS&gt;50 PW'!$B$11</f>
        <v>0</v>
      </c>
      <c r="Q115" s="46">
        <f>'Monthly Data'!BH115</f>
        <v>30</v>
      </c>
      <c r="R115" s="44">
        <f>'Monthly Data'!O115</f>
        <v>982</v>
      </c>
      <c r="S115" s="44">
        <f t="shared" si="11"/>
        <v>73298005.564815506</v>
      </c>
      <c r="T115" s="44">
        <f t="shared" si="12"/>
        <v>1355171.9970084429</v>
      </c>
      <c r="U115" s="48">
        <f t="shared" si="13"/>
        <v>1.8836789292309086E-2</v>
      </c>
    </row>
    <row r="116" spans="1:23" x14ac:dyDescent="0.2">
      <c r="A116" s="45">
        <f>'Monthly Data'!A116</f>
        <v>43647</v>
      </c>
      <c r="B116" s="29">
        <f t="shared" si="7"/>
        <v>2019</v>
      </c>
      <c r="C116" s="29">
        <f t="shared" si="8"/>
        <v>7</v>
      </c>
      <c r="D116" s="158">
        <f>'Monthly Data'!M116</f>
        <v>83258537.567807063</v>
      </c>
      <c r="E116" s="46">
        <f>'Monthly Data'!AJ116</f>
        <v>0</v>
      </c>
      <c r="F116" s="46">
        <f>'Monthly Data'!AK116</f>
        <v>276.59999999999997</v>
      </c>
      <c r="G116" s="46">
        <f>'Monthly Data'!V116</f>
        <v>744439.6</v>
      </c>
      <c r="H116" s="44">
        <f>'Monthly Data'!BG116</f>
        <v>115</v>
      </c>
      <c r="I116" s="44">
        <f>'Monthly Data'!BC116</f>
        <v>0</v>
      </c>
      <c r="K116" s="29">
        <f>'GS&gt;50 PW'!$B$6</f>
        <v>556.26088485683897</v>
      </c>
      <c r="L116" s="29">
        <f>E116*'GS&gt;50 PW'!$B$7</f>
        <v>0</v>
      </c>
      <c r="M116" s="29">
        <f>F116*'GS&gt;50 PW'!$B$8</f>
        <v>428.15361909175419</v>
      </c>
      <c r="N116" s="29">
        <f>G116*'GS&gt;50 PW'!$B$9</f>
        <v>2177.3518155260253</v>
      </c>
      <c r="O116" s="44">
        <f>H116*'GS&gt;50 PW'!$B$10</f>
        <v>-411.50627390562107</v>
      </c>
      <c r="P116" s="44">
        <f>I116*'GS&gt;50 PW'!$B$11</f>
        <v>0</v>
      </c>
      <c r="Q116" s="46">
        <f>'Monthly Data'!BH116</f>
        <v>31</v>
      </c>
      <c r="R116" s="44">
        <f>'Monthly Data'!O116</f>
        <v>982</v>
      </c>
      <c r="S116" s="44">
        <f t="shared" si="11"/>
        <v>83723416.307211414</v>
      </c>
      <c r="T116" s="44">
        <f t="shared" si="12"/>
        <v>464878.73940435052</v>
      </c>
      <c r="U116" s="48">
        <f t="shared" si="13"/>
        <v>5.5835563893462089E-3</v>
      </c>
    </row>
    <row r="117" spans="1:23" x14ac:dyDescent="0.2">
      <c r="A117" s="45">
        <f>'Monthly Data'!A117</f>
        <v>43678</v>
      </c>
      <c r="B117" s="29">
        <f t="shared" si="7"/>
        <v>2019</v>
      </c>
      <c r="C117" s="29">
        <f t="shared" si="8"/>
        <v>8</v>
      </c>
      <c r="D117" s="158">
        <f>'Monthly Data'!M117</f>
        <v>79859842.567807063</v>
      </c>
      <c r="E117" s="46">
        <f>'Monthly Data'!AJ117</f>
        <v>0</v>
      </c>
      <c r="F117" s="46">
        <f>'Monthly Data'!AK117</f>
        <v>225.29999999999998</v>
      </c>
      <c r="G117" s="46">
        <f>'Monthly Data'!V117</f>
        <v>744439.6</v>
      </c>
      <c r="H117" s="44">
        <f>'Monthly Data'!BG117</f>
        <v>116</v>
      </c>
      <c r="I117" s="44">
        <f>'Monthly Data'!BC117</f>
        <v>0</v>
      </c>
      <c r="K117" s="29">
        <f>'GS&gt;50 PW'!$B$6</f>
        <v>556.26088485683897</v>
      </c>
      <c r="L117" s="29">
        <f>E117*'GS&gt;50 PW'!$B$7</f>
        <v>0</v>
      </c>
      <c r="M117" s="29">
        <f>F117*'GS&gt;50 PW'!$B$8</f>
        <v>348.74551837083231</v>
      </c>
      <c r="N117" s="29">
        <f>G117*'GS&gt;50 PW'!$B$9</f>
        <v>2177.3518155260253</v>
      </c>
      <c r="O117" s="44">
        <f>H117*'GS&gt;50 PW'!$B$10</f>
        <v>-415.08458933088735</v>
      </c>
      <c r="P117" s="44">
        <f>I117*'GS&gt;50 PW'!$B$11</f>
        <v>0</v>
      </c>
      <c r="Q117" s="46">
        <f>'Monthly Data'!BH117</f>
        <v>31</v>
      </c>
      <c r="R117" s="44">
        <f>'Monthly Data'!O117</f>
        <v>983</v>
      </c>
      <c r="S117" s="44">
        <f t="shared" si="11"/>
        <v>81279829.309401274</v>
      </c>
      <c r="T117" s="44">
        <f t="shared" si="12"/>
        <v>1419986.7415942103</v>
      </c>
      <c r="U117" s="48">
        <f t="shared" si="13"/>
        <v>1.778098598664947E-2</v>
      </c>
    </row>
    <row r="118" spans="1:23" x14ac:dyDescent="0.2">
      <c r="A118" s="45">
        <f>'Monthly Data'!A118</f>
        <v>43709</v>
      </c>
      <c r="B118" s="29">
        <f t="shared" si="7"/>
        <v>2019</v>
      </c>
      <c r="C118" s="29">
        <f t="shared" si="8"/>
        <v>9</v>
      </c>
      <c r="D118" s="158">
        <f>'Monthly Data'!M118</f>
        <v>73220953.567807063</v>
      </c>
      <c r="E118" s="46">
        <f>'Monthly Data'!AJ118</f>
        <v>0.30000000000000071</v>
      </c>
      <c r="F118" s="46">
        <f>'Monthly Data'!AK118</f>
        <v>133.90000000000003</v>
      </c>
      <c r="G118" s="46">
        <f>'Monthly Data'!V118</f>
        <v>744439.6</v>
      </c>
      <c r="H118" s="44">
        <f>'Monthly Data'!BG118</f>
        <v>117</v>
      </c>
      <c r="I118" s="44">
        <f>'Monthly Data'!BC118</f>
        <v>0</v>
      </c>
      <c r="K118" s="29">
        <f>'GS&gt;50 PW'!$B$6</f>
        <v>556.26088485683897</v>
      </c>
      <c r="L118" s="29">
        <f>E118*'GS&gt;50 PW'!$B$7</f>
        <v>0.13656305043876033</v>
      </c>
      <c r="M118" s="29">
        <f>F118*'GS&gt;50 PW'!$B$8</f>
        <v>207.26597829495989</v>
      </c>
      <c r="N118" s="29">
        <f>G118*'GS&gt;50 PW'!$B$9</f>
        <v>2177.3518155260253</v>
      </c>
      <c r="O118" s="44">
        <f>H118*'GS&gt;50 PW'!$B$10</f>
        <v>-418.66290475615358</v>
      </c>
      <c r="P118" s="44">
        <f>I118*'GS&gt;50 PW'!$B$11</f>
        <v>0</v>
      </c>
      <c r="Q118" s="46">
        <f>'Monthly Data'!BH118</f>
        <v>30</v>
      </c>
      <c r="R118" s="44">
        <f>'Monthly Data'!O118</f>
        <v>981</v>
      </c>
      <c r="S118" s="44">
        <f t="shared" si="11"/>
        <v>74232829.277089179</v>
      </c>
      <c r="T118" s="44">
        <f t="shared" si="12"/>
        <v>1011875.7092821151</v>
      </c>
      <c r="U118" s="48">
        <f t="shared" si="13"/>
        <v>1.3819482811638837E-2</v>
      </c>
    </row>
    <row r="119" spans="1:23" x14ac:dyDescent="0.2">
      <c r="A119" s="45">
        <f>'Monthly Data'!A119</f>
        <v>43739</v>
      </c>
      <c r="B119" s="29">
        <f t="shared" si="7"/>
        <v>2019</v>
      </c>
      <c r="C119" s="29">
        <f t="shared" si="8"/>
        <v>10</v>
      </c>
      <c r="D119" s="158">
        <f>'Monthly Data'!M119</f>
        <v>71051748.567807063</v>
      </c>
      <c r="E119" s="46">
        <f>'Monthly Data'!AJ119</f>
        <v>74.100000000000009</v>
      </c>
      <c r="F119" s="46">
        <f>'Monthly Data'!AK119</f>
        <v>15.999999999999998</v>
      </c>
      <c r="G119" s="46">
        <f>'Monthly Data'!V119</f>
        <v>744439.6</v>
      </c>
      <c r="H119" s="44">
        <f>'Monthly Data'!BG119</f>
        <v>118</v>
      </c>
      <c r="I119" s="44">
        <f>'Monthly Data'!BC119</f>
        <v>0</v>
      </c>
      <c r="K119" s="29">
        <f>'GS&gt;50 PW'!$B$6</f>
        <v>556.26088485683897</v>
      </c>
      <c r="L119" s="29">
        <f>E119*'GS&gt;50 PW'!$B$7</f>
        <v>33.731073458373722</v>
      </c>
      <c r="M119" s="29">
        <f>F119*'GS&gt;50 PW'!$B$8</f>
        <v>24.766659094244638</v>
      </c>
      <c r="N119" s="29">
        <f>G119*'GS&gt;50 PW'!$B$9</f>
        <v>2177.3518155260253</v>
      </c>
      <c r="O119" s="44">
        <f>H119*'GS&gt;50 PW'!$B$10</f>
        <v>-422.24122018141986</v>
      </c>
      <c r="P119" s="44">
        <f>I119*'GS&gt;50 PW'!$B$11</f>
        <v>0</v>
      </c>
      <c r="Q119" s="46">
        <f>'Monthly Data'!BH119</f>
        <v>31</v>
      </c>
      <c r="R119" s="44">
        <f>'Monthly Data'!O119</f>
        <v>980</v>
      </c>
      <c r="S119" s="44">
        <f t="shared" si="11"/>
        <v>71996626.683468446</v>
      </c>
      <c r="T119" s="44">
        <f t="shared" si="12"/>
        <v>944878.11566138268</v>
      </c>
      <c r="U119" s="48">
        <f t="shared" si="13"/>
        <v>1.3298449858129162E-2</v>
      </c>
    </row>
    <row r="120" spans="1:23" x14ac:dyDescent="0.2">
      <c r="A120" s="45">
        <f>'Monthly Data'!A120</f>
        <v>43770</v>
      </c>
      <c r="B120" s="29">
        <f t="shared" si="7"/>
        <v>2019</v>
      </c>
      <c r="C120" s="29">
        <f t="shared" si="8"/>
        <v>11</v>
      </c>
      <c r="D120" s="158">
        <f>'Monthly Data'!M120</f>
        <v>71481685.567807063</v>
      </c>
      <c r="E120" s="46">
        <f>'Monthly Data'!AJ120</f>
        <v>343.99999999999994</v>
      </c>
      <c r="F120" s="46">
        <f>'Monthly Data'!AK120</f>
        <v>0</v>
      </c>
      <c r="G120" s="46">
        <f>'Monthly Data'!V120</f>
        <v>744439.6</v>
      </c>
      <c r="H120" s="44">
        <f>'Monthly Data'!BG120</f>
        <v>119</v>
      </c>
      <c r="I120" s="44">
        <f>'Monthly Data'!BC120</f>
        <v>0</v>
      </c>
      <c r="K120" s="29">
        <f>'GS&gt;50 PW'!$B$6</f>
        <v>556.26088485683897</v>
      </c>
      <c r="L120" s="29">
        <f>E120*'GS&gt;50 PW'!$B$7</f>
        <v>156.59229783644477</v>
      </c>
      <c r="M120" s="29">
        <f>F120*'GS&gt;50 PW'!$B$8</f>
        <v>0</v>
      </c>
      <c r="N120" s="29">
        <f>G120*'GS&gt;50 PW'!$B$9</f>
        <v>2177.3518155260253</v>
      </c>
      <c r="O120" s="44">
        <f>H120*'GS&gt;50 PW'!$B$10</f>
        <v>-425.81953560668615</v>
      </c>
      <c r="P120" s="44">
        <f>I120*'GS&gt;50 PW'!$B$11</f>
        <v>0</v>
      </c>
      <c r="Q120" s="46">
        <f>'Monthly Data'!BH120</f>
        <v>30</v>
      </c>
      <c r="R120" s="44">
        <f>'Monthly Data'!O120</f>
        <v>1020</v>
      </c>
      <c r="S120" s="44">
        <f t="shared" si="11"/>
        <v>75410195.155946255</v>
      </c>
      <c r="T120" s="44">
        <f t="shared" si="12"/>
        <v>3928509.5881391913</v>
      </c>
      <c r="U120" s="48">
        <f t="shared" si="13"/>
        <v>5.4958267379028612E-2</v>
      </c>
    </row>
    <row r="121" spans="1:23" x14ac:dyDescent="0.2">
      <c r="A121" s="45">
        <f>'Monthly Data'!A121</f>
        <v>43800</v>
      </c>
      <c r="B121" s="29">
        <f t="shared" si="7"/>
        <v>2019</v>
      </c>
      <c r="C121" s="29">
        <f t="shared" si="8"/>
        <v>12</v>
      </c>
      <c r="D121" s="158">
        <f>'Monthly Data'!M121</f>
        <v>72324333.567807063</v>
      </c>
      <c r="E121" s="46">
        <f>'Monthly Data'!AJ121</f>
        <v>396.4</v>
      </c>
      <c r="F121" s="46">
        <f>'Monthly Data'!AK121</f>
        <v>0</v>
      </c>
      <c r="G121" s="46">
        <f>'Monthly Data'!V121</f>
        <v>744439.6</v>
      </c>
      <c r="H121" s="44">
        <f>'Monthly Data'!BG121</f>
        <v>120</v>
      </c>
      <c r="I121" s="44">
        <f>'Monthly Data'!BC121</f>
        <v>1</v>
      </c>
      <c r="K121" s="29">
        <f>'GS&gt;50 PW'!$B$6</f>
        <v>556.26088485683897</v>
      </c>
      <c r="L121" s="29">
        <f>E121*'GS&gt;50 PW'!$B$7</f>
        <v>180.44531064641487</v>
      </c>
      <c r="M121" s="29">
        <f>F121*'GS&gt;50 PW'!$B$8</f>
        <v>0</v>
      </c>
      <c r="N121" s="29">
        <f>G121*'GS&gt;50 PW'!$B$9</f>
        <v>2177.3518155260253</v>
      </c>
      <c r="O121" s="44">
        <f>H121*'GS&gt;50 PW'!$B$10</f>
        <v>-429.39785103195243</v>
      </c>
      <c r="P121" s="44">
        <f>I121*'GS&gt;50 PW'!$B$11</f>
        <v>-107.242128303215</v>
      </c>
      <c r="Q121" s="46">
        <f>'Monthly Data'!BH121</f>
        <v>31</v>
      </c>
      <c r="R121" s="44">
        <f>'Monthly Data'!O121</f>
        <v>1022</v>
      </c>
      <c r="S121" s="44">
        <f t="shared" si="11"/>
        <v>75321358.080132857</v>
      </c>
      <c r="T121" s="44">
        <f t="shared" si="12"/>
        <v>2997024.5123257935</v>
      </c>
      <c r="U121" s="48">
        <f t="shared" si="13"/>
        <v>4.1438674433355943E-2</v>
      </c>
    </row>
    <row r="122" spans="1:23" x14ac:dyDescent="0.2">
      <c r="A122" s="45"/>
      <c r="D122" s="44"/>
      <c r="E122" s="46"/>
      <c r="F122" s="46"/>
      <c r="G122" s="46"/>
      <c r="H122" s="44"/>
      <c r="I122" s="44"/>
      <c r="O122" s="44"/>
      <c r="P122" s="44"/>
      <c r="Q122" s="46"/>
      <c r="R122" s="44"/>
      <c r="S122" s="44"/>
      <c r="T122" s="44"/>
      <c r="U122" s="49">
        <f>AVERAGE(U2:U121)</f>
        <v>1.3159331789603006E-2</v>
      </c>
    </row>
    <row r="123" spans="1:23" x14ac:dyDescent="0.2">
      <c r="A123" s="45"/>
      <c r="D123" s="44"/>
      <c r="E123" s="46"/>
      <c r="F123" s="46"/>
      <c r="G123" s="46"/>
      <c r="H123" s="44"/>
      <c r="I123" s="44"/>
      <c r="O123" s="44"/>
      <c r="P123" s="44"/>
      <c r="Q123" s="46"/>
      <c r="R123" s="44"/>
      <c r="S123" s="44"/>
      <c r="T123" s="44"/>
    </row>
    <row r="124" spans="1:23" x14ac:dyDescent="0.2">
      <c r="A124" s="45"/>
      <c r="D124" s="44"/>
      <c r="E124" s="46"/>
      <c r="F124" s="46"/>
      <c r="G124" s="46"/>
      <c r="H124" s="44"/>
      <c r="I124" s="44"/>
      <c r="O124" s="44"/>
      <c r="P124" s="44"/>
      <c r="Q124" s="46"/>
      <c r="R124" s="44"/>
      <c r="S124" s="44"/>
      <c r="T124" s="44"/>
      <c r="W124" s="26"/>
    </row>
    <row r="125" spans="1:23" x14ac:dyDescent="0.2">
      <c r="A125" s="45"/>
      <c r="D125" s="44"/>
      <c r="E125" s="46"/>
      <c r="F125" s="46"/>
      <c r="G125" s="46"/>
      <c r="H125" s="44"/>
      <c r="I125" s="44"/>
      <c r="O125" s="44"/>
      <c r="P125" s="44"/>
      <c r="Q125" s="46"/>
      <c r="R125" s="44"/>
      <c r="S125" s="44"/>
      <c r="T125" s="44"/>
      <c r="W125" s="26"/>
    </row>
    <row r="126" spans="1:23" x14ac:dyDescent="0.2">
      <c r="A126" s="45"/>
      <c r="D126" s="44"/>
      <c r="E126" s="46"/>
      <c r="F126" s="46"/>
      <c r="G126" s="46"/>
      <c r="H126" s="44"/>
      <c r="I126" s="44"/>
      <c r="O126" s="44"/>
      <c r="P126" s="44"/>
      <c r="Q126" s="46"/>
      <c r="R126" s="44"/>
      <c r="S126" s="44"/>
      <c r="T126" s="44"/>
      <c r="W126" s="26"/>
    </row>
    <row r="127" spans="1:23" x14ac:dyDescent="0.2">
      <c r="A127" s="45"/>
      <c r="D127" s="44"/>
      <c r="E127" s="46"/>
      <c r="F127" s="46"/>
      <c r="G127" s="46"/>
      <c r="H127" s="44"/>
      <c r="I127" s="44"/>
      <c r="O127" s="44"/>
      <c r="P127" s="44"/>
      <c r="Q127" s="46"/>
      <c r="R127" s="44"/>
      <c r="S127" s="44"/>
      <c r="T127" s="44"/>
      <c r="W127" s="26"/>
    </row>
    <row r="128" spans="1:23" x14ac:dyDescent="0.2">
      <c r="A128" s="45"/>
      <c r="W128" s="26"/>
    </row>
    <row r="129" spans="1:28" x14ac:dyDescent="0.2">
      <c r="A129" s="45"/>
      <c r="W129" s="26"/>
    </row>
    <row r="130" spans="1:28" x14ac:dyDescent="0.2">
      <c r="A130" s="45"/>
      <c r="W130" s="26"/>
    </row>
    <row r="131" spans="1:28" x14ac:dyDescent="0.2">
      <c r="A131" s="45"/>
      <c r="W131" s="26"/>
    </row>
    <row r="132" spans="1:28" x14ac:dyDescent="0.2">
      <c r="A132" s="45"/>
      <c r="W132" s="26"/>
    </row>
    <row r="133" spans="1:28" x14ac:dyDescent="0.2">
      <c r="A133" s="45"/>
      <c r="W133" s="26"/>
    </row>
    <row r="134" spans="1:28" x14ac:dyDescent="0.2">
      <c r="A134" s="45"/>
      <c r="W134" s="26"/>
    </row>
    <row r="135" spans="1:28" x14ac:dyDescent="0.2">
      <c r="A135" s="45"/>
      <c r="W135" s="26"/>
    </row>
    <row r="136" spans="1:28" x14ac:dyDescent="0.2">
      <c r="A136" s="45"/>
    </row>
    <row r="137" spans="1:28" x14ac:dyDescent="0.2">
      <c r="A137" s="45"/>
      <c r="W137" s="26"/>
    </row>
    <row r="138" spans="1:28" x14ac:dyDescent="0.2">
      <c r="A138" s="45"/>
      <c r="W138" s="26"/>
      <c r="Z138" s="26"/>
      <c r="AA138" s="26"/>
      <c r="AB138" s="161"/>
    </row>
    <row r="139" spans="1:28" x14ac:dyDescent="0.2">
      <c r="A139" s="45"/>
      <c r="W139" s="26"/>
      <c r="Z139" s="26"/>
      <c r="AA139" s="26"/>
      <c r="AB139" s="161"/>
    </row>
    <row r="140" spans="1:28" x14ac:dyDescent="0.2">
      <c r="A140" s="45"/>
      <c r="W140" s="26"/>
      <c r="Z140" s="26"/>
      <c r="AA140" s="26"/>
      <c r="AB140" s="161"/>
    </row>
    <row r="141" spans="1:28" x14ac:dyDescent="0.2">
      <c r="A141" s="45"/>
      <c r="W141" s="26"/>
      <c r="Z141" s="26"/>
      <c r="AA141" s="26"/>
      <c r="AB141" s="161"/>
    </row>
    <row r="142" spans="1:28" x14ac:dyDescent="0.2">
      <c r="A142" s="45"/>
      <c r="W142" s="26"/>
      <c r="Z142" s="26"/>
      <c r="AA142" s="26"/>
      <c r="AB142" s="161"/>
    </row>
    <row r="143" spans="1:28" x14ac:dyDescent="0.2">
      <c r="A143" s="45"/>
      <c r="W143" s="26"/>
      <c r="Z143" s="26"/>
      <c r="AA143" s="26"/>
      <c r="AB143" s="161"/>
    </row>
    <row r="144" spans="1:28" x14ac:dyDescent="0.2">
      <c r="A144" s="45"/>
      <c r="W144" s="26"/>
      <c r="Z144" s="26"/>
      <c r="AA144" s="26"/>
      <c r="AB144" s="161"/>
    </row>
    <row r="145" spans="1:28" x14ac:dyDescent="0.2">
      <c r="A145" s="45"/>
      <c r="W145" s="26"/>
      <c r="Z145" s="26"/>
      <c r="AA145" s="26"/>
      <c r="AB145" s="161"/>
    </row>
    <row r="146" spans="1:28" x14ac:dyDescent="0.2">
      <c r="A146" s="45"/>
      <c r="W146" s="26"/>
      <c r="Z146" s="26"/>
      <c r="AA146" s="26"/>
      <c r="AB146" s="161"/>
    </row>
    <row r="147" spans="1:28" x14ac:dyDescent="0.2">
      <c r="A147" s="45"/>
      <c r="W147" s="26"/>
      <c r="Z147" s="26"/>
      <c r="AA147" s="26"/>
      <c r="AB147" s="161"/>
    </row>
    <row r="148" spans="1:28" x14ac:dyDescent="0.2">
      <c r="A148" s="45"/>
      <c r="W148" s="26"/>
    </row>
    <row r="149" spans="1:28" x14ac:dyDescent="0.2">
      <c r="A149" s="45"/>
      <c r="AB149" s="162"/>
    </row>
    <row r="150" spans="1:28" x14ac:dyDescent="0.2">
      <c r="A150" s="45"/>
    </row>
    <row r="151" spans="1:28" x14ac:dyDescent="0.2">
      <c r="A151" s="45"/>
    </row>
    <row r="152" spans="1:28" x14ac:dyDescent="0.2">
      <c r="A152" s="45"/>
    </row>
    <row r="153" spans="1:28" x14ac:dyDescent="0.2">
      <c r="A153" s="45"/>
    </row>
    <row r="154" spans="1:28" x14ac:dyDescent="0.2">
      <c r="A154" s="45"/>
    </row>
    <row r="155" spans="1:28" x14ac:dyDescent="0.2">
      <c r="A155" s="45"/>
    </row>
    <row r="156" spans="1:28" x14ac:dyDescent="0.2">
      <c r="A156" s="45"/>
    </row>
    <row r="157" spans="1:28" x14ac:dyDescent="0.2">
      <c r="A157" s="45"/>
    </row>
    <row r="158" spans="1:28" x14ac:dyDescent="0.2">
      <c r="A158" s="45"/>
    </row>
    <row r="159" spans="1:28" x14ac:dyDescent="0.2">
      <c r="A159" s="45"/>
    </row>
    <row r="160" spans="1:28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0000"/>
  </sheetPr>
  <dimension ref="A1:R38"/>
  <sheetViews>
    <sheetView workbookViewId="0"/>
  </sheetViews>
  <sheetFormatPr defaultRowHeight="12.75" x14ac:dyDescent="0.2"/>
  <cols>
    <col min="1" max="1" width="14.83203125" customWidth="1"/>
    <col min="3" max="3" width="21.1640625" customWidth="1"/>
    <col min="4" max="4" width="15.83203125" customWidth="1"/>
    <col min="6" max="7" width="22.5" customWidth="1"/>
    <col min="9" max="9" width="20" customWidth="1"/>
    <col min="10" max="10" width="16.83203125" customWidth="1"/>
    <col min="12" max="13" width="22.33203125" customWidth="1"/>
    <col min="15" max="15" width="19.33203125" customWidth="1"/>
    <col min="16" max="16" width="17.6640625" customWidth="1"/>
    <col min="18" max="18" width="25.1640625" customWidth="1"/>
  </cols>
  <sheetData>
    <row r="1" spans="1:18" x14ac:dyDescent="0.2">
      <c r="D1" s="9"/>
    </row>
    <row r="2" spans="1:18" ht="15" x14ac:dyDescent="0.25">
      <c r="A2" s="174"/>
      <c r="B2" s="54"/>
      <c r="C2" s="258" t="s">
        <v>89</v>
      </c>
      <c r="D2" s="258"/>
      <c r="E2" s="50" t="s">
        <v>90</v>
      </c>
      <c r="F2" s="50"/>
      <c r="G2" s="50"/>
      <c r="H2" s="228"/>
      <c r="I2" s="257" t="s">
        <v>91</v>
      </c>
      <c r="J2" s="258"/>
      <c r="K2" s="50" t="s">
        <v>90</v>
      </c>
      <c r="L2" s="201"/>
      <c r="M2" s="201"/>
      <c r="N2" s="228"/>
      <c r="O2" s="257" t="s">
        <v>92</v>
      </c>
      <c r="P2" s="258"/>
      <c r="Q2" s="50" t="s">
        <v>90</v>
      </c>
      <c r="R2" s="201"/>
    </row>
    <row r="3" spans="1:18" ht="15" x14ac:dyDescent="0.25">
      <c r="A3" s="174"/>
      <c r="B3" s="50" t="s">
        <v>0</v>
      </c>
      <c r="C3" s="50" t="s">
        <v>93</v>
      </c>
      <c r="D3" s="51" t="s">
        <v>86</v>
      </c>
      <c r="E3" s="50" t="s">
        <v>94</v>
      </c>
      <c r="F3" s="50"/>
      <c r="G3" s="50"/>
      <c r="H3" s="50" t="s">
        <v>0</v>
      </c>
      <c r="I3" s="50" t="s">
        <v>93</v>
      </c>
      <c r="J3" s="51" t="s">
        <v>86</v>
      </c>
      <c r="K3" s="50" t="s">
        <v>94</v>
      </c>
      <c r="L3" s="201"/>
      <c r="M3" s="201"/>
      <c r="N3" s="50" t="s">
        <v>0</v>
      </c>
      <c r="O3" s="50" t="s">
        <v>93</v>
      </c>
      <c r="P3" s="51" t="s">
        <v>86</v>
      </c>
      <c r="Q3" s="50" t="s">
        <v>94</v>
      </c>
      <c r="R3" s="201"/>
    </row>
    <row r="4" spans="1:18" ht="15" x14ac:dyDescent="0.25">
      <c r="A4" s="174"/>
      <c r="B4" s="54">
        <v>2010</v>
      </c>
      <c r="C4" s="52">
        <f>SUMIF('Res Predicted Monthly'!$B:$B,B4,'Res Predicted Monthly'!D:D)</f>
        <v>556896336</v>
      </c>
      <c r="D4" s="52">
        <f>SUMIF('Res Predicted Monthly'!$B:$B,B4,'Res Predicted Monthly'!S:S)</f>
        <v>550034586.08433902</v>
      </c>
      <c r="E4" s="53">
        <f>ABS(C4-D4)/C4</f>
        <v>1.2321413290212377E-2</v>
      </c>
      <c r="F4" s="53"/>
      <c r="G4" s="53"/>
      <c r="H4" s="228">
        <v>2010</v>
      </c>
      <c r="I4" s="52">
        <f>SUMIF('GS&lt;50 Predicted Monthly'!$B:$B,H4,'GS&lt;50 Predicted Monthly'!D:D)</f>
        <v>172200325</v>
      </c>
      <c r="J4" s="52">
        <f>SUMIF('GS&lt;50 Predicted Monthly'!$B:$B,H4,'GS&lt;50 Predicted Monthly'!S:S)</f>
        <v>172672131.89276028</v>
      </c>
      <c r="K4" s="53">
        <f>ABS(I4-J4)/I4</f>
        <v>2.7398722549465387E-3</v>
      </c>
      <c r="L4" s="201"/>
      <c r="M4" s="201"/>
      <c r="N4" s="228">
        <v>2010</v>
      </c>
      <c r="O4" s="52">
        <f>SUMIF('GS&gt;50 Predicted Monthly'!$B:$B,N4,'GS&gt;50 Predicted Monthly'!D:D)</f>
        <v>906197008</v>
      </c>
      <c r="P4" s="52">
        <f>SUMIF('GS&gt;50 Predicted Monthly'!$B:$B,N4,'GS&gt;50 Predicted Monthly'!S:S)</f>
        <v>913479803.59889007</v>
      </c>
      <c r="Q4" s="53">
        <f>ABS(O4-P4)/O4</f>
        <v>8.0366581820473914E-3</v>
      </c>
      <c r="R4" s="201"/>
    </row>
    <row r="5" spans="1:18" ht="15" x14ac:dyDescent="0.25">
      <c r="A5" s="174"/>
      <c r="B5" s="50">
        <v>2011</v>
      </c>
      <c r="C5" s="52">
        <f>SUMIF('Res Predicted Monthly'!$B:$B,B5,'Res Predicted Monthly'!D:D)</f>
        <v>552441915.71376777</v>
      </c>
      <c r="D5" s="52">
        <f>SUMIF('Res Predicted Monthly'!$B:$B,B5,'Res Predicted Monthly'!S:S)</f>
        <v>553414884.23810744</v>
      </c>
      <c r="E5" s="53">
        <f>ABS(C5-D5)/C5</f>
        <v>1.7612141596507534E-3</v>
      </c>
      <c r="F5" s="53"/>
      <c r="G5" s="53"/>
      <c r="H5" s="50">
        <v>2011</v>
      </c>
      <c r="I5" s="52">
        <f>SUMIF('GS&lt;50 Predicted Monthly'!$B:$B,H5,'GS&lt;50 Predicted Monthly'!D:D)</f>
        <v>175038865.01924333</v>
      </c>
      <c r="J5" s="52">
        <f>SUMIF('GS&lt;50 Predicted Monthly'!$B:$B,H5,'GS&lt;50 Predicted Monthly'!S:S)</f>
        <v>175352250.7055445</v>
      </c>
      <c r="K5" s="53">
        <f>ABS(I5-J5)/I5</f>
        <v>1.7903777327779116E-3</v>
      </c>
      <c r="L5" s="201"/>
      <c r="M5" s="201"/>
      <c r="N5" s="50">
        <v>2011</v>
      </c>
      <c r="O5" s="52">
        <f>SUMIF('GS&gt;50 Predicted Monthly'!$B:$B,N5,'GS&gt;50 Predicted Monthly'!D:D)</f>
        <v>910448523.11322927</v>
      </c>
      <c r="P5" s="52">
        <f>SUMIF('GS&gt;50 Predicted Monthly'!$B:$B,N5,'GS&gt;50 Predicted Monthly'!S:S)</f>
        <v>906966198.18581629</v>
      </c>
      <c r="Q5" s="53">
        <f>ABS(O5-P5)/O5</f>
        <v>3.824845489896964E-3</v>
      </c>
      <c r="R5" s="201"/>
    </row>
    <row r="6" spans="1:18" ht="15" x14ac:dyDescent="0.25">
      <c r="A6" s="174"/>
      <c r="B6" s="54">
        <v>2012</v>
      </c>
      <c r="C6" s="52">
        <f>SUMIF('Res Predicted Monthly'!$B:$B,B6,'Res Predicted Monthly'!D:D)</f>
        <v>554745009.76718867</v>
      </c>
      <c r="D6" s="52">
        <f>SUMIF('Res Predicted Monthly'!$B:$B,B6,'Res Predicted Monthly'!S:S)</f>
        <v>555025001.43519855</v>
      </c>
      <c r="E6" s="53">
        <f>ABS(C6-D6)/C6</f>
        <v>5.0472138204070026E-4</v>
      </c>
      <c r="F6" s="53"/>
      <c r="G6" s="53"/>
      <c r="H6" s="228">
        <v>2012</v>
      </c>
      <c r="I6" s="52">
        <f>SUMIF('GS&lt;50 Predicted Monthly'!$B:$B,H6,'GS&lt;50 Predicted Monthly'!D:D)</f>
        <v>176077042.3798866</v>
      </c>
      <c r="J6" s="52">
        <f>SUMIF('GS&lt;50 Predicted Monthly'!$B:$B,H6,'GS&lt;50 Predicted Monthly'!S:S)</f>
        <v>175257471.14829156</v>
      </c>
      <c r="K6" s="53">
        <f>ABS(I6-J6)/I6</f>
        <v>4.6546172091351508E-3</v>
      </c>
      <c r="L6" s="201"/>
      <c r="M6" s="201"/>
      <c r="N6" s="228">
        <v>2012</v>
      </c>
      <c r="O6" s="52">
        <f>SUMIF('GS&gt;50 Predicted Monthly'!$B:$B,N6,'GS&gt;50 Predicted Monthly'!D:D)</f>
        <v>911276433.55605805</v>
      </c>
      <c r="P6" s="52">
        <f>SUMIF('GS&gt;50 Predicted Monthly'!$B:$B,N6,'GS&gt;50 Predicted Monthly'!S:S)</f>
        <v>913124325.91420937</v>
      </c>
      <c r="Q6" s="53">
        <f>ABS(O6-P6)/O6</f>
        <v>2.027806590959802E-3</v>
      </c>
      <c r="R6" s="201"/>
    </row>
    <row r="7" spans="1:18" ht="15" x14ac:dyDescent="0.25">
      <c r="A7" s="174"/>
      <c r="B7" s="50">
        <v>2013</v>
      </c>
      <c r="C7" s="52">
        <f>SUMIF('Res Predicted Monthly'!$B:$B,B7,'Res Predicted Monthly'!D:D)</f>
        <v>544522483.65061712</v>
      </c>
      <c r="D7" s="52">
        <f>SUMIF('Res Predicted Monthly'!$B:$B,B7,'Res Predicted Monthly'!S:S)</f>
        <v>547600554.88283181</v>
      </c>
      <c r="E7" s="53">
        <f>ABS(C7-D7)/C7</f>
        <v>5.6527899666851539E-3</v>
      </c>
      <c r="F7" s="53"/>
      <c r="G7" s="53"/>
      <c r="H7" s="50">
        <v>2013</v>
      </c>
      <c r="I7" s="52">
        <f>SUMIF('GS&lt;50 Predicted Monthly'!$B:$B,H7,'GS&lt;50 Predicted Monthly'!D:D)</f>
        <v>177641893.47213364</v>
      </c>
      <c r="J7" s="52">
        <f>SUMIF('GS&lt;50 Predicted Monthly'!$B:$B,H7,'GS&lt;50 Predicted Monthly'!S:S)</f>
        <v>176534620.6917688</v>
      </c>
      <c r="K7" s="53">
        <f>ABS(I7-J7)/I7</f>
        <v>6.2331737110116825E-3</v>
      </c>
      <c r="L7" s="201"/>
      <c r="M7" s="201"/>
      <c r="N7" s="50">
        <v>2013</v>
      </c>
      <c r="O7" s="52">
        <f>SUMIF('GS&gt;50 Predicted Monthly'!$B:$B,N7,'GS&gt;50 Predicted Monthly'!D:D)</f>
        <v>914608976.73929989</v>
      </c>
      <c r="P7" s="52">
        <f>SUMIF('GS&gt;50 Predicted Monthly'!$B:$B,N7,'GS&gt;50 Predicted Monthly'!S:S)</f>
        <v>910192852.61122704</v>
      </c>
      <c r="Q7" s="53">
        <f>ABS(O7-P7)/O7</f>
        <v>4.8284285857513832E-3</v>
      </c>
      <c r="R7" s="201"/>
    </row>
    <row r="8" spans="1:18" ht="15" x14ac:dyDescent="0.25">
      <c r="A8" s="174"/>
      <c r="B8" s="54">
        <v>2014</v>
      </c>
      <c r="C8" s="52">
        <f>SUMIF('Res Predicted Monthly'!$B:$B,B8,'Res Predicted Monthly'!D:D)</f>
        <v>537297947.86209404</v>
      </c>
      <c r="D8" s="52">
        <f>SUMIF('Res Predicted Monthly'!$B:$B,B8,'Res Predicted Monthly'!S:S)</f>
        <v>543327007.18087018</v>
      </c>
      <c r="E8" s="53">
        <f>ABS(C8-D8)/C8</f>
        <v>1.1221072670695522E-2</v>
      </c>
      <c r="F8" s="53"/>
      <c r="G8" s="53"/>
      <c r="H8" s="228">
        <v>2014</v>
      </c>
      <c r="I8" s="52">
        <f>SUMIF('GS&lt;50 Predicted Monthly'!$B:$B,H8,'GS&lt;50 Predicted Monthly'!D:D)</f>
        <v>175728867.72974026</v>
      </c>
      <c r="J8" s="52">
        <f>SUMIF('GS&lt;50 Predicted Monthly'!$B:$B,H8,'GS&lt;50 Predicted Monthly'!S:S)</f>
        <v>176044969.88025382</v>
      </c>
      <c r="K8" s="53">
        <f>ABS(I8-J8)/I8</f>
        <v>1.7988060504646535E-3</v>
      </c>
      <c r="L8" s="201"/>
      <c r="M8" s="201"/>
      <c r="N8" s="228">
        <v>2014</v>
      </c>
      <c r="O8" s="52">
        <f>SUMIF('GS&gt;50 Predicted Monthly'!$B:$B,N8,'GS&gt;50 Predicted Monthly'!D:D)</f>
        <v>921825088.53771746</v>
      </c>
      <c r="P8" s="52">
        <f>SUMIF('GS&gt;50 Predicted Monthly'!$B:$B,N8,'GS&gt;50 Predicted Monthly'!S:S)</f>
        <v>923598874.87736142</v>
      </c>
      <c r="Q8" s="53">
        <f>ABS(O8-P8)/O8</f>
        <v>1.9242113950898169E-3</v>
      </c>
      <c r="R8" s="201"/>
    </row>
    <row r="9" spans="1:18" ht="15" x14ac:dyDescent="0.25">
      <c r="A9" s="174"/>
      <c r="B9" s="50">
        <v>2015</v>
      </c>
      <c r="C9" s="52">
        <f>SUMIF('Res Predicted Monthly'!$B:$B,B9,'Res Predicted Monthly'!D:D)</f>
        <v>541177794.60686231</v>
      </c>
      <c r="D9" s="52">
        <f>SUMIF('Res Predicted Monthly'!$B:$B,B9,'Res Predicted Monthly'!S:S)</f>
        <v>544617446.76427138</v>
      </c>
      <c r="E9" s="53">
        <f t="shared" ref="E9:E12" si="0">ABS(C9-D9)/C9</f>
        <v>6.355863436539929E-3</v>
      </c>
      <c r="F9" s="53"/>
      <c r="G9" s="53"/>
      <c r="H9" s="50">
        <v>2015</v>
      </c>
      <c r="I9" s="52">
        <f>SUMIF('GS&lt;50 Predicted Monthly'!$B:$B,H9,'GS&lt;50 Predicted Monthly'!D:D)</f>
        <v>175764029.38907859</v>
      </c>
      <c r="J9" s="52">
        <f>SUMIF('GS&lt;50 Predicted Monthly'!$B:$B,H9,'GS&lt;50 Predicted Monthly'!S:S)</f>
        <v>177352773.94239384</v>
      </c>
      <c r="K9" s="53">
        <f t="shared" ref="K9:K12" si="1">ABS(I9-J9)/I9</f>
        <v>9.0390767601164906E-3</v>
      </c>
      <c r="L9" s="201"/>
      <c r="M9" s="201"/>
      <c r="N9" s="50">
        <v>2015</v>
      </c>
      <c r="O9" s="52">
        <f>SUMIF('GS&gt;50 Predicted Monthly'!$B:$B,N9,'GS&gt;50 Predicted Monthly'!D:D)</f>
        <v>932659172.81565773</v>
      </c>
      <c r="P9" s="52">
        <f>SUMIF('GS&gt;50 Predicted Monthly'!$B:$B,N9,'GS&gt;50 Predicted Monthly'!S:S)</f>
        <v>935310206.03583896</v>
      </c>
      <c r="Q9" s="53">
        <f t="shared" ref="Q9:Q12" si="2">ABS(O9-P9)/O9</f>
        <v>2.8424458767481718E-3</v>
      </c>
      <c r="R9" s="201"/>
    </row>
    <row r="10" spans="1:18" ht="15" x14ac:dyDescent="0.25">
      <c r="A10" s="174"/>
      <c r="B10" s="54">
        <v>2016</v>
      </c>
      <c r="C10" s="52">
        <f>SUMIF('Res Predicted Monthly'!$B:$B,B10,'Res Predicted Monthly'!D:D)</f>
        <v>560271575.81065547</v>
      </c>
      <c r="D10" s="52">
        <f>SUMIF('Res Predicted Monthly'!$B:$B,B10,'Res Predicted Monthly'!S:S)</f>
        <v>555773302.04487062</v>
      </c>
      <c r="E10" s="53">
        <f t="shared" si="0"/>
        <v>8.0287381334245254E-3</v>
      </c>
      <c r="F10" s="53"/>
      <c r="G10" s="53"/>
      <c r="H10" s="228">
        <v>2016</v>
      </c>
      <c r="I10" s="52">
        <f>SUMIF('GS&lt;50 Predicted Monthly'!$B:$B,H10,'GS&lt;50 Predicted Monthly'!D:D)</f>
        <v>178338848.64757672</v>
      </c>
      <c r="J10" s="52">
        <f>SUMIF('GS&lt;50 Predicted Monthly'!$B:$B,H10,'GS&lt;50 Predicted Monthly'!S:S)</f>
        <v>179341793.29527339</v>
      </c>
      <c r="K10" s="53">
        <f t="shared" si="1"/>
        <v>5.6238147509779946E-3</v>
      </c>
      <c r="L10" s="201"/>
      <c r="M10" s="201"/>
      <c r="N10" s="228">
        <v>2016</v>
      </c>
      <c r="O10" s="52">
        <f>SUMIF('GS&gt;50 Predicted Monthly'!$B:$B,N10,'GS&gt;50 Predicted Monthly'!D:D)</f>
        <v>954633505.42341244</v>
      </c>
      <c r="P10" s="52">
        <f>SUMIF('GS&gt;50 Predicted Monthly'!$B:$B,N10,'GS&gt;50 Predicted Monthly'!S:S)</f>
        <v>951966046.46763587</v>
      </c>
      <c r="Q10" s="53">
        <f t="shared" si="2"/>
        <v>2.7942230611248697E-3</v>
      </c>
      <c r="R10" s="201"/>
    </row>
    <row r="11" spans="1:18" ht="15" x14ac:dyDescent="0.25">
      <c r="A11" s="174"/>
      <c r="B11" s="50">
        <v>2017</v>
      </c>
      <c r="C11" s="52">
        <f>SUMIF('Res Predicted Monthly'!$B:$B,B11,'Res Predicted Monthly'!D:D)</f>
        <v>530174948.15007108</v>
      </c>
      <c r="D11" s="52">
        <f>SUMIF('Res Predicted Monthly'!$B:$B,B11,'Res Predicted Monthly'!S:S)</f>
        <v>540783801.93912148</v>
      </c>
      <c r="E11" s="53">
        <f t="shared" si="0"/>
        <v>2.0010100111421077E-2</v>
      </c>
      <c r="F11" s="53"/>
      <c r="G11" s="53"/>
      <c r="H11" s="50">
        <v>2017</v>
      </c>
      <c r="I11" s="52">
        <f>SUMIF('GS&lt;50 Predicted Monthly'!$B:$B,H11,'GS&lt;50 Predicted Monthly'!D:D)</f>
        <v>176566085.59560585</v>
      </c>
      <c r="J11" s="52">
        <f>SUMIF('GS&lt;50 Predicted Monthly'!$B:$B,H11,'GS&lt;50 Predicted Monthly'!S:S)</f>
        <v>178145288.59538409</v>
      </c>
      <c r="K11" s="53">
        <f t="shared" si="1"/>
        <v>8.9439769503365033E-3</v>
      </c>
      <c r="L11" s="201"/>
      <c r="M11" s="201"/>
      <c r="N11" s="50">
        <v>2017</v>
      </c>
      <c r="O11" s="52">
        <f>SUMIF('GS&gt;50 Predicted Monthly'!$B:$B,N11,'GS&gt;50 Predicted Monthly'!D:D)</f>
        <v>926174856.99749625</v>
      </c>
      <c r="P11" s="52">
        <f>SUMIF('GS&gt;50 Predicted Monthly'!$B:$B,N11,'GS&gt;50 Predicted Monthly'!S:S)</f>
        <v>918452994.17301786</v>
      </c>
      <c r="Q11" s="53">
        <f t="shared" si="2"/>
        <v>8.3373703854489993E-3</v>
      </c>
      <c r="R11" s="201"/>
    </row>
    <row r="12" spans="1:18" ht="15" x14ac:dyDescent="0.25">
      <c r="A12" s="174"/>
      <c r="B12" s="54">
        <v>2018</v>
      </c>
      <c r="C12" s="52">
        <f>SUMIF('Res Predicted Monthly'!$B:$B,B12,'Res Predicted Monthly'!D:D)</f>
        <v>573259355.65736198</v>
      </c>
      <c r="D12" s="52">
        <f>SUMIF('Res Predicted Monthly'!$B:$B,B12,'Res Predicted Monthly'!S:S)</f>
        <v>558401482.06961298</v>
      </c>
      <c r="E12" s="53">
        <f t="shared" si="0"/>
        <v>2.59182400446153E-2</v>
      </c>
      <c r="F12" s="53"/>
      <c r="G12" s="53"/>
      <c r="H12" s="228">
        <v>2018</v>
      </c>
      <c r="I12" s="52">
        <f>SUMIF('GS&lt;50 Predicted Monthly'!$B:$B,H12,'GS&lt;50 Predicted Monthly'!D:D)</f>
        <v>186384458.40807244</v>
      </c>
      <c r="J12" s="52">
        <f>SUMIF('GS&lt;50 Predicted Monthly'!$B:$B,H12,'GS&lt;50 Predicted Monthly'!S:S)</f>
        <v>183824283.10577431</v>
      </c>
      <c r="K12" s="53">
        <f t="shared" si="1"/>
        <v>1.3735991316898585E-2</v>
      </c>
      <c r="L12" s="201"/>
      <c r="M12" s="201"/>
      <c r="N12" s="228">
        <v>2018</v>
      </c>
      <c r="O12" s="52">
        <f>SUMIF('GS&gt;50 Predicted Monthly'!$B:$B,N12,'GS&gt;50 Predicted Monthly'!D:D)</f>
        <v>921768605.88211107</v>
      </c>
      <c r="P12" s="52">
        <f>SUMIF('GS&gt;50 Predicted Monthly'!$B:$B,N12,'GS&gt;50 Predicted Monthly'!S:S)</f>
        <v>914846094.86454177</v>
      </c>
      <c r="Q12" s="53">
        <f t="shared" si="2"/>
        <v>7.5100312306087078E-3</v>
      </c>
      <c r="R12" s="201"/>
    </row>
    <row r="13" spans="1:18" ht="15" x14ac:dyDescent="0.25">
      <c r="A13" s="174"/>
      <c r="B13" s="54">
        <v>2019</v>
      </c>
      <c r="C13" s="52">
        <f>SUMIF('Res Predicted Monthly'!$B:$B,B13,'Res Predicted Monthly'!D:D)</f>
        <v>550907613.72062242</v>
      </c>
      <c r="D13" s="52">
        <f>SUMIF('Res Predicted Monthly'!$B:$B,B13,'Res Predicted Monthly'!S:S)</f>
        <v>553371585.5984422</v>
      </c>
      <c r="E13" s="53">
        <f>ABS(C13-D13)/C13</f>
        <v>4.4725682064530549E-3</v>
      </c>
      <c r="F13" s="53"/>
      <c r="G13" s="53"/>
      <c r="H13" s="228">
        <v>2019</v>
      </c>
      <c r="I13" s="52">
        <f>SUMIF('GS&lt;50 Predicted Monthly'!$B:$B,H13,'GS&lt;50 Predicted Monthly'!D:D)</f>
        <v>184866172.79294455</v>
      </c>
      <c r="J13" s="52">
        <f>SUMIF('GS&lt;50 Predicted Monthly'!$B:$B,H13,'GS&lt;50 Predicted Monthly'!S:S)</f>
        <v>184314931.09595221</v>
      </c>
      <c r="K13" s="53">
        <f>ABS(I13-J13)/I13</f>
        <v>2.981841884127413E-3</v>
      </c>
      <c r="L13" s="201"/>
      <c r="M13" s="201"/>
      <c r="N13" s="228">
        <v>2019</v>
      </c>
      <c r="O13" s="52">
        <f>SUMIF('GS&gt;50 Predicted Monthly'!$B:$B,N13,'GS&gt;50 Predicted Monthly'!D:D)</f>
        <v>890219109.81368482</v>
      </c>
      <c r="P13" s="52">
        <f>SUMIF('GS&gt;50 Predicted Monthly'!$B:$B,N13,'GS&gt;50 Predicted Monthly'!S:S)</f>
        <v>903521602.85015249</v>
      </c>
      <c r="Q13" s="53">
        <f>ABS(O13-P13)/O13</f>
        <v>1.4942942574274516E-2</v>
      </c>
      <c r="R13" s="201"/>
    </row>
    <row r="14" spans="1:18" ht="15" x14ac:dyDescent="0.25">
      <c r="A14" s="174"/>
      <c r="B14" s="54"/>
      <c r="C14" s="54"/>
      <c r="D14" s="54"/>
      <c r="E14" s="54"/>
      <c r="F14" s="54"/>
      <c r="G14" s="228"/>
      <c r="H14" s="228"/>
      <c r="I14" s="228"/>
      <c r="J14" s="228"/>
      <c r="K14" s="228"/>
      <c r="L14" s="201"/>
      <c r="M14" s="201"/>
      <c r="N14" s="228"/>
      <c r="O14" s="228"/>
      <c r="P14" s="228"/>
      <c r="Q14" s="228"/>
      <c r="R14" s="201"/>
    </row>
    <row r="15" spans="1:18" ht="15" x14ac:dyDescent="0.25">
      <c r="A15" s="174"/>
      <c r="B15" s="259" t="s">
        <v>95</v>
      </c>
      <c r="C15" s="259"/>
      <c r="D15" s="259"/>
      <c r="E15" s="55">
        <f>AVERAGE(E4:E13)</f>
        <v>9.6246721401738403E-3</v>
      </c>
      <c r="F15" s="55"/>
      <c r="G15" s="55"/>
      <c r="H15" s="259" t="s">
        <v>95</v>
      </c>
      <c r="I15" s="259"/>
      <c r="J15" s="259"/>
      <c r="K15" s="55">
        <f>AVERAGE(K4:K13)</f>
        <v>5.7541548620792925E-3</v>
      </c>
      <c r="L15" s="201"/>
      <c r="M15" s="201"/>
      <c r="N15" s="259" t="s">
        <v>95</v>
      </c>
      <c r="O15" s="259"/>
      <c r="P15" s="259"/>
      <c r="Q15" s="55">
        <f>AVERAGE(Q4:Q13)</f>
        <v>5.7068963371950622E-3</v>
      </c>
      <c r="R15" s="201"/>
    </row>
    <row r="16" spans="1:18" ht="15" x14ac:dyDescent="0.25">
      <c r="A16" s="174"/>
      <c r="B16" s="259" t="s">
        <v>96</v>
      </c>
      <c r="C16" s="259"/>
      <c r="D16" s="259"/>
      <c r="E16" s="55">
        <f>'Res Predicted Monthly'!$U$122</f>
        <v>2.5460404176943972E-2</v>
      </c>
      <c r="F16" s="55"/>
      <c r="G16" s="55"/>
      <c r="H16" s="259" t="s">
        <v>96</v>
      </c>
      <c r="I16" s="259"/>
      <c r="J16" s="259"/>
      <c r="K16" s="55">
        <f>'GS&lt;50 Predicted Monthly'!U122</f>
        <v>1.4099714412374268E-2</v>
      </c>
      <c r="L16" s="201"/>
      <c r="M16" s="201"/>
      <c r="N16" s="259" t="s">
        <v>96</v>
      </c>
      <c r="O16" s="259"/>
      <c r="P16" s="259"/>
      <c r="Q16" s="55">
        <f>'GS&gt;50 Predicted Monthly'!U122</f>
        <v>1.3159331789603006E-2</v>
      </c>
      <c r="R16" s="201"/>
    </row>
    <row r="17" spans="1:18" x14ac:dyDescent="0.2">
      <c r="A17" s="174"/>
      <c r="B17" s="174"/>
      <c r="C17" s="174"/>
      <c r="D17" s="174"/>
      <c r="E17" s="174"/>
      <c r="F17" s="174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</row>
    <row r="18" spans="1:18" x14ac:dyDescent="0.2">
      <c r="A18" s="174"/>
      <c r="B18" s="174"/>
      <c r="C18" s="174"/>
      <c r="D18" s="174"/>
      <c r="E18" s="174"/>
      <c r="F18" s="174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</row>
    <row r="19" spans="1:18" x14ac:dyDescent="0.2">
      <c r="A19" s="174"/>
      <c r="B19" s="174"/>
      <c r="C19" s="174"/>
      <c r="D19" s="174"/>
      <c r="E19" s="174"/>
      <c r="F19" s="174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</row>
    <row r="20" spans="1:18" x14ac:dyDescent="0.2">
      <c r="A20" s="174"/>
      <c r="B20" s="174"/>
      <c r="C20" s="174"/>
      <c r="D20" s="174"/>
      <c r="E20" s="174"/>
      <c r="F20" s="174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</row>
    <row r="21" spans="1:18" x14ac:dyDescent="0.2">
      <c r="A21" s="174"/>
      <c r="B21" s="174"/>
      <c r="C21" s="174"/>
      <c r="D21" s="174"/>
      <c r="E21" s="174"/>
      <c r="F21" s="174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</row>
    <row r="22" spans="1:18" x14ac:dyDescent="0.2">
      <c r="A22" s="174"/>
      <c r="B22" s="174"/>
      <c r="C22" s="174"/>
      <c r="D22" s="174"/>
      <c r="E22" s="174"/>
      <c r="F22" s="174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</row>
    <row r="23" spans="1:18" x14ac:dyDescent="0.2">
      <c r="A23" s="174"/>
      <c r="B23" s="174"/>
      <c r="C23" s="174"/>
      <c r="D23" s="174"/>
      <c r="E23" s="174"/>
      <c r="F23" s="174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</row>
    <row r="24" spans="1:18" x14ac:dyDescent="0.2">
      <c r="A24" s="174"/>
      <c r="B24" s="174"/>
      <c r="C24" s="174"/>
      <c r="D24" s="174"/>
      <c r="E24" s="174"/>
      <c r="F24" s="174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</row>
    <row r="25" spans="1:18" x14ac:dyDescent="0.2">
      <c r="A25" s="174"/>
      <c r="B25" s="174"/>
      <c r="C25" s="174"/>
      <c r="D25" s="174"/>
      <c r="E25" s="174"/>
      <c r="F25" s="174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</row>
    <row r="26" spans="1:18" x14ac:dyDescent="0.2">
      <c r="A26" s="174"/>
      <c r="B26" s="174"/>
      <c r="C26" s="174"/>
      <c r="D26" s="174"/>
      <c r="E26" s="174"/>
      <c r="F26" s="174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</row>
    <row r="27" spans="1:18" x14ac:dyDescent="0.2">
      <c r="A27" s="174"/>
      <c r="B27" s="174"/>
      <c r="C27" s="174"/>
      <c r="D27" s="174"/>
      <c r="E27" s="174"/>
      <c r="F27" s="174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</row>
    <row r="28" spans="1:18" x14ac:dyDescent="0.2">
      <c r="A28" s="174"/>
      <c r="B28" s="174"/>
      <c r="C28" s="174"/>
      <c r="D28" s="174"/>
      <c r="E28" s="174"/>
      <c r="F28" s="174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</row>
    <row r="29" spans="1:18" x14ac:dyDescent="0.2">
      <c r="A29" s="174"/>
      <c r="B29" s="174"/>
      <c r="C29" s="174"/>
      <c r="D29" s="174"/>
      <c r="E29" s="174"/>
      <c r="F29" s="174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x14ac:dyDescent="0.2">
      <c r="A30" s="174"/>
      <c r="B30" s="174"/>
      <c r="C30" s="174"/>
      <c r="D30" s="174"/>
      <c r="E30" s="174"/>
      <c r="F30" s="174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</row>
    <row r="31" spans="1:18" x14ac:dyDescent="0.2">
      <c r="A31" s="174"/>
      <c r="B31" s="174"/>
      <c r="C31" s="174"/>
      <c r="D31" s="174"/>
      <c r="E31" s="174"/>
      <c r="F31" s="174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</row>
    <row r="32" spans="1:18" x14ac:dyDescent="0.2">
      <c r="A32" s="174"/>
      <c r="B32" s="174"/>
      <c r="C32" s="174"/>
      <c r="D32" s="174"/>
      <c r="E32" s="174"/>
      <c r="F32" s="174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</row>
    <row r="33" spans="1:18" x14ac:dyDescent="0.2">
      <c r="A33" s="174"/>
      <c r="B33" s="174"/>
      <c r="C33" s="174"/>
      <c r="D33" s="174"/>
      <c r="E33" s="174"/>
      <c r="F33" s="174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</row>
    <row r="34" spans="1:18" x14ac:dyDescent="0.2">
      <c r="A34" s="174"/>
      <c r="B34" s="174"/>
      <c r="C34" s="174"/>
      <c r="D34" s="174"/>
      <c r="E34" s="174"/>
      <c r="F34" s="174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</row>
    <row r="35" spans="1:18" x14ac:dyDescent="0.2">
      <c r="A35" s="174"/>
      <c r="B35" s="174"/>
      <c r="C35" s="174"/>
      <c r="D35" s="174"/>
      <c r="E35" s="174"/>
      <c r="F35" s="174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</row>
    <row r="36" spans="1:18" x14ac:dyDescent="0.2">
      <c r="A36" s="174"/>
      <c r="B36" s="174"/>
      <c r="C36" s="174"/>
      <c r="D36" s="174"/>
      <c r="E36" s="174"/>
      <c r="F36" s="174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</row>
    <row r="37" spans="1:18" x14ac:dyDescent="0.2">
      <c r="A37" s="174"/>
      <c r="B37" s="174"/>
      <c r="C37" s="174"/>
      <c r="D37" s="174"/>
      <c r="E37" s="174"/>
      <c r="F37" s="174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</row>
    <row r="38" spans="1:18" x14ac:dyDescent="0.2">
      <c r="A38" s="174"/>
      <c r="B38" s="174"/>
      <c r="C38" s="174"/>
      <c r="D38" s="174"/>
      <c r="E38" s="174"/>
      <c r="F38" s="174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</row>
  </sheetData>
  <mergeCells count="9">
    <mergeCell ref="O2:P2"/>
    <mergeCell ref="N15:P15"/>
    <mergeCell ref="N16:P16"/>
    <mergeCell ref="C2:D2"/>
    <mergeCell ref="B15:D15"/>
    <mergeCell ref="B16:D16"/>
    <mergeCell ref="I2:J2"/>
    <mergeCell ref="H15:J15"/>
    <mergeCell ref="H16:J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/>
  <dimension ref="A1:Z183"/>
  <sheetViews>
    <sheetView workbookViewId="0">
      <pane xSplit="1" ySplit="1" topLeftCell="B110" activePane="bottomRight" state="frozen"/>
      <selection pane="topRight"/>
      <selection pane="bottomLeft"/>
      <selection pane="bottomRight" activeCell="S123" sqref="S123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14.6640625" style="29" bestFit="1" customWidth="1"/>
    <col min="5" max="7" width="9.33203125" style="29"/>
    <col min="8" max="8" width="9.6640625" style="29" bestFit="1" customWidth="1"/>
    <col min="9" max="9" width="9.33203125" style="29"/>
    <col min="10" max="10" width="11.83203125" style="29" bestFit="1" customWidth="1"/>
    <col min="11" max="12" width="9.33203125" style="29"/>
    <col min="13" max="13" width="12.5" style="29" bestFit="1" customWidth="1"/>
    <col min="14" max="14" width="12.5" style="29" customWidth="1"/>
    <col min="15" max="15" width="14.1640625" style="29" bestFit="1" customWidth="1"/>
    <col min="16" max="16" width="9.33203125" style="29"/>
    <col min="17" max="17" width="23.6640625" style="29" customWidth="1"/>
    <col min="18" max="18" width="12.5" style="29" bestFit="1" customWidth="1"/>
    <col min="19" max="19" width="16.1640625" style="29" customWidth="1"/>
    <col min="20" max="20" width="13.33203125" style="29" customWidth="1"/>
    <col min="21" max="21" width="9.33203125" style="29"/>
    <col min="22" max="22" width="13.83203125" style="29" bestFit="1" customWidth="1"/>
    <col min="23" max="23" width="13" style="29" bestFit="1" customWidth="1"/>
    <col min="24" max="25" width="16" style="29" bestFit="1" customWidth="1"/>
    <col min="26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Data'!E1</f>
        <v>Res_NoCDM</v>
      </c>
      <c r="E1" s="46" t="str">
        <f>'Monthly Data'!AL1</f>
        <v>HDD12</v>
      </c>
      <c r="F1" s="46" t="str">
        <f>'Monthly Data'!AK1</f>
        <v>CDD14</v>
      </c>
      <c r="G1" s="29" t="str">
        <f>'Monthly Data'!BG1</f>
        <v>Trend</v>
      </c>
      <c r="H1" s="29" t="str">
        <f>'Monthly Data'!W1</f>
        <v>Ont_FTEAdj</v>
      </c>
      <c r="I1" s="29" t="str">
        <f>'Monthly Data'!BF1</f>
        <v>Shoulder</v>
      </c>
      <c r="K1" s="29" t="s">
        <v>76</v>
      </c>
      <c r="L1" s="46" t="str">
        <f>E1</f>
        <v>HDD12</v>
      </c>
      <c r="M1" s="46" t="str">
        <f>F1</f>
        <v>CDD14</v>
      </c>
      <c r="N1" s="46" t="str">
        <f>G1</f>
        <v>Trend</v>
      </c>
      <c r="O1" s="46" t="str">
        <f>H1</f>
        <v>Ont_FTEAdj</v>
      </c>
      <c r="P1" s="46" t="str">
        <f>I1</f>
        <v>Shoulder</v>
      </c>
      <c r="Q1" s="44" t="str">
        <f>'Monthly Data'!F1</f>
        <v>Residential_Customers</v>
      </c>
      <c r="R1" s="46" t="str">
        <f>'Monthly Data'!BH1</f>
        <v>Month Days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3" si="0">YEAR(A2)</f>
        <v>2010</v>
      </c>
      <c r="C2" s="29">
        <f t="shared" ref="C2:C3" si="1">MONTH(A2)</f>
        <v>1</v>
      </c>
      <c r="D2" s="44">
        <f>'Monthly Data'!E2</f>
        <v>49397907</v>
      </c>
      <c r="E2" s="46">
        <f ca="1">Weather!BL61</f>
        <v>477.14</v>
      </c>
      <c r="F2" s="46">
        <f ca="1">Weather!AY61</f>
        <v>0</v>
      </c>
      <c r="G2" s="29">
        <f>'Monthly Data'!BG2</f>
        <v>1</v>
      </c>
      <c r="H2" s="29">
        <f>'Monthly Data'!W2</f>
        <v>6466.9</v>
      </c>
      <c r="I2" s="29">
        <f>'Monthly Data'!BF2</f>
        <v>0</v>
      </c>
      <c r="K2" s="29">
        <f>'Res PW'!$B$6</f>
        <v>-4.4351669087570498</v>
      </c>
      <c r="L2" s="29">
        <f ca="1">E2*'Res PW'!$B$7</f>
        <v>3.7736698666223143</v>
      </c>
      <c r="M2" s="29">
        <f ca="1">F2*'Res PW'!$B$8</f>
        <v>0</v>
      </c>
      <c r="N2" s="29">
        <f>G2*'Res PW'!$B$9</f>
        <v>-4.45429829012765E-2</v>
      </c>
      <c r="O2" s="163">
        <f>H2*'Res PW'!$B$10</f>
        <v>26.867973199354832</v>
      </c>
      <c r="P2" s="29">
        <f>I2*'Res PW'!$B$11</f>
        <v>0</v>
      </c>
      <c r="Q2" s="44">
        <f>'Monthly Data'!F2</f>
        <v>57642</v>
      </c>
      <c r="R2" s="46">
        <f>'Monthly Data'!BH2</f>
        <v>31</v>
      </c>
      <c r="S2" s="44">
        <f ca="1">SUM(K2:P2)*R2*Q2</f>
        <v>46748810.713056654</v>
      </c>
      <c r="T2" s="44">
        <f ca="1">S2-D2</f>
        <v>-2649096.2869433463</v>
      </c>
      <c r="U2" s="48">
        <f ca="1">ABS(T2/D2)</f>
        <v>5.3627703030886438E-2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44">
        <f>'Monthly Data'!E3</f>
        <v>40768686</v>
      </c>
      <c r="E3" s="46">
        <f ca="1">Weather!BL62</f>
        <v>417.05</v>
      </c>
      <c r="F3" s="46">
        <f ca="1">Weather!AY62</f>
        <v>0</v>
      </c>
      <c r="G3" s="29">
        <f>'Monthly Data'!BG3</f>
        <v>2</v>
      </c>
      <c r="H3" s="29">
        <f>'Monthly Data'!W3</f>
        <v>6471</v>
      </c>
      <c r="I3" s="29">
        <f>'Monthly Data'!BF3</f>
        <v>0</v>
      </c>
      <c r="K3" s="29">
        <f>'Res PW'!$B$6</f>
        <v>-4.4351669087570498</v>
      </c>
      <c r="L3" s="29">
        <f ca="1">E3*'Res PW'!$B$7</f>
        <v>3.2984218842998621</v>
      </c>
      <c r="M3" s="29">
        <f ca="1">F3*'Res PW'!$B$8</f>
        <v>0</v>
      </c>
      <c r="N3" s="29">
        <f>G3*'Res PW'!$B$9</f>
        <v>-8.9085965802552999E-2</v>
      </c>
      <c r="O3" s="163">
        <f>H3*'Res PW'!$B$10</f>
        <v>26.885007433704732</v>
      </c>
      <c r="P3" s="29">
        <f>I3*'Res PW'!$B$11</f>
        <v>0</v>
      </c>
      <c r="Q3" s="44">
        <f>'Monthly Data'!F3</f>
        <v>57677</v>
      </c>
      <c r="R3" s="46">
        <f>'Monthly Data'!BH3</f>
        <v>28</v>
      </c>
      <c r="S3" s="44">
        <f ca="1">SUM(K3:P3)*R3*Q3</f>
        <v>41438440.952400148</v>
      </c>
      <c r="T3" s="44">
        <f ca="1">S3-D3</f>
        <v>669754.95240014791</v>
      </c>
      <c r="U3" s="48">
        <f ca="1">ABS(T3/D3)</f>
        <v>1.6428171180207965E-2</v>
      </c>
    </row>
    <row r="4" spans="1:21" x14ac:dyDescent="0.2">
      <c r="A4" s="45">
        <f>'Monthly Data'!A4</f>
        <v>40238</v>
      </c>
      <c r="B4" s="29">
        <f t="shared" ref="B4:B65" si="2">YEAR(A4)</f>
        <v>2010</v>
      </c>
      <c r="C4" s="29">
        <f t="shared" ref="C4:C65" si="3">MONTH(A4)</f>
        <v>3</v>
      </c>
      <c r="D4" s="44">
        <f>'Monthly Data'!E4</f>
        <v>40910014</v>
      </c>
      <c r="E4" s="46">
        <f ca="1">Weather!BL63</f>
        <v>332.70999999999992</v>
      </c>
      <c r="F4" s="46">
        <f ca="1">Weather!AY63</f>
        <v>3.0000000000000072E-2</v>
      </c>
      <c r="G4" s="29">
        <f>'Monthly Data'!BG4</f>
        <v>3</v>
      </c>
      <c r="H4" s="29">
        <f>'Monthly Data'!W4</f>
        <v>6477.5</v>
      </c>
      <c r="I4" s="29">
        <f>'Monthly Data'!BF4</f>
        <v>1</v>
      </c>
      <c r="K4" s="29">
        <f>'Res PW'!$B$6</f>
        <v>-4.4351669087570498</v>
      </c>
      <c r="L4" s="29">
        <f ca="1">E4*'Res PW'!$B$7</f>
        <v>2.6313821966800308</v>
      </c>
      <c r="M4" s="29">
        <f ca="1">F4*'Res PW'!$B$8</f>
        <v>1.1622930104603637E-3</v>
      </c>
      <c r="N4" s="29">
        <f>G4*'Res PW'!$B$9</f>
        <v>-0.13362894870382949</v>
      </c>
      <c r="O4" s="163">
        <f>H4*'Res PW'!$B$10</f>
        <v>26.912012927186279</v>
      </c>
      <c r="P4" s="29">
        <f>I4*'Res PW'!$B$11</f>
        <v>-1.18560218277844</v>
      </c>
      <c r="Q4" s="44">
        <f>'Monthly Data'!F4</f>
        <v>57709</v>
      </c>
      <c r="R4" s="46">
        <f>'Monthly Data'!BH4</f>
        <v>31</v>
      </c>
      <c r="S4" s="44">
        <f ca="1">SUM(K4:P4)*R4*Q4</f>
        <v>42560095.531457491</v>
      </c>
      <c r="T4" s="44">
        <f t="shared" ref="T4:T67" ca="1" si="4">S4-D4</f>
        <v>1650081.5314574912</v>
      </c>
      <c r="U4" s="48">
        <f t="shared" ref="U4:U67" ca="1" si="5">ABS(T4/D4)</f>
        <v>4.0334416200822891E-2</v>
      </c>
    </row>
    <row r="5" spans="1:21" x14ac:dyDescent="0.2">
      <c r="A5" s="45">
        <f>'Monthly Data'!A5</f>
        <v>40269</v>
      </c>
      <c r="B5" s="29">
        <f t="shared" si="2"/>
        <v>2010</v>
      </c>
      <c r="C5" s="29">
        <f t="shared" si="3"/>
        <v>4</v>
      </c>
      <c r="D5" s="44">
        <f>'Monthly Data'!E5</f>
        <v>36681881</v>
      </c>
      <c r="E5" s="46">
        <f ca="1">Weather!BL64</f>
        <v>164.53999999999996</v>
      </c>
      <c r="F5" s="46">
        <f ca="1">Weather!AY64</f>
        <v>1.45</v>
      </c>
      <c r="G5" s="29">
        <f>'Monthly Data'!BG5</f>
        <v>4</v>
      </c>
      <c r="H5" s="29">
        <f>'Monthly Data'!W5</f>
        <v>6485</v>
      </c>
      <c r="I5" s="29">
        <f>'Monthly Data'!BF5</f>
        <v>1</v>
      </c>
      <c r="K5" s="29">
        <f>'Res PW'!$B$6</f>
        <v>-4.4351669087570498</v>
      </c>
      <c r="L5" s="29">
        <f ca="1">E5*'Res PW'!$B$7</f>
        <v>1.3013363789538406</v>
      </c>
      <c r="M5" s="29">
        <f ca="1">F5*'Res PW'!$B$8</f>
        <v>5.617749550558411E-2</v>
      </c>
      <c r="N5" s="29">
        <f>G5*'Res PW'!$B$9</f>
        <v>-0.178171931605106</v>
      </c>
      <c r="O5" s="163">
        <f>H5*'Res PW'!$B$10</f>
        <v>26.943173111972676</v>
      </c>
      <c r="P5" s="29">
        <f>I5*'Res PW'!$B$11</f>
        <v>-1.18560218277844</v>
      </c>
      <c r="Q5" s="44">
        <f>'Monthly Data'!F5</f>
        <v>57751</v>
      </c>
      <c r="R5" s="46">
        <f>'Monthly Data'!BH5</f>
        <v>30</v>
      </c>
      <c r="S5" s="44">
        <f t="shared" ref="S5:S67" ca="1" si="6">SUM(K5:P5)*R5*Q5</f>
        <v>38984949.93378143</v>
      </c>
      <c r="T5" s="44">
        <f t="shared" ca="1" si="4"/>
        <v>2303068.9337814301</v>
      </c>
      <c r="U5" s="48">
        <f t="shared" ca="1" si="5"/>
        <v>6.2784919175257942E-2</v>
      </c>
    </row>
    <row r="6" spans="1:21" x14ac:dyDescent="0.2">
      <c r="A6" s="45">
        <f>'Monthly Data'!A6</f>
        <v>40299</v>
      </c>
      <c r="B6" s="29">
        <f t="shared" si="2"/>
        <v>2010</v>
      </c>
      <c r="C6" s="29">
        <f t="shared" si="3"/>
        <v>5</v>
      </c>
      <c r="D6" s="44">
        <f>'Monthly Data'!E6</f>
        <v>44687288</v>
      </c>
      <c r="E6" s="46">
        <f ca="1">Weather!BL65</f>
        <v>35.92</v>
      </c>
      <c r="F6" s="46">
        <f ca="1">Weather!AY65</f>
        <v>50.69</v>
      </c>
      <c r="G6" s="29">
        <f>'Monthly Data'!BG6</f>
        <v>5</v>
      </c>
      <c r="H6" s="29">
        <f>'Monthly Data'!W6</f>
        <v>6506.8</v>
      </c>
      <c r="I6" s="29">
        <f>'Monthly Data'!BF6</f>
        <v>1</v>
      </c>
      <c r="K6" s="29">
        <f>'Res PW'!$B$6</f>
        <v>-4.4351669087570498</v>
      </c>
      <c r="L6" s="29">
        <f ca="1">E6*'Res PW'!$B$7</f>
        <v>0.28408899192914772</v>
      </c>
      <c r="M6" s="29">
        <f ca="1">F6*'Res PW'!$B$8</f>
        <v>1.9638877566745232</v>
      </c>
      <c r="N6" s="29">
        <f>G6*'Res PW'!$B$9</f>
        <v>-0.22271491450638251</v>
      </c>
      <c r="O6" s="163">
        <f>H6*'Res PW'!$B$10</f>
        <v>27.033745382418477</v>
      </c>
      <c r="P6" s="29">
        <f>I6*'Res PW'!$B$11</f>
        <v>-1.18560218277844</v>
      </c>
      <c r="Q6" s="44">
        <f>'Monthly Data'!F6</f>
        <v>57814</v>
      </c>
      <c r="R6" s="46">
        <f>'Monthly Data'!BH6</f>
        <v>31</v>
      </c>
      <c r="S6" s="44">
        <f t="shared" ca="1" si="6"/>
        <v>42006807.267685898</v>
      </c>
      <c r="T6" s="44">
        <f t="shared" ca="1" si="4"/>
        <v>-2680480.7323141024</v>
      </c>
      <c r="U6" s="48">
        <f t="shared" ca="1" si="5"/>
        <v>5.9983070181258313E-2</v>
      </c>
    </row>
    <row r="7" spans="1:21" x14ac:dyDescent="0.2">
      <c r="A7" s="45">
        <f>'Monthly Data'!A7</f>
        <v>40330</v>
      </c>
      <c r="B7" s="29">
        <f t="shared" si="2"/>
        <v>2010</v>
      </c>
      <c r="C7" s="29">
        <f t="shared" si="3"/>
        <v>6</v>
      </c>
      <c r="D7" s="44">
        <f>'Monthly Data'!E7</f>
        <v>51533466</v>
      </c>
      <c r="E7" s="46">
        <f ca="1">Weather!BL66</f>
        <v>0.37999999999999989</v>
      </c>
      <c r="F7" s="46">
        <f ca="1">Weather!AY66</f>
        <v>145.17999999999998</v>
      </c>
      <c r="G7" s="29">
        <f>'Monthly Data'!BG7</f>
        <v>6</v>
      </c>
      <c r="H7" s="29">
        <f>'Monthly Data'!W7</f>
        <v>6540.8</v>
      </c>
      <c r="I7" s="29">
        <f>'Monthly Data'!BF7</f>
        <v>0</v>
      </c>
      <c r="K7" s="29">
        <f>'Res PW'!$B$6</f>
        <v>-4.4351669087570498</v>
      </c>
      <c r="L7" s="29">
        <f ca="1">E7*'Res PW'!$B$7</f>
        <v>3.0053957943506709E-3</v>
      </c>
      <c r="M7" s="29">
        <f ca="1">F7*'Res PW'!$B$8</f>
        <v>5.6247233086211725</v>
      </c>
      <c r="N7" s="29">
        <f>G7*'Res PW'!$B$9</f>
        <v>-0.26725789740765898</v>
      </c>
      <c r="O7" s="163">
        <f>H7*'Res PW'!$B$10</f>
        <v>27.175004886783483</v>
      </c>
      <c r="P7" s="29">
        <f>I7*'Res PW'!$B$11</f>
        <v>0</v>
      </c>
      <c r="Q7" s="44">
        <f>'Monthly Data'!F7</f>
        <v>57809</v>
      </c>
      <c r="R7" s="46">
        <f>'Monthly Data'!BH7</f>
        <v>30</v>
      </c>
      <c r="S7" s="44">
        <f t="shared" ca="1" si="6"/>
        <v>48733522.516621426</v>
      </c>
      <c r="T7" s="44">
        <f t="shared" ca="1" si="4"/>
        <v>-2799943.4833785743</v>
      </c>
      <c r="U7" s="48">
        <f t="shared" ca="1" si="5"/>
        <v>5.4332527980527727E-2</v>
      </c>
    </row>
    <row r="8" spans="1:21" x14ac:dyDescent="0.2">
      <c r="A8" s="45">
        <f>'Monthly Data'!A8</f>
        <v>40360</v>
      </c>
      <c r="B8" s="29">
        <f t="shared" si="2"/>
        <v>2010</v>
      </c>
      <c r="C8" s="29">
        <f t="shared" si="3"/>
        <v>7</v>
      </c>
      <c r="D8" s="44">
        <f>'Monthly Data'!E8</f>
        <v>61497459</v>
      </c>
      <c r="E8" s="46">
        <f ca="1">Weather!BL67</f>
        <v>0</v>
      </c>
      <c r="F8" s="46">
        <f ca="1">Weather!AY67</f>
        <v>268.18999999999994</v>
      </c>
      <c r="G8" s="29">
        <f>'Monthly Data'!BG8</f>
        <v>7</v>
      </c>
      <c r="H8" s="29">
        <f>'Monthly Data'!W8</f>
        <v>6561</v>
      </c>
      <c r="I8" s="29">
        <f>'Monthly Data'!BF8</f>
        <v>0</v>
      </c>
      <c r="K8" s="29">
        <f>'Res PW'!$B$6</f>
        <v>-4.4351669087570498</v>
      </c>
      <c r="L8" s="29">
        <f ca="1">E8*'Res PW'!$B$7</f>
        <v>0</v>
      </c>
      <c r="M8" s="29">
        <f ca="1">F8*'Res PW'!$B$8</f>
        <v>10.390512082512139</v>
      </c>
      <c r="N8" s="29">
        <f>G8*'Res PW'!$B$9</f>
        <v>-0.31180088030893549</v>
      </c>
      <c r="O8" s="163">
        <f>H8*'Res PW'!$B$10</f>
        <v>27.258929651141518</v>
      </c>
      <c r="P8" s="29">
        <f>I8*'Res PW'!$B$11</f>
        <v>0</v>
      </c>
      <c r="Q8" s="44">
        <f>'Monthly Data'!F8</f>
        <v>57987</v>
      </c>
      <c r="R8" s="46">
        <f>'Monthly Data'!BH8</f>
        <v>31</v>
      </c>
      <c r="S8" s="44">
        <f t="shared" ca="1" si="6"/>
        <v>59145388.455368958</v>
      </c>
      <c r="T8" s="44">
        <f t="shared" ca="1" si="4"/>
        <v>-2352070.5446310416</v>
      </c>
      <c r="U8" s="48">
        <f t="shared" ca="1" si="5"/>
        <v>3.8246629744995507E-2</v>
      </c>
    </row>
    <row r="9" spans="1:21" x14ac:dyDescent="0.2">
      <c r="A9" s="45">
        <f>'Monthly Data'!A9</f>
        <v>40391</v>
      </c>
      <c r="B9" s="29">
        <f t="shared" si="2"/>
        <v>2010</v>
      </c>
      <c r="C9" s="29">
        <f t="shared" si="3"/>
        <v>8</v>
      </c>
      <c r="D9" s="44">
        <f>'Monthly Data'!E9</f>
        <v>57219511</v>
      </c>
      <c r="E9" s="46">
        <f ca="1">Weather!BL68</f>
        <v>0</v>
      </c>
      <c r="F9" s="46">
        <f ca="1">Weather!AY68</f>
        <v>239.59000000000006</v>
      </c>
      <c r="G9" s="29">
        <f>'Monthly Data'!BG9</f>
        <v>8</v>
      </c>
      <c r="H9" s="29">
        <f>'Monthly Data'!W9</f>
        <v>6568.9</v>
      </c>
      <c r="I9" s="29">
        <f>'Monthly Data'!BF9</f>
        <v>0</v>
      </c>
      <c r="K9" s="29">
        <f>'Res PW'!$B$6</f>
        <v>-4.4351669087570498</v>
      </c>
      <c r="L9" s="29">
        <f ca="1">E9*'Res PW'!$B$7</f>
        <v>0</v>
      </c>
      <c r="M9" s="29">
        <f ca="1">F9*'Res PW'!$B$8</f>
        <v>9.2824594125399322</v>
      </c>
      <c r="N9" s="29">
        <f>G9*'Res PW'!$B$9</f>
        <v>-0.356343863210212</v>
      </c>
      <c r="O9" s="163">
        <f>H9*'Res PW'!$B$10</f>
        <v>27.291751712449855</v>
      </c>
      <c r="P9" s="29">
        <f>I9*'Res PW'!$B$11</f>
        <v>0</v>
      </c>
      <c r="Q9" s="44">
        <f>'Monthly Data'!F9</f>
        <v>58018</v>
      </c>
      <c r="R9" s="46">
        <f>'Monthly Data'!BH9</f>
        <v>31</v>
      </c>
      <c r="S9" s="44">
        <f t="shared" ca="1" si="6"/>
        <v>57163029.981531493</v>
      </c>
      <c r="T9" s="44">
        <f t="shared" ca="1" si="4"/>
        <v>-56481.018468506634</v>
      </c>
      <c r="U9" s="48">
        <f t="shared" ca="1" si="5"/>
        <v>9.8709369376656555E-4</v>
      </c>
    </row>
    <row r="10" spans="1:21" x14ac:dyDescent="0.2">
      <c r="A10" s="45">
        <f>'Monthly Data'!A10</f>
        <v>40422</v>
      </c>
      <c r="B10" s="29">
        <f t="shared" si="2"/>
        <v>2010</v>
      </c>
      <c r="C10" s="29">
        <f t="shared" si="3"/>
        <v>9</v>
      </c>
      <c r="D10" s="44">
        <f>'Monthly Data'!E10</f>
        <v>45833578</v>
      </c>
      <c r="E10" s="46">
        <f ca="1">Weather!BL69</f>
        <v>0.49000000000000005</v>
      </c>
      <c r="F10" s="46">
        <f ca="1">Weather!AY69</f>
        <v>132.95000000000002</v>
      </c>
      <c r="G10" s="29">
        <f>'Monthly Data'!BG10</f>
        <v>9</v>
      </c>
      <c r="H10" s="29">
        <f>'Monthly Data'!W10</f>
        <v>6556</v>
      </c>
      <c r="I10" s="29">
        <f>'Monthly Data'!BF10</f>
        <v>1</v>
      </c>
      <c r="K10" s="29">
        <f>'Res PW'!$B$6</f>
        <v>-4.4351669087570498</v>
      </c>
      <c r="L10" s="29">
        <f ca="1">E10*'Res PW'!$B$7</f>
        <v>3.8753787874521821E-3</v>
      </c>
      <c r="M10" s="29">
        <f ca="1">F10*'Res PW'!$B$8</f>
        <v>5.1508951913568337</v>
      </c>
      <c r="N10" s="29">
        <f>G10*'Res PW'!$B$9</f>
        <v>-0.4008868461114885</v>
      </c>
      <c r="O10" s="163">
        <f>H10*'Res PW'!$B$10</f>
        <v>27.23815619461725</v>
      </c>
      <c r="P10" s="29">
        <f>I10*'Res PW'!$B$11</f>
        <v>-1.18560218277844</v>
      </c>
      <c r="Q10" s="44">
        <f>'Monthly Data'!F10</f>
        <v>58071</v>
      </c>
      <c r="R10" s="46">
        <f>'Monthly Data'!BH10</f>
        <v>30</v>
      </c>
      <c r="S10" s="44">
        <f t="shared" ca="1" si="6"/>
        <v>45942182.046041079</v>
      </c>
      <c r="T10" s="44">
        <f t="shared" ca="1" si="4"/>
        <v>108604.04604107887</v>
      </c>
      <c r="U10" s="48">
        <f t="shared" ca="1" si="5"/>
        <v>2.3695301737315568E-3</v>
      </c>
    </row>
    <row r="11" spans="1:21" x14ac:dyDescent="0.2">
      <c r="A11" s="45">
        <f>'Monthly Data'!A11</f>
        <v>40452</v>
      </c>
      <c r="B11" s="29">
        <f t="shared" si="2"/>
        <v>2010</v>
      </c>
      <c r="C11" s="29">
        <f t="shared" si="3"/>
        <v>10</v>
      </c>
      <c r="D11" s="44">
        <f>'Monthly Data'!E11</f>
        <v>41340554</v>
      </c>
      <c r="E11" s="46">
        <f ca="1">Weather!BL70</f>
        <v>53.33000000000002</v>
      </c>
      <c r="F11" s="46">
        <f ca="1">Weather!AY70</f>
        <v>27.9</v>
      </c>
      <c r="G11" s="29">
        <f>'Monthly Data'!BG11</f>
        <v>10</v>
      </c>
      <c r="H11" s="29">
        <f>'Monthly Data'!W11</f>
        <v>6551.6</v>
      </c>
      <c r="I11" s="29">
        <f>'Monthly Data'!BF11</f>
        <v>1</v>
      </c>
      <c r="K11" s="29">
        <f>'Res PW'!$B$6</f>
        <v>-4.4351669087570498</v>
      </c>
      <c r="L11" s="29">
        <f ca="1">E11*'Res PW'!$B$7</f>
        <v>0.42178357292821411</v>
      </c>
      <c r="M11" s="29">
        <f ca="1">F11*'Res PW'!$B$8</f>
        <v>1.0809324997281358</v>
      </c>
      <c r="N11" s="29">
        <f>G11*'Res PW'!$B$9</f>
        <v>-0.44542982901276501</v>
      </c>
      <c r="O11" s="163">
        <f>H11*'Res PW'!$B$10</f>
        <v>27.219875552875898</v>
      </c>
      <c r="P11" s="29">
        <f>I11*'Res PW'!$B$11</f>
        <v>-1.18560218277844</v>
      </c>
      <c r="Q11" s="44">
        <f>'Monthly Data'!F11</f>
        <v>58121</v>
      </c>
      <c r="R11" s="46">
        <f>'Monthly Data'!BH11</f>
        <v>31</v>
      </c>
      <c r="S11" s="44">
        <f t="shared" ca="1" si="6"/>
        <v>40821178.212597616</v>
      </c>
      <c r="T11" s="44">
        <f t="shared" ca="1" si="4"/>
        <v>-519375.78740238398</v>
      </c>
      <c r="U11" s="48">
        <f t="shared" ca="1" si="5"/>
        <v>1.2563348507675634E-2</v>
      </c>
    </row>
    <row r="12" spans="1:21" x14ac:dyDescent="0.2">
      <c r="A12" s="45">
        <f>'Monthly Data'!A12</f>
        <v>40483</v>
      </c>
      <c r="B12" s="29">
        <f t="shared" si="2"/>
        <v>2010</v>
      </c>
      <c r="C12" s="29">
        <f t="shared" si="3"/>
        <v>11</v>
      </c>
      <c r="D12" s="44">
        <f>'Monthly Data'!E12</f>
        <v>39815993</v>
      </c>
      <c r="E12" s="46">
        <f ca="1">Weather!BL71</f>
        <v>207.66000000000003</v>
      </c>
      <c r="F12" s="46">
        <f ca="1">Weather!AY71</f>
        <v>0.69000000000000006</v>
      </c>
      <c r="G12" s="29">
        <f>'Monthly Data'!BG12</f>
        <v>11</v>
      </c>
      <c r="H12" s="29">
        <f>'Monthly Data'!W12</f>
        <v>6555.7</v>
      </c>
      <c r="I12" s="29">
        <f>'Monthly Data'!BF12</f>
        <v>1</v>
      </c>
      <c r="K12" s="29">
        <f>'Res PW'!$B$6</f>
        <v>-4.4351669087570498</v>
      </c>
      <c r="L12" s="29">
        <f ca="1">E12*'Res PW'!$B$7</f>
        <v>1.642369712249633</v>
      </c>
      <c r="M12" s="29">
        <f ca="1">F12*'Res PW'!$B$8</f>
        <v>2.6732739240588305E-2</v>
      </c>
      <c r="N12" s="29">
        <f>G12*'Res PW'!$B$9</f>
        <v>-0.48997281191404152</v>
      </c>
      <c r="O12" s="163">
        <f>H12*'Res PW'!$B$10</f>
        <v>27.236909787225795</v>
      </c>
      <c r="P12" s="29">
        <f>I12*'Res PW'!$B$11</f>
        <v>-1.18560218277844</v>
      </c>
      <c r="Q12" s="44">
        <f>'Monthly Data'!F12</f>
        <v>58162</v>
      </c>
      <c r="R12" s="46">
        <f>'Monthly Data'!BH12</f>
        <v>30</v>
      </c>
      <c r="S12" s="44">
        <f t="shared" ca="1" si="6"/>
        <v>39774555.397193082</v>
      </c>
      <c r="T12" s="44">
        <f t="shared" ca="1" si="4"/>
        <v>-41437.602806918323</v>
      </c>
      <c r="U12" s="48">
        <f t="shared" ca="1" si="5"/>
        <v>1.0407275992568696E-3</v>
      </c>
    </row>
    <row r="13" spans="1:21" x14ac:dyDescent="0.2">
      <c r="A13" s="45">
        <f>'Monthly Data'!A13</f>
        <v>40513</v>
      </c>
      <c r="B13" s="29">
        <f t="shared" si="2"/>
        <v>2010</v>
      </c>
      <c r="C13" s="29">
        <f t="shared" si="3"/>
        <v>12</v>
      </c>
      <c r="D13" s="44">
        <f>'Monthly Data'!E13</f>
        <v>47209999</v>
      </c>
      <c r="E13" s="46">
        <f ca="1">Weather!BL72</f>
        <v>351.65000000000003</v>
      </c>
      <c r="F13" s="46">
        <f ca="1">Weather!AY72</f>
        <v>0</v>
      </c>
      <c r="G13" s="29">
        <f>'Monthly Data'!BG13</f>
        <v>12</v>
      </c>
      <c r="H13" s="29">
        <f>'Monthly Data'!W13</f>
        <v>6578.3</v>
      </c>
      <c r="I13" s="29">
        <f>'Monthly Data'!BF13</f>
        <v>0</v>
      </c>
      <c r="K13" s="29">
        <f>'Res PW'!$B$6</f>
        <v>-4.4351669087570498</v>
      </c>
      <c r="L13" s="29">
        <f ca="1">E13*'Res PW'!$B$7</f>
        <v>2.7811774502195097</v>
      </c>
      <c r="M13" s="29">
        <f ca="1">F13*'Res PW'!$B$8</f>
        <v>0</v>
      </c>
      <c r="N13" s="29">
        <f>G13*'Res PW'!$B$9</f>
        <v>-0.53451579481531797</v>
      </c>
      <c r="O13" s="163">
        <f>H13*'Res PW'!$B$10</f>
        <v>27.330805810715479</v>
      </c>
      <c r="P13" s="29">
        <f>I13*'Res PW'!$B$11</f>
        <v>0</v>
      </c>
      <c r="Q13" s="44">
        <f>'Monthly Data'!F13</f>
        <v>58247</v>
      </c>
      <c r="R13" s="46">
        <f>'Monthly Data'!BH13</f>
        <v>31</v>
      </c>
      <c r="S13" s="44">
        <f t="shared" ca="1" si="6"/>
        <v>45398370.997505717</v>
      </c>
      <c r="T13" s="44">
        <f t="shared" ca="1" si="4"/>
        <v>-1811628.002494283</v>
      </c>
      <c r="U13" s="48">
        <f t="shared" ca="1" si="5"/>
        <v>3.837381997178782E-2</v>
      </c>
    </row>
    <row r="14" spans="1:21" x14ac:dyDescent="0.2">
      <c r="A14" s="45">
        <f>'Monthly Data'!A14</f>
        <v>40544</v>
      </c>
      <c r="B14" s="29">
        <f t="shared" si="2"/>
        <v>2011</v>
      </c>
      <c r="C14" s="29">
        <f t="shared" si="3"/>
        <v>1</v>
      </c>
      <c r="D14" s="44">
        <f>'Monthly Data'!E14</f>
        <v>49456916.476147316</v>
      </c>
      <c r="E14" s="46">
        <f ca="1">E2</f>
        <v>477.14</v>
      </c>
      <c r="F14" s="46">
        <f ca="1">F2</f>
        <v>0</v>
      </c>
      <c r="G14" s="29">
        <f>'Monthly Data'!BG14</f>
        <v>13</v>
      </c>
      <c r="H14" s="29">
        <f>'Monthly Data'!W14</f>
        <v>6606.3</v>
      </c>
      <c r="I14" s="29">
        <f>'Monthly Data'!BF14</f>
        <v>0</v>
      </c>
      <c r="K14" s="29">
        <f>'Res PW'!$B$6</f>
        <v>-4.4351669087570498</v>
      </c>
      <c r="L14" s="29">
        <f ca="1">E14*'Res PW'!$B$7</f>
        <v>3.7736698666223143</v>
      </c>
      <c r="M14" s="29">
        <f ca="1">F14*'Res PW'!$B$8</f>
        <v>0</v>
      </c>
      <c r="N14" s="29">
        <f>G14*'Res PW'!$B$9</f>
        <v>-0.57905877771659453</v>
      </c>
      <c r="O14" s="163">
        <f>H14*'Res PW'!$B$10</f>
        <v>27.447137167251366</v>
      </c>
      <c r="P14" s="29">
        <f>I14*'Res PW'!$B$11</f>
        <v>0</v>
      </c>
      <c r="Q14" s="44">
        <f>'Monthly Data'!F14</f>
        <v>58273</v>
      </c>
      <c r="R14" s="46">
        <f>'Monthly Data'!BH14</f>
        <v>31</v>
      </c>
      <c r="S14" s="44">
        <f t="shared" ca="1" si="6"/>
        <v>47341219.56056831</v>
      </c>
      <c r="T14" s="44">
        <f t="shared" ca="1" si="4"/>
        <v>-2115696.9155790061</v>
      </c>
      <c r="U14" s="48">
        <f t="shared" ca="1" si="5"/>
        <v>4.2778585207579413E-2</v>
      </c>
    </row>
    <row r="15" spans="1:21" x14ac:dyDescent="0.2">
      <c r="A15" s="45">
        <f>'Monthly Data'!A15</f>
        <v>40575</v>
      </c>
      <c r="B15" s="29">
        <f t="shared" si="2"/>
        <v>2011</v>
      </c>
      <c r="C15" s="29">
        <f t="shared" si="3"/>
        <v>2</v>
      </c>
      <c r="D15" s="44">
        <f>'Monthly Data'!E15</f>
        <v>41737382.476147316</v>
      </c>
      <c r="E15" s="46">
        <f t="shared" ref="E15:F15" ca="1" si="7">E3</f>
        <v>417.05</v>
      </c>
      <c r="F15" s="46">
        <f t="shared" ca="1" si="7"/>
        <v>0</v>
      </c>
      <c r="G15" s="29">
        <f>'Monthly Data'!BG15</f>
        <v>14</v>
      </c>
      <c r="H15" s="29">
        <f>'Monthly Data'!W15</f>
        <v>6619.5</v>
      </c>
      <c r="I15" s="29">
        <f>'Monthly Data'!BF15</f>
        <v>0</v>
      </c>
      <c r="K15" s="29">
        <f>'Res PW'!$B$6</f>
        <v>-4.4351669087570498</v>
      </c>
      <c r="L15" s="29">
        <f ca="1">E15*'Res PW'!$B$7</f>
        <v>3.2984218842998621</v>
      </c>
      <c r="M15" s="29">
        <f ca="1">F15*'Res PW'!$B$8</f>
        <v>0</v>
      </c>
      <c r="N15" s="29">
        <f>G15*'Res PW'!$B$9</f>
        <v>-0.62360176061787098</v>
      </c>
      <c r="O15" s="163">
        <f>H15*'Res PW'!$B$10</f>
        <v>27.501979092475427</v>
      </c>
      <c r="P15" s="29">
        <f>I15*'Res PW'!$B$11</f>
        <v>0</v>
      </c>
      <c r="Q15" s="44">
        <f>'Monthly Data'!F15</f>
        <v>58299</v>
      </c>
      <c r="R15" s="46">
        <f>'Monthly Data'!BH15</f>
        <v>28</v>
      </c>
      <c r="S15" s="44">
        <f t="shared" ca="1" si="6"/>
        <v>42019919.812895752</v>
      </c>
      <c r="T15" s="44">
        <f t="shared" ca="1" si="4"/>
        <v>282537.33674843609</v>
      </c>
      <c r="U15" s="48">
        <f t="shared" ca="1" si="5"/>
        <v>6.7694071833542657E-3</v>
      </c>
    </row>
    <row r="16" spans="1:21" x14ac:dyDescent="0.2">
      <c r="A16" s="45">
        <f>'Monthly Data'!A16</f>
        <v>40603</v>
      </c>
      <c r="B16" s="29">
        <f t="shared" si="2"/>
        <v>2011</v>
      </c>
      <c r="C16" s="29">
        <f t="shared" si="3"/>
        <v>3</v>
      </c>
      <c r="D16" s="44">
        <f>'Monthly Data'!E16</f>
        <v>42523489.476147316</v>
      </c>
      <c r="E16" s="46">
        <f t="shared" ref="E16:F16" ca="1" si="8">E4</f>
        <v>332.70999999999992</v>
      </c>
      <c r="F16" s="46">
        <f t="shared" ca="1" si="8"/>
        <v>3.0000000000000072E-2</v>
      </c>
      <c r="G16" s="29">
        <f>'Monthly Data'!BG16</f>
        <v>15</v>
      </c>
      <c r="H16" s="29">
        <f>'Monthly Data'!W16</f>
        <v>6628.6</v>
      </c>
      <c r="I16" s="29">
        <f>'Monthly Data'!BF16</f>
        <v>1</v>
      </c>
      <c r="K16" s="29">
        <f>'Res PW'!$B$6</f>
        <v>-4.4351669087570498</v>
      </c>
      <c r="L16" s="29">
        <f ca="1">E16*'Res PW'!$B$7</f>
        <v>2.6313821966800308</v>
      </c>
      <c r="M16" s="29">
        <f ca="1">F16*'Res PW'!$B$8</f>
        <v>1.1622930104603637E-3</v>
      </c>
      <c r="N16" s="29">
        <f>G16*'Res PW'!$B$9</f>
        <v>-0.66814474351914754</v>
      </c>
      <c r="O16" s="163">
        <f>H16*'Res PW'!$B$10</f>
        <v>27.539786783349591</v>
      </c>
      <c r="P16" s="29">
        <f>I16*'Res PW'!$B$11</f>
        <v>-1.18560218277844</v>
      </c>
      <c r="Q16" s="44">
        <f>'Monthly Data'!F16</f>
        <v>58318</v>
      </c>
      <c r="R16" s="46">
        <f>'Monthly Data'!BH16</f>
        <v>31</v>
      </c>
      <c r="S16" s="44">
        <f t="shared" ca="1" si="6"/>
        <v>43177827.282601491</v>
      </c>
      <c r="T16" s="44">
        <f t="shared" ca="1" si="4"/>
        <v>654337.80645417422</v>
      </c>
      <c r="U16" s="48">
        <f t="shared" ca="1" si="5"/>
        <v>1.5387679010237663E-2</v>
      </c>
    </row>
    <row r="17" spans="1:21" x14ac:dyDescent="0.2">
      <c r="A17" s="45">
        <f>'Monthly Data'!A17</f>
        <v>40634</v>
      </c>
      <c r="B17" s="29">
        <f t="shared" si="2"/>
        <v>2011</v>
      </c>
      <c r="C17" s="29">
        <f t="shared" si="3"/>
        <v>4</v>
      </c>
      <c r="D17" s="44">
        <f>'Monthly Data'!E17</f>
        <v>38514761.476147316</v>
      </c>
      <c r="E17" s="46">
        <f t="shared" ref="E17:F17" ca="1" si="9">E5</f>
        <v>164.53999999999996</v>
      </c>
      <c r="F17" s="46">
        <f t="shared" ca="1" si="9"/>
        <v>1.45</v>
      </c>
      <c r="G17" s="29">
        <f>'Monthly Data'!BG17</f>
        <v>16</v>
      </c>
      <c r="H17" s="29">
        <f>'Monthly Data'!W17</f>
        <v>6635.5</v>
      </c>
      <c r="I17" s="29">
        <f>'Monthly Data'!BF17</f>
        <v>1</v>
      </c>
      <c r="K17" s="29">
        <f>'Res PW'!$B$6</f>
        <v>-4.4351669087570498</v>
      </c>
      <c r="L17" s="29">
        <f ca="1">E17*'Res PW'!$B$7</f>
        <v>1.3013363789538406</v>
      </c>
      <c r="M17" s="29">
        <f ca="1">F17*'Res PW'!$B$8</f>
        <v>5.617749550558411E-2</v>
      </c>
      <c r="N17" s="29">
        <f>G17*'Res PW'!$B$9</f>
        <v>-0.71268772642042399</v>
      </c>
      <c r="O17" s="163">
        <f>H17*'Res PW'!$B$10</f>
        <v>27.568454153353077</v>
      </c>
      <c r="P17" s="29">
        <f>I17*'Res PW'!$B$11</f>
        <v>-1.18560218277844</v>
      </c>
      <c r="Q17" s="44">
        <f>'Monthly Data'!F17</f>
        <v>58345</v>
      </c>
      <c r="R17" s="46">
        <f>'Monthly Data'!BH17</f>
        <v>30</v>
      </c>
      <c r="S17" s="44">
        <f t="shared" ca="1" si="6"/>
        <v>39544801.99617248</v>
      </c>
      <c r="T17" s="44">
        <f t="shared" ca="1" si="4"/>
        <v>1030040.5200251639</v>
      </c>
      <c r="U17" s="48">
        <f t="shared" ca="1" si="5"/>
        <v>2.6744045154299637E-2</v>
      </c>
    </row>
    <row r="18" spans="1:21" x14ac:dyDescent="0.2">
      <c r="A18" s="45">
        <f>'Monthly Data'!A18</f>
        <v>40664</v>
      </c>
      <c r="B18" s="29">
        <f t="shared" si="2"/>
        <v>2011</v>
      </c>
      <c r="C18" s="29">
        <f t="shared" si="3"/>
        <v>5</v>
      </c>
      <c r="D18" s="44">
        <f>'Monthly Data'!E18</f>
        <v>42499355.476147316</v>
      </c>
      <c r="E18" s="46">
        <f t="shared" ref="E18:F18" ca="1" si="10">E6</f>
        <v>35.92</v>
      </c>
      <c r="F18" s="46">
        <f t="shared" ca="1" si="10"/>
        <v>50.69</v>
      </c>
      <c r="G18" s="29">
        <f>'Monthly Data'!BG18</f>
        <v>17</v>
      </c>
      <c r="H18" s="29">
        <f>'Monthly Data'!W18</f>
        <v>6645.8</v>
      </c>
      <c r="I18" s="29">
        <f>'Monthly Data'!BF18</f>
        <v>1</v>
      </c>
      <c r="K18" s="29">
        <f>'Res PW'!$B$6</f>
        <v>-4.4351669087570498</v>
      </c>
      <c r="L18" s="29">
        <f ca="1">E18*'Res PW'!$B$7</f>
        <v>0.28408899192914772</v>
      </c>
      <c r="M18" s="29">
        <f ca="1">F18*'Res PW'!$B$8</f>
        <v>1.9638877566745232</v>
      </c>
      <c r="N18" s="29">
        <f>G18*'Res PW'!$B$9</f>
        <v>-0.75723070932170045</v>
      </c>
      <c r="O18" s="163">
        <f>H18*'Res PW'!$B$10</f>
        <v>27.611247473793064</v>
      </c>
      <c r="P18" s="29">
        <f>I18*'Res PW'!$B$11</f>
        <v>-1.18560218277844</v>
      </c>
      <c r="Q18" s="44">
        <f>'Monthly Data'!F18</f>
        <v>58385</v>
      </c>
      <c r="R18" s="46">
        <f>'Monthly Data'!BH18</f>
        <v>31</v>
      </c>
      <c r="S18" s="44">
        <f t="shared" ca="1" si="6"/>
        <v>42499489.923399173</v>
      </c>
      <c r="T18" s="44">
        <f t="shared" ca="1" si="4"/>
        <v>134.44725185632706</v>
      </c>
      <c r="U18" s="48">
        <f t="shared" ca="1" si="5"/>
        <v>3.1635127250761561E-6</v>
      </c>
    </row>
    <row r="19" spans="1:21" x14ac:dyDescent="0.2">
      <c r="A19" s="45">
        <f>'Monthly Data'!A19</f>
        <v>40695</v>
      </c>
      <c r="B19" s="29">
        <f t="shared" si="2"/>
        <v>2011</v>
      </c>
      <c r="C19" s="29">
        <f t="shared" si="3"/>
        <v>6</v>
      </c>
      <c r="D19" s="44">
        <f>'Monthly Data'!E19</f>
        <v>49779830.476147316</v>
      </c>
      <c r="E19" s="46">
        <f t="shared" ref="E19:F19" ca="1" si="11">E7</f>
        <v>0.37999999999999989</v>
      </c>
      <c r="F19" s="46">
        <f t="shared" ca="1" si="11"/>
        <v>145.17999999999998</v>
      </c>
      <c r="G19" s="29">
        <f>'Monthly Data'!BG19</f>
        <v>18</v>
      </c>
      <c r="H19" s="29">
        <f>'Monthly Data'!W19</f>
        <v>6662</v>
      </c>
      <c r="I19" s="29">
        <f>'Monthly Data'!BF19</f>
        <v>0</v>
      </c>
      <c r="K19" s="29">
        <f>'Res PW'!$B$6</f>
        <v>-4.4351669087570498</v>
      </c>
      <c r="L19" s="29">
        <f ca="1">E19*'Res PW'!$B$7</f>
        <v>3.0053957943506709E-3</v>
      </c>
      <c r="M19" s="29">
        <f ca="1">F19*'Res PW'!$B$8</f>
        <v>5.6247233086211725</v>
      </c>
      <c r="N19" s="29">
        <f>G19*'Res PW'!$B$9</f>
        <v>-0.80177369222297701</v>
      </c>
      <c r="O19" s="163">
        <f>H19*'Res PW'!$B$10</f>
        <v>27.678553472931686</v>
      </c>
      <c r="P19" s="29">
        <f>I19*'Res PW'!$B$11</f>
        <v>0</v>
      </c>
      <c r="Q19" s="44">
        <f>'Monthly Data'!F19</f>
        <v>58495</v>
      </c>
      <c r="R19" s="46">
        <f>'Monthly Data'!BH19</f>
        <v>30</v>
      </c>
      <c r="S19" s="44">
        <f t="shared" ca="1" si="6"/>
        <v>49257484.065287948</v>
      </c>
      <c r="T19" s="44">
        <f t="shared" ca="1" si="4"/>
        <v>-522346.41085936874</v>
      </c>
      <c r="U19" s="48">
        <f t="shared" ca="1" si="5"/>
        <v>1.0493133581675376E-2</v>
      </c>
    </row>
    <row r="20" spans="1:21" x14ac:dyDescent="0.2">
      <c r="A20" s="45">
        <f>'Monthly Data'!A20</f>
        <v>40725</v>
      </c>
      <c r="B20" s="29">
        <f t="shared" si="2"/>
        <v>2011</v>
      </c>
      <c r="C20" s="29">
        <f t="shared" si="3"/>
        <v>7</v>
      </c>
      <c r="D20" s="44">
        <f>'Monthly Data'!E20</f>
        <v>61715744.476147316</v>
      </c>
      <c r="E20" s="46">
        <f t="shared" ref="E20:F20" ca="1" si="12">E8</f>
        <v>0</v>
      </c>
      <c r="F20" s="46">
        <f t="shared" ca="1" si="12"/>
        <v>268.18999999999994</v>
      </c>
      <c r="G20" s="29">
        <f>'Monthly Data'!BG20</f>
        <v>19</v>
      </c>
      <c r="H20" s="29">
        <f>'Monthly Data'!W20</f>
        <v>6665.8</v>
      </c>
      <c r="I20" s="29">
        <f>'Monthly Data'!BF20</f>
        <v>0</v>
      </c>
      <c r="K20" s="29">
        <f>'Res PW'!$B$6</f>
        <v>-4.4351669087570498</v>
      </c>
      <c r="L20" s="29">
        <f ca="1">E20*'Res PW'!$B$7</f>
        <v>0</v>
      </c>
      <c r="M20" s="29">
        <f ca="1">F20*'Res PW'!$B$8</f>
        <v>10.390512082512139</v>
      </c>
      <c r="N20" s="29">
        <f>G20*'Res PW'!$B$9</f>
        <v>-0.84631667512425346</v>
      </c>
      <c r="O20" s="163">
        <f>H20*'Res PW'!$B$10</f>
        <v>27.694341299890127</v>
      </c>
      <c r="P20" s="29">
        <f>I20*'Res PW'!$B$11</f>
        <v>0</v>
      </c>
      <c r="Q20" s="44">
        <f>'Monthly Data'!F20</f>
        <v>58515</v>
      </c>
      <c r="R20" s="46">
        <f>'Monthly Data'!BH20</f>
        <v>31</v>
      </c>
      <c r="S20" s="44">
        <f t="shared" ca="1" si="6"/>
        <v>59504164.696574077</v>
      </c>
      <c r="T20" s="44">
        <f t="shared" ca="1" si="4"/>
        <v>-2211579.7795732394</v>
      </c>
      <c r="U20" s="48">
        <f t="shared" ca="1" si="5"/>
        <v>3.5834936422552574E-2</v>
      </c>
    </row>
    <row r="21" spans="1:21" x14ac:dyDescent="0.2">
      <c r="A21" s="45">
        <f>'Monthly Data'!A21</f>
        <v>40756</v>
      </c>
      <c r="B21" s="29">
        <f t="shared" si="2"/>
        <v>2011</v>
      </c>
      <c r="C21" s="29">
        <f t="shared" si="3"/>
        <v>8</v>
      </c>
      <c r="D21" s="44">
        <f>'Monthly Data'!E21</f>
        <v>56143271.476147316</v>
      </c>
      <c r="E21" s="46">
        <f t="shared" ref="E21:F21" ca="1" si="13">E9</f>
        <v>0</v>
      </c>
      <c r="F21" s="46">
        <f t="shared" ca="1" si="13"/>
        <v>239.59000000000006</v>
      </c>
      <c r="G21" s="29">
        <f>'Monthly Data'!BG21</f>
        <v>20</v>
      </c>
      <c r="H21" s="29">
        <f>'Monthly Data'!W21</f>
        <v>6677.5</v>
      </c>
      <c r="I21" s="29">
        <f>'Monthly Data'!BF21</f>
        <v>0</v>
      </c>
      <c r="K21" s="29">
        <f>'Res PW'!$B$6</f>
        <v>-4.4351669087570498</v>
      </c>
      <c r="L21" s="29">
        <f ca="1">E21*'Res PW'!$B$7</f>
        <v>0</v>
      </c>
      <c r="M21" s="29">
        <f ca="1">F21*'Res PW'!$B$8</f>
        <v>9.2824594125399322</v>
      </c>
      <c r="N21" s="29">
        <f>G21*'Res PW'!$B$9</f>
        <v>-0.89085965802553002</v>
      </c>
      <c r="O21" s="163">
        <f>H21*'Res PW'!$B$10</f>
        <v>27.742951188156908</v>
      </c>
      <c r="P21" s="29">
        <f>I21*'Res PW'!$B$11</f>
        <v>0</v>
      </c>
      <c r="Q21" s="44">
        <f>'Monthly Data'!F21</f>
        <v>58526</v>
      </c>
      <c r="R21" s="46">
        <f>'Monthly Data'!BH21</f>
        <v>31</v>
      </c>
      <c r="S21" s="44">
        <f t="shared" ca="1" si="6"/>
        <v>57512382.649034843</v>
      </c>
      <c r="T21" s="44">
        <f t="shared" ca="1" si="4"/>
        <v>1369111.1728875265</v>
      </c>
      <c r="U21" s="48">
        <f t="shared" ca="1" si="5"/>
        <v>2.4386024128807644E-2</v>
      </c>
    </row>
    <row r="22" spans="1:21" x14ac:dyDescent="0.2">
      <c r="A22" s="45">
        <f>'Monthly Data'!A22</f>
        <v>40787</v>
      </c>
      <c r="B22" s="29">
        <f t="shared" si="2"/>
        <v>2011</v>
      </c>
      <c r="C22" s="29">
        <f t="shared" si="3"/>
        <v>9</v>
      </c>
      <c r="D22" s="44">
        <f>'Monthly Data'!E22</f>
        <v>44393787.476147316</v>
      </c>
      <c r="E22" s="46">
        <f t="shared" ref="E22:F22" ca="1" si="14">E10</f>
        <v>0.49000000000000005</v>
      </c>
      <c r="F22" s="46">
        <f t="shared" ca="1" si="14"/>
        <v>132.95000000000002</v>
      </c>
      <c r="G22" s="29">
        <f>'Monthly Data'!BG22</f>
        <v>21</v>
      </c>
      <c r="H22" s="29">
        <f>'Monthly Data'!W22</f>
        <v>6674.4</v>
      </c>
      <c r="I22" s="29">
        <f>'Monthly Data'!BF22</f>
        <v>1</v>
      </c>
      <c r="K22" s="29">
        <f>'Res PW'!$B$6</f>
        <v>-4.4351669087570498</v>
      </c>
      <c r="L22" s="29">
        <f ca="1">E22*'Res PW'!$B$7</f>
        <v>3.8753787874521821E-3</v>
      </c>
      <c r="M22" s="29">
        <f ca="1">F22*'Res PW'!$B$8</f>
        <v>5.1508951913568337</v>
      </c>
      <c r="N22" s="29">
        <f>G22*'Res PW'!$B$9</f>
        <v>-0.93540264092680647</v>
      </c>
      <c r="O22" s="163">
        <f>H22*'Res PW'!$B$10</f>
        <v>27.730071645111863</v>
      </c>
      <c r="P22" s="29">
        <f>I22*'Res PW'!$B$11</f>
        <v>-1.18560218277844</v>
      </c>
      <c r="Q22" s="44">
        <f>'Monthly Data'!F22</f>
        <v>58615</v>
      </c>
      <c r="R22" s="46">
        <f>'Monthly Data'!BH22</f>
        <v>30</v>
      </c>
      <c r="S22" s="44">
        <f t="shared" ca="1" si="6"/>
        <v>46297650.61046885</v>
      </c>
      <c r="T22" s="44">
        <f t="shared" ca="1" si="4"/>
        <v>1903863.1343215331</v>
      </c>
      <c r="U22" s="48">
        <f t="shared" ca="1" si="5"/>
        <v>4.2885800977095601E-2</v>
      </c>
    </row>
    <row r="23" spans="1:21" x14ac:dyDescent="0.2">
      <c r="A23" s="45">
        <f>'Monthly Data'!A23</f>
        <v>40817</v>
      </c>
      <c r="B23" s="29">
        <f t="shared" si="2"/>
        <v>2011</v>
      </c>
      <c r="C23" s="29">
        <f t="shared" si="3"/>
        <v>10</v>
      </c>
      <c r="D23" s="44">
        <f>'Monthly Data'!E23</f>
        <v>41972796.476147316</v>
      </c>
      <c r="E23" s="46">
        <f t="shared" ref="E23:F23" ca="1" si="15">E11</f>
        <v>53.33000000000002</v>
      </c>
      <c r="F23" s="46">
        <f t="shared" ca="1" si="15"/>
        <v>27.9</v>
      </c>
      <c r="G23" s="29">
        <f>'Monthly Data'!BG23</f>
        <v>22</v>
      </c>
      <c r="H23" s="29">
        <f>'Monthly Data'!W23</f>
        <v>6668.1</v>
      </c>
      <c r="I23" s="29">
        <f>'Monthly Data'!BF23</f>
        <v>1</v>
      </c>
      <c r="K23" s="29">
        <f>'Res PW'!$B$6</f>
        <v>-4.4351669087570498</v>
      </c>
      <c r="L23" s="29">
        <f ca="1">E23*'Res PW'!$B$7</f>
        <v>0.42178357292821411</v>
      </c>
      <c r="M23" s="29">
        <f ca="1">F23*'Res PW'!$B$8</f>
        <v>1.0809324997281358</v>
      </c>
      <c r="N23" s="29">
        <f>G23*'Res PW'!$B$9</f>
        <v>-0.97994562382808303</v>
      </c>
      <c r="O23" s="163">
        <f>H23*'Res PW'!$B$10</f>
        <v>27.703897089891292</v>
      </c>
      <c r="P23" s="29">
        <f>I23*'Res PW'!$B$11</f>
        <v>-1.18560218277844</v>
      </c>
      <c r="Q23" s="44">
        <f>'Monthly Data'!F23</f>
        <v>58637</v>
      </c>
      <c r="R23" s="46">
        <f>'Monthly Data'!BH23</f>
        <v>31</v>
      </c>
      <c r="S23" s="44">
        <f t="shared" ca="1" si="6"/>
        <v>41091804.084673509</v>
      </c>
      <c r="T23" s="44">
        <f t="shared" ca="1" si="4"/>
        <v>-880992.39147380739</v>
      </c>
      <c r="U23" s="48">
        <f t="shared" ca="1" si="5"/>
        <v>2.0989604349437755E-2</v>
      </c>
    </row>
    <row r="24" spans="1:21" x14ac:dyDescent="0.2">
      <c r="A24" s="45">
        <f>'Monthly Data'!A24</f>
        <v>40848</v>
      </c>
      <c r="B24" s="29">
        <f t="shared" si="2"/>
        <v>2011</v>
      </c>
      <c r="C24" s="29">
        <f t="shared" si="3"/>
        <v>11</v>
      </c>
      <c r="D24" s="44">
        <f>'Monthly Data'!E24</f>
        <v>39897288.476147316</v>
      </c>
      <c r="E24" s="46">
        <f t="shared" ref="E24:F24" ca="1" si="16">E12</f>
        <v>207.66000000000003</v>
      </c>
      <c r="F24" s="46">
        <f t="shared" ca="1" si="16"/>
        <v>0.69000000000000006</v>
      </c>
      <c r="G24" s="29">
        <f>'Monthly Data'!BG24</f>
        <v>23</v>
      </c>
      <c r="H24" s="29">
        <f>'Monthly Data'!W24</f>
        <v>6662.8</v>
      </c>
      <c r="I24" s="29">
        <f>'Monthly Data'!BF24</f>
        <v>1</v>
      </c>
      <c r="K24" s="29">
        <f>'Res PW'!$B$6</f>
        <v>-4.4351669087570498</v>
      </c>
      <c r="L24" s="29">
        <f ca="1">E24*'Res PW'!$B$7</f>
        <v>1.642369712249633</v>
      </c>
      <c r="M24" s="29">
        <f ca="1">F24*'Res PW'!$B$8</f>
        <v>2.6732739240588305E-2</v>
      </c>
      <c r="N24" s="29">
        <f>G24*'Res PW'!$B$9</f>
        <v>-1.0244886067293595</v>
      </c>
      <c r="O24" s="163">
        <f>H24*'Res PW'!$B$10</f>
        <v>27.681877225975569</v>
      </c>
      <c r="P24" s="29">
        <f>I24*'Res PW'!$B$11</f>
        <v>-1.18560218277844</v>
      </c>
      <c r="Q24" s="44">
        <f>'Monthly Data'!F24</f>
        <v>58706</v>
      </c>
      <c r="R24" s="46">
        <f>'Monthly Data'!BH24</f>
        <v>30</v>
      </c>
      <c r="S24" s="44">
        <f t="shared" ca="1" si="6"/>
        <v>39988863.435329117</v>
      </c>
      <c r="T24" s="44">
        <f t="shared" ca="1" si="4"/>
        <v>91574.959181800485</v>
      </c>
      <c r="U24" s="48">
        <f t="shared" ca="1" si="5"/>
        <v>2.2952677407275129E-3</v>
      </c>
    </row>
    <row r="25" spans="1:21" x14ac:dyDescent="0.2">
      <c r="A25" s="45">
        <f>'Monthly Data'!A25</f>
        <v>40878</v>
      </c>
      <c r="B25" s="29">
        <f t="shared" si="2"/>
        <v>2011</v>
      </c>
      <c r="C25" s="29">
        <f t="shared" si="3"/>
        <v>12</v>
      </c>
      <c r="D25" s="44">
        <f>'Monthly Data'!E25</f>
        <v>43807291.476147316</v>
      </c>
      <c r="E25" s="46">
        <f t="shared" ref="E25:F25" ca="1" si="17">E13</f>
        <v>351.65000000000003</v>
      </c>
      <c r="F25" s="46">
        <f t="shared" ca="1" si="17"/>
        <v>0</v>
      </c>
      <c r="G25" s="29">
        <f>'Monthly Data'!BG25</f>
        <v>24</v>
      </c>
      <c r="H25" s="29">
        <f>'Monthly Data'!W25</f>
        <v>6667.5</v>
      </c>
      <c r="I25" s="29">
        <f>'Monthly Data'!BF25</f>
        <v>0</v>
      </c>
      <c r="K25" s="29">
        <f>'Res PW'!$B$6</f>
        <v>-4.4351669087570498</v>
      </c>
      <c r="L25" s="29">
        <f ca="1">E25*'Res PW'!$B$7</f>
        <v>2.7811774502195097</v>
      </c>
      <c r="M25" s="29">
        <f ca="1">F25*'Res PW'!$B$8</f>
        <v>0</v>
      </c>
      <c r="N25" s="29">
        <f>G25*'Res PW'!$B$9</f>
        <v>-1.0690315896306359</v>
      </c>
      <c r="O25" s="163">
        <f>H25*'Res PW'!$B$10</f>
        <v>27.701404275108377</v>
      </c>
      <c r="P25" s="29">
        <f>I25*'Res PW'!$B$11</f>
        <v>0</v>
      </c>
      <c r="Q25" s="44">
        <f>'Monthly Data'!F25</f>
        <v>58745</v>
      </c>
      <c r="R25" s="46">
        <f>'Monthly Data'!BH25</f>
        <v>31</v>
      </c>
      <c r="S25" s="44">
        <f t="shared" ca="1" si="6"/>
        <v>45488008.802664667</v>
      </c>
      <c r="T25" s="44">
        <f t="shared" ca="1" si="4"/>
        <v>1680717.326517351</v>
      </c>
      <c r="U25" s="48">
        <f t="shared" ca="1" si="5"/>
        <v>3.8366154808554799E-2</v>
      </c>
    </row>
    <row r="26" spans="1:21" x14ac:dyDescent="0.2">
      <c r="A26" s="45">
        <f>'Monthly Data'!A26</f>
        <v>40909</v>
      </c>
      <c r="B26" s="29">
        <f t="shared" si="2"/>
        <v>2012</v>
      </c>
      <c r="C26" s="29">
        <f t="shared" si="3"/>
        <v>1</v>
      </c>
      <c r="D26" s="44">
        <f>'Monthly Data'!E26</f>
        <v>47070680.897265725</v>
      </c>
      <c r="E26" s="46">
        <f t="shared" ref="E26:F26" ca="1" si="18">E14</f>
        <v>477.14</v>
      </c>
      <c r="F26" s="46">
        <f t="shared" ca="1" si="18"/>
        <v>0</v>
      </c>
      <c r="G26" s="29">
        <f>'Monthly Data'!BG26</f>
        <v>25</v>
      </c>
      <c r="H26" s="29">
        <f>'Monthly Data'!W26</f>
        <v>6673.6</v>
      </c>
      <c r="I26" s="29">
        <f>'Monthly Data'!BF26</f>
        <v>0</v>
      </c>
      <c r="K26" s="29">
        <f>'Res PW'!$B$6</f>
        <v>-4.4351669087570498</v>
      </c>
      <c r="L26" s="29">
        <f ca="1">E26*'Res PW'!$B$7</f>
        <v>3.7736698666223143</v>
      </c>
      <c r="M26" s="29">
        <f ca="1">F26*'Res PW'!$B$8</f>
        <v>0</v>
      </c>
      <c r="N26" s="29">
        <f>G26*'Res PW'!$B$9</f>
        <v>-1.1135745725319124</v>
      </c>
      <c r="O26" s="163">
        <f>H26*'Res PW'!$B$10</f>
        <v>27.726747892067984</v>
      </c>
      <c r="P26" s="29">
        <f>I26*'Res PW'!$B$11</f>
        <v>0</v>
      </c>
      <c r="Q26" s="44">
        <f>'Monthly Data'!F26</f>
        <v>58846</v>
      </c>
      <c r="R26" s="46">
        <f>'Monthly Data'!BH26</f>
        <v>31</v>
      </c>
      <c r="S26" s="44">
        <f t="shared" ca="1" si="6"/>
        <v>47341722.608818732</v>
      </c>
      <c r="T26" s="44">
        <f t="shared" ca="1" si="4"/>
        <v>271041.71155300736</v>
      </c>
      <c r="U26" s="48">
        <f t="shared" ca="1" si="5"/>
        <v>5.7581854858775117E-3</v>
      </c>
    </row>
    <row r="27" spans="1:21" x14ac:dyDescent="0.2">
      <c r="A27" s="45">
        <f>'Monthly Data'!A27</f>
        <v>40940</v>
      </c>
      <c r="B27" s="29">
        <f t="shared" si="2"/>
        <v>2012</v>
      </c>
      <c r="C27" s="29">
        <f t="shared" si="3"/>
        <v>2</v>
      </c>
      <c r="D27" s="44">
        <f>'Monthly Data'!E27</f>
        <v>40386842.897265725</v>
      </c>
      <c r="E27" s="46">
        <f t="shared" ref="E27:F27" ca="1" si="19">E15</f>
        <v>417.05</v>
      </c>
      <c r="F27" s="46">
        <f t="shared" ca="1" si="19"/>
        <v>0</v>
      </c>
      <c r="G27" s="29">
        <f>'Monthly Data'!BG27</f>
        <v>26</v>
      </c>
      <c r="H27" s="29">
        <f>'Monthly Data'!W27</f>
        <v>6670.7</v>
      </c>
      <c r="I27" s="29">
        <f>'Monthly Data'!BF27</f>
        <v>0</v>
      </c>
      <c r="K27" s="29">
        <f>'Res PW'!$B$6</f>
        <v>-4.4351669087570498</v>
      </c>
      <c r="L27" s="29">
        <f ca="1">E27*'Res PW'!$B$7</f>
        <v>3.2984218842998621</v>
      </c>
      <c r="M27" s="29">
        <f ca="1">F27*'Res PW'!$B$8</f>
        <v>0</v>
      </c>
      <c r="N27" s="29">
        <f>G27*'Res PW'!$B$9</f>
        <v>-1.1581175554331891</v>
      </c>
      <c r="O27" s="163">
        <f>H27*'Res PW'!$B$10</f>
        <v>27.714699287283906</v>
      </c>
      <c r="P27" s="29">
        <f>I27*'Res PW'!$B$11</f>
        <v>0</v>
      </c>
      <c r="Q27" s="44">
        <f>'Monthly Data'!F27</f>
        <v>58886</v>
      </c>
      <c r="R27" s="46">
        <f>'Monthly Data'!BH27</f>
        <v>29</v>
      </c>
      <c r="S27" s="44">
        <f t="shared" ca="1" si="6"/>
        <v>43409302.626195684</v>
      </c>
      <c r="T27" s="44">
        <f t="shared" ca="1" si="4"/>
        <v>3022459.7289299592</v>
      </c>
      <c r="U27" s="48">
        <f t="shared" ca="1" si="5"/>
        <v>7.4837732095533183E-2</v>
      </c>
    </row>
    <row r="28" spans="1:21" x14ac:dyDescent="0.2">
      <c r="A28" s="45">
        <f>'Monthly Data'!A28</f>
        <v>40969</v>
      </c>
      <c r="B28" s="29">
        <f t="shared" si="2"/>
        <v>2012</v>
      </c>
      <c r="C28" s="29">
        <f t="shared" si="3"/>
        <v>3</v>
      </c>
      <c r="D28" s="44">
        <f>'Monthly Data'!E28</f>
        <v>39034538.897265725</v>
      </c>
      <c r="E28" s="46">
        <f t="shared" ref="E28:F28" ca="1" si="20">E16</f>
        <v>332.70999999999992</v>
      </c>
      <c r="F28" s="46">
        <f t="shared" ca="1" si="20"/>
        <v>3.0000000000000072E-2</v>
      </c>
      <c r="G28" s="29">
        <f>'Monthly Data'!BG28</f>
        <v>27</v>
      </c>
      <c r="H28" s="29">
        <f>'Monthly Data'!W28</f>
        <v>6674</v>
      </c>
      <c r="I28" s="29">
        <f>'Monthly Data'!BF28</f>
        <v>1</v>
      </c>
      <c r="K28" s="29">
        <f>'Res PW'!$B$6</f>
        <v>-4.4351669087570498</v>
      </c>
      <c r="L28" s="29">
        <f ca="1">E28*'Res PW'!$B$7</f>
        <v>2.6313821966800308</v>
      </c>
      <c r="M28" s="29">
        <f ca="1">F28*'Res PW'!$B$8</f>
        <v>1.1622930104603637E-3</v>
      </c>
      <c r="N28" s="29">
        <f>G28*'Res PW'!$B$9</f>
        <v>-1.2026605383344655</v>
      </c>
      <c r="O28" s="163">
        <f>H28*'Res PW'!$B$10</f>
        <v>27.728409768589923</v>
      </c>
      <c r="P28" s="29">
        <f>I28*'Res PW'!$B$11</f>
        <v>-1.18560218277844</v>
      </c>
      <c r="Q28" s="44">
        <f>'Monthly Data'!F28</f>
        <v>58950</v>
      </c>
      <c r="R28" s="46">
        <f>'Monthly Data'!BH28</f>
        <v>31</v>
      </c>
      <c r="S28" s="44">
        <f t="shared" ca="1" si="6"/>
        <v>43013649.382188693</v>
      </c>
      <c r="T28" s="44">
        <f t="shared" ca="1" si="4"/>
        <v>3979110.4849229679</v>
      </c>
      <c r="U28" s="48">
        <f t="shared" ca="1" si="5"/>
        <v>0.10193819620607059</v>
      </c>
    </row>
    <row r="29" spans="1:21" x14ac:dyDescent="0.2">
      <c r="A29" s="45">
        <f>'Monthly Data'!A29</f>
        <v>41000</v>
      </c>
      <c r="B29" s="29">
        <f t="shared" si="2"/>
        <v>2012</v>
      </c>
      <c r="C29" s="29">
        <f t="shared" si="3"/>
        <v>4</v>
      </c>
      <c r="D29" s="44">
        <f>'Monthly Data'!E29</f>
        <v>37958885.897265725</v>
      </c>
      <c r="E29" s="46">
        <f t="shared" ref="E29:F29" ca="1" si="21">E17</f>
        <v>164.53999999999996</v>
      </c>
      <c r="F29" s="46">
        <f t="shared" ca="1" si="21"/>
        <v>1.45</v>
      </c>
      <c r="G29" s="29">
        <f>'Monthly Data'!BG29</f>
        <v>28</v>
      </c>
      <c r="H29" s="29">
        <f>'Monthly Data'!W29</f>
        <v>6685.8</v>
      </c>
      <c r="I29" s="29">
        <f>'Monthly Data'!BF29</f>
        <v>1</v>
      </c>
      <c r="K29" s="29">
        <f>'Res PW'!$B$6</f>
        <v>-4.4351669087570498</v>
      </c>
      <c r="L29" s="29">
        <f ca="1">E29*'Res PW'!$B$7</f>
        <v>1.3013363789538406</v>
      </c>
      <c r="M29" s="29">
        <f ca="1">F29*'Res PW'!$B$8</f>
        <v>5.617749550558411E-2</v>
      </c>
      <c r="N29" s="29">
        <f>G29*'Res PW'!$B$9</f>
        <v>-1.247203521235742</v>
      </c>
      <c r="O29" s="163">
        <f>H29*'Res PW'!$B$10</f>
        <v>27.777435125987189</v>
      </c>
      <c r="P29" s="29">
        <f>I29*'Res PW'!$B$11</f>
        <v>-1.18560218277844</v>
      </c>
      <c r="Q29" s="44">
        <f>'Monthly Data'!F29</f>
        <v>59035</v>
      </c>
      <c r="R29" s="46">
        <f>'Monthly Data'!BH29</f>
        <v>30</v>
      </c>
      <c r="S29" s="44">
        <f t="shared" ca="1" si="6"/>
        <v>39435928.531392485</v>
      </c>
      <c r="T29" s="44">
        <f t="shared" ca="1" si="4"/>
        <v>1477042.6341267601</v>
      </c>
      <c r="U29" s="48">
        <f t="shared" ca="1" si="5"/>
        <v>3.8911643458775888E-2</v>
      </c>
    </row>
    <row r="30" spans="1:21" x14ac:dyDescent="0.2">
      <c r="A30" s="45">
        <f>'Monthly Data'!A30</f>
        <v>41030</v>
      </c>
      <c r="B30" s="29">
        <f t="shared" si="2"/>
        <v>2012</v>
      </c>
      <c r="C30" s="29">
        <f t="shared" si="3"/>
        <v>5</v>
      </c>
      <c r="D30" s="44">
        <f>'Monthly Data'!E30</f>
        <v>43107352.897265725</v>
      </c>
      <c r="E30" s="46">
        <f t="shared" ref="E30:F30" ca="1" si="22">E18</f>
        <v>35.92</v>
      </c>
      <c r="F30" s="46">
        <f t="shared" ca="1" si="22"/>
        <v>50.69</v>
      </c>
      <c r="G30" s="29">
        <f>'Monthly Data'!BG30</f>
        <v>29</v>
      </c>
      <c r="H30" s="29">
        <f>'Monthly Data'!W30</f>
        <v>6690.1</v>
      </c>
      <c r="I30" s="29">
        <f>'Monthly Data'!BF30</f>
        <v>1</v>
      </c>
      <c r="K30" s="29">
        <f>'Res PW'!$B$6</f>
        <v>-4.4351669087570498</v>
      </c>
      <c r="L30" s="29">
        <f ca="1">E30*'Res PW'!$B$7</f>
        <v>0.28408899192914772</v>
      </c>
      <c r="M30" s="29">
        <f ca="1">F30*'Res PW'!$B$8</f>
        <v>1.9638877566745232</v>
      </c>
      <c r="N30" s="29">
        <f>G30*'Res PW'!$B$9</f>
        <v>-1.2917465041370184</v>
      </c>
      <c r="O30" s="163">
        <f>H30*'Res PW'!$B$10</f>
        <v>27.795300298598061</v>
      </c>
      <c r="P30" s="29">
        <f>I30*'Res PW'!$B$11</f>
        <v>-1.18560218277844</v>
      </c>
      <c r="Q30" s="44">
        <f>'Monthly Data'!F30</f>
        <v>59072</v>
      </c>
      <c r="R30" s="46">
        <f>'Monthly Data'!BH30</f>
        <v>31</v>
      </c>
      <c r="S30" s="44">
        <f t="shared" ca="1" si="6"/>
        <v>42357790.554406762</v>
      </c>
      <c r="T30" s="44">
        <f t="shared" ca="1" si="4"/>
        <v>-749562.34285896271</v>
      </c>
      <c r="U30" s="48">
        <f t="shared" ca="1" si="5"/>
        <v>1.7388271199239122E-2</v>
      </c>
    </row>
    <row r="31" spans="1:21" x14ac:dyDescent="0.2">
      <c r="A31" s="45">
        <f>'Monthly Data'!A31</f>
        <v>41061</v>
      </c>
      <c r="B31" s="29">
        <f t="shared" si="2"/>
        <v>2012</v>
      </c>
      <c r="C31" s="29">
        <f t="shared" si="3"/>
        <v>6</v>
      </c>
      <c r="D31" s="44">
        <f>'Monthly Data'!E31</f>
        <v>53239807.897265725</v>
      </c>
      <c r="E31" s="46">
        <f t="shared" ref="E31:F31" ca="1" si="23">E19</f>
        <v>0.37999999999999989</v>
      </c>
      <c r="F31" s="46">
        <f t="shared" ca="1" si="23"/>
        <v>145.17999999999998</v>
      </c>
      <c r="G31" s="29">
        <f>'Monthly Data'!BG31</f>
        <v>30</v>
      </c>
      <c r="H31" s="29">
        <f>'Monthly Data'!W31</f>
        <v>6693.3</v>
      </c>
      <c r="I31" s="29">
        <f>'Monthly Data'!BF31</f>
        <v>0</v>
      </c>
      <c r="K31" s="29">
        <f>'Res PW'!$B$6</f>
        <v>-4.4351669087570498</v>
      </c>
      <c r="L31" s="29">
        <f ca="1">E31*'Res PW'!$B$7</f>
        <v>3.0053957943506709E-3</v>
      </c>
      <c r="M31" s="29">
        <f ca="1">F31*'Res PW'!$B$8</f>
        <v>5.6247233086211725</v>
      </c>
      <c r="N31" s="29">
        <f>G31*'Res PW'!$B$9</f>
        <v>-1.3362894870382951</v>
      </c>
      <c r="O31" s="163">
        <f>H31*'Res PW'!$B$10</f>
        <v>27.80859531077359</v>
      </c>
      <c r="P31" s="29">
        <f>I31*'Res PW'!$B$11</f>
        <v>0</v>
      </c>
      <c r="Q31" s="44">
        <f>'Monthly Data'!F31</f>
        <v>59132</v>
      </c>
      <c r="R31" s="46">
        <f>'Monthly Data'!BH31</f>
        <v>30</v>
      </c>
      <c r="S31" s="44">
        <f t="shared" ca="1" si="6"/>
        <v>49076368.56209977</v>
      </c>
      <c r="T31" s="44">
        <f t="shared" ca="1" si="4"/>
        <v>-4163439.3351659551</v>
      </c>
      <c r="U31" s="48">
        <f t="shared" ca="1" si="5"/>
        <v>7.8201622049424782E-2</v>
      </c>
    </row>
    <row r="32" spans="1:21" x14ac:dyDescent="0.2">
      <c r="A32" s="45">
        <f>'Monthly Data'!A32</f>
        <v>41091</v>
      </c>
      <c r="B32" s="29">
        <f t="shared" si="2"/>
        <v>2012</v>
      </c>
      <c r="C32" s="29">
        <f t="shared" si="3"/>
        <v>7</v>
      </c>
      <c r="D32" s="44">
        <f>'Monthly Data'!E32</f>
        <v>63475935.897265725</v>
      </c>
      <c r="E32" s="46">
        <f t="shared" ref="E32:F32" ca="1" si="24">E20</f>
        <v>0</v>
      </c>
      <c r="F32" s="46">
        <f t="shared" ca="1" si="24"/>
        <v>268.18999999999994</v>
      </c>
      <c r="G32" s="29">
        <f>'Monthly Data'!BG32</f>
        <v>31</v>
      </c>
      <c r="H32" s="29">
        <f>'Monthly Data'!W32</f>
        <v>6694.6</v>
      </c>
      <c r="I32" s="29">
        <f>'Monthly Data'!BF32</f>
        <v>0</v>
      </c>
      <c r="K32" s="29">
        <f>'Res PW'!$B$6</f>
        <v>-4.4351669087570498</v>
      </c>
      <c r="L32" s="29">
        <f ca="1">E32*'Res PW'!$B$7</f>
        <v>0</v>
      </c>
      <c r="M32" s="29">
        <f ca="1">F32*'Res PW'!$B$8</f>
        <v>10.390512082512139</v>
      </c>
      <c r="N32" s="29">
        <f>G32*'Res PW'!$B$9</f>
        <v>-1.3808324699395715</v>
      </c>
      <c r="O32" s="163">
        <f>H32*'Res PW'!$B$10</f>
        <v>27.813996409469897</v>
      </c>
      <c r="P32" s="29">
        <f>I32*'Res PW'!$B$11</f>
        <v>0</v>
      </c>
      <c r="Q32" s="44">
        <f>'Monthly Data'!F32</f>
        <v>59180</v>
      </c>
      <c r="R32" s="46">
        <f>'Monthly Data'!BH32</f>
        <v>31</v>
      </c>
      <c r="S32" s="44">
        <f t="shared" ca="1" si="6"/>
        <v>59419311.049051158</v>
      </c>
      <c r="T32" s="44">
        <f t="shared" ca="1" si="4"/>
        <v>-4056624.8482145667</v>
      </c>
      <c r="U32" s="48">
        <f t="shared" ca="1" si="5"/>
        <v>6.3908074625006181E-2</v>
      </c>
    </row>
    <row r="33" spans="1:21" x14ac:dyDescent="0.2">
      <c r="A33" s="45">
        <f>'Monthly Data'!A33</f>
        <v>41122</v>
      </c>
      <c r="B33" s="29">
        <f t="shared" si="2"/>
        <v>2012</v>
      </c>
      <c r="C33" s="29">
        <f t="shared" si="3"/>
        <v>8</v>
      </c>
      <c r="D33" s="44">
        <f>'Monthly Data'!E33</f>
        <v>57530370.897265725</v>
      </c>
      <c r="E33" s="46">
        <f t="shared" ref="E33:F33" ca="1" si="25">E21</f>
        <v>0</v>
      </c>
      <c r="F33" s="46">
        <f t="shared" ca="1" si="25"/>
        <v>239.59000000000006</v>
      </c>
      <c r="G33" s="29">
        <f>'Monthly Data'!BG33</f>
        <v>32</v>
      </c>
      <c r="H33" s="29">
        <f>'Monthly Data'!W33</f>
        <v>6703.3</v>
      </c>
      <c r="I33" s="29">
        <f>'Monthly Data'!BF33</f>
        <v>0</v>
      </c>
      <c r="K33" s="29">
        <f>'Res PW'!$B$6</f>
        <v>-4.4351669087570498</v>
      </c>
      <c r="L33" s="29">
        <f ca="1">E33*'Res PW'!$B$7</f>
        <v>0</v>
      </c>
      <c r="M33" s="29">
        <f ca="1">F33*'Res PW'!$B$8</f>
        <v>9.2824594125399322</v>
      </c>
      <c r="N33" s="29">
        <f>G33*'Res PW'!$B$9</f>
        <v>-1.425375452840848</v>
      </c>
      <c r="O33" s="163">
        <f>H33*'Res PW'!$B$10</f>
        <v>27.850142223822122</v>
      </c>
      <c r="P33" s="29">
        <f>I33*'Res PW'!$B$11</f>
        <v>0</v>
      </c>
      <c r="Q33" s="44">
        <f>'Monthly Data'!F33</f>
        <v>59175</v>
      </c>
      <c r="R33" s="46">
        <f>'Monthly Data'!BH33</f>
        <v>31</v>
      </c>
      <c r="S33" s="44">
        <f t="shared" ca="1" si="6"/>
        <v>57366247.335109241</v>
      </c>
      <c r="T33" s="44">
        <f t="shared" ca="1" si="4"/>
        <v>-164123.56215648353</v>
      </c>
      <c r="U33" s="48">
        <f t="shared" ca="1" si="5"/>
        <v>2.8528159926096341E-3</v>
      </c>
    </row>
    <row r="34" spans="1:21" x14ac:dyDescent="0.2">
      <c r="A34" s="45">
        <f>'Monthly Data'!A34</f>
        <v>41153</v>
      </c>
      <c r="B34" s="29">
        <f t="shared" si="2"/>
        <v>2012</v>
      </c>
      <c r="C34" s="29">
        <f t="shared" si="3"/>
        <v>9</v>
      </c>
      <c r="D34" s="44">
        <f>'Monthly Data'!E34</f>
        <v>46622905.897265725</v>
      </c>
      <c r="E34" s="46">
        <f t="shared" ref="E34:F34" ca="1" si="26">E22</f>
        <v>0.49000000000000005</v>
      </c>
      <c r="F34" s="46">
        <f t="shared" ca="1" si="26"/>
        <v>132.95000000000002</v>
      </c>
      <c r="G34" s="29">
        <f>'Monthly Data'!BG34</f>
        <v>33</v>
      </c>
      <c r="H34" s="29">
        <f>'Monthly Data'!W34</f>
        <v>6707.4</v>
      </c>
      <c r="I34" s="29">
        <f>'Monthly Data'!BF34</f>
        <v>1</v>
      </c>
      <c r="K34" s="29">
        <f>'Res PW'!$B$6</f>
        <v>-4.4351669087570498</v>
      </c>
      <c r="L34" s="29">
        <f ca="1">E34*'Res PW'!$B$7</f>
        <v>3.8753787874521821E-3</v>
      </c>
      <c r="M34" s="29">
        <f ca="1">F34*'Res PW'!$B$8</f>
        <v>5.1508951913568337</v>
      </c>
      <c r="N34" s="29">
        <f>G34*'Res PW'!$B$9</f>
        <v>-1.4699184357421244</v>
      </c>
      <c r="O34" s="163">
        <f>H34*'Res PW'!$B$10</f>
        <v>27.867176458172018</v>
      </c>
      <c r="P34" s="29">
        <f>I34*'Res PW'!$B$11</f>
        <v>-1.18560218277844</v>
      </c>
      <c r="Q34" s="44">
        <f>'Monthly Data'!F34</f>
        <v>59185</v>
      </c>
      <c r="R34" s="46">
        <f>'Monthly Data'!BH34</f>
        <v>30</v>
      </c>
      <c r="S34" s="44">
        <f t="shared" ca="1" si="6"/>
        <v>46042247.807069249</v>
      </c>
      <c r="T34" s="44">
        <f t="shared" ca="1" si="4"/>
        <v>-580658.09019647539</v>
      </c>
      <c r="U34" s="48">
        <f t="shared" ca="1" si="5"/>
        <v>1.2454352190658477E-2</v>
      </c>
    </row>
    <row r="35" spans="1:21" x14ac:dyDescent="0.2">
      <c r="A35" s="45">
        <f>'Monthly Data'!A35</f>
        <v>41183</v>
      </c>
      <c r="B35" s="29">
        <f t="shared" si="2"/>
        <v>2012</v>
      </c>
      <c r="C35" s="29">
        <f t="shared" si="3"/>
        <v>10</v>
      </c>
      <c r="D35" s="44">
        <f>'Monthly Data'!E35</f>
        <v>41986598.897265725</v>
      </c>
      <c r="E35" s="46">
        <f t="shared" ref="E35:F35" ca="1" si="27">E23</f>
        <v>53.33000000000002</v>
      </c>
      <c r="F35" s="46">
        <f t="shared" ca="1" si="27"/>
        <v>27.9</v>
      </c>
      <c r="G35" s="29">
        <f>'Monthly Data'!BG35</f>
        <v>34</v>
      </c>
      <c r="H35" s="29">
        <f>'Monthly Data'!W35</f>
        <v>6710</v>
      </c>
      <c r="I35" s="29">
        <f>'Monthly Data'!BF35</f>
        <v>1</v>
      </c>
      <c r="K35" s="29">
        <f>'Res PW'!$B$6</f>
        <v>-4.4351669087570498</v>
      </c>
      <c r="L35" s="29">
        <f ca="1">E35*'Res PW'!$B$7</f>
        <v>0.42178357292821411</v>
      </c>
      <c r="M35" s="29">
        <f ca="1">F35*'Res PW'!$B$8</f>
        <v>1.0809324997281358</v>
      </c>
      <c r="N35" s="29">
        <f>G35*'Res PW'!$B$9</f>
        <v>-1.5144614186434009</v>
      </c>
      <c r="O35" s="163">
        <f>H35*'Res PW'!$B$10</f>
        <v>27.877978655564636</v>
      </c>
      <c r="P35" s="29">
        <f>I35*'Res PW'!$B$11</f>
        <v>-1.18560218277844</v>
      </c>
      <c r="Q35" s="44">
        <f>'Monthly Data'!F35</f>
        <v>59026</v>
      </c>
      <c r="R35" s="46">
        <f>'Monthly Data'!BH35</f>
        <v>31</v>
      </c>
      <c r="S35" s="44">
        <f t="shared" ca="1" si="6"/>
        <v>40704883.898958735</v>
      </c>
      <c r="T35" s="44">
        <f t="shared" ca="1" si="4"/>
        <v>-1281714.9983069897</v>
      </c>
      <c r="U35" s="48">
        <f t="shared" ca="1" si="5"/>
        <v>3.0526764062103116E-2</v>
      </c>
    </row>
    <row r="36" spans="1:21" x14ac:dyDescent="0.2">
      <c r="A36" s="45">
        <f>'Monthly Data'!A36</f>
        <v>41214</v>
      </c>
      <c r="B36" s="29">
        <f t="shared" si="2"/>
        <v>2012</v>
      </c>
      <c r="C36" s="29">
        <f t="shared" si="3"/>
        <v>11</v>
      </c>
      <c r="D36" s="44">
        <f>'Monthly Data'!E36</f>
        <v>39489997.897265725</v>
      </c>
      <c r="E36" s="46">
        <f t="shared" ref="E36:F36" ca="1" si="28">E24</f>
        <v>207.66000000000003</v>
      </c>
      <c r="F36" s="46">
        <f t="shared" ca="1" si="28"/>
        <v>0.69000000000000006</v>
      </c>
      <c r="G36" s="29">
        <f>'Monthly Data'!BG36</f>
        <v>35</v>
      </c>
      <c r="H36" s="29">
        <f>'Monthly Data'!W36</f>
        <v>6722.4</v>
      </c>
      <c r="I36" s="29">
        <f>'Monthly Data'!BF36</f>
        <v>1</v>
      </c>
      <c r="K36" s="29">
        <f>'Res PW'!$B$6</f>
        <v>-4.4351669087570498</v>
      </c>
      <c r="L36" s="29">
        <f ca="1">E36*'Res PW'!$B$7</f>
        <v>1.642369712249633</v>
      </c>
      <c r="M36" s="29">
        <f ca="1">F36*'Res PW'!$B$8</f>
        <v>2.6732739240588305E-2</v>
      </c>
      <c r="N36" s="29">
        <f>G36*'Res PW'!$B$9</f>
        <v>-1.5590044015446776</v>
      </c>
      <c r="O36" s="163">
        <f>H36*'Res PW'!$B$10</f>
        <v>27.929496827744813</v>
      </c>
      <c r="P36" s="29">
        <f>I36*'Res PW'!$B$11</f>
        <v>-1.18560218277844</v>
      </c>
      <c r="Q36" s="44">
        <f>'Monthly Data'!F36</f>
        <v>59073</v>
      </c>
      <c r="R36" s="46">
        <f>'Monthly Data'!BH36</f>
        <v>30</v>
      </c>
      <c r="S36" s="44">
        <f t="shared" ca="1" si="6"/>
        <v>39730418.869965799</v>
      </c>
      <c r="T36" s="44">
        <f t="shared" ca="1" si="4"/>
        <v>240420.97270007432</v>
      </c>
      <c r="U36" s="48">
        <f t="shared" ca="1" si="5"/>
        <v>6.0881485313201544E-3</v>
      </c>
    </row>
    <row r="37" spans="1:21" x14ac:dyDescent="0.2">
      <c r="A37" s="45">
        <f>'Monthly Data'!A37</f>
        <v>41244</v>
      </c>
      <c r="B37" s="29">
        <f t="shared" si="2"/>
        <v>2012</v>
      </c>
      <c r="C37" s="29">
        <f t="shared" si="3"/>
        <v>12</v>
      </c>
      <c r="D37" s="44">
        <f>'Monthly Data'!E37</f>
        <v>44841090.897265725</v>
      </c>
      <c r="E37" s="46">
        <f t="shared" ref="E37:F37" ca="1" si="29">E25</f>
        <v>351.65000000000003</v>
      </c>
      <c r="F37" s="46">
        <f t="shared" ca="1" si="29"/>
        <v>0</v>
      </c>
      <c r="G37" s="29">
        <f>'Monthly Data'!BG37</f>
        <v>36</v>
      </c>
      <c r="H37" s="29">
        <f>'Monthly Data'!W37</f>
        <v>6740.6</v>
      </c>
      <c r="I37" s="29">
        <f>'Monthly Data'!BF37</f>
        <v>0</v>
      </c>
      <c r="K37" s="29">
        <f>'Res PW'!$B$6</f>
        <v>-4.4351669087570498</v>
      </c>
      <c r="L37" s="29">
        <f ca="1">E37*'Res PW'!$B$7</f>
        <v>2.7811774502195097</v>
      </c>
      <c r="M37" s="29">
        <f ca="1">F37*'Res PW'!$B$8</f>
        <v>0</v>
      </c>
      <c r="N37" s="29">
        <f>G37*'Res PW'!$B$9</f>
        <v>-1.603547384445954</v>
      </c>
      <c r="O37" s="163">
        <f>H37*'Res PW'!$B$10</f>
        <v>28.005112209493145</v>
      </c>
      <c r="P37" s="29">
        <f>I37*'Res PW'!$B$11</f>
        <v>0</v>
      </c>
      <c r="Q37" s="44">
        <f>'Monthly Data'!F37</f>
        <v>59257</v>
      </c>
      <c r="R37" s="46">
        <f>'Monthly Data'!BH37</f>
        <v>31</v>
      </c>
      <c r="S37" s="44">
        <f t="shared" ca="1" si="6"/>
        <v>45460479.278291136</v>
      </c>
      <c r="T37" s="44">
        <f t="shared" ca="1" si="4"/>
        <v>619388.38102541119</v>
      </c>
      <c r="U37" s="48">
        <f t="shared" ca="1" si="5"/>
        <v>1.3812964150325336E-2</v>
      </c>
    </row>
    <row r="38" spans="1:21" x14ac:dyDescent="0.2">
      <c r="A38" s="45">
        <f>'Monthly Data'!A38</f>
        <v>41275</v>
      </c>
      <c r="B38" s="29">
        <f t="shared" si="2"/>
        <v>2013</v>
      </c>
      <c r="C38" s="29">
        <f t="shared" si="3"/>
        <v>1</v>
      </c>
      <c r="D38" s="44">
        <f>'Monthly Data'!E38</f>
        <v>47995321.720884763</v>
      </c>
      <c r="E38" s="46">
        <f t="shared" ref="E38:F38" ca="1" si="30">E26</f>
        <v>477.14</v>
      </c>
      <c r="F38" s="46">
        <f t="shared" ca="1" si="30"/>
        <v>0</v>
      </c>
      <c r="G38" s="29">
        <f>'Monthly Data'!BG38</f>
        <v>37</v>
      </c>
      <c r="H38" s="29">
        <f>'Monthly Data'!W38</f>
        <v>6758.8</v>
      </c>
      <c r="I38" s="29">
        <f>'Monthly Data'!BF38</f>
        <v>0</v>
      </c>
      <c r="K38" s="29">
        <f>'Res PW'!$B$6</f>
        <v>-4.4351669087570498</v>
      </c>
      <c r="L38" s="29">
        <f ca="1">E38*'Res PW'!$B$7</f>
        <v>3.7736698666223143</v>
      </c>
      <c r="M38" s="29">
        <f ca="1">F38*'Res PW'!$B$8</f>
        <v>0</v>
      </c>
      <c r="N38" s="29">
        <f>G38*'Res PW'!$B$9</f>
        <v>-1.6480903673472305</v>
      </c>
      <c r="O38" s="163">
        <f>H38*'Res PW'!$B$10</f>
        <v>28.08072759124147</v>
      </c>
      <c r="P38" s="29">
        <f>I38*'Res PW'!$B$11</f>
        <v>0</v>
      </c>
      <c r="Q38" s="44">
        <f>'Monthly Data'!F38</f>
        <v>59206</v>
      </c>
      <c r="R38" s="46">
        <f>'Monthly Data'!BH38</f>
        <v>31</v>
      </c>
      <c r="S38" s="44">
        <f t="shared" ca="1" si="6"/>
        <v>47299989.893638849</v>
      </c>
      <c r="T38" s="44">
        <f t="shared" ca="1" si="4"/>
        <v>-695331.82724591345</v>
      </c>
      <c r="U38" s="48">
        <f t="shared" ca="1" si="5"/>
        <v>1.4487491745332872E-2</v>
      </c>
    </row>
    <row r="39" spans="1:21" x14ac:dyDescent="0.2">
      <c r="A39" s="45">
        <f>'Monthly Data'!A39</f>
        <v>41306</v>
      </c>
      <c r="B39" s="29">
        <f t="shared" si="2"/>
        <v>2013</v>
      </c>
      <c r="C39" s="29">
        <f t="shared" si="3"/>
        <v>2</v>
      </c>
      <c r="D39" s="44">
        <f>'Monthly Data'!E39</f>
        <v>41164712.720884763</v>
      </c>
      <c r="E39" s="46">
        <f t="shared" ref="E39:F39" ca="1" si="31">E27</f>
        <v>417.05</v>
      </c>
      <c r="F39" s="46">
        <f t="shared" ca="1" si="31"/>
        <v>0</v>
      </c>
      <c r="G39" s="29">
        <f>'Monthly Data'!BG39</f>
        <v>38</v>
      </c>
      <c r="H39" s="29">
        <f>'Monthly Data'!W39</f>
        <v>6775.5</v>
      </c>
      <c r="I39" s="29">
        <f>'Monthly Data'!BF39</f>
        <v>0</v>
      </c>
      <c r="K39" s="29">
        <f>'Res PW'!$B$6</f>
        <v>-4.4351669087570498</v>
      </c>
      <c r="L39" s="29">
        <f ca="1">E39*'Res PW'!$B$7</f>
        <v>3.2984218842998621</v>
      </c>
      <c r="M39" s="29">
        <f ca="1">F39*'Res PW'!$B$8</f>
        <v>0</v>
      </c>
      <c r="N39" s="29">
        <f>G39*'Res PW'!$B$9</f>
        <v>-1.6926333502485069</v>
      </c>
      <c r="O39" s="163">
        <f>H39*'Res PW'!$B$10</f>
        <v>28.150110936032519</v>
      </c>
      <c r="P39" s="29">
        <f>I39*'Res PW'!$B$11</f>
        <v>0</v>
      </c>
      <c r="Q39" s="44">
        <f>'Monthly Data'!F39</f>
        <v>59219</v>
      </c>
      <c r="R39" s="46">
        <f>'Monthly Data'!BH39</f>
        <v>28</v>
      </c>
      <c r="S39" s="44">
        <f t="shared" ca="1" si="6"/>
        <v>41985116.923377968</v>
      </c>
      <c r="T39" s="44">
        <f t="shared" ca="1" si="4"/>
        <v>820404.20249320567</v>
      </c>
      <c r="U39" s="48">
        <f t="shared" ca="1" si="5"/>
        <v>1.9929792977201481E-2</v>
      </c>
    </row>
    <row r="40" spans="1:21" x14ac:dyDescent="0.2">
      <c r="A40" s="45">
        <f>'Monthly Data'!A40</f>
        <v>41334</v>
      </c>
      <c r="B40" s="29">
        <f t="shared" si="2"/>
        <v>2013</v>
      </c>
      <c r="C40" s="29">
        <f t="shared" si="3"/>
        <v>3</v>
      </c>
      <c r="D40" s="44">
        <f>'Monthly Data'!E40</f>
        <v>42435047.720884763</v>
      </c>
      <c r="E40" s="46">
        <f t="shared" ref="E40:F40" ca="1" si="32">E28</f>
        <v>332.70999999999992</v>
      </c>
      <c r="F40" s="46">
        <f t="shared" ca="1" si="32"/>
        <v>3.0000000000000072E-2</v>
      </c>
      <c r="G40" s="29">
        <f>'Monthly Data'!BG40</f>
        <v>39</v>
      </c>
      <c r="H40" s="29">
        <f>'Monthly Data'!W40</f>
        <v>6781.1</v>
      </c>
      <c r="I40" s="29">
        <f>'Monthly Data'!BF40</f>
        <v>1</v>
      </c>
      <c r="K40" s="29">
        <f>'Res PW'!$B$6</f>
        <v>-4.4351669087570498</v>
      </c>
      <c r="L40" s="29">
        <f ca="1">E40*'Res PW'!$B$7</f>
        <v>2.6313821966800308</v>
      </c>
      <c r="M40" s="29">
        <f ca="1">F40*'Res PW'!$B$8</f>
        <v>1.1622930104603637E-3</v>
      </c>
      <c r="N40" s="29">
        <f>G40*'Res PW'!$B$9</f>
        <v>-1.7371763331497836</v>
      </c>
      <c r="O40" s="163">
        <f>H40*'Res PW'!$B$10</f>
        <v>28.173377207339698</v>
      </c>
      <c r="P40" s="29">
        <f>I40*'Res PW'!$B$11</f>
        <v>-1.18560218277844</v>
      </c>
      <c r="Q40" s="44">
        <f>'Monthly Data'!F40</f>
        <v>59221</v>
      </c>
      <c r="R40" s="46">
        <f>'Monthly Data'!BH40</f>
        <v>31</v>
      </c>
      <c r="S40" s="44">
        <f t="shared" ca="1" si="6"/>
        <v>43046990.687560685</v>
      </c>
      <c r="T40" s="44">
        <f t="shared" ca="1" si="4"/>
        <v>611942.96667592227</v>
      </c>
      <c r="U40" s="48">
        <f t="shared" ca="1" si="5"/>
        <v>1.4420697030929682E-2</v>
      </c>
    </row>
    <row r="41" spans="1:21" x14ac:dyDescent="0.2">
      <c r="A41" s="45">
        <f>'Monthly Data'!A41</f>
        <v>41365</v>
      </c>
      <c r="B41" s="29">
        <f t="shared" si="2"/>
        <v>2013</v>
      </c>
      <c r="C41" s="29">
        <f t="shared" si="3"/>
        <v>4</v>
      </c>
      <c r="D41" s="44">
        <f>'Monthly Data'!E41</f>
        <v>38570561.720884763</v>
      </c>
      <c r="E41" s="46">
        <f t="shared" ref="E41:F41" ca="1" si="33">E29</f>
        <v>164.53999999999996</v>
      </c>
      <c r="F41" s="46">
        <f t="shared" ca="1" si="33"/>
        <v>1.45</v>
      </c>
      <c r="G41" s="29">
        <f>'Monthly Data'!BG41</f>
        <v>40</v>
      </c>
      <c r="H41" s="29">
        <f>'Monthly Data'!W41</f>
        <v>6788.9</v>
      </c>
      <c r="I41" s="29">
        <f>'Monthly Data'!BF41</f>
        <v>1</v>
      </c>
      <c r="K41" s="29">
        <f>'Res PW'!$B$6</f>
        <v>-4.4351669087570498</v>
      </c>
      <c r="L41" s="29">
        <f ca="1">E41*'Res PW'!$B$7</f>
        <v>1.3013363789538406</v>
      </c>
      <c r="M41" s="29">
        <f ca="1">F41*'Res PW'!$B$8</f>
        <v>5.617749550558411E-2</v>
      </c>
      <c r="N41" s="29">
        <f>G41*'Res PW'!$B$9</f>
        <v>-1.78171931605106</v>
      </c>
      <c r="O41" s="163">
        <f>H41*'Res PW'!$B$10</f>
        <v>28.205783799517548</v>
      </c>
      <c r="P41" s="29">
        <f>I41*'Res PW'!$B$11</f>
        <v>-1.18560218277844</v>
      </c>
      <c r="Q41" s="44">
        <f>'Monthly Data'!F41</f>
        <v>59208</v>
      </c>
      <c r="R41" s="46">
        <f>'Monthly Data'!BH41</f>
        <v>30</v>
      </c>
      <c r="S41" s="44">
        <f t="shared" ca="1" si="6"/>
        <v>39362915.851333328</v>
      </c>
      <c r="T41" s="44">
        <f t="shared" ca="1" si="4"/>
        <v>792354.13044856489</v>
      </c>
      <c r="U41" s="48">
        <f t="shared" ca="1" si="5"/>
        <v>2.0542976173964552E-2</v>
      </c>
    </row>
    <row r="42" spans="1:21" x14ac:dyDescent="0.2">
      <c r="A42" s="45">
        <f>'Monthly Data'!A42</f>
        <v>41395</v>
      </c>
      <c r="B42" s="29">
        <f t="shared" si="2"/>
        <v>2013</v>
      </c>
      <c r="C42" s="29">
        <f t="shared" si="3"/>
        <v>5</v>
      </c>
      <c r="D42" s="44">
        <f>'Monthly Data'!E42</f>
        <v>41401216.720884763</v>
      </c>
      <c r="E42" s="46">
        <f t="shared" ref="E42:F42" ca="1" si="34">E30</f>
        <v>35.92</v>
      </c>
      <c r="F42" s="46">
        <f t="shared" ca="1" si="34"/>
        <v>50.69</v>
      </c>
      <c r="G42" s="29">
        <f>'Monthly Data'!BG42</f>
        <v>41</v>
      </c>
      <c r="H42" s="29">
        <f>'Monthly Data'!W42</f>
        <v>6801.1</v>
      </c>
      <c r="I42" s="29">
        <f>'Monthly Data'!BF42</f>
        <v>1</v>
      </c>
      <c r="K42" s="29">
        <f>'Res PW'!$B$6</f>
        <v>-4.4351669087570498</v>
      </c>
      <c r="L42" s="29">
        <f ca="1">E42*'Res PW'!$B$7</f>
        <v>0.28408899192914772</v>
      </c>
      <c r="M42" s="29">
        <f ca="1">F42*'Res PW'!$B$8</f>
        <v>1.9638877566745232</v>
      </c>
      <c r="N42" s="29">
        <f>G42*'Res PW'!$B$9</f>
        <v>-1.8262622989523365</v>
      </c>
      <c r="O42" s="163">
        <f>H42*'Res PW'!$B$10</f>
        <v>28.25647103343676</v>
      </c>
      <c r="P42" s="29">
        <f>I42*'Res PW'!$B$11</f>
        <v>-1.18560218277844</v>
      </c>
      <c r="Q42" s="44">
        <f>'Monthly Data'!F42</f>
        <v>59245</v>
      </c>
      <c r="R42" s="46">
        <f>'Monthly Data'!BH42</f>
        <v>31</v>
      </c>
      <c r="S42" s="44">
        <f t="shared" ca="1" si="6"/>
        <v>42347135.657643564</v>
      </c>
      <c r="T42" s="44">
        <f t="shared" ca="1" si="4"/>
        <v>945918.93675880134</v>
      </c>
      <c r="U42" s="48">
        <f t="shared" ca="1" si="5"/>
        <v>2.2847612019132626E-2</v>
      </c>
    </row>
    <row r="43" spans="1:21" x14ac:dyDescent="0.2">
      <c r="A43" s="45">
        <f>'Monthly Data'!A43</f>
        <v>41426</v>
      </c>
      <c r="B43" s="29">
        <f t="shared" si="2"/>
        <v>2013</v>
      </c>
      <c r="C43" s="29">
        <f t="shared" si="3"/>
        <v>6</v>
      </c>
      <c r="D43" s="44">
        <f>'Monthly Data'!E43</f>
        <v>47845491.720884763</v>
      </c>
      <c r="E43" s="46">
        <f t="shared" ref="E43:F43" ca="1" si="35">E31</f>
        <v>0.37999999999999989</v>
      </c>
      <c r="F43" s="46">
        <f t="shared" ca="1" si="35"/>
        <v>145.17999999999998</v>
      </c>
      <c r="G43" s="29">
        <f>'Monthly Data'!BG43</f>
        <v>42</v>
      </c>
      <c r="H43" s="29">
        <f>'Monthly Data'!W43</f>
        <v>6815.2</v>
      </c>
      <c r="I43" s="29">
        <f>'Monthly Data'!BF43</f>
        <v>0</v>
      </c>
      <c r="K43" s="29">
        <f>'Res PW'!$B$6</f>
        <v>-4.4351669087570498</v>
      </c>
      <c r="L43" s="29">
        <f ca="1">E43*'Res PW'!$B$7</f>
        <v>3.0053957943506709E-3</v>
      </c>
      <c r="M43" s="29">
        <f ca="1">F43*'Res PW'!$B$8</f>
        <v>5.6247233086211725</v>
      </c>
      <c r="N43" s="29">
        <f>G43*'Res PW'!$B$9</f>
        <v>-1.8708052818536129</v>
      </c>
      <c r="O43" s="163">
        <f>H43*'Res PW'!$B$10</f>
        <v>28.315052180835188</v>
      </c>
      <c r="P43" s="29">
        <f>I43*'Res PW'!$B$11</f>
        <v>0</v>
      </c>
      <c r="Q43" s="44">
        <f>'Monthly Data'!F43</f>
        <v>59259</v>
      </c>
      <c r="R43" s="46">
        <f>'Monthly Data'!BH43</f>
        <v>30</v>
      </c>
      <c r="S43" s="44">
        <f t="shared" ca="1" si="6"/>
        <v>49131889.393070243</v>
      </c>
      <c r="T43" s="44">
        <f t="shared" ca="1" si="4"/>
        <v>1286397.6721854806</v>
      </c>
      <c r="U43" s="48">
        <f t="shared" ca="1" si="5"/>
        <v>2.6886497053680868E-2</v>
      </c>
    </row>
    <row r="44" spans="1:21" x14ac:dyDescent="0.2">
      <c r="A44" s="45">
        <f>'Monthly Data'!A44</f>
        <v>41456</v>
      </c>
      <c r="B44" s="29">
        <f t="shared" si="2"/>
        <v>2013</v>
      </c>
      <c r="C44" s="29">
        <f t="shared" si="3"/>
        <v>7</v>
      </c>
      <c r="D44" s="44">
        <f>'Monthly Data'!E44</f>
        <v>56314814.720884763</v>
      </c>
      <c r="E44" s="46">
        <f t="shared" ref="E44:F44" ca="1" si="36">E32</f>
        <v>0</v>
      </c>
      <c r="F44" s="46">
        <f t="shared" ca="1" si="36"/>
        <v>268.18999999999994</v>
      </c>
      <c r="G44" s="29">
        <f>'Monthly Data'!BG44</f>
        <v>43</v>
      </c>
      <c r="H44" s="29">
        <f>'Monthly Data'!W44</f>
        <v>6826.2</v>
      </c>
      <c r="I44" s="29">
        <f>'Monthly Data'!BF44</f>
        <v>0</v>
      </c>
      <c r="K44" s="29">
        <f>'Res PW'!$B$6</f>
        <v>-4.4351669087570498</v>
      </c>
      <c r="L44" s="29">
        <f ca="1">E44*'Res PW'!$B$7</f>
        <v>0</v>
      </c>
      <c r="M44" s="29">
        <f ca="1">F44*'Res PW'!$B$8</f>
        <v>10.390512082512139</v>
      </c>
      <c r="N44" s="29">
        <f>G44*'Res PW'!$B$9</f>
        <v>-1.9153482647548894</v>
      </c>
      <c r="O44" s="163">
        <f>H44*'Res PW'!$B$10</f>
        <v>28.360753785188571</v>
      </c>
      <c r="P44" s="29">
        <f>I44*'Res PW'!$B$11</f>
        <v>0</v>
      </c>
      <c r="Q44" s="44">
        <f>'Monthly Data'!F44</f>
        <v>59290</v>
      </c>
      <c r="R44" s="46">
        <f>'Monthly Data'!BH44</f>
        <v>31</v>
      </c>
      <c r="S44" s="44">
        <f t="shared" ca="1" si="6"/>
        <v>59552255.768412024</v>
      </c>
      <c r="T44" s="44">
        <f t="shared" ca="1" si="4"/>
        <v>3237441.0475272611</v>
      </c>
      <c r="U44" s="48">
        <f t="shared" ca="1" si="5"/>
        <v>5.7488265984237223E-2</v>
      </c>
    </row>
    <row r="45" spans="1:21" x14ac:dyDescent="0.2">
      <c r="A45" s="45">
        <f>'Monthly Data'!A45</f>
        <v>41487</v>
      </c>
      <c r="B45" s="29">
        <f t="shared" si="2"/>
        <v>2013</v>
      </c>
      <c r="C45" s="29">
        <f t="shared" si="3"/>
        <v>8</v>
      </c>
      <c r="D45" s="44">
        <f>'Monthly Data'!E45</f>
        <v>53136083.720884763</v>
      </c>
      <c r="E45" s="46">
        <f t="shared" ref="E45:F45" ca="1" si="37">E33</f>
        <v>0</v>
      </c>
      <c r="F45" s="46">
        <f t="shared" ca="1" si="37"/>
        <v>239.59000000000006</v>
      </c>
      <c r="G45" s="29">
        <f>'Monthly Data'!BG45</f>
        <v>44</v>
      </c>
      <c r="H45" s="29">
        <f>'Monthly Data'!W45</f>
        <v>6833.9</v>
      </c>
      <c r="I45" s="29">
        <f>'Monthly Data'!BF45</f>
        <v>0</v>
      </c>
      <c r="K45" s="29">
        <f>'Res PW'!$B$6</f>
        <v>-4.4351669087570498</v>
      </c>
      <c r="L45" s="29">
        <f ca="1">E45*'Res PW'!$B$7</f>
        <v>0</v>
      </c>
      <c r="M45" s="29">
        <f ca="1">F45*'Res PW'!$B$8</f>
        <v>9.2824594125399322</v>
      </c>
      <c r="N45" s="29">
        <f>G45*'Res PW'!$B$9</f>
        <v>-1.9598912476561661</v>
      </c>
      <c r="O45" s="163">
        <f>H45*'Res PW'!$B$10</f>
        <v>28.39274490823594</v>
      </c>
      <c r="P45" s="29">
        <f>I45*'Res PW'!$B$11</f>
        <v>0</v>
      </c>
      <c r="Q45" s="44">
        <f>'Monthly Data'!F45</f>
        <v>59297</v>
      </c>
      <c r="R45" s="46">
        <f>'Monthly Data'!BH45</f>
        <v>31</v>
      </c>
      <c r="S45" s="44">
        <f t="shared" ca="1" si="6"/>
        <v>57499383.640354581</v>
      </c>
      <c r="T45" s="44">
        <f t="shared" ca="1" si="4"/>
        <v>4363299.9194698185</v>
      </c>
      <c r="U45" s="48">
        <f t="shared" ca="1" si="5"/>
        <v>8.211557220493565E-2</v>
      </c>
    </row>
    <row r="46" spans="1:21" x14ac:dyDescent="0.2">
      <c r="A46" s="45">
        <f>'Monthly Data'!A46</f>
        <v>41518</v>
      </c>
      <c r="B46" s="29">
        <f t="shared" si="2"/>
        <v>2013</v>
      </c>
      <c r="C46" s="29">
        <f t="shared" si="3"/>
        <v>9</v>
      </c>
      <c r="D46" s="44">
        <f>'Monthly Data'!E46</f>
        <v>45426909.720884763</v>
      </c>
      <c r="E46" s="46">
        <f t="shared" ref="E46:F46" ca="1" si="38">E34</f>
        <v>0.49000000000000005</v>
      </c>
      <c r="F46" s="46">
        <f t="shared" ca="1" si="38"/>
        <v>132.95000000000002</v>
      </c>
      <c r="G46" s="29">
        <f>'Monthly Data'!BG46</f>
        <v>45</v>
      </c>
      <c r="H46" s="29">
        <f>'Monthly Data'!W46</f>
        <v>6843.3</v>
      </c>
      <c r="I46" s="29">
        <f>'Monthly Data'!BF46</f>
        <v>1</v>
      </c>
      <c r="K46" s="29">
        <f>'Res PW'!$B$6</f>
        <v>-4.4351669087570498</v>
      </c>
      <c r="L46" s="29">
        <f ca="1">E46*'Res PW'!$B$7</f>
        <v>3.8753787874521821E-3</v>
      </c>
      <c r="M46" s="29">
        <f ca="1">F46*'Res PW'!$B$8</f>
        <v>5.1508951913568337</v>
      </c>
      <c r="N46" s="29">
        <f>G46*'Res PW'!$B$9</f>
        <v>-2.0044342305574423</v>
      </c>
      <c r="O46" s="163">
        <f>H46*'Res PW'!$B$10</f>
        <v>28.431799006501564</v>
      </c>
      <c r="P46" s="29">
        <f>I46*'Res PW'!$B$11</f>
        <v>-1.18560218277844</v>
      </c>
      <c r="Q46" s="44">
        <f>'Monthly Data'!F46</f>
        <v>59374</v>
      </c>
      <c r="R46" s="46">
        <f>'Monthly Data'!BH46</f>
        <v>30</v>
      </c>
      <c r="S46" s="44">
        <f t="shared" ca="1" si="6"/>
        <v>46242904.799934752</v>
      </c>
      <c r="T46" s="44">
        <f t="shared" ca="1" si="4"/>
        <v>815995.07904998958</v>
      </c>
      <c r="U46" s="48">
        <f t="shared" ca="1" si="5"/>
        <v>1.7962812880376065E-2</v>
      </c>
    </row>
    <row r="47" spans="1:21" x14ac:dyDescent="0.2">
      <c r="A47" s="45">
        <f>'Monthly Data'!A47</f>
        <v>41548</v>
      </c>
      <c r="B47" s="29">
        <f t="shared" si="2"/>
        <v>2013</v>
      </c>
      <c r="C47" s="29">
        <f t="shared" si="3"/>
        <v>10</v>
      </c>
      <c r="D47" s="44">
        <f>'Monthly Data'!E47</f>
        <v>42344925.720884763</v>
      </c>
      <c r="E47" s="46">
        <f t="shared" ref="E47:F47" ca="1" si="39">E35</f>
        <v>53.33000000000002</v>
      </c>
      <c r="F47" s="46">
        <f t="shared" ca="1" si="39"/>
        <v>27.9</v>
      </c>
      <c r="G47" s="29">
        <f>'Monthly Data'!BG47</f>
        <v>46</v>
      </c>
      <c r="H47" s="29">
        <f>'Monthly Data'!W47</f>
        <v>6850.3</v>
      </c>
      <c r="I47" s="29">
        <f>'Monthly Data'!BF47</f>
        <v>1</v>
      </c>
      <c r="K47" s="29">
        <f>'Res PW'!$B$6</f>
        <v>-4.4351669087570498</v>
      </c>
      <c r="L47" s="29">
        <f ca="1">E47*'Res PW'!$B$7</f>
        <v>0.42178357292821411</v>
      </c>
      <c r="M47" s="29">
        <f ca="1">F47*'Res PW'!$B$8</f>
        <v>1.0809324997281358</v>
      </c>
      <c r="N47" s="29">
        <f>G47*'Res PW'!$B$9</f>
        <v>-2.048977213458719</v>
      </c>
      <c r="O47" s="163">
        <f>H47*'Res PW'!$B$10</f>
        <v>28.460881845635534</v>
      </c>
      <c r="P47" s="29">
        <f>I47*'Res PW'!$B$11</f>
        <v>-1.18560218277844</v>
      </c>
      <c r="Q47" s="44">
        <f>'Monthly Data'!F47</f>
        <v>59424</v>
      </c>
      <c r="R47" s="46">
        <f>'Monthly Data'!BH47</f>
        <v>31</v>
      </c>
      <c r="S47" s="44">
        <f t="shared" ca="1" si="6"/>
        <v>41068484.986326635</v>
      </c>
      <c r="T47" s="44">
        <f t="shared" ca="1" si="4"/>
        <v>-1276440.7345581278</v>
      </c>
      <c r="U47" s="48">
        <f t="shared" ca="1" si="5"/>
        <v>3.0143888856288156E-2</v>
      </c>
    </row>
    <row r="48" spans="1:21" x14ac:dyDescent="0.2">
      <c r="A48" s="45">
        <f>'Monthly Data'!A48</f>
        <v>41579</v>
      </c>
      <c r="B48" s="29">
        <f t="shared" si="2"/>
        <v>2013</v>
      </c>
      <c r="C48" s="29">
        <f t="shared" si="3"/>
        <v>11</v>
      </c>
      <c r="D48" s="44">
        <f>'Monthly Data'!E48</f>
        <v>41292979.720884763</v>
      </c>
      <c r="E48" s="46">
        <f t="shared" ref="E48:F48" ca="1" si="40">E36</f>
        <v>207.66000000000003</v>
      </c>
      <c r="F48" s="46">
        <f t="shared" ca="1" si="40"/>
        <v>0.69000000000000006</v>
      </c>
      <c r="G48" s="29">
        <f>'Monthly Data'!BG48</f>
        <v>47</v>
      </c>
      <c r="H48" s="29">
        <f>'Monthly Data'!W48</f>
        <v>6854</v>
      </c>
      <c r="I48" s="29">
        <f>'Monthly Data'!BF48</f>
        <v>1</v>
      </c>
      <c r="K48" s="29">
        <f>'Res PW'!$B$6</f>
        <v>-4.4351669087570498</v>
      </c>
      <c r="L48" s="29">
        <f ca="1">E48*'Res PW'!$B$7</f>
        <v>1.642369712249633</v>
      </c>
      <c r="M48" s="29">
        <f ca="1">F48*'Res PW'!$B$8</f>
        <v>2.6732739240588305E-2</v>
      </c>
      <c r="N48" s="29">
        <f>G48*'Res PW'!$B$9</f>
        <v>-2.0935201963599956</v>
      </c>
      <c r="O48" s="163">
        <f>H48*'Res PW'!$B$10</f>
        <v>28.47625420346349</v>
      </c>
      <c r="P48" s="29">
        <f>I48*'Res PW'!$B$11</f>
        <v>-1.18560218277844</v>
      </c>
      <c r="Q48" s="44">
        <f>'Monthly Data'!F48</f>
        <v>59441</v>
      </c>
      <c r="R48" s="46">
        <f>'Monthly Data'!BH48</f>
        <v>30</v>
      </c>
      <c r="S48" s="44">
        <f t="shared" ca="1" si="6"/>
        <v>39999752.260959238</v>
      </c>
      <c r="T48" s="44">
        <f t="shared" ca="1" si="4"/>
        <v>-1293227.4599255249</v>
      </c>
      <c r="U48" s="48">
        <f t="shared" ca="1" si="5"/>
        <v>3.1318337128174084E-2</v>
      </c>
    </row>
    <row r="49" spans="1:21" x14ac:dyDescent="0.2">
      <c r="A49" s="45">
        <f>'Monthly Data'!A49</f>
        <v>41609</v>
      </c>
      <c r="B49" s="29">
        <f t="shared" si="2"/>
        <v>2013</v>
      </c>
      <c r="C49" s="29">
        <f t="shared" si="3"/>
        <v>12</v>
      </c>
      <c r="D49" s="44">
        <f>'Monthly Data'!E49</f>
        <v>46594417.720884763</v>
      </c>
      <c r="E49" s="46">
        <f t="shared" ref="E49:F49" ca="1" si="41">E37</f>
        <v>351.65000000000003</v>
      </c>
      <c r="F49" s="46">
        <f t="shared" ca="1" si="41"/>
        <v>0</v>
      </c>
      <c r="G49" s="29">
        <f>'Monthly Data'!BG49</f>
        <v>48</v>
      </c>
      <c r="H49" s="29">
        <f>'Monthly Data'!W49</f>
        <v>6850.4</v>
      </c>
      <c r="I49" s="29">
        <f>'Monthly Data'!BF49</f>
        <v>0</v>
      </c>
      <c r="K49" s="29">
        <f>'Res PW'!$B$6</f>
        <v>-4.4351669087570498</v>
      </c>
      <c r="L49" s="29">
        <f ca="1">E49*'Res PW'!$B$7</f>
        <v>2.7811774502195097</v>
      </c>
      <c r="M49" s="29">
        <f ca="1">F49*'Res PW'!$B$8</f>
        <v>0</v>
      </c>
      <c r="N49" s="29">
        <f>G49*'Res PW'!$B$9</f>
        <v>-2.1380631792612719</v>
      </c>
      <c r="O49" s="163">
        <f>H49*'Res PW'!$B$10</f>
        <v>28.461297314766018</v>
      </c>
      <c r="P49" s="29">
        <f>I49*'Res PW'!$B$11</f>
        <v>0</v>
      </c>
      <c r="Q49" s="44">
        <f>'Monthly Data'!F49</f>
        <v>59649</v>
      </c>
      <c r="R49" s="46">
        <f>'Monthly Data'!BH49</f>
        <v>31</v>
      </c>
      <c r="S49" s="44">
        <f t="shared" ca="1" si="6"/>
        <v>45616369.047828928</v>
      </c>
      <c r="T49" s="44">
        <f t="shared" ca="1" si="4"/>
        <v>-978048.67305583507</v>
      </c>
      <c r="U49" s="48">
        <f t="shared" ca="1" si="5"/>
        <v>2.0990683452997625E-2</v>
      </c>
    </row>
    <row r="50" spans="1:21" x14ac:dyDescent="0.2">
      <c r="A50" s="45">
        <f>'Monthly Data'!A50</f>
        <v>41640</v>
      </c>
      <c r="B50" s="29">
        <f t="shared" si="2"/>
        <v>2014</v>
      </c>
      <c r="C50" s="29">
        <f t="shared" si="3"/>
        <v>1</v>
      </c>
      <c r="D50" s="44">
        <f>'Monthly Data'!E50</f>
        <v>51200778.571841165</v>
      </c>
      <c r="E50" s="46">
        <f t="shared" ref="E50:F50" ca="1" si="42">E38</f>
        <v>477.14</v>
      </c>
      <c r="F50" s="46">
        <f t="shared" ca="1" si="42"/>
        <v>0</v>
      </c>
      <c r="G50" s="29">
        <f>'Monthly Data'!BG50</f>
        <v>49</v>
      </c>
      <c r="H50" s="29">
        <f>'Monthly Data'!W50</f>
        <v>6848.3</v>
      </c>
      <c r="I50" s="29">
        <f>'Monthly Data'!BF50</f>
        <v>0</v>
      </c>
      <c r="K50" s="29">
        <f>'Res PW'!$B$6</f>
        <v>-4.4351669087570498</v>
      </c>
      <c r="L50" s="29">
        <f ca="1">E50*'Res PW'!$B$7</f>
        <v>3.7736698666223143</v>
      </c>
      <c r="M50" s="29">
        <f ca="1">F50*'Res PW'!$B$8</f>
        <v>0</v>
      </c>
      <c r="N50" s="29">
        <f>G50*'Res PW'!$B$9</f>
        <v>-2.1826061621625485</v>
      </c>
      <c r="O50" s="163">
        <f>H50*'Res PW'!$B$10</f>
        <v>28.452572463025827</v>
      </c>
      <c r="P50" s="29">
        <f>I50*'Res PW'!$B$11</f>
        <v>0</v>
      </c>
      <c r="Q50" s="44">
        <f>'Monthly Data'!F50</f>
        <v>59671</v>
      </c>
      <c r="R50" s="46">
        <f>'Monthly Data'!BH50</f>
        <v>31</v>
      </c>
      <c r="S50" s="44">
        <f t="shared" ca="1" si="6"/>
        <v>47370572.04326532</v>
      </c>
      <c r="T50" s="44">
        <f t="shared" ca="1" si="4"/>
        <v>-3830206.5285758451</v>
      </c>
      <c r="U50" s="48">
        <f t="shared" ca="1" si="5"/>
        <v>7.4807583701126362E-2</v>
      </c>
    </row>
    <row r="51" spans="1:21" x14ac:dyDescent="0.2">
      <c r="A51" s="45">
        <f>'Monthly Data'!A51</f>
        <v>41671</v>
      </c>
      <c r="B51" s="29">
        <f t="shared" si="2"/>
        <v>2014</v>
      </c>
      <c r="C51" s="29">
        <f t="shared" si="3"/>
        <v>2</v>
      </c>
      <c r="D51" s="44">
        <f>'Monthly Data'!E51</f>
        <v>43486614.571841165</v>
      </c>
      <c r="E51" s="46">
        <f t="shared" ref="E51:F51" ca="1" si="43">E39</f>
        <v>417.05</v>
      </c>
      <c r="F51" s="46">
        <f t="shared" ca="1" si="43"/>
        <v>0</v>
      </c>
      <c r="G51" s="29">
        <f>'Monthly Data'!BG51</f>
        <v>50</v>
      </c>
      <c r="H51" s="29">
        <f>'Monthly Data'!W51</f>
        <v>6850</v>
      </c>
      <c r="I51" s="29">
        <f>'Monthly Data'!BF51</f>
        <v>0</v>
      </c>
      <c r="K51" s="29">
        <f>'Res PW'!$B$6</f>
        <v>-4.4351669087570498</v>
      </c>
      <c r="L51" s="29">
        <f ca="1">E51*'Res PW'!$B$7</f>
        <v>3.2984218842998621</v>
      </c>
      <c r="M51" s="29">
        <f ca="1">F51*'Res PW'!$B$8</f>
        <v>0</v>
      </c>
      <c r="N51" s="29">
        <f>G51*'Res PW'!$B$9</f>
        <v>-2.2271491450638248</v>
      </c>
      <c r="O51" s="163">
        <f>H51*'Res PW'!$B$10</f>
        <v>28.459635438244078</v>
      </c>
      <c r="P51" s="29">
        <f>I51*'Res PW'!$B$11</f>
        <v>0</v>
      </c>
      <c r="Q51" s="44">
        <f>'Monthly Data'!F51</f>
        <v>59674</v>
      </c>
      <c r="R51" s="46">
        <f>'Monthly Data'!BH51</f>
        <v>28</v>
      </c>
      <c r="S51" s="44">
        <f t="shared" ca="1" si="6"/>
        <v>41931771.405153848</v>
      </c>
      <c r="T51" s="44">
        <f t="shared" ca="1" si="4"/>
        <v>-1554843.1666873172</v>
      </c>
      <c r="U51" s="48">
        <f t="shared" ca="1" si="5"/>
        <v>3.5754523133059039E-2</v>
      </c>
    </row>
    <row r="52" spans="1:21" x14ac:dyDescent="0.2">
      <c r="A52" s="45">
        <f>'Monthly Data'!A52</f>
        <v>41699</v>
      </c>
      <c r="B52" s="29">
        <f t="shared" si="2"/>
        <v>2014</v>
      </c>
      <c r="C52" s="29">
        <f t="shared" si="3"/>
        <v>3</v>
      </c>
      <c r="D52" s="44">
        <f>'Monthly Data'!E52</f>
        <v>44184194.571841165</v>
      </c>
      <c r="E52" s="46">
        <f t="shared" ref="E52:F52" ca="1" si="44">E40</f>
        <v>332.70999999999992</v>
      </c>
      <c r="F52" s="46">
        <f t="shared" ca="1" si="44"/>
        <v>3.0000000000000072E-2</v>
      </c>
      <c r="G52" s="29">
        <f>'Monthly Data'!BG52</f>
        <v>51</v>
      </c>
      <c r="H52" s="29">
        <f>'Monthly Data'!W52</f>
        <v>6856.4</v>
      </c>
      <c r="I52" s="29">
        <f>'Monthly Data'!BF52</f>
        <v>1</v>
      </c>
      <c r="K52" s="29">
        <f>'Res PW'!$B$6</f>
        <v>-4.4351669087570498</v>
      </c>
      <c r="L52" s="29">
        <f ca="1">E52*'Res PW'!$B$7</f>
        <v>2.6313821966800308</v>
      </c>
      <c r="M52" s="29">
        <f ca="1">F52*'Res PW'!$B$8</f>
        <v>1.1622930104603637E-3</v>
      </c>
      <c r="N52" s="29">
        <f>G52*'Res PW'!$B$9</f>
        <v>-2.2716921279651014</v>
      </c>
      <c r="O52" s="163">
        <f>H52*'Res PW'!$B$10</f>
        <v>28.486225462595137</v>
      </c>
      <c r="P52" s="29">
        <f>I52*'Res PW'!$B$11</f>
        <v>-1.18560218277844</v>
      </c>
      <c r="Q52" s="44">
        <f>'Monthly Data'!F52</f>
        <v>59687</v>
      </c>
      <c r="R52" s="46">
        <f>'Monthly Data'!BH52</f>
        <v>31</v>
      </c>
      <c r="S52" s="44">
        <f t="shared" ca="1" si="6"/>
        <v>42975569.369345956</v>
      </c>
      <c r="T52" s="44">
        <f t="shared" ca="1" si="4"/>
        <v>-1208625.2024952099</v>
      </c>
      <c r="U52" s="48">
        <f t="shared" ca="1" si="5"/>
        <v>2.7354243167883239E-2</v>
      </c>
    </row>
    <row r="53" spans="1:21" x14ac:dyDescent="0.2">
      <c r="A53" s="45">
        <f>'Monthly Data'!A53</f>
        <v>41730</v>
      </c>
      <c r="B53" s="29">
        <f t="shared" si="2"/>
        <v>2014</v>
      </c>
      <c r="C53" s="29">
        <f t="shared" si="3"/>
        <v>4</v>
      </c>
      <c r="D53" s="44">
        <f>'Monthly Data'!E53</f>
        <v>38731453.571841165</v>
      </c>
      <c r="E53" s="46">
        <f t="shared" ref="E53:F53" ca="1" si="45">E41</f>
        <v>164.53999999999996</v>
      </c>
      <c r="F53" s="46">
        <f t="shared" ca="1" si="45"/>
        <v>1.45</v>
      </c>
      <c r="G53" s="29">
        <f>'Monthly Data'!BG53</f>
        <v>52</v>
      </c>
      <c r="H53" s="29">
        <f>'Monthly Data'!W53</f>
        <v>6869.6</v>
      </c>
      <c r="I53" s="29">
        <f>'Monthly Data'!BF53</f>
        <v>1</v>
      </c>
      <c r="K53" s="29">
        <f>'Res PW'!$B$6</f>
        <v>-4.4351669087570498</v>
      </c>
      <c r="L53" s="29">
        <f ca="1">E53*'Res PW'!$B$7</f>
        <v>1.3013363789538406</v>
      </c>
      <c r="M53" s="29">
        <f ca="1">F53*'Res PW'!$B$8</f>
        <v>5.617749550558411E-2</v>
      </c>
      <c r="N53" s="29">
        <f>G53*'Res PW'!$B$9</f>
        <v>-2.3162351108663781</v>
      </c>
      <c r="O53" s="163">
        <f>H53*'Res PW'!$B$10</f>
        <v>28.541067387819201</v>
      </c>
      <c r="P53" s="29">
        <f>I53*'Res PW'!$B$11</f>
        <v>-1.18560218277844</v>
      </c>
      <c r="Q53" s="44">
        <f>'Monthly Data'!F53</f>
        <v>59679</v>
      </c>
      <c r="R53" s="46">
        <f>'Monthly Data'!BH53</f>
        <v>30</v>
      </c>
      <c r="S53" s="44">
        <f t="shared" ca="1" si="6"/>
        <v>39319348.720691554</v>
      </c>
      <c r="T53" s="44">
        <f t="shared" ca="1" si="4"/>
        <v>587895.14885038882</v>
      </c>
      <c r="U53" s="48">
        <f t="shared" ca="1" si="5"/>
        <v>1.5178752528869839E-2</v>
      </c>
    </row>
    <row r="54" spans="1:21" x14ac:dyDescent="0.2">
      <c r="A54" s="45">
        <f>'Monthly Data'!A54</f>
        <v>41760</v>
      </c>
      <c r="B54" s="29">
        <f t="shared" si="2"/>
        <v>2014</v>
      </c>
      <c r="C54" s="29">
        <f t="shared" si="3"/>
        <v>5</v>
      </c>
      <c r="D54" s="44">
        <f>'Monthly Data'!E54</f>
        <v>40675001.571841165</v>
      </c>
      <c r="E54" s="46">
        <f t="shared" ref="E54:F54" ca="1" si="46">E42</f>
        <v>35.92</v>
      </c>
      <c r="F54" s="46">
        <f t="shared" ca="1" si="46"/>
        <v>50.69</v>
      </c>
      <c r="G54" s="29">
        <f>'Monthly Data'!BG54</f>
        <v>53</v>
      </c>
      <c r="H54" s="29">
        <f>'Monthly Data'!W54</f>
        <v>6870.6</v>
      </c>
      <c r="I54" s="29">
        <f>'Monthly Data'!BF54</f>
        <v>1</v>
      </c>
      <c r="K54" s="29">
        <f>'Res PW'!$B$6</f>
        <v>-4.4351669087570498</v>
      </c>
      <c r="L54" s="29">
        <f ca="1">E54*'Res PW'!$B$7</f>
        <v>0.28408899192914772</v>
      </c>
      <c r="M54" s="29">
        <f ca="1">F54*'Res PW'!$B$8</f>
        <v>1.9638877566745232</v>
      </c>
      <c r="N54" s="29">
        <f>G54*'Res PW'!$B$9</f>
        <v>-2.3607780937676544</v>
      </c>
      <c r="O54" s="163">
        <f>H54*'Res PW'!$B$10</f>
        <v>28.545222079124052</v>
      </c>
      <c r="P54" s="29">
        <f>I54*'Res PW'!$B$11</f>
        <v>-1.18560218277844</v>
      </c>
      <c r="Q54" s="44">
        <f>'Monthly Data'!F54</f>
        <v>59689</v>
      </c>
      <c r="R54" s="46">
        <f>'Monthly Data'!BH54</f>
        <v>31</v>
      </c>
      <c r="S54" s="44">
        <f t="shared" ca="1" si="6"/>
        <v>42209744.921425104</v>
      </c>
      <c r="T54" s="44">
        <f t="shared" ca="1" si="4"/>
        <v>1534743.3495839387</v>
      </c>
      <c r="U54" s="48">
        <f t="shared" ca="1" si="5"/>
        <v>3.7731857167189978E-2</v>
      </c>
    </row>
    <row r="55" spans="1:21" x14ac:dyDescent="0.2">
      <c r="A55" s="45">
        <f>'Monthly Data'!A55</f>
        <v>41791</v>
      </c>
      <c r="B55" s="29">
        <f t="shared" si="2"/>
        <v>2014</v>
      </c>
      <c r="C55" s="29">
        <f t="shared" si="3"/>
        <v>6</v>
      </c>
      <c r="D55" s="44">
        <f>'Monthly Data'!E55</f>
        <v>45459103.571841165</v>
      </c>
      <c r="E55" s="46">
        <f t="shared" ref="E55:F55" ca="1" si="47">E43</f>
        <v>0.37999999999999989</v>
      </c>
      <c r="F55" s="46">
        <f t="shared" ca="1" si="47"/>
        <v>145.17999999999998</v>
      </c>
      <c r="G55" s="29">
        <f>'Monthly Data'!BG55</f>
        <v>54</v>
      </c>
      <c r="H55" s="29">
        <f>'Monthly Data'!W55</f>
        <v>6865.4</v>
      </c>
      <c r="I55" s="29">
        <f>'Monthly Data'!BF55</f>
        <v>0</v>
      </c>
      <c r="K55" s="29">
        <f>'Res PW'!$B$6</f>
        <v>-4.4351669087570498</v>
      </c>
      <c r="L55" s="29">
        <f ca="1">E55*'Res PW'!$B$7</f>
        <v>3.0053957943506709E-3</v>
      </c>
      <c r="M55" s="29">
        <f ca="1">F55*'Res PW'!$B$8</f>
        <v>5.6247233086211725</v>
      </c>
      <c r="N55" s="29">
        <f>G55*'Res PW'!$B$9</f>
        <v>-2.405321076668931</v>
      </c>
      <c r="O55" s="163">
        <f>H55*'Res PW'!$B$10</f>
        <v>28.523617684338813</v>
      </c>
      <c r="P55" s="29">
        <f>I55*'Res PW'!$B$11</f>
        <v>0</v>
      </c>
      <c r="Q55" s="44">
        <f>'Monthly Data'!F55</f>
        <v>59798</v>
      </c>
      <c r="R55" s="46">
        <f>'Monthly Data'!BH55</f>
        <v>30</v>
      </c>
      <c r="S55" s="44">
        <f t="shared" ca="1" si="6"/>
        <v>48994041.32406687</v>
      </c>
      <c r="T55" s="44">
        <f t="shared" ca="1" si="4"/>
        <v>3534937.7522257045</v>
      </c>
      <c r="U55" s="48">
        <f t="shared" ca="1" si="5"/>
        <v>7.7760832803033073E-2</v>
      </c>
    </row>
    <row r="56" spans="1:21" x14ac:dyDescent="0.2">
      <c r="A56" s="45">
        <f>'Monthly Data'!A56</f>
        <v>41821</v>
      </c>
      <c r="B56" s="29">
        <f t="shared" si="2"/>
        <v>2014</v>
      </c>
      <c r="C56" s="29">
        <f t="shared" si="3"/>
        <v>7</v>
      </c>
      <c r="D56" s="44">
        <f>'Monthly Data'!E56</f>
        <v>51897622.571841165</v>
      </c>
      <c r="E56" s="46">
        <f t="shared" ref="E56:F56" ca="1" si="48">E44</f>
        <v>0</v>
      </c>
      <c r="F56" s="46">
        <f t="shared" ca="1" si="48"/>
        <v>268.18999999999994</v>
      </c>
      <c r="G56" s="29">
        <f>'Monthly Data'!BG56</f>
        <v>55</v>
      </c>
      <c r="H56" s="29">
        <f>'Monthly Data'!W56</f>
        <v>6864.4</v>
      </c>
      <c r="I56" s="29">
        <f>'Monthly Data'!BF56</f>
        <v>0</v>
      </c>
      <c r="K56" s="29">
        <f>'Res PW'!$B$6</f>
        <v>-4.4351669087570498</v>
      </c>
      <c r="L56" s="29">
        <f ca="1">E56*'Res PW'!$B$7</f>
        <v>0</v>
      </c>
      <c r="M56" s="29">
        <f ca="1">F56*'Res PW'!$B$8</f>
        <v>10.390512082512139</v>
      </c>
      <c r="N56" s="29">
        <f>G56*'Res PW'!$B$9</f>
        <v>-2.4498640595702077</v>
      </c>
      <c r="O56" s="163">
        <f>H56*'Res PW'!$B$10</f>
        <v>28.519462993033962</v>
      </c>
      <c r="P56" s="29">
        <f>I56*'Res PW'!$B$11</f>
        <v>0</v>
      </c>
      <c r="Q56" s="44">
        <f>'Monthly Data'!F56</f>
        <v>59907</v>
      </c>
      <c r="R56" s="46">
        <f>'Monthly Data'!BH56</f>
        <v>31</v>
      </c>
      <c r="S56" s="44">
        <f t="shared" ca="1" si="6"/>
        <v>59474068.125565939</v>
      </c>
      <c r="T56" s="44">
        <f t="shared" ca="1" si="4"/>
        <v>7576445.5537247732</v>
      </c>
      <c r="U56" s="48">
        <f t="shared" ca="1" si="5"/>
        <v>0.14598829731047513</v>
      </c>
    </row>
    <row r="57" spans="1:21" x14ac:dyDescent="0.2">
      <c r="A57" s="45">
        <f>'Monthly Data'!A57</f>
        <v>41852</v>
      </c>
      <c r="B57" s="29">
        <f t="shared" si="2"/>
        <v>2014</v>
      </c>
      <c r="C57" s="29">
        <f t="shared" si="3"/>
        <v>8</v>
      </c>
      <c r="D57" s="44">
        <f>'Monthly Data'!E57</f>
        <v>50248064.571841165</v>
      </c>
      <c r="E57" s="46">
        <f t="shared" ref="E57:F57" ca="1" si="49">E45</f>
        <v>0</v>
      </c>
      <c r="F57" s="46">
        <f t="shared" ca="1" si="49"/>
        <v>239.59000000000006</v>
      </c>
      <c r="G57" s="29">
        <f>'Monthly Data'!BG57</f>
        <v>56</v>
      </c>
      <c r="H57" s="29">
        <f>'Monthly Data'!W57</f>
        <v>6869.9</v>
      </c>
      <c r="I57" s="29">
        <f>'Monthly Data'!BF57</f>
        <v>0</v>
      </c>
      <c r="K57" s="29">
        <f>'Res PW'!$B$6</f>
        <v>-4.4351669087570498</v>
      </c>
      <c r="L57" s="29">
        <f ca="1">E57*'Res PW'!$B$7</f>
        <v>0</v>
      </c>
      <c r="M57" s="29">
        <f ca="1">F57*'Res PW'!$B$8</f>
        <v>9.2824594125399322</v>
      </c>
      <c r="N57" s="29">
        <f>G57*'Res PW'!$B$9</f>
        <v>-2.4944070424714839</v>
      </c>
      <c r="O57" s="163">
        <f>H57*'Res PW'!$B$10</f>
        <v>28.542313795210653</v>
      </c>
      <c r="P57" s="29">
        <f>I57*'Res PW'!$B$11</f>
        <v>0</v>
      </c>
      <c r="Q57" s="44">
        <f>'Monthly Data'!F57</f>
        <v>59924</v>
      </c>
      <c r="R57" s="46">
        <f>'Monthly Data'!BH57</f>
        <v>31</v>
      </c>
      <c r="S57" s="44">
        <f t="shared" ca="1" si="6"/>
        <v>57392281.527682655</v>
      </c>
      <c r="T57" s="44">
        <f t="shared" ca="1" si="4"/>
        <v>7144216.9558414891</v>
      </c>
      <c r="U57" s="48">
        <f t="shared" ca="1" si="5"/>
        <v>0.14217894792001765</v>
      </c>
    </row>
    <row r="58" spans="1:21" x14ac:dyDescent="0.2">
      <c r="A58" s="45">
        <f>'Monthly Data'!A58</f>
        <v>41883</v>
      </c>
      <c r="B58" s="29">
        <f t="shared" si="2"/>
        <v>2014</v>
      </c>
      <c r="C58" s="29">
        <f t="shared" si="3"/>
        <v>9</v>
      </c>
      <c r="D58" s="44">
        <f>'Monthly Data'!E58</f>
        <v>43927568.571841165</v>
      </c>
      <c r="E58" s="46">
        <f t="shared" ref="E58:F58" ca="1" si="50">E46</f>
        <v>0.49000000000000005</v>
      </c>
      <c r="F58" s="46">
        <f t="shared" ca="1" si="50"/>
        <v>132.95000000000002</v>
      </c>
      <c r="G58" s="29">
        <f>'Monthly Data'!BG58</f>
        <v>57</v>
      </c>
      <c r="H58" s="29">
        <f>'Monthly Data'!W58</f>
        <v>6884.5</v>
      </c>
      <c r="I58" s="29">
        <f>'Monthly Data'!BF58</f>
        <v>1</v>
      </c>
      <c r="K58" s="29">
        <f>'Res PW'!$B$6</f>
        <v>-4.4351669087570498</v>
      </c>
      <c r="L58" s="29">
        <f ca="1">E58*'Res PW'!$B$7</f>
        <v>3.8753787874521821E-3</v>
      </c>
      <c r="M58" s="29">
        <f ca="1">F58*'Res PW'!$B$8</f>
        <v>5.1508951913568337</v>
      </c>
      <c r="N58" s="29">
        <f>G58*'Res PW'!$B$9</f>
        <v>-2.5389500253727606</v>
      </c>
      <c r="O58" s="163">
        <f>H58*'Res PW'!$B$10</f>
        <v>28.602972288261512</v>
      </c>
      <c r="P58" s="29">
        <f>I58*'Res PW'!$B$11</f>
        <v>-1.18560218277844</v>
      </c>
      <c r="Q58" s="44">
        <f>'Monthly Data'!F58</f>
        <v>59924</v>
      </c>
      <c r="R58" s="46">
        <f>'Monthly Data'!BH58</f>
        <v>30</v>
      </c>
      <c r="S58" s="44">
        <f t="shared" ca="1" si="6"/>
        <v>46018079.240564972</v>
      </c>
      <c r="T58" s="44">
        <f t="shared" ca="1" si="4"/>
        <v>2090510.6687238067</v>
      </c>
      <c r="U58" s="48">
        <f t="shared" ca="1" si="5"/>
        <v>4.7589947194661808E-2</v>
      </c>
    </row>
    <row r="59" spans="1:21" x14ac:dyDescent="0.2">
      <c r="A59" s="45">
        <f>'Monthly Data'!A59</f>
        <v>41913</v>
      </c>
      <c r="B59" s="29">
        <f t="shared" si="2"/>
        <v>2014</v>
      </c>
      <c r="C59" s="29">
        <f t="shared" si="3"/>
        <v>10</v>
      </c>
      <c r="D59" s="44">
        <f>'Monthly Data'!E59</f>
        <v>41698922.571841165</v>
      </c>
      <c r="E59" s="46">
        <f t="shared" ref="E59:F59" ca="1" si="51">E47</f>
        <v>53.33000000000002</v>
      </c>
      <c r="F59" s="46">
        <f t="shared" ca="1" si="51"/>
        <v>27.9</v>
      </c>
      <c r="G59" s="29">
        <f>'Monthly Data'!BG59</f>
        <v>58</v>
      </c>
      <c r="H59" s="29">
        <f>'Monthly Data'!W59</f>
        <v>6901.5</v>
      </c>
      <c r="I59" s="29">
        <f>'Monthly Data'!BF59</f>
        <v>1</v>
      </c>
      <c r="K59" s="29">
        <f>'Res PW'!$B$6</f>
        <v>-4.4351669087570498</v>
      </c>
      <c r="L59" s="29">
        <f ca="1">E59*'Res PW'!$B$7</f>
        <v>0.42178357292821411</v>
      </c>
      <c r="M59" s="29">
        <f ca="1">F59*'Res PW'!$B$8</f>
        <v>1.0809324997281358</v>
      </c>
      <c r="N59" s="29">
        <f>G59*'Res PW'!$B$9</f>
        <v>-2.5834930082740368</v>
      </c>
      <c r="O59" s="163">
        <f>H59*'Res PW'!$B$10</f>
        <v>28.673602040444013</v>
      </c>
      <c r="P59" s="29">
        <f>I59*'Res PW'!$B$11</f>
        <v>-1.18560218277844</v>
      </c>
      <c r="Q59" s="44">
        <f>'Monthly Data'!F59</f>
        <v>59943</v>
      </c>
      <c r="R59" s="46">
        <f>'Monthly Data'!BH59</f>
        <v>31</v>
      </c>
      <c r="S59" s="44">
        <f t="shared" ca="1" si="6"/>
        <v>40829199.561745472</v>
      </c>
      <c r="T59" s="44">
        <f t="shared" ca="1" si="4"/>
        <v>-869723.01009569317</v>
      </c>
      <c r="U59" s="48">
        <f t="shared" ca="1" si="5"/>
        <v>2.0857205809029892E-2</v>
      </c>
    </row>
    <row r="60" spans="1:21" x14ac:dyDescent="0.2">
      <c r="A60" s="45">
        <f>'Monthly Data'!A60</f>
        <v>41944</v>
      </c>
      <c r="B60" s="29">
        <f t="shared" si="2"/>
        <v>2014</v>
      </c>
      <c r="C60" s="29">
        <f t="shared" si="3"/>
        <v>11</v>
      </c>
      <c r="D60" s="44">
        <f>'Monthly Data'!E60</f>
        <v>40599034.571841165</v>
      </c>
      <c r="E60" s="46">
        <f t="shared" ref="E60:F60" ca="1" si="52">E48</f>
        <v>207.66000000000003</v>
      </c>
      <c r="F60" s="46">
        <f t="shared" ca="1" si="52"/>
        <v>0.69000000000000006</v>
      </c>
      <c r="G60" s="29">
        <f>'Monthly Data'!BG60</f>
        <v>59</v>
      </c>
      <c r="H60" s="29">
        <f>'Monthly Data'!W60</f>
        <v>6907.5</v>
      </c>
      <c r="I60" s="29">
        <f>'Monthly Data'!BF60</f>
        <v>1</v>
      </c>
      <c r="K60" s="29">
        <f>'Res PW'!$B$6</f>
        <v>-4.4351669087570498</v>
      </c>
      <c r="L60" s="29">
        <f ca="1">E60*'Res PW'!$B$7</f>
        <v>1.642369712249633</v>
      </c>
      <c r="M60" s="29">
        <f ca="1">F60*'Res PW'!$B$8</f>
        <v>2.6732739240588305E-2</v>
      </c>
      <c r="N60" s="29">
        <f>G60*'Res PW'!$B$9</f>
        <v>-2.6280359911753135</v>
      </c>
      <c r="O60" s="163">
        <f>H60*'Res PW'!$B$10</f>
        <v>28.698530188273132</v>
      </c>
      <c r="P60" s="29">
        <f>I60*'Res PW'!$B$11</f>
        <v>-1.18560218277844</v>
      </c>
      <c r="Q60" s="44">
        <f>'Monthly Data'!F60</f>
        <v>59983</v>
      </c>
      <c r="R60" s="46">
        <f>'Monthly Data'!BH60</f>
        <v>30</v>
      </c>
      <c r="S60" s="44">
        <f t="shared" ca="1" si="6"/>
        <v>39802609.000640497</v>
      </c>
      <c r="T60" s="44">
        <f t="shared" ca="1" si="4"/>
        <v>-796425.57120066881</v>
      </c>
      <c r="U60" s="48">
        <f t="shared" ca="1" si="5"/>
        <v>1.9616859849003816E-2</v>
      </c>
    </row>
    <row r="61" spans="1:21" x14ac:dyDescent="0.2">
      <c r="A61" s="45">
        <f>'Monthly Data'!A61</f>
        <v>41974</v>
      </c>
      <c r="B61" s="29">
        <f t="shared" si="2"/>
        <v>2014</v>
      </c>
      <c r="C61" s="29">
        <f t="shared" si="3"/>
        <v>12</v>
      </c>
      <c r="D61" s="44">
        <f>'Monthly Data'!E61</f>
        <v>45189588.571841165</v>
      </c>
      <c r="E61" s="46">
        <f t="shared" ref="E61:F61" ca="1" si="53">E49</f>
        <v>351.65000000000003</v>
      </c>
      <c r="F61" s="46">
        <f t="shared" ca="1" si="53"/>
        <v>0</v>
      </c>
      <c r="G61" s="29">
        <f>'Monthly Data'!BG61</f>
        <v>60</v>
      </c>
      <c r="H61" s="29">
        <f>'Monthly Data'!W61</f>
        <v>6903.1</v>
      </c>
      <c r="I61" s="29">
        <f>'Monthly Data'!BF61</f>
        <v>0</v>
      </c>
      <c r="K61" s="29">
        <f>'Res PW'!$B$6</f>
        <v>-4.4351669087570498</v>
      </c>
      <c r="L61" s="29">
        <f ca="1">E61*'Res PW'!$B$7</f>
        <v>2.7811774502195097</v>
      </c>
      <c r="M61" s="29">
        <f ca="1">F61*'Res PW'!$B$8</f>
        <v>0</v>
      </c>
      <c r="N61" s="29">
        <f>G61*'Res PW'!$B$9</f>
        <v>-2.6725789740765902</v>
      </c>
      <c r="O61" s="163">
        <f>H61*'Res PW'!$B$10</f>
        <v>28.68024954653178</v>
      </c>
      <c r="P61" s="29">
        <f>I61*'Res PW'!$B$11</f>
        <v>0</v>
      </c>
      <c r="Q61" s="44">
        <f>'Monthly Data'!F61</f>
        <v>60014</v>
      </c>
      <c r="R61" s="46">
        <f>'Monthly Data'!BH61</f>
        <v>31</v>
      </c>
      <c r="S61" s="44">
        <f t="shared" ca="1" si="6"/>
        <v>45308416.369490266</v>
      </c>
      <c r="T61" s="44">
        <f t="shared" ca="1" si="4"/>
        <v>118827.79764910042</v>
      </c>
      <c r="U61" s="48">
        <f t="shared" ca="1" si="5"/>
        <v>2.6295392678822747E-3</v>
      </c>
    </row>
    <row r="62" spans="1:21" x14ac:dyDescent="0.2">
      <c r="A62" s="45">
        <f>'Monthly Data'!A62</f>
        <v>42005</v>
      </c>
      <c r="B62" s="29">
        <f t="shared" si="2"/>
        <v>2015</v>
      </c>
      <c r="C62" s="29">
        <f t="shared" si="3"/>
        <v>1</v>
      </c>
      <c r="D62" s="44">
        <f>'Monthly Data'!E62</f>
        <v>49884340.383905195</v>
      </c>
      <c r="E62" s="46">
        <f t="shared" ref="E62:F62" ca="1" si="54">E50</f>
        <v>477.14</v>
      </c>
      <c r="F62" s="46">
        <f t="shared" ca="1" si="54"/>
        <v>0</v>
      </c>
      <c r="G62" s="29">
        <f>'Monthly Data'!BG62</f>
        <v>61</v>
      </c>
      <c r="H62" s="29">
        <f>'Monthly Data'!W62</f>
        <v>6885.7</v>
      </c>
      <c r="I62" s="29">
        <f>'Monthly Data'!BF62</f>
        <v>0</v>
      </c>
      <c r="K62" s="29">
        <f>'Res PW'!$B$6</f>
        <v>-4.4351669087570498</v>
      </c>
      <c r="L62" s="29">
        <f ca="1">E62*'Res PW'!$B$7</f>
        <v>3.7736698666223143</v>
      </c>
      <c r="M62" s="29">
        <f ca="1">F62*'Res PW'!$B$8</f>
        <v>0</v>
      </c>
      <c r="N62" s="29">
        <f>G62*'Res PW'!$B$9</f>
        <v>-2.7171219569778664</v>
      </c>
      <c r="O62" s="163">
        <f>H62*'Res PW'!$B$10</f>
        <v>28.607957917827335</v>
      </c>
      <c r="P62" s="29">
        <f>I62*'Res PW'!$B$11</f>
        <v>0</v>
      </c>
      <c r="Q62" s="44">
        <f>'Monthly Data'!F62</f>
        <v>60019</v>
      </c>
      <c r="R62" s="46">
        <f>'Monthly Data'!BH62</f>
        <v>31</v>
      </c>
      <c r="S62" s="44">
        <f t="shared" ca="1" si="6"/>
        <v>46941430.469432525</v>
      </c>
      <c r="T62" s="44">
        <f t="shared" ca="1" si="4"/>
        <v>-2942909.9144726694</v>
      </c>
      <c r="U62" s="48">
        <f t="shared" ca="1" si="5"/>
        <v>5.8994664293930944E-2</v>
      </c>
    </row>
    <row r="63" spans="1:21" x14ac:dyDescent="0.2">
      <c r="A63" s="45">
        <f>'Monthly Data'!A63</f>
        <v>42036</v>
      </c>
      <c r="B63" s="29">
        <f t="shared" si="2"/>
        <v>2015</v>
      </c>
      <c r="C63" s="29">
        <f t="shared" si="3"/>
        <v>2</v>
      </c>
      <c r="D63" s="44">
        <f>'Monthly Data'!E63</f>
        <v>42980985.383905195</v>
      </c>
      <c r="E63" s="46">
        <f t="shared" ref="E63:F63" ca="1" si="55">E51</f>
        <v>417.05</v>
      </c>
      <c r="F63" s="46">
        <f t="shared" ca="1" si="55"/>
        <v>0</v>
      </c>
      <c r="G63" s="29">
        <f>'Monthly Data'!BG63</f>
        <v>62</v>
      </c>
      <c r="H63" s="29">
        <f>'Monthly Data'!W63</f>
        <v>6885.3</v>
      </c>
      <c r="I63" s="29">
        <f>'Monthly Data'!BF63</f>
        <v>0</v>
      </c>
      <c r="K63" s="29">
        <f>'Res PW'!$B$6</f>
        <v>-4.4351669087570498</v>
      </c>
      <c r="L63" s="29">
        <f ca="1">E63*'Res PW'!$B$7</f>
        <v>3.2984218842998621</v>
      </c>
      <c r="M63" s="29">
        <f ca="1">F63*'Res PW'!$B$8</f>
        <v>0</v>
      </c>
      <c r="N63" s="29">
        <f>G63*'Res PW'!$B$9</f>
        <v>-2.7616649398791431</v>
      </c>
      <c r="O63" s="163">
        <f>H63*'Res PW'!$B$10</f>
        <v>28.606296041305395</v>
      </c>
      <c r="P63" s="29">
        <f>I63*'Res PW'!$B$11</f>
        <v>0</v>
      </c>
      <c r="Q63" s="44">
        <f>'Monthly Data'!F63</f>
        <v>60029</v>
      </c>
      <c r="R63" s="46">
        <f>'Monthly Data'!BH63</f>
        <v>28</v>
      </c>
      <c r="S63" s="44">
        <f t="shared" ca="1" si="6"/>
        <v>41529311.412802525</v>
      </c>
      <c r="T63" s="44">
        <f t="shared" ca="1" si="4"/>
        <v>-1451673.9711026698</v>
      </c>
      <c r="U63" s="48">
        <f t="shared" ca="1" si="5"/>
        <v>3.3774795020085055E-2</v>
      </c>
    </row>
    <row r="64" spans="1:21" x14ac:dyDescent="0.2">
      <c r="A64" s="45">
        <f>'Monthly Data'!A64</f>
        <v>42064</v>
      </c>
      <c r="B64" s="29">
        <f t="shared" si="2"/>
        <v>2015</v>
      </c>
      <c r="C64" s="29">
        <f t="shared" si="3"/>
        <v>3</v>
      </c>
      <c r="D64" s="44">
        <f>'Monthly Data'!E64</f>
        <v>43419024.383905195</v>
      </c>
      <c r="E64" s="46">
        <f t="shared" ref="E64:F64" ca="1" si="56">E52</f>
        <v>332.70999999999992</v>
      </c>
      <c r="F64" s="46">
        <f t="shared" ca="1" si="56"/>
        <v>3.0000000000000072E-2</v>
      </c>
      <c r="G64" s="29">
        <f>'Monthly Data'!BG64</f>
        <v>63</v>
      </c>
      <c r="H64" s="29">
        <f>'Monthly Data'!W64</f>
        <v>6892.1</v>
      </c>
      <c r="I64" s="29">
        <f>'Monthly Data'!BF64</f>
        <v>1</v>
      </c>
      <c r="K64" s="29">
        <f>'Res PW'!$B$6</f>
        <v>-4.4351669087570498</v>
      </c>
      <c r="L64" s="29">
        <f ca="1">E64*'Res PW'!$B$7</f>
        <v>2.6313821966800308</v>
      </c>
      <c r="M64" s="29">
        <f ca="1">F64*'Res PW'!$B$8</f>
        <v>1.1622930104603637E-3</v>
      </c>
      <c r="N64" s="29">
        <f>G64*'Res PW'!$B$9</f>
        <v>-2.8062079227804193</v>
      </c>
      <c r="O64" s="163">
        <f>H64*'Res PW'!$B$10</f>
        <v>28.634547942178397</v>
      </c>
      <c r="P64" s="29">
        <f>I64*'Res PW'!$B$11</f>
        <v>-1.18560218277844</v>
      </c>
      <c r="Q64" s="44">
        <f>'Monthly Data'!F64</f>
        <v>60053</v>
      </c>
      <c r="R64" s="46">
        <f>'Monthly Data'!BH64</f>
        <v>31</v>
      </c>
      <c r="S64" s="44">
        <f t="shared" ca="1" si="6"/>
        <v>42520140.986279584</v>
      </c>
      <c r="T64" s="44">
        <f t="shared" ca="1" si="4"/>
        <v>-898883.39762561023</v>
      </c>
      <c r="U64" s="48">
        <f t="shared" ca="1" si="5"/>
        <v>2.070252407511057E-2</v>
      </c>
    </row>
    <row r="65" spans="1:21" x14ac:dyDescent="0.2">
      <c r="A65" s="45">
        <f>'Monthly Data'!A65</f>
        <v>42095</v>
      </c>
      <c r="B65" s="29">
        <f t="shared" si="2"/>
        <v>2015</v>
      </c>
      <c r="C65" s="29">
        <f t="shared" si="3"/>
        <v>4</v>
      </c>
      <c r="D65" s="44">
        <f>'Monthly Data'!E65</f>
        <v>38613457.383905195</v>
      </c>
      <c r="E65" s="46">
        <f t="shared" ref="E65:F65" ca="1" si="57">E53</f>
        <v>164.53999999999996</v>
      </c>
      <c r="F65" s="46">
        <f t="shared" ca="1" si="57"/>
        <v>1.45</v>
      </c>
      <c r="G65" s="29">
        <f>'Monthly Data'!BG65</f>
        <v>64</v>
      </c>
      <c r="H65" s="29">
        <f>'Monthly Data'!W65</f>
        <v>6897.3</v>
      </c>
      <c r="I65" s="29">
        <f>'Monthly Data'!BF65</f>
        <v>1</v>
      </c>
      <c r="K65" s="29">
        <f>'Res PW'!$B$6</f>
        <v>-4.4351669087570498</v>
      </c>
      <c r="L65" s="29">
        <f ca="1">E65*'Res PW'!$B$7</f>
        <v>1.3013363789538406</v>
      </c>
      <c r="M65" s="29">
        <f ca="1">F65*'Res PW'!$B$8</f>
        <v>5.617749550558411E-2</v>
      </c>
      <c r="N65" s="29">
        <f>G65*'Res PW'!$B$9</f>
        <v>-2.850750905681696</v>
      </c>
      <c r="O65" s="163">
        <f>H65*'Res PW'!$B$10</f>
        <v>28.656152336963633</v>
      </c>
      <c r="P65" s="29">
        <f>I65*'Res PW'!$B$11</f>
        <v>-1.18560218277844</v>
      </c>
      <c r="Q65" s="44">
        <f>'Monthly Data'!F65</f>
        <v>60058</v>
      </c>
      <c r="R65" s="46">
        <f>'Monthly Data'!BH65</f>
        <v>30</v>
      </c>
      <c r="S65" s="44">
        <f t="shared" ca="1" si="6"/>
        <v>38813346.519983284</v>
      </c>
      <c r="T65" s="44">
        <f t="shared" ca="1" si="4"/>
        <v>199889.13607808948</v>
      </c>
      <c r="U65" s="48">
        <f t="shared" ca="1" si="5"/>
        <v>5.1766702497199066E-3</v>
      </c>
    </row>
    <row r="66" spans="1:21" x14ac:dyDescent="0.2">
      <c r="A66" s="45">
        <f>'Monthly Data'!A66</f>
        <v>42125</v>
      </c>
      <c r="B66" s="29">
        <f t="shared" ref="B66:B129" si="58">YEAR(A66)</f>
        <v>2015</v>
      </c>
      <c r="C66" s="29">
        <f t="shared" ref="C66:C129" si="59">MONTH(A66)</f>
        <v>5</v>
      </c>
      <c r="D66" s="44">
        <f>'Monthly Data'!E66</f>
        <v>40763108.383905195</v>
      </c>
      <c r="E66" s="46">
        <f t="shared" ref="E66:F66" ca="1" si="60">E54</f>
        <v>35.92</v>
      </c>
      <c r="F66" s="46">
        <f t="shared" ca="1" si="60"/>
        <v>50.69</v>
      </c>
      <c r="G66" s="29">
        <f>'Monthly Data'!BG66</f>
        <v>65</v>
      </c>
      <c r="H66" s="29">
        <f>'Monthly Data'!W66</f>
        <v>6906.5</v>
      </c>
      <c r="I66" s="29">
        <f>'Monthly Data'!BF66</f>
        <v>1</v>
      </c>
      <c r="K66" s="29">
        <f>'Res PW'!$B$6</f>
        <v>-4.4351669087570498</v>
      </c>
      <c r="L66" s="29">
        <f ca="1">E66*'Res PW'!$B$7</f>
        <v>0.28408899192914772</v>
      </c>
      <c r="M66" s="29">
        <f ca="1">F66*'Res PW'!$B$8</f>
        <v>1.9638877566745232</v>
      </c>
      <c r="N66" s="29">
        <f>G66*'Res PW'!$B$9</f>
        <v>-2.8952938885829727</v>
      </c>
      <c r="O66" s="163">
        <f>H66*'Res PW'!$B$10</f>
        <v>28.694375496968281</v>
      </c>
      <c r="P66" s="29">
        <f>I66*'Res PW'!$B$11</f>
        <v>-1.18560218277844</v>
      </c>
      <c r="Q66" s="44">
        <f>'Monthly Data'!F66</f>
        <v>60068</v>
      </c>
      <c r="R66" s="46">
        <f>'Monthly Data'!BH66</f>
        <v>31</v>
      </c>
      <c r="S66" s="44">
        <f t="shared" ca="1" si="6"/>
        <v>41760172.651515067</v>
      </c>
      <c r="T66" s="44">
        <f t="shared" ca="1" si="4"/>
        <v>997064.26760987192</v>
      </c>
      <c r="U66" s="48">
        <f t="shared" ca="1" si="5"/>
        <v>2.4459966551607492E-2</v>
      </c>
    </row>
    <row r="67" spans="1:21" x14ac:dyDescent="0.2">
      <c r="A67" s="45">
        <f>'Monthly Data'!A67</f>
        <v>42156</v>
      </c>
      <c r="B67" s="29">
        <f t="shared" si="58"/>
        <v>2015</v>
      </c>
      <c r="C67" s="29">
        <f t="shared" si="59"/>
        <v>6</v>
      </c>
      <c r="D67" s="44">
        <f>'Monthly Data'!E67</f>
        <v>46119249.383905195</v>
      </c>
      <c r="E67" s="46">
        <f t="shared" ref="E67:F67" ca="1" si="61">E55</f>
        <v>0.37999999999999989</v>
      </c>
      <c r="F67" s="46">
        <f t="shared" ca="1" si="61"/>
        <v>145.17999999999998</v>
      </c>
      <c r="G67" s="29">
        <f>'Monthly Data'!BG67</f>
        <v>66</v>
      </c>
      <c r="H67" s="29">
        <f>'Monthly Data'!W67</f>
        <v>6921.3</v>
      </c>
      <c r="I67" s="29">
        <f>'Monthly Data'!BF67</f>
        <v>0</v>
      </c>
      <c r="K67" s="29">
        <f>'Res PW'!$B$6</f>
        <v>-4.4351669087570498</v>
      </c>
      <c r="L67" s="29">
        <f ca="1">E67*'Res PW'!$B$7</f>
        <v>3.0053957943506709E-3</v>
      </c>
      <c r="M67" s="29">
        <f ca="1">F67*'Res PW'!$B$8</f>
        <v>5.6247233086211725</v>
      </c>
      <c r="N67" s="29">
        <f>G67*'Res PW'!$B$9</f>
        <v>-2.9398368714842489</v>
      </c>
      <c r="O67" s="163">
        <f>H67*'Res PW'!$B$10</f>
        <v>28.755864928280108</v>
      </c>
      <c r="P67" s="29">
        <f>I67*'Res PW'!$B$11</f>
        <v>0</v>
      </c>
      <c r="Q67" s="44">
        <f>'Monthly Data'!F67</f>
        <v>60094</v>
      </c>
      <c r="R67" s="46">
        <f>'Monthly Data'!BH67</f>
        <v>30</v>
      </c>
      <c r="S67" s="44">
        <f t="shared" ca="1" si="6"/>
        <v>48691625.957801715</v>
      </c>
      <c r="T67" s="44">
        <f t="shared" ca="1" si="4"/>
        <v>2572376.5738965198</v>
      </c>
      <c r="U67" s="48">
        <f t="shared" ca="1" si="5"/>
        <v>5.5776635748851409E-2</v>
      </c>
    </row>
    <row r="68" spans="1:21" x14ac:dyDescent="0.2">
      <c r="A68" s="45">
        <f>'Monthly Data'!A68</f>
        <v>42186</v>
      </c>
      <c r="B68" s="29">
        <f t="shared" si="58"/>
        <v>2015</v>
      </c>
      <c r="C68" s="29">
        <f t="shared" si="59"/>
        <v>7</v>
      </c>
      <c r="D68" s="44">
        <f>'Monthly Data'!E68</f>
        <v>54424085.383905195</v>
      </c>
      <c r="E68" s="46">
        <f t="shared" ref="E68:F68" ca="1" si="62">E56</f>
        <v>0</v>
      </c>
      <c r="F68" s="46">
        <f t="shared" ca="1" si="62"/>
        <v>268.18999999999994</v>
      </c>
      <c r="G68" s="29">
        <f>'Monthly Data'!BG68</f>
        <v>67</v>
      </c>
      <c r="H68" s="29">
        <f>'Monthly Data'!W68</f>
        <v>6941.2</v>
      </c>
      <c r="I68" s="29">
        <f>'Monthly Data'!BF68</f>
        <v>0</v>
      </c>
      <c r="K68" s="29">
        <f>'Res PW'!$B$6</f>
        <v>-4.4351669087570498</v>
      </c>
      <c r="L68" s="29">
        <f ca="1">E68*'Res PW'!$B$7</f>
        <v>0</v>
      </c>
      <c r="M68" s="29">
        <f ca="1">F68*'Res PW'!$B$8</f>
        <v>10.390512082512139</v>
      </c>
      <c r="N68" s="29">
        <f>G68*'Res PW'!$B$9</f>
        <v>-2.9843798543855256</v>
      </c>
      <c r="O68" s="163">
        <f>H68*'Res PW'!$B$10</f>
        <v>28.838543285246683</v>
      </c>
      <c r="P68" s="29">
        <f>I68*'Res PW'!$B$11</f>
        <v>0</v>
      </c>
      <c r="Q68" s="44">
        <f>'Monthly Data'!F68</f>
        <v>60096</v>
      </c>
      <c r="R68" s="46">
        <f>'Monthly Data'!BH68</f>
        <v>31</v>
      </c>
      <c r="S68" s="44">
        <f t="shared" ref="S68:S127" ca="1" si="63">SUM(K68:P68)*R68*Q68</f>
        <v>59260351.102193564</v>
      </c>
      <c r="T68" s="44">
        <f t="shared" ref="T68:T121" ca="1" si="64">S68-D68</f>
        <v>4836265.7182883695</v>
      </c>
      <c r="U68" s="48">
        <f t="shared" ref="U68:U121" ca="1" si="65">ABS(T68/D68)</f>
        <v>8.886259978782475E-2</v>
      </c>
    </row>
    <row r="69" spans="1:21" x14ac:dyDescent="0.2">
      <c r="A69" s="45">
        <f>'Monthly Data'!A69</f>
        <v>42217</v>
      </c>
      <c r="B69" s="29">
        <f t="shared" si="58"/>
        <v>2015</v>
      </c>
      <c r="C69" s="29">
        <f t="shared" si="59"/>
        <v>8</v>
      </c>
      <c r="D69" s="44">
        <f>'Monthly Data'!E69</f>
        <v>55134636.383905195</v>
      </c>
      <c r="E69" s="46">
        <f t="shared" ref="E69:F69" ca="1" si="66">E57</f>
        <v>0</v>
      </c>
      <c r="F69" s="46">
        <f t="shared" ca="1" si="66"/>
        <v>239.59000000000006</v>
      </c>
      <c r="G69" s="29">
        <f>'Monthly Data'!BG69</f>
        <v>68</v>
      </c>
      <c r="H69" s="29">
        <f>'Monthly Data'!W69</f>
        <v>6949.2</v>
      </c>
      <c r="I69" s="29">
        <f>'Monthly Data'!BF69</f>
        <v>0</v>
      </c>
      <c r="K69" s="29">
        <f>'Res PW'!$B$6</f>
        <v>-4.4351669087570498</v>
      </c>
      <c r="L69" s="29">
        <f ca="1">E69*'Res PW'!$B$7</f>
        <v>0</v>
      </c>
      <c r="M69" s="29">
        <f ca="1">F69*'Res PW'!$B$8</f>
        <v>9.2824594125399322</v>
      </c>
      <c r="N69" s="29">
        <f>G69*'Res PW'!$B$9</f>
        <v>-3.0289228372868018</v>
      </c>
      <c r="O69" s="163">
        <f>H69*'Res PW'!$B$10</f>
        <v>28.871780815685508</v>
      </c>
      <c r="P69" s="29">
        <f>I69*'Res PW'!$B$11</f>
        <v>0</v>
      </c>
      <c r="Q69" s="44">
        <f>'Monthly Data'!F69</f>
        <v>60131</v>
      </c>
      <c r="R69" s="46">
        <f>'Monthly Data'!BH69</f>
        <v>31</v>
      </c>
      <c r="S69" s="44">
        <f t="shared" ca="1" si="63"/>
        <v>57208312.597965896</v>
      </c>
      <c r="T69" s="44">
        <f t="shared" ca="1" si="64"/>
        <v>2073676.2140607014</v>
      </c>
      <c r="U69" s="48">
        <f t="shared" ca="1" si="65"/>
        <v>3.7611134308052595E-2</v>
      </c>
    </row>
    <row r="70" spans="1:21" x14ac:dyDescent="0.2">
      <c r="A70" s="45">
        <f>'Monthly Data'!A70</f>
        <v>42248</v>
      </c>
      <c r="B70" s="29">
        <f t="shared" si="58"/>
        <v>2015</v>
      </c>
      <c r="C70" s="29">
        <f t="shared" si="59"/>
        <v>9</v>
      </c>
      <c r="D70" s="44">
        <f>'Monthly Data'!E70</f>
        <v>47798131.383905195</v>
      </c>
      <c r="E70" s="46">
        <f t="shared" ref="E70:F70" ca="1" si="67">E58</f>
        <v>0.49000000000000005</v>
      </c>
      <c r="F70" s="46">
        <f t="shared" ca="1" si="67"/>
        <v>132.95000000000002</v>
      </c>
      <c r="G70" s="29">
        <f>'Monthly Data'!BG70</f>
        <v>69</v>
      </c>
      <c r="H70" s="29">
        <f>'Monthly Data'!W70</f>
        <v>6941.1</v>
      </c>
      <c r="I70" s="29">
        <f>'Monthly Data'!BF70</f>
        <v>1</v>
      </c>
      <c r="K70" s="29">
        <f>'Res PW'!$B$6</f>
        <v>-4.4351669087570498</v>
      </c>
      <c r="L70" s="29">
        <f ca="1">E70*'Res PW'!$B$7</f>
        <v>3.8753787874521821E-3</v>
      </c>
      <c r="M70" s="29">
        <f ca="1">F70*'Res PW'!$B$8</f>
        <v>5.1508951913568337</v>
      </c>
      <c r="N70" s="29">
        <f>G70*'Res PW'!$B$9</f>
        <v>-3.0734658201880785</v>
      </c>
      <c r="O70" s="163">
        <f>H70*'Res PW'!$B$10</f>
        <v>28.838127816116202</v>
      </c>
      <c r="P70" s="29">
        <f>I70*'Res PW'!$B$11</f>
        <v>-1.18560218277844</v>
      </c>
      <c r="Q70" s="44">
        <f>'Monthly Data'!F70</f>
        <v>60165</v>
      </c>
      <c r="R70" s="46">
        <f>'Monthly Data'!BH70</f>
        <v>30</v>
      </c>
      <c r="S70" s="44">
        <f t="shared" ca="1" si="63"/>
        <v>45662822.638365418</v>
      </c>
      <c r="T70" s="44">
        <f t="shared" ca="1" si="64"/>
        <v>-2135308.745539777</v>
      </c>
      <c r="U70" s="48">
        <f t="shared" ca="1" si="65"/>
        <v>4.4673477471104402E-2</v>
      </c>
    </row>
    <row r="71" spans="1:21" x14ac:dyDescent="0.2">
      <c r="A71" s="45">
        <f>'Monthly Data'!A71</f>
        <v>42278</v>
      </c>
      <c r="B71" s="29">
        <f t="shared" si="58"/>
        <v>2015</v>
      </c>
      <c r="C71" s="29">
        <f t="shared" si="59"/>
        <v>10</v>
      </c>
      <c r="D71" s="44">
        <f>'Monthly Data'!E71</f>
        <v>41883670.383905195</v>
      </c>
      <c r="E71" s="46">
        <f t="shared" ref="E71:F71" ca="1" si="68">E59</f>
        <v>53.33000000000002</v>
      </c>
      <c r="F71" s="46">
        <f t="shared" ca="1" si="68"/>
        <v>27.9</v>
      </c>
      <c r="G71" s="29">
        <f>'Monthly Data'!BG71</f>
        <v>70</v>
      </c>
      <c r="H71" s="29">
        <f>'Monthly Data'!W71</f>
        <v>6934.8</v>
      </c>
      <c r="I71" s="29">
        <f>'Monthly Data'!BF71</f>
        <v>1</v>
      </c>
      <c r="K71" s="29">
        <f>'Res PW'!$B$6</f>
        <v>-4.4351669087570498</v>
      </c>
      <c r="L71" s="29">
        <f ca="1">E71*'Res PW'!$B$7</f>
        <v>0.42178357292821411</v>
      </c>
      <c r="M71" s="29">
        <f ca="1">F71*'Res PW'!$B$8</f>
        <v>1.0809324997281358</v>
      </c>
      <c r="N71" s="29">
        <f>G71*'Res PW'!$B$9</f>
        <v>-3.1180088030893551</v>
      </c>
      <c r="O71" s="163">
        <f>H71*'Res PW'!$B$10</f>
        <v>28.811953260895624</v>
      </c>
      <c r="P71" s="29">
        <f>I71*'Res PW'!$B$11</f>
        <v>-1.18560218277844</v>
      </c>
      <c r="Q71" s="44">
        <f>'Monthly Data'!F71</f>
        <v>60249</v>
      </c>
      <c r="R71" s="46">
        <f>'Monthly Data'!BH71</f>
        <v>31</v>
      </c>
      <c r="S71" s="44">
        <f t="shared" ca="1" si="63"/>
        <v>40297702.382421538</v>
      </c>
      <c r="T71" s="44">
        <f t="shared" ca="1" si="64"/>
        <v>-1585968.0014836565</v>
      </c>
      <c r="U71" s="48">
        <f t="shared" ca="1" si="65"/>
        <v>3.7866022412713446E-2</v>
      </c>
    </row>
    <row r="72" spans="1:21" x14ac:dyDescent="0.2">
      <c r="A72" s="45">
        <f>'Monthly Data'!A72</f>
        <v>42309</v>
      </c>
      <c r="B72" s="29">
        <f t="shared" si="58"/>
        <v>2015</v>
      </c>
      <c r="C72" s="29">
        <f t="shared" si="59"/>
        <v>11</v>
      </c>
      <c r="D72" s="44">
        <f>'Monthly Data'!E72</f>
        <v>38353292.383905195</v>
      </c>
      <c r="E72" s="46">
        <f t="shared" ref="E72:F72" ca="1" si="69">E60</f>
        <v>207.66000000000003</v>
      </c>
      <c r="F72" s="46">
        <f t="shared" ca="1" si="69"/>
        <v>0.69000000000000006</v>
      </c>
      <c r="G72" s="29">
        <f>'Monthly Data'!BG72</f>
        <v>71</v>
      </c>
      <c r="H72" s="29">
        <f>'Monthly Data'!W72</f>
        <v>6928.3</v>
      </c>
      <c r="I72" s="29">
        <f>'Monthly Data'!BF72</f>
        <v>1</v>
      </c>
      <c r="K72" s="29">
        <f>'Res PW'!$B$6</f>
        <v>-4.4351669087570498</v>
      </c>
      <c r="L72" s="29">
        <f ca="1">E72*'Res PW'!$B$7</f>
        <v>1.642369712249633</v>
      </c>
      <c r="M72" s="29">
        <f ca="1">F72*'Res PW'!$B$8</f>
        <v>2.6732739240588305E-2</v>
      </c>
      <c r="N72" s="29">
        <f>G72*'Res PW'!$B$9</f>
        <v>-3.1625517859906314</v>
      </c>
      <c r="O72" s="163">
        <f>H72*'Res PW'!$B$10</f>
        <v>28.784947767414078</v>
      </c>
      <c r="P72" s="29">
        <f>I72*'Res PW'!$B$11</f>
        <v>-1.18560218277844</v>
      </c>
      <c r="Q72" s="44">
        <f>'Monthly Data'!F72</f>
        <v>60255</v>
      </c>
      <c r="R72" s="46">
        <f>'Monthly Data'!BH72</f>
        <v>30</v>
      </c>
      <c r="S72" s="44">
        <f t="shared" ca="1" si="63"/>
        <v>39173093.893942259</v>
      </c>
      <c r="T72" s="44">
        <f t="shared" ca="1" si="64"/>
        <v>819801.51003706455</v>
      </c>
      <c r="U72" s="48">
        <f t="shared" ca="1" si="65"/>
        <v>2.1374997010193863E-2</v>
      </c>
    </row>
    <row r="73" spans="1:21" x14ac:dyDescent="0.2">
      <c r="A73" s="45">
        <f>'Monthly Data'!A73</f>
        <v>42339</v>
      </c>
      <c r="B73" s="29">
        <f t="shared" si="58"/>
        <v>2015</v>
      </c>
      <c r="C73" s="29">
        <f t="shared" si="59"/>
        <v>12</v>
      </c>
      <c r="D73" s="44">
        <f>'Monthly Data'!E73</f>
        <v>41803813.383905195</v>
      </c>
      <c r="E73" s="46">
        <f t="shared" ref="E73:F73" ca="1" si="70">E61</f>
        <v>351.65000000000003</v>
      </c>
      <c r="F73" s="46">
        <f t="shared" ca="1" si="70"/>
        <v>0</v>
      </c>
      <c r="G73" s="29">
        <f>'Monthly Data'!BG73</f>
        <v>72</v>
      </c>
      <c r="H73" s="29">
        <f>'Monthly Data'!W73</f>
        <v>6942.8</v>
      </c>
      <c r="I73" s="29">
        <f>'Monthly Data'!BF73</f>
        <v>0</v>
      </c>
      <c r="K73" s="29">
        <f>'Res PW'!$B$6</f>
        <v>-4.4351669087570498</v>
      </c>
      <c r="L73" s="29">
        <f ca="1">E73*'Res PW'!$B$7</f>
        <v>2.7811774502195097</v>
      </c>
      <c r="M73" s="29">
        <f ca="1">F73*'Res PW'!$B$8</f>
        <v>0</v>
      </c>
      <c r="N73" s="29">
        <f>G73*'Res PW'!$B$9</f>
        <v>-3.207094768891908</v>
      </c>
      <c r="O73" s="163">
        <f>H73*'Res PW'!$B$10</f>
        <v>28.845190791334449</v>
      </c>
      <c r="P73" s="29">
        <f>I73*'Res PW'!$B$11</f>
        <v>0</v>
      </c>
      <c r="Q73" s="44">
        <f>'Monthly Data'!F73</f>
        <v>60262</v>
      </c>
      <c r="R73" s="46">
        <f>'Monthly Data'!BH73</f>
        <v>31</v>
      </c>
      <c r="S73" s="44">
        <f t="shared" ca="1" si="63"/>
        <v>44805237.122375339</v>
      </c>
      <c r="T73" s="44">
        <f t="shared" ca="1" si="64"/>
        <v>3001423.7384701446</v>
      </c>
      <c r="U73" s="48">
        <f t="shared" ca="1" si="65"/>
        <v>7.1797845591419579E-2</v>
      </c>
    </row>
    <row r="74" spans="1:21" x14ac:dyDescent="0.2">
      <c r="A74" s="45">
        <f>'Monthly Data'!A74</f>
        <v>42370</v>
      </c>
      <c r="B74" s="29">
        <f t="shared" si="58"/>
        <v>2016</v>
      </c>
      <c r="C74" s="29">
        <f t="shared" si="59"/>
        <v>1</v>
      </c>
      <c r="D74" s="44">
        <f>'Monthly Data'!E74</f>
        <v>46084693.984221287</v>
      </c>
      <c r="E74" s="46">
        <f t="shared" ref="E74:F74" ca="1" si="71">E62</f>
        <v>477.14</v>
      </c>
      <c r="F74" s="46">
        <f t="shared" ca="1" si="71"/>
        <v>0</v>
      </c>
      <c r="G74" s="29">
        <f>'Monthly Data'!BG74</f>
        <v>73</v>
      </c>
      <c r="H74" s="29">
        <f>'Monthly Data'!W74</f>
        <v>6957.7</v>
      </c>
      <c r="I74" s="29">
        <f>'Monthly Data'!BF74</f>
        <v>0</v>
      </c>
      <c r="K74" s="29">
        <f>'Res PW'!$B$6</f>
        <v>-4.4351669087570498</v>
      </c>
      <c r="L74" s="29">
        <f ca="1">E74*'Res PW'!$B$7</f>
        <v>3.7736698666223143</v>
      </c>
      <c r="M74" s="29">
        <f ca="1">F74*'Res PW'!$B$8</f>
        <v>0</v>
      </c>
      <c r="N74" s="29">
        <f>G74*'Res PW'!$B$9</f>
        <v>-3.2516377517931843</v>
      </c>
      <c r="O74" s="163">
        <f>H74*'Res PW'!$B$10</f>
        <v>28.90709569177676</v>
      </c>
      <c r="P74" s="29">
        <f>I74*'Res PW'!$B$11</f>
        <v>0</v>
      </c>
      <c r="Q74" s="44">
        <f>'Monthly Data'!F74</f>
        <v>60313</v>
      </c>
      <c r="R74" s="46">
        <f>'Monthly Data'!BH74</f>
        <v>31</v>
      </c>
      <c r="S74" s="44">
        <f t="shared" ca="1" si="63"/>
        <v>46731283.672590666</v>
      </c>
      <c r="T74" s="44">
        <f t="shared" ca="1" si="64"/>
        <v>646589.68836937845</v>
      </c>
      <c r="U74" s="48">
        <f t="shared" ca="1" si="65"/>
        <v>1.4030465051818748E-2</v>
      </c>
    </row>
    <row r="75" spans="1:21" x14ac:dyDescent="0.2">
      <c r="A75" s="45">
        <f>'Monthly Data'!A75</f>
        <v>42401</v>
      </c>
      <c r="B75" s="29">
        <f t="shared" si="58"/>
        <v>2016</v>
      </c>
      <c r="C75" s="29">
        <f t="shared" si="59"/>
        <v>2</v>
      </c>
      <c r="D75" s="44">
        <f>'Monthly Data'!E75</f>
        <v>40582823.984221287</v>
      </c>
      <c r="E75" s="46">
        <f t="shared" ref="E75:F75" ca="1" si="72">E63</f>
        <v>417.05</v>
      </c>
      <c r="F75" s="46">
        <f t="shared" ca="1" si="72"/>
        <v>0</v>
      </c>
      <c r="G75" s="29">
        <f>'Monthly Data'!BG75</f>
        <v>74</v>
      </c>
      <c r="H75" s="29">
        <f>'Monthly Data'!W75</f>
        <v>6970.6</v>
      </c>
      <c r="I75" s="29">
        <f>'Monthly Data'!BF75</f>
        <v>0</v>
      </c>
      <c r="K75" s="29">
        <f>'Res PW'!$B$6</f>
        <v>-4.4351669087570498</v>
      </c>
      <c r="L75" s="29">
        <f ca="1">E75*'Res PW'!$B$7</f>
        <v>3.2984218842998621</v>
      </c>
      <c r="M75" s="29">
        <f ca="1">F75*'Res PW'!$B$8</f>
        <v>0</v>
      </c>
      <c r="N75" s="29">
        <f>G75*'Res PW'!$B$9</f>
        <v>-3.2961807346944609</v>
      </c>
      <c r="O75" s="163">
        <f>H75*'Res PW'!$B$10</f>
        <v>28.960691209609369</v>
      </c>
      <c r="P75" s="29">
        <f>I75*'Res PW'!$B$11</f>
        <v>0</v>
      </c>
      <c r="Q75" s="44">
        <f>'Monthly Data'!F75</f>
        <v>60310</v>
      </c>
      <c r="R75" s="46">
        <f>'Monthly Data'!BH75</f>
        <v>29</v>
      </c>
      <c r="S75" s="44">
        <f t="shared" ca="1" si="63"/>
        <v>42898816.495196052</v>
      </c>
      <c r="T75" s="44">
        <f t="shared" ca="1" si="64"/>
        <v>2315992.5109747648</v>
      </c>
      <c r="U75" s="48">
        <f t="shared" ca="1" si="65"/>
        <v>5.7068293519328003E-2</v>
      </c>
    </row>
    <row r="76" spans="1:21" x14ac:dyDescent="0.2">
      <c r="A76" s="45">
        <f>'Monthly Data'!A76</f>
        <v>42430</v>
      </c>
      <c r="B76" s="29">
        <f t="shared" si="58"/>
        <v>2016</v>
      </c>
      <c r="C76" s="29">
        <f t="shared" si="59"/>
        <v>3</v>
      </c>
      <c r="D76" s="44">
        <f>'Monthly Data'!E76</f>
        <v>40648907.984221287</v>
      </c>
      <c r="E76" s="46">
        <f t="shared" ref="E76:F76" ca="1" si="73">E64</f>
        <v>332.70999999999992</v>
      </c>
      <c r="F76" s="46">
        <f t="shared" ca="1" si="73"/>
        <v>3.0000000000000072E-2</v>
      </c>
      <c r="G76" s="29">
        <f>'Monthly Data'!BG76</f>
        <v>75</v>
      </c>
      <c r="H76" s="29">
        <f>'Monthly Data'!W76</f>
        <v>6978.1</v>
      </c>
      <c r="I76" s="29">
        <f>'Monthly Data'!BF76</f>
        <v>1</v>
      </c>
      <c r="K76" s="29">
        <f>'Res PW'!$B$6</f>
        <v>-4.4351669087570498</v>
      </c>
      <c r="L76" s="29">
        <f ca="1">E76*'Res PW'!$B$7</f>
        <v>2.6313821966800308</v>
      </c>
      <c r="M76" s="29">
        <f ca="1">F76*'Res PW'!$B$8</f>
        <v>1.1622930104603637E-3</v>
      </c>
      <c r="N76" s="29">
        <f>G76*'Res PW'!$B$9</f>
        <v>-3.3407237175957376</v>
      </c>
      <c r="O76" s="163">
        <f>H76*'Res PW'!$B$10</f>
        <v>28.991851394395766</v>
      </c>
      <c r="P76" s="29">
        <f>I76*'Res PW'!$B$11</f>
        <v>-1.18560218277844</v>
      </c>
      <c r="Q76" s="44">
        <f>'Monthly Data'!F76</f>
        <v>60323</v>
      </c>
      <c r="R76" s="46">
        <f>'Monthly Data'!BH76</f>
        <v>31</v>
      </c>
      <c r="S76" s="44">
        <f t="shared" ca="1" si="63"/>
        <v>42379923.367905885</v>
      </c>
      <c r="T76" s="44">
        <f t="shared" ca="1" si="64"/>
        <v>1731015.3836845979</v>
      </c>
      <c r="U76" s="48">
        <f t="shared" ca="1" si="65"/>
        <v>4.2584548257889911E-2</v>
      </c>
    </row>
    <row r="77" spans="1:21" x14ac:dyDescent="0.2">
      <c r="A77" s="45">
        <f>'Monthly Data'!A77</f>
        <v>42461</v>
      </c>
      <c r="B77" s="29">
        <f t="shared" si="58"/>
        <v>2016</v>
      </c>
      <c r="C77" s="29">
        <f t="shared" si="59"/>
        <v>4</v>
      </c>
      <c r="D77" s="44">
        <f>'Monthly Data'!E77</f>
        <v>38183247.984221287</v>
      </c>
      <c r="E77" s="46">
        <f t="shared" ref="E77:F77" ca="1" si="74">E65</f>
        <v>164.53999999999996</v>
      </c>
      <c r="F77" s="46">
        <f t="shared" ca="1" si="74"/>
        <v>1.45</v>
      </c>
      <c r="G77" s="29">
        <f>'Monthly Data'!BG77</f>
        <v>76</v>
      </c>
      <c r="H77" s="29">
        <f>'Monthly Data'!W77</f>
        <v>6981.8</v>
      </c>
      <c r="I77" s="29">
        <f>'Monthly Data'!BF77</f>
        <v>1</v>
      </c>
      <c r="K77" s="29">
        <f>'Res PW'!$B$6</f>
        <v>-4.4351669087570498</v>
      </c>
      <c r="L77" s="29">
        <f ca="1">E77*'Res PW'!$B$7</f>
        <v>1.3013363789538406</v>
      </c>
      <c r="M77" s="29">
        <f ca="1">F77*'Res PW'!$B$8</f>
        <v>5.617749550558411E-2</v>
      </c>
      <c r="N77" s="29">
        <f>G77*'Res PW'!$B$9</f>
        <v>-3.3852667004970138</v>
      </c>
      <c r="O77" s="163">
        <f>H77*'Res PW'!$B$10</f>
        <v>29.007223752223723</v>
      </c>
      <c r="P77" s="29">
        <f>I77*'Res PW'!$B$11</f>
        <v>-1.18560218277844</v>
      </c>
      <c r="Q77" s="44">
        <f>'Monthly Data'!F77</f>
        <v>60319</v>
      </c>
      <c r="R77" s="46">
        <f>'Monthly Data'!BH77</f>
        <v>30</v>
      </c>
      <c r="S77" s="44">
        <f t="shared" ca="1" si="63"/>
        <v>38650066.078928769</v>
      </c>
      <c r="T77" s="44">
        <f t="shared" ca="1" si="64"/>
        <v>466818.09470748156</v>
      </c>
      <c r="U77" s="48">
        <f t="shared" ca="1" si="65"/>
        <v>1.2225730375278391E-2</v>
      </c>
    </row>
    <row r="78" spans="1:21" x14ac:dyDescent="0.2">
      <c r="A78" s="45">
        <f>'Monthly Data'!A78</f>
        <v>42491</v>
      </c>
      <c r="B78" s="29">
        <f t="shared" si="58"/>
        <v>2016</v>
      </c>
      <c r="C78" s="29">
        <f t="shared" si="59"/>
        <v>5</v>
      </c>
      <c r="D78" s="44">
        <f>'Monthly Data'!E78</f>
        <v>42648799.984221287</v>
      </c>
      <c r="E78" s="46">
        <f t="shared" ref="E78:F78" ca="1" si="75">E66</f>
        <v>35.92</v>
      </c>
      <c r="F78" s="46">
        <f t="shared" ca="1" si="75"/>
        <v>50.69</v>
      </c>
      <c r="G78" s="29">
        <f>'Monthly Data'!BG78</f>
        <v>77</v>
      </c>
      <c r="H78" s="29">
        <f>'Monthly Data'!W78</f>
        <v>6994.4</v>
      </c>
      <c r="I78" s="29">
        <f>'Monthly Data'!BF78</f>
        <v>1</v>
      </c>
      <c r="K78" s="29">
        <f>'Res PW'!$B$6</f>
        <v>-4.4351669087570498</v>
      </c>
      <c r="L78" s="29">
        <f ca="1">E78*'Res PW'!$B$7</f>
        <v>0.28408899192914772</v>
      </c>
      <c r="M78" s="29">
        <f ca="1">F78*'Res PW'!$B$8</f>
        <v>1.9638877566745232</v>
      </c>
      <c r="N78" s="29">
        <f>G78*'Res PW'!$B$9</f>
        <v>-3.4298096833982905</v>
      </c>
      <c r="O78" s="163">
        <f>H78*'Res PW'!$B$10</f>
        <v>29.059572862664872</v>
      </c>
      <c r="P78" s="29">
        <f>I78*'Res PW'!$B$11</f>
        <v>-1.18560218277844</v>
      </c>
      <c r="Q78" s="44">
        <f>'Monthly Data'!F78</f>
        <v>60305</v>
      </c>
      <c r="R78" s="46">
        <f>'Monthly Data'!BH78</f>
        <v>31</v>
      </c>
      <c r="S78" s="44">
        <f t="shared" ca="1" si="63"/>
        <v>41608405.414840214</v>
      </c>
      <c r="T78" s="44">
        <f t="shared" ca="1" si="64"/>
        <v>-1040394.5693810731</v>
      </c>
      <c r="U78" s="48">
        <f t="shared" ca="1" si="65"/>
        <v>2.4394462910233967E-2</v>
      </c>
    </row>
    <row r="79" spans="1:21" x14ac:dyDescent="0.2">
      <c r="A79" s="45">
        <f>'Monthly Data'!A79</f>
        <v>42522</v>
      </c>
      <c r="B79" s="29">
        <f t="shared" si="58"/>
        <v>2016</v>
      </c>
      <c r="C79" s="29">
        <f t="shared" si="59"/>
        <v>6</v>
      </c>
      <c r="D79" s="44">
        <f>'Monthly Data'!E79</f>
        <v>51837156.984221287</v>
      </c>
      <c r="E79" s="46">
        <f t="shared" ref="E79:F79" ca="1" si="76">E67</f>
        <v>0.37999999999999989</v>
      </c>
      <c r="F79" s="46">
        <f t="shared" ca="1" si="76"/>
        <v>145.17999999999998</v>
      </c>
      <c r="G79" s="29">
        <f>'Monthly Data'!BG79</f>
        <v>78</v>
      </c>
      <c r="H79" s="29">
        <f>'Monthly Data'!W79</f>
        <v>7001.9</v>
      </c>
      <c r="I79" s="29">
        <f>'Monthly Data'!BF79</f>
        <v>0</v>
      </c>
      <c r="K79" s="29">
        <f>'Res PW'!$B$6</f>
        <v>-4.4351669087570498</v>
      </c>
      <c r="L79" s="29">
        <f ca="1">E79*'Res PW'!$B$7</f>
        <v>3.0053957943506709E-3</v>
      </c>
      <c r="M79" s="29">
        <f ca="1">F79*'Res PW'!$B$8</f>
        <v>5.6247233086211725</v>
      </c>
      <c r="N79" s="29">
        <f>G79*'Res PW'!$B$9</f>
        <v>-3.4743526662995672</v>
      </c>
      <c r="O79" s="163">
        <f>H79*'Res PW'!$B$10</f>
        <v>29.09073304745127</v>
      </c>
      <c r="P79" s="29">
        <f>I79*'Res PW'!$B$11</f>
        <v>0</v>
      </c>
      <c r="Q79" s="44">
        <f>'Monthly Data'!F79</f>
        <v>60308</v>
      </c>
      <c r="R79" s="46">
        <f>'Monthly Data'!BH79</f>
        <v>30</v>
      </c>
      <c r="S79" s="44">
        <f t="shared" ca="1" si="63"/>
        <v>48503810.543972045</v>
      </c>
      <c r="T79" s="44">
        <f t="shared" ca="1" si="64"/>
        <v>-3333346.4402492419</v>
      </c>
      <c r="U79" s="48">
        <f t="shared" ca="1" si="65"/>
        <v>6.4304190935160266E-2</v>
      </c>
    </row>
    <row r="80" spans="1:21" x14ac:dyDescent="0.2">
      <c r="A80" s="45">
        <f>'Monthly Data'!A80</f>
        <v>42552</v>
      </c>
      <c r="B80" s="29">
        <f t="shared" si="58"/>
        <v>2016</v>
      </c>
      <c r="C80" s="29">
        <f t="shared" si="59"/>
        <v>7</v>
      </c>
      <c r="D80" s="44">
        <f>'Monthly Data'!E80</f>
        <v>62950910.984221287</v>
      </c>
      <c r="E80" s="46">
        <f t="shared" ref="E80:F80" ca="1" si="77">E68</f>
        <v>0</v>
      </c>
      <c r="F80" s="46">
        <f t="shared" ca="1" si="77"/>
        <v>268.18999999999994</v>
      </c>
      <c r="G80" s="29">
        <f>'Monthly Data'!BG80</f>
        <v>79</v>
      </c>
      <c r="H80" s="29">
        <f>'Monthly Data'!W80</f>
        <v>6995.7</v>
      </c>
      <c r="I80" s="29">
        <f>'Monthly Data'!BF80</f>
        <v>0</v>
      </c>
      <c r="K80" s="29">
        <f>'Res PW'!$B$6</f>
        <v>-4.4351669087570498</v>
      </c>
      <c r="L80" s="29">
        <f ca="1">E80*'Res PW'!$B$7</f>
        <v>0</v>
      </c>
      <c r="M80" s="29">
        <f ca="1">F80*'Res PW'!$B$8</f>
        <v>10.390512082512139</v>
      </c>
      <c r="N80" s="29">
        <f>G80*'Res PW'!$B$9</f>
        <v>-3.5188956492008434</v>
      </c>
      <c r="O80" s="163">
        <f>H80*'Res PW'!$B$10</f>
        <v>29.064973961361179</v>
      </c>
      <c r="P80" s="29">
        <f>I80*'Res PW'!$B$11</f>
        <v>0</v>
      </c>
      <c r="Q80" s="44">
        <f>'Monthly Data'!F80</f>
        <v>60310</v>
      </c>
      <c r="R80" s="46">
        <f>'Monthly Data'!BH80</f>
        <v>31</v>
      </c>
      <c r="S80" s="44">
        <f t="shared" ca="1" si="63"/>
        <v>58895376.363502339</v>
      </c>
      <c r="T80" s="44">
        <f t="shared" ca="1" si="64"/>
        <v>-4055534.6207189485</v>
      </c>
      <c r="U80" s="48">
        <f t="shared" ca="1" si="65"/>
        <v>6.4423763807571782E-2</v>
      </c>
    </row>
    <row r="81" spans="1:21" x14ac:dyDescent="0.2">
      <c r="A81" s="45">
        <f>'Monthly Data'!A81</f>
        <v>42583</v>
      </c>
      <c r="B81" s="29">
        <f t="shared" si="58"/>
        <v>2016</v>
      </c>
      <c r="C81" s="29">
        <f t="shared" si="59"/>
        <v>8</v>
      </c>
      <c r="D81" s="44">
        <f>'Monthly Data'!E81</f>
        <v>61477768.984221287</v>
      </c>
      <c r="E81" s="46">
        <f t="shared" ref="E81:F81" ca="1" si="78">E69</f>
        <v>0</v>
      </c>
      <c r="F81" s="46">
        <f t="shared" ca="1" si="78"/>
        <v>239.59000000000006</v>
      </c>
      <c r="G81" s="29">
        <f>'Monthly Data'!BG81</f>
        <v>80</v>
      </c>
      <c r="H81" s="29">
        <f>'Monthly Data'!W81</f>
        <v>6990.6</v>
      </c>
      <c r="I81" s="29">
        <f>'Monthly Data'!BF81</f>
        <v>0</v>
      </c>
      <c r="K81" s="29">
        <f>'Res PW'!$B$6</f>
        <v>-4.4351669087570498</v>
      </c>
      <c r="L81" s="29">
        <f ca="1">E81*'Res PW'!$B$7</f>
        <v>0</v>
      </c>
      <c r="M81" s="29">
        <f ca="1">F81*'Res PW'!$B$8</f>
        <v>9.2824594125399322</v>
      </c>
      <c r="N81" s="29">
        <f>G81*'Res PW'!$B$9</f>
        <v>-3.5634386321021201</v>
      </c>
      <c r="O81" s="163">
        <f>H81*'Res PW'!$B$10</f>
        <v>29.043785035706431</v>
      </c>
      <c r="P81" s="29">
        <f>I81*'Res PW'!$B$11</f>
        <v>0</v>
      </c>
      <c r="Q81" s="44">
        <f>'Monthly Data'!F81</f>
        <v>60299</v>
      </c>
      <c r="R81" s="46">
        <f>'Monthly Data'!BH81</f>
        <v>31</v>
      </c>
      <c r="S81" s="44">
        <f t="shared" ca="1" si="63"/>
        <v>56690515.252772756</v>
      </c>
      <c r="T81" s="44">
        <f t="shared" ca="1" si="64"/>
        <v>-4787253.7314485312</v>
      </c>
      <c r="U81" s="48">
        <f t="shared" ca="1" si="65"/>
        <v>7.7869672412432769E-2</v>
      </c>
    </row>
    <row r="82" spans="1:21" x14ac:dyDescent="0.2">
      <c r="A82" s="45">
        <f>'Monthly Data'!A82</f>
        <v>42614</v>
      </c>
      <c r="B82" s="29">
        <f t="shared" si="58"/>
        <v>2016</v>
      </c>
      <c r="C82" s="29">
        <f t="shared" si="59"/>
        <v>9</v>
      </c>
      <c r="D82" s="44">
        <f>'Monthly Data'!E82</f>
        <v>50972090.984221287</v>
      </c>
      <c r="E82" s="46">
        <f t="shared" ref="E82:F82" ca="1" si="79">E70</f>
        <v>0.49000000000000005</v>
      </c>
      <c r="F82" s="46">
        <f t="shared" ca="1" si="79"/>
        <v>132.95000000000002</v>
      </c>
      <c r="G82" s="29">
        <f>'Monthly Data'!BG82</f>
        <v>81</v>
      </c>
      <c r="H82" s="29">
        <f>'Monthly Data'!W82</f>
        <v>6988.9</v>
      </c>
      <c r="I82" s="29">
        <f>'Monthly Data'!BF82</f>
        <v>1</v>
      </c>
      <c r="K82" s="29">
        <f>'Res PW'!$B$6</f>
        <v>-4.4351669087570498</v>
      </c>
      <c r="L82" s="29">
        <f ca="1">E82*'Res PW'!$B$7</f>
        <v>3.8753787874521821E-3</v>
      </c>
      <c r="M82" s="29">
        <f ca="1">F82*'Res PW'!$B$8</f>
        <v>5.1508951913568337</v>
      </c>
      <c r="N82" s="29">
        <f>G82*'Res PW'!$B$9</f>
        <v>-3.6079816150033963</v>
      </c>
      <c r="O82" s="163">
        <f>H82*'Res PW'!$B$10</f>
        <v>29.036722060488177</v>
      </c>
      <c r="P82" s="29">
        <f>I82*'Res PW'!$B$11</f>
        <v>-1.18560218277844</v>
      </c>
      <c r="Q82" s="44">
        <f>'Monthly Data'!F82</f>
        <v>60320</v>
      </c>
      <c r="R82" s="46">
        <f>'Monthly Data'!BH82</f>
        <v>30</v>
      </c>
      <c r="S82" s="44">
        <f t="shared" ca="1" si="63"/>
        <v>45172577.785839744</v>
      </c>
      <c r="T82" s="44">
        <f t="shared" ca="1" si="64"/>
        <v>-5799513.1983815432</v>
      </c>
      <c r="U82" s="48">
        <f t="shared" ca="1" si="65"/>
        <v>0.11377820855292785</v>
      </c>
    </row>
    <row r="83" spans="1:21" x14ac:dyDescent="0.2">
      <c r="A83" s="45">
        <f>'Monthly Data'!A83</f>
        <v>42644</v>
      </c>
      <c r="B83" s="29">
        <f t="shared" si="58"/>
        <v>2016</v>
      </c>
      <c r="C83" s="29">
        <f t="shared" si="59"/>
        <v>10</v>
      </c>
      <c r="D83" s="44">
        <f>'Monthly Data'!E83</f>
        <v>42378157.984221287</v>
      </c>
      <c r="E83" s="46">
        <f t="shared" ref="E83:F83" ca="1" si="80">E71</f>
        <v>53.33000000000002</v>
      </c>
      <c r="F83" s="46">
        <f t="shared" ca="1" si="80"/>
        <v>27.9</v>
      </c>
      <c r="G83" s="29">
        <f>'Monthly Data'!BG83</f>
        <v>82</v>
      </c>
      <c r="H83" s="29">
        <f>'Monthly Data'!W83</f>
        <v>7006.2</v>
      </c>
      <c r="I83" s="29">
        <f>'Monthly Data'!BF83</f>
        <v>1</v>
      </c>
      <c r="K83" s="29">
        <f>'Res PW'!$B$6</f>
        <v>-4.4351669087570498</v>
      </c>
      <c r="L83" s="29">
        <f ca="1">E83*'Res PW'!$B$7</f>
        <v>0.42178357292821411</v>
      </c>
      <c r="M83" s="29">
        <f ca="1">F83*'Res PW'!$B$8</f>
        <v>1.0809324997281358</v>
      </c>
      <c r="N83" s="29">
        <f>G83*'Res PW'!$B$9</f>
        <v>-3.652524597904673</v>
      </c>
      <c r="O83" s="163">
        <f>H83*'Res PW'!$B$10</f>
        <v>29.108598220062138</v>
      </c>
      <c r="P83" s="29">
        <f>I83*'Res PW'!$B$11</f>
        <v>-1.18560218277844</v>
      </c>
      <c r="Q83" s="44">
        <f>'Monthly Data'!F83</f>
        <v>60321</v>
      </c>
      <c r="R83" s="46">
        <f>'Monthly Data'!BH83</f>
        <v>31</v>
      </c>
      <c r="S83" s="44">
        <f t="shared" ca="1" si="63"/>
        <v>39901052.965120912</v>
      </c>
      <c r="T83" s="44">
        <f t="shared" ca="1" si="64"/>
        <v>-2477105.0191003755</v>
      </c>
      <c r="U83" s="48">
        <f t="shared" ca="1" si="65"/>
        <v>5.845239946537268E-2</v>
      </c>
    </row>
    <row r="84" spans="1:21" x14ac:dyDescent="0.2">
      <c r="A84" s="45">
        <f>'Monthly Data'!A84</f>
        <v>42675</v>
      </c>
      <c r="B84" s="29">
        <f t="shared" si="58"/>
        <v>2016</v>
      </c>
      <c r="C84" s="29">
        <f t="shared" si="59"/>
        <v>11</v>
      </c>
      <c r="D84" s="44">
        <f>'Monthly Data'!E84</f>
        <v>38434874.984221287</v>
      </c>
      <c r="E84" s="46">
        <f t="shared" ref="E84:F84" ca="1" si="81">E72</f>
        <v>207.66000000000003</v>
      </c>
      <c r="F84" s="46">
        <f t="shared" ca="1" si="81"/>
        <v>0.69000000000000006</v>
      </c>
      <c r="G84" s="29">
        <f>'Monthly Data'!BG84</f>
        <v>83</v>
      </c>
      <c r="H84" s="29">
        <f>'Monthly Data'!W84</f>
        <v>7018.5</v>
      </c>
      <c r="I84" s="29">
        <f>'Monthly Data'!BF84</f>
        <v>1</v>
      </c>
      <c r="K84" s="29">
        <f>'Res PW'!$B$6</f>
        <v>-4.4351669087570498</v>
      </c>
      <c r="L84" s="29">
        <f ca="1">E84*'Res PW'!$B$7</f>
        <v>1.642369712249633</v>
      </c>
      <c r="M84" s="29">
        <f ca="1">F84*'Res PW'!$B$8</f>
        <v>2.6732739240588305E-2</v>
      </c>
      <c r="N84" s="29">
        <f>G84*'Res PW'!$B$9</f>
        <v>-3.6970675808059497</v>
      </c>
      <c r="O84" s="163">
        <f>H84*'Res PW'!$B$10</f>
        <v>29.159700923111831</v>
      </c>
      <c r="P84" s="29">
        <f>I84*'Res PW'!$B$11</f>
        <v>-1.18560218277844</v>
      </c>
      <c r="Q84" s="44">
        <f>'Monthly Data'!F84</f>
        <v>60345</v>
      </c>
      <c r="R84" s="46">
        <f>'Monthly Data'!BH84</f>
        <v>30</v>
      </c>
      <c r="S84" s="44">
        <f t="shared" ca="1" si="63"/>
        <v>38942378.569437504</v>
      </c>
      <c r="T84" s="44">
        <f t="shared" ca="1" si="64"/>
        <v>507503.58521621674</v>
      </c>
      <c r="U84" s="48">
        <f t="shared" ca="1" si="65"/>
        <v>1.3204247065316662E-2</v>
      </c>
    </row>
    <row r="85" spans="1:21" x14ac:dyDescent="0.2">
      <c r="A85" s="45">
        <f>'Monthly Data'!A85</f>
        <v>42705</v>
      </c>
      <c r="B85" s="29">
        <f t="shared" si="58"/>
        <v>2016</v>
      </c>
      <c r="C85" s="29">
        <f t="shared" si="59"/>
        <v>12</v>
      </c>
      <c r="D85" s="44">
        <f>'Monthly Data'!E85</f>
        <v>44072140.984221287</v>
      </c>
      <c r="E85" s="46">
        <f t="shared" ref="E85:F85" ca="1" si="82">E73</f>
        <v>351.65000000000003</v>
      </c>
      <c r="F85" s="46">
        <f t="shared" ca="1" si="82"/>
        <v>0</v>
      </c>
      <c r="G85" s="29">
        <f>'Monthly Data'!BG85</f>
        <v>84</v>
      </c>
      <c r="H85" s="29">
        <f>'Monthly Data'!W85</f>
        <v>7028.8</v>
      </c>
      <c r="I85" s="29">
        <f>'Monthly Data'!BF85</f>
        <v>0</v>
      </c>
      <c r="K85" s="29">
        <f>'Res PW'!$B$6</f>
        <v>-4.4351669087570498</v>
      </c>
      <c r="L85" s="29">
        <f ca="1">E85*'Res PW'!$B$7</f>
        <v>2.7811774502195097</v>
      </c>
      <c r="M85" s="29">
        <f ca="1">F85*'Res PW'!$B$8</f>
        <v>0</v>
      </c>
      <c r="N85" s="29">
        <f>G85*'Res PW'!$B$9</f>
        <v>-3.7416105637072259</v>
      </c>
      <c r="O85" s="163">
        <f>H85*'Res PW'!$B$10</f>
        <v>29.202494243551822</v>
      </c>
      <c r="P85" s="29">
        <f>I85*'Res PW'!$B$11</f>
        <v>0</v>
      </c>
      <c r="Q85" s="44">
        <f>'Monthly Data'!F85</f>
        <v>60353</v>
      </c>
      <c r="R85" s="46">
        <f>'Monthly Data'!BH85</f>
        <v>31</v>
      </c>
      <c r="S85" s="44">
        <f t="shared" ca="1" si="63"/>
        <v>44541342.095094882</v>
      </c>
      <c r="T85" s="44">
        <f t="shared" ca="1" si="64"/>
        <v>469201.11087359488</v>
      </c>
      <c r="U85" s="48">
        <f t="shared" ca="1" si="65"/>
        <v>1.064620643325629E-2</v>
      </c>
    </row>
    <row r="86" spans="1:21" x14ac:dyDescent="0.2">
      <c r="A86" s="45">
        <f>'Monthly Data'!A86</f>
        <v>42736</v>
      </c>
      <c r="B86" s="29">
        <f t="shared" si="58"/>
        <v>2017</v>
      </c>
      <c r="C86" s="29">
        <f t="shared" si="59"/>
        <v>1</v>
      </c>
      <c r="D86" s="44">
        <f>'Monthly Data'!E86</f>
        <v>45513379.429172598</v>
      </c>
      <c r="E86" s="46">
        <f t="shared" ref="E86:F86" ca="1" si="83">E74</f>
        <v>477.14</v>
      </c>
      <c r="F86" s="46">
        <f t="shared" ca="1" si="83"/>
        <v>0</v>
      </c>
      <c r="G86" s="29">
        <f>'Monthly Data'!BG86</f>
        <v>85</v>
      </c>
      <c r="H86" s="29">
        <f>'Monthly Data'!W86</f>
        <v>7045.6</v>
      </c>
      <c r="I86" s="29">
        <f>'Monthly Data'!BF86</f>
        <v>0</v>
      </c>
      <c r="K86" s="29">
        <f>'Res PW'!$B$6</f>
        <v>-4.4351669087570498</v>
      </c>
      <c r="L86" s="29">
        <f ca="1">E86*'Res PW'!$B$7</f>
        <v>3.7736698666223143</v>
      </c>
      <c r="M86" s="29">
        <f ca="1">F86*'Res PW'!$B$8</f>
        <v>0</v>
      </c>
      <c r="N86" s="29">
        <f>G86*'Res PW'!$B$9</f>
        <v>-3.7861535466085026</v>
      </c>
      <c r="O86" s="163">
        <f>H86*'Res PW'!$B$10</f>
        <v>29.272293057473355</v>
      </c>
      <c r="P86" s="29">
        <f>I86*'Res PW'!$B$11</f>
        <v>0</v>
      </c>
      <c r="Q86" s="44">
        <f>'Monthly Data'!F86</f>
        <v>60357</v>
      </c>
      <c r="R86" s="46">
        <f>'Monthly Data'!BH86</f>
        <v>31</v>
      </c>
      <c r="S86" s="44">
        <f t="shared" ca="1" si="63"/>
        <v>46448569.310039461</v>
      </c>
      <c r="T86" s="44">
        <f t="shared" ca="1" si="64"/>
        <v>935189.88086686283</v>
      </c>
      <c r="U86" s="48">
        <f t="shared" ca="1" si="65"/>
        <v>2.0547581669302203E-2</v>
      </c>
    </row>
    <row r="87" spans="1:21" x14ac:dyDescent="0.2">
      <c r="A87" s="45">
        <f>'Monthly Data'!A87</f>
        <v>42767</v>
      </c>
      <c r="B87" s="29">
        <f t="shared" si="58"/>
        <v>2017</v>
      </c>
      <c r="C87" s="29">
        <f t="shared" si="59"/>
        <v>2</v>
      </c>
      <c r="D87" s="44">
        <f>'Monthly Data'!E87</f>
        <v>39003386.429172598</v>
      </c>
      <c r="E87" s="46">
        <f t="shared" ref="E87:F87" ca="1" si="84">E75</f>
        <v>417.05</v>
      </c>
      <c r="F87" s="46">
        <f t="shared" ca="1" si="84"/>
        <v>0</v>
      </c>
      <c r="G87" s="29">
        <f>'Monthly Data'!BG87</f>
        <v>86</v>
      </c>
      <c r="H87" s="29">
        <f>'Monthly Data'!W87</f>
        <v>7060.7</v>
      </c>
      <c r="I87" s="29">
        <f>'Monthly Data'!BF87</f>
        <v>0</v>
      </c>
      <c r="K87" s="29">
        <f>'Res PW'!$B$6</f>
        <v>-4.4351669087570498</v>
      </c>
      <c r="L87" s="29">
        <f ca="1">E87*'Res PW'!$B$7</f>
        <v>3.2984218842998621</v>
      </c>
      <c r="M87" s="29">
        <f ca="1">F87*'Res PW'!$B$8</f>
        <v>0</v>
      </c>
      <c r="N87" s="29">
        <f>G87*'Res PW'!$B$9</f>
        <v>-3.8306965295097788</v>
      </c>
      <c r="O87" s="163">
        <f>H87*'Res PW'!$B$10</f>
        <v>29.335028896176635</v>
      </c>
      <c r="P87" s="29">
        <f>I87*'Res PW'!$B$11</f>
        <v>0</v>
      </c>
      <c r="Q87" s="44">
        <f>'Monthly Data'!F87</f>
        <v>60440</v>
      </c>
      <c r="R87" s="46">
        <f>'Monthly Data'!BH87</f>
        <v>28</v>
      </c>
      <c r="S87" s="44">
        <f t="shared" ca="1" si="63"/>
        <v>41237755.410968259</v>
      </c>
      <c r="T87" s="44">
        <f t="shared" ca="1" si="64"/>
        <v>2234368.9817956612</v>
      </c>
      <c r="U87" s="48">
        <f t="shared" ca="1" si="65"/>
        <v>5.7286538076715923E-2</v>
      </c>
    </row>
    <row r="88" spans="1:21" x14ac:dyDescent="0.2">
      <c r="A88" s="45">
        <f>'Monthly Data'!A88</f>
        <v>42795</v>
      </c>
      <c r="B88" s="29">
        <f t="shared" si="58"/>
        <v>2017</v>
      </c>
      <c r="C88" s="29">
        <f t="shared" si="59"/>
        <v>3</v>
      </c>
      <c r="D88" s="44">
        <f>'Monthly Data'!E88</f>
        <v>40659453.429172598</v>
      </c>
      <c r="E88" s="46">
        <f t="shared" ref="E88:F88" ca="1" si="85">E76</f>
        <v>332.70999999999992</v>
      </c>
      <c r="F88" s="46">
        <f t="shared" ca="1" si="85"/>
        <v>3.0000000000000072E-2</v>
      </c>
      <c r="G88" s="29">
        <f>'Monthly Data'!BG88</f>
        <v>87</v>
      </c>
      <c r="H88" s="29">
        <f>'Monthly Data'!W88</f>
        <v>7074.2</v>
      </c>
      <c r="I88" s="29">
        <f>'Monthly Data'!BF88</f>
        <v>1</v>
      </c>
      <c r="K88" s="29">
        <f>'Res PW'!$B$6</f>
        <v>-4.4351669087570498</v>
      </c>
      <c r="L88" s="29">
        <f ca="1">E88*'Res PW'!$B$7</f>
        <v>2.6313821966800308</v>
      </c>
      <c r="M88" s="29">
        <f ca="1">F88*'Res PW'!$B$8</f>
        <v>1.1622930104603637E-3</v>
      </c>
      <c r="N88" s="29">
        <f>G88*'Res PW'!$B$9</f>
        <v>-3.8752395124110555</v>
      </c>
      <c r="O88" s="163">
        <f>H88*'Res PW'!$B$10</f>
        <v>29.391117228792151</v>
      </c>
      <c r="P88" s="29">
        <f>I88*'Res PW'!$B$11</f>
        <v>-1.18560218277844</v>
      </c>
      <c r="Q88" s="44">
        <f>'Monthly Data'!F88</f>
        <v>60475</v>
      </c>
      <c r="R88" s="46">
        <f>'Monthly Data'!BH88</f>
        <v>31</v>
      </c>
      <c r="S88" s="44">
        <f t="shared" ca="1" si="63"/>
        <v>42233154.485148683</v>
      </c>
      <c r="T88" s="44">
        <f t="shared" ca="1" si="64"/>
        <v>1573701.0559760854</v>
      </c>
      <c r="U88" s="48">
        <f t="shared" ca="1" si="65"/>
        <v>3.8704432136979404E-2</v>
      </c>
    </row>
    <row r="89" spans="1:21" x14ac:dyDescent="0.2">
      <c r="A89" s="45">
        <f>'Monthly Data'!A89</f>
        <v>42826</v>
      </c>
      <c r="B89" s="29">
        <f t="shared" si="58"/>
        <v>2017</v>
      </c>
      <c r="C89" s="29">
        <f t="shared" si="59"/>
        <v>4</v>
      </c>
      <c r="D89" s="44">
        <f>'Monthly Data'!E89</f>
        <v>36365950.429172598</v>
      </c>
      <c r="E89" s="46">
        <f t="shared" ref="E89:F89" ca="1" si="86">E77</f>
        <v>164.53999999999996</v>
      </c>
      <c r="F89" s="46">
        <f t="shared" ca="1" si="86"/>
        <v>1.45</v>
      </c>
      <c r="G89" s="29">
        <f>'Monthly Data'!BG89</f>
        <v>88</v>
      </c>
      <c r="H89" s="29">
        <f>'Monthly Data'!W89</f>
        <v>7074.8</v>
      </c>
      <c r="I89" s="29">
        <f>'Monthly Data'!BF89</f>
        <v>1</v>
      </c>
      <c r="K89" s="29">
        <f>'Res PW'!$B$6</f>
        <v>-4.4351669087570498</v>
      </c>
      <c r="L89" s="29">
        <f ca="1">E89*'Res PW'!$B$7</f>
        <v>1.3013363789538406</v>
      </c>
      <c r="M89" s="29">
        <f ca="1">F89*'Res PW'!$B$8</f>
        <v>5.617749550558411E-2</v>
      </c>
      <c r="N89" s="29">
        <f>G89*'Res PW'!$B$9</f>
        <v>-3.9197824953123321</v>
      </c>
      <c r="O89" s="163">
        <f>H89*'Res PW'!$B$10</f>
        <v>29.393610043575066</v>
      </c>
      <c r="P89" s="29">
        <f>I89*'Res PW'!$B$11</f>
        <v>-1.18560218277844</v>
      </c>
      <c r="Q89" s="44">
        <f>'Monthly Data'!F89</f>
        <v>60471</v>
      </c>
      <c r="R89" s="46">
        <f>'Monthly Data'!BH89</f>
        <v>30</v>
      </c>
      <c r="S89" s="44">
        <f t="shared" ca="1" si="63"/>
        <v>38478735.583175674</v>
      </c>
      <c r="T89" s="44">
        <f t="shared" ca="1" si="64"/>
        <v>2112785.1540030763</v>
      </c>
      <c r="U89" s="48">
        <f t="shared" ca="1" si="65"/>
        <v>5.8097894570856859E-2</v>
      </c>
    </row>
    <row r="90" spans="1:21" x14ac:dyDescent="0.2">
      <c r="A90" s="45">
        <f>'Monthly Data'!A90</f>
        <v>42856</v>
      </c>
      <c r="B90" s="29">
        <f t="shared" si="58"/>
        <v>2017</v>
      </c>
      <c r="C90" s="29">
        <f t="shared" si="59"/>
        <v>5</v>
      </c>
      <c r="D90" s="44">
        <f>'Monthly Data'!E90</f>
        <v>39252711.429172598</v>
      </c>
      <c r="E90" s="46">
        <f t="shared" ref="E90:F90" ca="1" si="87">E78</f>
        <v>35.92</v>
      </c>
      <c r="F90" s="46">
        <f t="shared" ca="1" si="87"/>
        <v>50.69</v>
      </c>
      <c r="G90" s="29">
        <f>'Monthly Data'!BG90</f>
        <v>89</v>
      </c>
      <c r="H90" s="29">
        <f>'Monthly Data'!W90</f>
        <v>7080.7</v>
      </c>
      <c r="I90" s="29">
        <f>'Monthly Data'!BF90</f>
        <v>1</v>
      </c>
      <c r="K90" s="29">
        <f>'Res PW'!$B$6</f>
        <v>-4.4351669087570498</v>
      </c>
      <c r="L90" s="29">
        <f ca="1">E90*'Res PW'!$B$7</f>
        <v>0.28408899192914772</v>
      </c>
      <c r="M90" s="29">
        <f ca="1">F90*'Res PW'!$B$8</f>
        <v>1.9638877566745232</v>
      </c>
      <c r="N90" s="29">
        <f>G90*'Res PW'!$B$9</f>
        <v>-3.9643254782136084</v>
      </c>
      <c r="O90" s="163">
        <f>H90*'Res PW'!$B$10</f>
        <v>29.418122722273697</v>
      </c>
      <c r="P90" s="29">
        <f>I90*'Res PW'!$B$11</f>
        <v>-1.18560218277844</v>
      </c>
      <c r="Q90" s="44">
        <f>'Monthly Data'!F90</f>
        <v>60529</v>
      </c>
      <c r="R90" s="46">
        <f>'Monthly Data'!BH90</f>
        <v>31</v>
      </c>
      <c r="S90" s="44">
        <f t="shared" ca="1" si="63"/>
        <v>41432775.515472189</v>
      </c>
      <c r="T90" s="44">
        <f t="shared" ca="1" si="64"/>
        <v>2180064.0862995908</v>
      </c>
      <c r="U90" s="48">
        <f t="shared" ca="1" si="65"/>
        <v>5.5539197342667344E-2</v>
      </c>
    </row>
    <row r="91" spans="1:21" x14ac:dyDescent="0.2">
      <c r="A91" s="45">
        <f>'Monthly Data'!A91</f>
        <v>42887</v>
      </c>
      <c r="B91" s="29">
        <f t="shared" si="58"/>
        <v>2017</v>
      </c>
      <c r="C91" s="29">
        <f t="shared" si="59"/>
        <v>6</v>
      </c>
      <c r="D91" s="44">
        <f>'Monthly Data'!E91</f>
        <v>47628949.429172598</v>
      </c>
      <c r="E91" s="46">
        <f t="shared" ref="E91:F91" ca="1" si="88">E79</f>
        <v>0.37999999999999989</v>
      </c>
      <c r="F91" s="46">
        <f t="shared" ca="1" si="88"/>
        <v>145.17999999999998</v>
      </c>
      <c r="G91" s="29">
        <f>'Monthly Data'!BG91</f>
        <v>90</v>
      </c>
      <c r="H91" s="29">
        <f>'Monthly Data'!W91</f>
        <v>7085.4</v>
      </c>
      <c r="I91" s="29">
        <f>'Monthly Data'!BF91</f>
        <v>0</v>
      </c>
      <c r="K91" s="29">
        <f>'Res PW'!$B$6</f>
        <v>-4.4351669087570498</v>
      </c>
      <c r="L91" s="29">
        <f ca="1">E91*'Res PW'!$B$7</f>
        <v>3.0053957943506709E-3</v>
      </c>
      <c r="M91" s="29">
        <f ca="1">F91*'Res PW'!$B$8</f>
        <v>5.6247233086211725</v>
      </c>
      <c r="N91" s="29">
        <f>G91*'Res PW'!$B$9</f>
        <v>-4.0088684611148846</v>
      </c>
      <c r="O91" s="163">
        <f>H91*'Res PW'!$B$10</f>
        <v>29.437649771406509</v>
      </c>
      <c r="P91" s="29">
        <f>I91*'Res PW'!$B$11</f>
        <v>0</v>
      </c>
      <c r="Q91" s="44">
        <f>'Monthly Data'!F91</f>
        <v>60518</v>
      </c>
      <c r="R91" s="46">
        <f>'Monthly Data'!BH91</f>
        <v>30</v>
      </c>
      <c r="S91" s="44">
        <f t="shared" ca="1" si="63"/>
        <v>48332113.26257664</v>
      </c>
      <c r="T91" s="44">
        <f t="shared" ca="1" si="64"/>
        <v>703163.83340404183</v>
      </c>
      <c r="U91" s="48">
        <f t="shared" ca="1" si="65"/>
        <v>1.4763370635535285E-2</v>
      </c>
    </row>
    <row r="92" spans="1:21" x14ac:dyDescent="0.2">
      <c r="A92" s="45">
        <f>'Monthly Data'!A92</f>
        <v>42917</v>
      </c>
      <c r="B92" s="29">
        <f t="shared" si="58"/>
        <v>2017</v>
      </c>
      <c r="C92" s="29">
        <f t="shared" si="59"/>
        <v>7</v>
      </c>
      <c r="D92" s="44">
        <f>'Monthly Data'!E92</f>
        <v>55795384.429172598</v>
      </c>
      <c r="E92" s="46">
        <f t="shared" ref="E92:F92" ca="1" si="89">E80</f>
        <v>0</v>
      </c>
      <c r="F92" s="46">
        <f t="shared" ca="1" si="89"/>
        <v>268.18999999999994</v>
      </c>
      <c r="G92" s="29">
        <f>'Monthly Data'!BG92</f>
        <v>91</v>
      </c>
      <c r="H92" s="29">
        <f>'Monthly Data'!W92</f>
        <v>7099.9</v>
      </c>
      <c r="I92" s="29">
        <f>'Monthly Data'!BF92</f>
        <v>0</v>
      </c>
      <c r="K92" s="29">
        <f>'Res PW'!$B$6</f>
        <v>-4.4351669087570498</v>
      </c>
      <c r="L92" s="29">
        <f ca="1">E92*'Res PW'!$B$7</f>
        <v>0</v>
      </c>
      <c r="M92" s="29">
        <f ca="1">F92*'Res PW'!$B$8</f>
        <v>10.390512082512139</v>
      </c>
      <c r="N92" s="29">
        <f>G92*'Res PW'!$B$9</f>
        <v>-4.0534114440161613</v>
      </c>
      <c r="O92" s="163">
        <f>H92*'Res PW'!$B$10</f>
        <v>29.497892795326877</v>
      </c>
      <c r="P92" s="29">
        <f>I92*'Res PW'!$B$11</f>
        <v>0</v>
      </c>
      <c r="Q92" s="44">
        <f>'Monthly Data'!F92</f>
        <v>60509</v>
      </c>
      <c r="R92" s="46">
        <f>'Monthly Data'!BH92</f>
        <v>31</v>
      </c>
      <c r="S92" s="44">
        <f t="shared" ca="1" si="63"/>
        <v>58899135.199361414</v>
      </c>
      <c r="T92" s="44">
        <f t="shared" ca="1" si="64"/>
        <v>3103750.7701888159</v>
      </c>
      <c r="U92" s="48">
        <f t="shared" ca="1" si="65"/>
        <v>5.562737495121587E-2</v>
      </c>
    </row>
    <row r="93" spans="1:21" x14ac:dyDescent="0.2">
      <c r="A93" s="45">
        <f>'Monthly Data'!A93</f>
        <v>42948</v>
      </c>
      <c r="B93" s="29">
        <f t="shared" si="58"/>
        <v>2017</v>
      </c>
      <c r="C93" s="29">
        <f t="shared" si="59"/>
        <v>8</v>
      </c>
      <c r="D93" s="44">
        <f>'Monthly Data'!E93</f>
        <v>52455350.429172598</v>
      </c>
      <c r="E93" s="46">
        <f t="shared" ref="E93:F93" ca="1" si="90">E81</f>
        <v>0</v>
      </c>
      <c r="F93" s="46">
        <f t="shared" ca="1" si="90"/>
        <v>239.59000000000006</v>
      </c>
      <c r="G93" s="29">
        <f>'Monthly Data'!BG93</f>
        <v>92</v>
      </c>
      <c r="H93" s="29">
        <f>'Monthly Data'!W93</f>
        <v>7121.3</v>
      </c>
      <c r="I93" s="29">
        <f>'Monthly Data'!BF93</f>
        <v>0</v>
      </c>
      <c r="K93" s="29">
        <f>'Res PW'!$B$6</f>
        <v>-4.4351669087570498</v>
      </c>
      <c r="L93" s="29">
        <f ca="1">E93*'Res PW'!$B$7</f>
        <v>0</v>
      </c>
      <c r="M93" s="29">
        <f ca="1">F93*'Res PW'!$B$8</f>
        <v>9.2824594125399322</v>
      </c>
      <c r="N93" s="29">
        <f>G93*'Res PW'!$B$9</f>
        <v>-4.0979544269174379</v>
      </c>
      <c r="O93" s="163">
        <f>H93*'Res PW'!$B$10</f>
        <v>29.586803189250737</v>
      </c>
      <c r="P93" s="29">
        <f>I93*'Res PW'!$B$11</f>
        <v>0</v>
      </c>
      <c r="Q93" s="44">
        <f>'Monthly Data'!F93</f>
        <v>60503</v>
      </c>
      <c r="R93" s="46">
        <f>'Monthly Data'!BH93</f>
        <v>31</v>
      </c>
      <c r="S93" s="44">
        <f t="shared" ca="1" si="63"/>
        <v>56898254.205738649</v>
      </c>
      <c r="T93" s="44">
        <f t="shared" ca="1" si="64"/>
        <v>4442903.7765660509</v>
      </c>
      <c r="U93" s="48">
        <f t="shared" ca="1" si="65"/>
        <v>8.4698772197986646E-2</v>
      </c>
    </row>
    <row r="94" spans="1:21" x14ac:dyDescent="0.2">
      <c r="A94" s="45">
        <f>'Monthly Data'!A94</f>
        <v>42979</v>
      </c>
      <c r="B94" s="29">
        <f t="shared" si="58"/>
        <v>2017</v>
      </c>
      <c r="C94" s="29">
        <f t="shared" si="59"/>
        <v>9</v>
      </c>
      <c r="D94" s="44">
        <f>'Monthly Data'!E94</f>
        <v>45869313.429172598</v>
      </c>
      <c r="E94" s="46">
        <f t="shared" ref="E94:F94" ca="1" si="91">E82</f>
        <v>0.49000000000000005</v>
      </c>
      <c r="F94" s="46">
        <f t="shared" ca="1" si="91"/>
        <v>132.95000000000002</v>
      </c>
      <c r="G94" s="29">
        <f>'Monthly Data'!BG94</f>
        <v>93</v>
      </c>
      <c r="H94" s="29">
        <f>'Monthly Data'!W94</f>
        <v>7150.1</v>
      </c>
      <c r="I94" s="29">
        <f>'Monthly Data'!BF94</f>
        <v>1</v>
      </c>
      <c r="K94" s="29">
        <f>'Res PW'!$B$6</f>
        <v>-4.4351669087570498</v>
      </c>
      <c r="L94" s="29">
        <f ca="1">E94*'Res PW'!$B$7</f>
        <v>3.8753787874521821E-3</v>
      </c>
      <c r="M94" s="29">
        <f ca="1">F94*'Res PW'!$B$8</f>
        <v>5.1508951913568337</v>
      </c>
      <c r="N94" s="29">
        <f>G94*'Res PW'!$B$9</f>
        <v>-4.1424974098187146</v>
      </c>
      <c r="O94" s="163">
        <f>H94*'Res PW'!$B$10</f>
        <v>29.706458298830508</v>
      </c>
      <c r="P94" s="29">
        <f>I94*'Res PW'!$B$11</f>
        <v>-1.18560218277844</v>
      </c>
      <c r="Q94" s="44">
        <f>'Monthly Data'!F94</f>
        <v>60533</v>
      </c>
      <c r="R94" s="46">
        <f>'Monthly Data'!BH94</f>
        <v>30</v>
      </c>
      <c r="S94" s="44">
        <f t="shared" ca="1" si="63"/>
        <v>45577648.679975316</v>
      </c>
      <c r="T94" s="44">
        <f t="shared" ca="1" si="64"/>
        <v>-291664.7491972819</v>
      </c>
      <c r="U94" s="48">
        <f t="shared" ca="1" si="65"/>
        <v>6.3586028957604785E-3</v>
      </c>
    </row>
    <row r="95" spans="1:21" x14ac:dyDescent="0.2">
      <c r="A95" s="45">
        <f>'Monthly Data'!A95</f>
        <v>43009</v>
      </c>
      <c r="B95" s="29">
        <f t="shared" si="58"/>
        <v>2017</v>
      </c>
      <c r="C95" s="29">
        <f t="shared" si="59"/>
        <v>10</v>
      </c>
      <c r="D95" s="44">
        <f>'Monthly Data'!E95</f>
        <v>41241719.429172598</v>
      </c>
      <c r="E95" s="46">
        <f t="shared" ref="E95:F95" ca="1" si="92">E83</f>
        <v>53.33000000000002</v>
      </c>
      <c r="F95" s="46">
        <f t="shared" ca="1" si="92"/>
        <v>27.9</v>
      </c>
      <c r="G95" s="29">
        <f>'Monthly Data'!BG95</f>
        <v>94</v>
      </c>
      <c r="H95" s="29">
        <f>'Monthly Data'!W95</f>
        <v>7170.5</v>
      </c>
      <c r="I95" s="29">
        <f>'Monthly Data'!BF95</f>
        <v>1</v>
      </c>
      <c r="K95" s="29">
        <f>'Res PW'!$B$6</f>
        <v>-4.4351669087570498</v>
      </c>
      <c r="L95" s="29">
        <f ca="1">E95*'Res PW'!$B$7</f>
        <v>0.42178357292821411</v>
      </c>
      <c r="M95" s="29">
        <f ca="1">F95*'Res PW'!$B$8</f>
        <v>1.0809324997281358</v>
      </c>
      <c r="N95" s="29">
        <f>G95*'Res PW'!$B$9</f>
        <v>-4.1870403927199913</v>
      </c>
      <c r="O95" s="163">
        <f>H95*'Res PW'!$B$10</f>
        <v>29.791214001449511</v>
      </c>
      <c r="P95" s="29">
        <f>I95*'Res PW'!$B$11</f>
        <v>-1.18560218277844</v>
      </c>
      <c r="Q95" s="44">
        <f>'Monthly Data'!F95</f>
        <v>60537</v>
      </c>
      <c r="R95" s="46">
        <f>'Monthly Data'!BH95</f>
        <v>31</v>
      </c>
      <c r="S95" s="44">
        <f t="shared" ca="1" si="63"/>
        <v>40321863.746580943</v>
      </c>
      <c r="T95" s="44">
        <f t="shared" ca="1" si="64"/>
        <v>-919855.68259165436</v>
      </c>
      <c r="U95" s="48">
        <f t="shared" ca="1" si="65"/>
        <v>2.2304009030743477E-2</v>
      </c>
    </row>
    <row r="96" spans="1:21" x14ac:dyDescent="0.2">
      <c r="A96" s="45">
        <f>'Monthly Data'!A96</f>
        <v>43040</v>
      </c>
      <c r="B96" s="29">
        <f t="shared" si="58"/>
        <v>2017</v>
      </c>
      <c r="C96" s="29">
        <f t="shared" si="59"/>
        <v>11</v>
      </c>
      <c r="D96" s="44">
        <f>'Monthly Data'!E96</f>
        <v>39186241.429172598</v>
      </c>
      <c r="E96" s="46">
        <f t="shared" ref="E96:F96" ca="1" si="93">E84</f>
        <v>207.66000000000003</v>
      </c>
      <c r="F96" s="46">
        <f t="shared" ca="1" si="93"/>
        <v>0.69000000000000006</v>
      </c>
      <c r="G96" s="29">
        <f>'Monthly Data'!BG96</f>
        <v>95</v>
      </c>
      <c r="H96" s="29">
        <f>'Monthly Data'!W96</f>
        <v>7189.6</v>
      </c>
      <c r="I96" s="29">
        <f>'Monthly Data'!BF96</f>
        <v>1</v>
      </c>
      <c r="K96" s="29">
        <f>'Res PW'!$B$6</f>
        <v>-4.4351669087570498</v>
      </c>
      <c r="L96" s="29">
        <f ca="1">E96*'Res PW'!$B$7</f>
        <v>1.642369712249633</v>
      </c>
      <c r="M96" s="29">
        <f ca="1">F96*'Res PW'!$B$8</f>
        <v>2.6732739240588305E-2</v>
      </c>
      <c r="N96" s="29">
        <f>G96*'Res PW'!$B$9</f>
        <v>-4.2315833756212671</v>
      </c>
      <c r="O96" s="163">
        <f>H96*'Res PW'!$B$10</f>
        <v>29.87056860537221</v>
      </c>
      <c r="P96" s="29">
        <f>I96*'Res PW'!$B$11</f>
        <v>-1.18560218277844</v>
      </c>
      <c r="Q96" s="44">
        <f>'Monthly Data'!F96</f>
        <v>60558</v>
      </c>
      <c r="R96" s="46">
        <f>'Monthly Data'!BH96</f>
        <v>30</v>
      </c>
      <c r="S96" s="44">
        <f t="shared" ca="1" si="63"/>
        <v>39400219.17466189</v>
      </c>
      <c r="T96" s="44">
        <f t="shared" ca="1" si="64"/>
        <v>213977.74548929185</v>
      </c>
      <c r="U96" s="48">
        <f t="shared" ca="1" si="65"/>
        <v>5.4605325156291701E-3</v>
      </c>
    </row>
    <row r="97" spans="1:21" x14ac:dyDescent="0.2">
      <c r="A97" s="45">
        <f>'Monthly Data'!A97</f>
        <v>43070</v>
      </c>
      <c r="B97" s="29">
        <f t="shared" si="58"/>
        <v>2017</v>
      </c>
      <c r="C97" s="29">
        <f t="shared" si="59"/>
        <v>12</v>
      </c>
      <c r="D97" s="44">
        <f>'Monthly Data'!E97</f>
        <v>47203108.429172598</v>
      </c>
      <c r="E97" s="46">
        <f t="shared" ref="E97:F97" ca="1" si="94">E85</f>
        <v>351.65000000000003</v>
      </c>
      <c r="F97" s="46">
        <f t="shared" ca="1" si="94"/>
        <v>0</v>
      </c>
      <c r="G97" s="29">
        <f>'Monthly Data'!BG97</f>
        <v>96</v>
      </c>
      <c r="H97" s="29">
        <f>'Monthly Data'!W97</f>
        <v>7203.1</v>
      </c>
      <c r="I97" s="29">
        <f>'Monthly Data'!BF97</f>
        <v>0</v>
      </c>
      <c r="K97" s="29">
        <f>'Res PW'!$B$6</f>
        <v>-4.4351669087570498</v>
      </c>
      <c r="L97" s="29">
        <f ca="1">E97*'Res PW'!$B$7</f>
        <v>2.7811774502195097</v>
      </c>
      <c r="M97" s="29">
        <f ca="1">F97*'Res PW'!$B$8</f>
        <v>0</v>
      </c>
      <c r="N97" s="29">
        <f>G97*'Res PW'!$B$9</f>
        <v>-4.2761263585225437</v>
      </c>
      <c r="O97" s="163">
        <f>H97*'Res PW'!$B$10</f>
        <v>29.926656937987726</v>
      </c>
      <c r="P97" s="29">
        <f>I97*'Res PW'!$B$11</f>
        <v>0</v>
      </c>
      <c r="Q97" s="44">
        <f>'Monthly Data'!F97</f>
        <v>60594</v>
      </c>
      <c r="R97" s="46">
        <f>'Monthly Data'!BH97</f>
        <v>31</v>
      </c>
      <c r="S97" s="44">
        <f t="shared" ca="1" si="63"/>
        <v>45075438.793126173</v>
      </c>
      <c r="T97" s="44">
        <f t="shared" ca="1" si="64"/>
        <v>-2127669.6360464245</v>
      </c>
      <c r="U97" s="48">
        <f t="shared" ca="1" si="65"/>
        <v>4.5074778057020419E-2</v>
      </c>
    </row>
    <row r="98" spans="1:21" x14ac:dyDescent="0.2">
      <c r="A98" s="45">
        <f>'Monthly Data'!A98</f>
        <v>43101</v>
      </c>
      <c r="B98" s="29">
        <f t="shared" si="58"/>
        <v>2018</v>
      </c>
      <c r="C98" s="29">
        <f t="shared" si="59"/>
        <v>1</v>
      </c>
      <c r="D98" s="44">
        <f>'Monthly Data'!E98</f>
        <v>48558249.221446835</v>
      </c>
      <c r="E98" s="46">
        <f t="shared" ref="E98:F98" ca="1" si="95">E86</f>
        <v>477.14</v>
      </c>
      <c r="F98" s="46">
        <f t="shared" ca="1" si="95"/>
        <v>0</v>
      </c>
      <c r="G98" s="29">
        <f>'Monthly Data'!BG98</f>
        <v>97</v>
      </c>
      <c r="H98" s="29">
        <f>'Monthly Data'!W98</f>
        <v>7199.8</v>
      </c>
      <c r="I98" s="29">
        <f>'Monthly Data'!BF98</f>
        <v>0</v>
      </c>
      <c r="K98" s="29">
        <f>'Res PW'!$B$6</f>
        <v>-4.4351669087570498</v>
      </c>
      <c r="L98" s="29">
        <f ca="1">E98*'Res PW'!$B$7</f>
        <v>3.7736698666223143</v>
      </c>
      <c r="M98" s="29">
        <f ca="1">F98*'Res PW'!$B$8</f>
        <v>0</v>
      </c>
      <c r="N98" s="29">
        <f>G98*'Res PW'!$B$9</f>
        <v>-4.3206693414238204</v>
      </c>
      <c r="O98" s="163">
        <f>H98*'Res PW'!$B$10</f>
        <v>29.912946456681709</v>
      </c>
      <c r="P98" s="29">
        <f>I98*'Res PW'!$B$11</f>
        <v>0</v>
      </c>
      <c r="Q98" s="44">
        <f>'Monthly Data'!F98</f>
        <v>60779</v>
      </c>
      <c r="R98" s="46">
        <f>'Monthly Data'!BH98</f>
        <v>31</v>
      </c>
      <c r="S98" s="44">
        <f t="shared" ca="1" si="63"/>
        <v>46973304.343994915</v>
      </c>
      <c r="T98" s="44">
        <f t="shared" ca="1" si="64"/>
        <v>-1584944.877451919</v>
      </c>
      <c r="U98" s="48">
        <f t="shared" ca="1" si="65"/>
        <v>3.2640074608618563E-2</v>
      </c>
    </row>
    <row r="99" spans="1:21" x14ac:dyDescent="0.2">
      <c r="A99" s="45">
        <f>'Monthly Data'!A99</f>
        <v>43132</v>
      </c>
      <c r="B99" s="29">
        <f t="shared" si="58"/>
        <v>2018</v>
      </c>
      <c r="C99" s="29">
        <f t="shared" si="59"/>
        <v>2</v>
      </c>
      <c r="D99" s="44">
        <f>'Monthly Data'!E99</f>
        <v>40484738.221446835</v>
      </c>
      <c r="E99" s="46">
        <f t="shared" ref="E99:F99" ca="1" si="96">E87</f>
        <v>417.05</v>
      </c>
      <c r="F99" s="46">
        <f t="shared" ca="1" si="96"/>
        <v>0</v>
      </c>
      <c r="G99" s="29">
        <f>'Monthly Data'!BG99</f>
        <v>98</v>
      </c>
      <c r="H99" s="29">
        <f>'Monthly Data'!W99</f>
        <v>7189.2</v>
      </c>
      <c r="I99" s="29">
        <f>'Monthly Data'!BF99</f>
        <v>0</v>
      </c>
      <c r="K99" s="29">
        <f>'Res PW'!$B$6</f>
        <v>-4.4351669087570498</v>
      </c>
      <c r="L99" s="29">
        <f ca="1">E99*'Res PW'!$B$7</f>
        <v>3.2984218842998621</v>
      </c>
      <c r="M99" s="29">
        <f ca="1">F99*'Res PW'!$B$8</f>
        <v>0</v>
      </c>
      <c r="N99" s="29">
        <f>G99*'Res PW'!$B$9</f>
        <v>-4.3652123243250971</v>
      </c>
      <c r="O99" s="163">
        <f>H99*'Res PW'!$B$10</f>
        <v>29.868906728850266</v>
      </c>
      <c r="P99" s="29">
        <f>I99*'Res PW'!$B$11</f>
        <v>0</v>
      </c>
      <c r="Q99" s="44">
        <f>'Monthly Data'!F99</f>
        <v>60797</v>
      </c>
      <c r="R99" s="46">
        <f>'Monthly Data'!BH99</f>
        <v>28</v>
      </c>
      <c r="S99" s="44">
        <f t="shared" ca="1" si="63"/>
        <v>41480247.800879806</v>
      </c>
      <c r="T99" s="44">
        <f t="shared" ca="1" si="64"/>
        <v>995509.57943297178</v>
      </c>
      <c r="U99" s="48">
        <f t="shared" ca="1" si="65"/>
        <v>2.4589749697469934E-2</v>
      </c>
    </row>
    <row r="100" spans="1:21" x14ac:dyDescent="0.2">
      <c r="A100" s="45">
        <f>'Monthly Data'!A100</f>
        <v>43160</v>
      </c>
      <c r="B100" s="29">
        <f t="shared" si="58"/>
        <v>2018</v>
      </c>
      <c r="C100" s="29">
        <f t="shared" si="59"/>
        <v>3</v>
      </c>
      <c r="D100" s="44">
        <f>'Monthly Data'!E100</f>
        <v>41820516.221446835</v>
      </c>
      <c r="E100" s="46">
        <f t="shared" ref="E100:F100" ca="1" si="97">E88</f>
        <v>332.70999999999992</v>
      </c>
      <c r="F100" s="46">
        <f t="shared" ca="1" si="97"/>
        <v>3.0000000000000072E-2</v>
      </c>
      <c r="G100" s="29">
        <f>'Monthly Data'!BG100</f>
        <v>99</v>
      </c>
      <c r="H100" s="29">
        <f>'Monthly Data'!W100</f>
        <v>7185</v>
      </c>
      <c r="I100" s="29">
        <f>'Monthly Data'!BF100</f>
        <v>1</v>
      </c>
      <c r="K100" s="29">
        <f>'Res PW'!$B$6</f>
        <v>-4.4351669087570498</v>
      </c>
      <c r="L100" s="29">
        <f ca="1">E100*'Res PW'!$B$7</f>
        <v>2.6313821966800308</v>
      </c>
      <c r="M100" s="29">
        <f ca="1">F100*'Res PW'!$B$8</f>
        <v>1.1622930104603637E-3</v>
      </c>
      <c r="N100" s="29">
        <f>G100*'Res PW'!$B$9</f>
        <v>-4.4097553072263738</v>
      </c>
      <c r="O100" s="163">
        <f>H100*'Res PW'!$B$10</f>
        <v>29.851457025369882</v>
      </c>
      <c r="P100" s="29">
        <f>I100*'Res PW'!$B$11</f>
        <v>-1.18560218277844</v>
      </c>
      <c r="Q100" s="44">
        <f>'Monthly Data'!F100</f>
        <v>60798</v>
      </c>
      <c r="R100" s="46">
        <f>'Monthly Data'!BH100</f>
        <v>31</v>
      </c>
      <c r="S100" s="44">
        <f t="shared" ca="1" si="63"/>
        <v>42318921.553218223</v>
      </c>
      <c r="T100" s="44">
        <f t="shared" ca="1" si="64"/>
        <v>498405.33177138865</v>
      </c>
      <c r="U100" s="48">
        <f t="shared" ca="1" si="65"/>
        <v>1.1917723089123209E-2</v>
      </c>
    </row>
    <row r="101" spans="1:21" x14ac:dyDescent="0.2">
      <c r="A101" s="45">
        <f>'Monthly Data'!A101</f>
        <v>43191</v>
      </c>
      <c r="B101" s="29">
        <f t="shared" si="58"/>
        <v>2018</v>
      </c>
      <c r="C101" s="29">
        <f t="shared" si="59"/>
        <v>4</v>
      </c>
      <c r="D101" s="44">
        <f>'Monthly Data'!E101</f>
        <v>38864052.221446835</v>
      </c>
      <c r="E101" s="46">
        <f t="shared" ref="E101:F101" ca="1" si="98">E89</f>
        <v>164.53999999999996</v>
      </c>
      <c r="F101" s="46">
        <f t="shared" ca="1" si="98"/>
        <v>1.45</v>
      </c>
      <c r="G101" s="29">
        <f>'Monthly Data'!BG101</f>
        <v>100</v>
      </c>
      <c r="H101" s="29">
        <f>'Monthly Data'!W101</f>
        <v>7198.2</v>
      </c>
      <c r="I101" s="29">
        <f>'Monthly Data'!BF101</f>
        <v>1</v>
      </c>
      <c r="K101" s="29">
        <f>'Res PW'!$B$6</f>
        <v>-4.4351669087570498</v>
      </c>
      <c r="L101" s="29">
        <f ca="1">E101*'Res PW'!$B$7</f>
        <v>1.3013363789538406</v>
      </c>
      <c r="M101" s="29">
        <f ca="1">F101*'Res PW'!$B$8</f>
        <v>5.617749550558411E-2</v>
      </c>
      <c r="N101" s="29">
        <f>G101*'Res PW'!$B$9</f>
        <v>-4.4542982901276496</v>
      </c>
      <c r="O101" s="163">
        <f>H101*'Res PW'!$B$10</f>
        <v>29.906298950593943</v>
      </c>
      <c r="P101" s="29">
        <f>I101*'Res PW'!$B$11</f>
        <v>-1.18560218277844</v>
      </c>
      <c r="Q101" s="44">
        <f>'Monthly Data'!F101</f>
        <v>60792</v>
      </c>
      <c r="R101" s="46">
        <f>'Monthly Data'!BH101</f>
        <v>30</v>
      </c>
      <c r="S101" s="44">
        <f t="shared" ca="1" si="63"/>
        <v>38643186.389837362</v>
      </c>
      <c r="T101" s="44">
        <f t="shared" ca="1" si="64"/>
        <v>-220865.83160947263</v>
      </c>
      <c r="U101" s="48">
        <f t="shared" ca="1" si="65"/>
        <v>5.6830366105670646E-3</v>
      </c>
    </row>
    <row r="102" spans="1:21" x14ac:dyDescent="0.2">
      <c r="A102" s="45">
        <f>'Monthly Data'!A102</f>
        <v>43221</v>
      </c>
      <c r="B102" s="29">
        <f t="shared" si="58"/>
        <v>2018</v>
      </c>
      <c r="C102" s="29">
        <f t="shared" si="59"/>
        <v>5</v>
      </c>
      <c r="D102" s="44">
        <f>'Monthly Data'!E102</f>
        <v>41888482.221446835</v>
      </c>
      <c r="E102" s="46">
        <f t="shared" ref="E102:F102" ca="1" si="99">E90</f>
        <v>35.92</v>
      </c>
      <c r="F102" s="46">
        <f t="shared" ca="1" si="99"/>
        <v>50.69</v>
      </c>
      <c r="G102" s="29">
        <f>'Monthly Data'!BG102</f>
        <v>101</v>
      </c>
      <c r="H102" s="29">
        <f>'Monthly Data'!W102</f>
        <v>7208.1</v>
      </c>
      <c r="I102" s="29">
        <f>'Monthly Data'!BF102</f>
        <v>1</v>
      </c>
      <c r="K102" s="29">
        <f>'Res PW'!$B$6</f>
        <v>-4.4351669087570498</v>
      </c>
      <c r="L102" s="29">
        <f ca="1">E102*'Res PW'!$B$7</f>
        <v>0.28408899192914772</v>
      </c>
      <c r="M102" s="29">
        <f ca="1">F102*'Res PW'!$B$8</f>
        <v>1.9638877566745232</v>
      </c>
      <c r="N102" s="29">
        <f>G102*'Res PW'!$B$9</f>
        <v>-4.4988412730289262</v>
      </c>
      <c r="O102" s="163">
        <f>H102*'Res PW'!$B$10</f>
        <v>29.94743039451199</v>
      </c>
      <c r="P102" s="29">
        <f>I102*'Res PW'!$B$11</f>
        <v>-1.18560218277844</v>
      </c>
      <c r="Q102" s="44">
        <f>'Monthly Data'!F102</f>
        <v>60822</v>
      </c>
      <c r="R102" s="46">
        <f>'Monthly Data'!BH102</f>
        <v>31</v>
      </c>
      <c r="S102" s="44">
        <f t="shared" ca="1" si="63"/>
        <v>41623517.46161636</v>
      </c>
      <c r="T102" s="44">
        <f t="shared" ca="1" si="64"/>
        <v>-264964.75983047485</v>
      </c>
      <c r="U102" s="48">
        <f t="shared" ca="1" si="65"/>
        <v>6.3254800789801198E-3</v>
      </c>
    </row>
    <row r="103" spans="1:21" x14ac:dyDescent="0.2">
      <c r="A103" s="45">
        <f>'Monthly Data'!A103</f>
        <v>43252</v>
      </c>
      <c r="B103" s="29">
        <f t="shared" si="58"/>
        <v>2018</v>
      </c>
      <c r="C103" s="29">
        <f t="shared" si="59"/>
        <v>6</v>
      </c>
      <c r="D103" s="44">
        <f>'Monthly Data'!E103</f>
        <v>52737558.221446835</v>
      </c>
      <c r="E103" s="46">
        <f t="shared" ref="E103:F103" ca="1" si="100">E91</f>
        <v>0.37999999999999989</v>
      </c>
      <c r="F103" s="46">
        <f t="shared" ca="1" si="100"/>
        <v>145.17999999999998</v>
      </c>
      <c r="G103" s="29">
        <f>'Monthly Data'!BG103</f>
        <v>102</v>
      </c>
      <c r="H103" s="29">
        <f>'Monthly Data'!W103</f>
        <v>7224.1</v>
      </c>
      <c r="I103" s="29">
        <f>'Monthly Data'!BF103</f>
        <v>0</v>
      </c>
      <c r="K103" s="29">
        <f>'Res PW'!$B$6</f>
        <v>-4.4351669087570498</v>
      </c>
      <c r="L103" s="29">
        <f ca="1">E103*'Res PW'!$B$7</f>
        <v>3.0053957943506709E-3</v>
      </c>
      <c r="M103" s="29">
        <f ca="1">F103*'Res PW'!$B$8</f>
        <v>5.6247233086211725</v>
      </c>
      <c r="N103" s="29">
        <f>G103*'Res PW'!$B$9</f>
        <v>-4.5433842559302029</v>
      </c>
      <c r="O103" s="163">
        <f>H103*'Res PW'!$B$10</f>
        <v>30.013905455389644</v>
      </c>
      <c r="P103" s="29">
        <f>I103*'Res PW'!$B$11</f>
        <v>0</v>
      </c>
      <c r="Q103" s="44">
        <f>'Monthly Data'!F103</f>
        <v>60920</v>
      </c>
      <c r="R103" s="46">
        <f>'Monthly Data'!BH103</f>
        <v>30</v>
      </c>
      <c r="S103" s="44">
        <f t="shared" ca="1" si="63"/>
        <v>48729450.481877498</v>
      </c>
      <c r="T103" s="44">
        <f t="shared" ca="1" si="64"/>
        <v>-4008107.7395693362</v>
      </c>
      <c r="U103" s="48">
        <f t="shared" ca="1" si="65"/>
        <v>7.6001010944404229E-2</v>
      </c>
    </row>
    <row r="104" spans="1:21" x14ac:dyDescent="0.2">
      <c r="A104" s="45">
        <f>'Monthly Data'!A104</f>
        <v>43282</v>
      </c>
      <c r="B104" s="29">
        <f t="shared" si="58"/>
        <v>2018</v>
      </c>
      <c r="C104" s="29">
        <f t="shared" si="59"/>
        <v>7</v>
      </c>
      <c r="D104" s="44">
        <f>'Monthly Data'!E104</f>
        <v>65508403.221446835</v>
      </c>
      <c r="E104" s="46">
        <f t="shared" ref="E104:F104" ca="1" si="101">E92</f>
        <v>0</v>
      </c>
      <c r="F104" s="46">
        <f t="shared" ca="1" si="101"/>
        <v>268.18999999999994</v>
      </c>
      <c r="G104" s="29">
        <f>'Monthly Data'!BG104</f>
        <v>103</v>
      </c>
      <c r="H104" s="29">
        <f>'Monthly Data'!W104</f>
        <v>7258.6</v>
      </c>
      <c r="I104" s="29">
        <f>'Monthly Data'!BF104</f>
        <v>0</v>
      </c>
      <c r="K104" s="29">
        <f>'Res PW'!$B$6</f>
        <v>-4.4351669087570498</v>
      </c>
      <c r="L104" s="29">
        <f ca="1">E104*'Res PW'!$B$7</f>
        <v>0</v>
      </c>
      <c r="M104" s="29">
        <f ca="1">F104*'Res PW'!$B$8</f>
        <v>10.390512082512139</v>
      </c>
      <c r="N104" s="29">
        <f>G104*'Res PW'!$B$9</f>
        <v>-4.5879272388314796</v>
      </c>
      <c r="O104" s="163">
        <f>H104*'Res PW'!$B$10</f>
        <v>30.157242305407078</v>
      </c>
      <c r="P104" s="29">
        <f>I104*'Res PW'!$B$11</f>
        <v>0</v>
      </c>
      <c r="Q104" s="44">
        <f>'Monthly Data'!F104</f>
        <v>60944</v>
      </c>
      <c r="R104" s="46">
        <f>'Monthly Data'!BH104</f>
        <v>31</v>
      </c>
      <c r="S104" s="44">
        <f t="shared" ca="1" si="63"/>
        <v>59558405.70428811</v>
      </c>
      <c r="T104" s="44">
        <f t="shared" ca="1" si="64"/>
        <v>-5949997.5171587244</v>
      </c>
      <c r="U104" s="48">
        <f t="shared" ca="1" si="65"/>
        <v>9.0828004111856459E-2</v>
      </c>
    </row>
    <row r="105" spans="1:21" x14ac:dyDescent="0.2">
      <c r="A105" s="45">
        <f>'Monthly Data'!A105</f>
        <v>43313</v>
      </c>
      <c r="B105" s="29">
        <f t="shared" si="58"/>
        <v>2018</v>
      </c>
      <c r="C105" s="29">
        <f t="shared" si="59"/>
        <v>8</v>
      </c>
      <c r="D105" s="44">
        <f>'Monthly Data'!E105</f>
        <v>63722566.221446835</v>
      </c>
      <c r="E105" s="46">
        <f t="shared" ref="E105:F105" ca="1" si="102">E93</f>
        <v>0</v>
      </c>
      <c r="F105" s="46">
        <f t="shared" ca="1" si="102"/>
        <v>239.59000000000006</v>
      </c>
      <c r="G105" s="29">
        <f>'Monthly Data'!BG105</f>
        <v>104</v>
      </c>
      <c r="H105" s="29">
        <f>'Monthly Data'!W105</f>
        <v>7264.8</v>
      </c>
      <c r="I105" s="29">
        <f>'Monthly Data'!BF105</f>
        <v>0</v>
      </c>
      <c r="K105" s="29">
        <f>'Res PW'!$B$6</f>
        <v>-4.4351669087570498</v>
      </c>
      <c r="L105" s="29">
        <f ca="1">E105*'Res PW'!$B$7</f>
        <v>0</v>
      </c>
      <c r="M105" s="29">
        <f ca="1">F105*'Res PW'!$B$8</f>
        <v>9.2824594125399322</v>
      </c>
      <c r="N105" s="29">
        <f>G105*'Res PW'!$B$9</f>
        <v>-4.6324702217327562</v>
      </c>
      <c r="O105" s="163">
        <f>H105*'Res PW'!$B$10</f>
        <v>30.183001391497164</v>
      </c>
      <c r="P105" s="29">
        <f>I105*'Res PW'!$B$11</f>
        <v>0</v>
      </c>
      <c r="Q105" s="44">
        <f>'Monthly Data'!F105</f>
        <v>60940</v>
      </c>
      <c r="R105" s="46">
        <f>'Monthly Data'!BH105</f>
        <v>31</v>
      </c>
      <c r="S105" s="44">
        <f t="shared" ca="1" si="63"/>
        <v>57425744.614645131</v>
      </c>
      <c r="T105" s="44">
        <f t="shared" ca="1" si="64"/>
        <v>-6296821.6068017036</v>
      </c>
      <c r="U105" s="48">
        <f t="shared" ca="1" si="65"/>
        <v>9.8816196210917959E-2</v>
      </c>
    </row>
    <row r="106" spans="1:21" x14ac:dyDescent="0.2">
      <c r="A106" s="45">
        <f>'Monthly Data'!A106</f>
        <v>43344</v>
      </c>
      <c r="B106" s="29">
        <f t="shared" si="58"/>
        <v>2018</v>
      </c>
      <c r="C106" s="29">
        <f t="shared" si="59"/>
        <v>9</v>
      </c>
      <c r="D106" s="44">
        <f>'Monthly Data'!E106</f>
        <v>51294132.221446835</v>
      </c>
      <c r="E106" s="46">
        <f t="shared" ref="E106:F106" ca="1" si="103">E94</f>
        <v>0.49000000000000005</v>
      </c>
      <c r="F106" s="46">
        <f t="shared" ca="1" si="103"/>
        <v>132.95000000000002</v>
      </c>
      <c r="G106" s="29">
        <f>'Monthly Data'!BG106</f>
        <v>105</v>
      </c>
      <c r="H106" s="29">
        <f>'Monthly Data'!W106</f>
        <v>7268.1</v>
      </c>
      <c r="I106" s="29">
        <f>'Monthly Data'!BF106</f>
        <v>1</v>
      </c>
      <c r="K106" s="29">
        <f>'Res PW'!$B$6</f>
        <v>-4.4351669087570498</v>
      </c>
      <c r="L106" s="29">
        <f ca="1">E106*'Res PW'!$B$7</f>
        <v>3.8753787874521821E-3</v>
      </c>
      <c r="M106" s="29">
        <f ca="1">F106*'Res PW'!$B$8</f>
        <v>5.1508951913568337</v>
      </c>
      <c r="N106" s="29">
        <f>G106*'Res PW'!$B$9</f>
        <v>-4.677013204634032</v>
      </c>
      <c r="O106" s="163">
        <f>H106*'Res PW'!$B$10</f>
        <v>30.196711872803181</v>
      </c>
      <c r="P106" s="29">
        <f>I106*'Res PW'!$B$11</f>
        <v>-1.18560218277844</v>
      </c>
      <c r="Q106" s="44">
        <f>'Monthly Data'!F106</f>
        <v>60973</v>
      </c>
      <c r="R106" s="46">
        <f>'Monthly Data'!BH106</f>
        <v>30</v>
      </c>
      <c r="S106" s="44">
        <f t="shared" ca="1" si="63"/>
        <v>45827977.771484748</v>
      </c>
      <c r="T106" s="44">
        <f t="shared" ca="1" si="64"/>
        <v>-5466154.449962087</v>
      </c>
      <c r="U106" s="48">
        <f t="shared" ca="1" si="65"/>
        <v>0.10656490739259659</v>
      </c>
    </row>
    <row r="107" spans="1:21" x14ac:dyDescent="0.2">
      <c r="A107" s="45">
        <v>43374</v>
      </c>
      <c r="B107" s="29">
        <f t="shared" si="58"/>
        <v>2018</v>
      </c>
      <c r="C107" s="29">
        <f t="shared" si="59"/>
        <v>10</v>
      </c>
      <c r="D107" s="44">
        <f>'Monthly Data'!E107</f>
        <v>41038053.221446835</v>
      </c>
      <c r="E107" s="46">
        <f t="shared" ref="E107:F107" ca="1" si="104">E95</f>
        <v>53.33000000000002</v>
      </c>
      <c r="F107" s="46">
        <f t="shared" ca="1" si="104"/>
        <v>27.9</v>
      </c>
      <c r="G107" s="29">
        <f>'Monthly Data'!BG107</f>
        <v>106</v>
      </c>
      <c r="H107" s="29">
        <f>'Monthly Data'!W107</f>
        <v>7253</v>
      </c>
      <c r="I107" s="29">
        <f>'Monthly Data'!BF107</f>
        <v>1</v>
      </c>
      <c r="K107" s="29">
        <f>'Res PW'!$B$6</f>
        <v>-4.4351669087570498</v>
      </c>
      <c r="L107" s="29">
        <f ca="1">E107*'Res PW'!$B$7</f>
        <v>0.42178357292821411</v>
      </c>
      <c r="M107" s="29">
        <f ca="1">F107*'Res PW'!$B$8</f>
        <v>1.0809324997281358</v>
      </c>
      <c r="N107" s="29">
        <f>G107*'Res PW'!$B$9</f>
        <v>-4.7215561875353087</v>
      </c>
      <c r="O107" s="163">
        <f>H107*'Res PW'!$B$10</f>
        <v>30.133976034099895</v>
      </c>
      <c r="P107" s="29">
        <f>I107*'Res PW'!$B$11</f>
        <v>-1.18560218277844</v>
      </c>
      <c r="Q107" s="44">
        <f>'Monthly Data'!F107</f>
        <v>60992</v>
      </c>
      <c r="R107" s="46">
        <f>'Monthly Data'!BH107</f>
        <v>31</v>
      </c>
      <c r="S107" s="44">
        <f t="shared" ca="1" si="63"/>
        <v>40262366.668179922</v>
      </c>
      <c r="T107" s="44">
        <f t="shared" ca="1" si="64"/>
        <v>-775686.5532669127</v>
      </c>
      <c r="U107" s="48">
        <f t="shared" ca="1" si="65"/>
        <v>1.8901641095916615E-2</v>
      </c>
    </row>
    <row r="108" spans="1:21" x14ac:dyDescent="0.2">
      <c r="A108" s="45">
        <v>43405</v>
      </c>
      <c r="B108" s="29">
        <f t="shared" si="58"/>
        <v>2018</v>
      </c>
      <c r="C108" s="29">
        <f t="shared" si="59"/>
        <v>11</v>
      </c>
      <c r="D108" s="44">
        <f>'Monthly Data'!E108</f>
        <v>41154575.221446835</v>
      </c>
      <c r="E108" s="46">
        <f t="shared" ref="E108:F108" ca="1" si="105">E96</f>
        <v>207.66000000000003</v>
      </c>
      <c r="F108" s="46">
        <f t="shared" ca="1" si="105"/>
        <v>0.69000000000000006</v>
      </c>
      <c r="G108" s="29">
        <f>'Monthly Data'!BG108</f>
        <v>107</v>
      </c>
      <c r="H108" s="29">
        <f>'Monthly Data'!W108</f>
        <v>7273.5</v>
      </c>
      <c r="I108" s="29">
        <f>'Monthly Data'!BF108</f>
        <v>1</v>
      </c>
      <c r="K108" s="29">
        <f>'Res PW'!$B$6</f>
        <v>-4.4351669087570498</v>
      </c>
      <c r="L108" s="29">
        <f ca="1">E108*'Res PW'!$B$7</f>
        <v>1.642369712249633</v>
      </c>
      <c r="M108" s="29">
        <f ca="1">F108*'Res PW'!$B$8</f>
        <v>2.6732739240588305E-2</v>
      </c>
      <c r="N108" s="29">
        <f>G108*'Res PW'!$B$9</f>
        <v>-4.7660991704365854</v>
      </c>
      <c r="O108" s="163">
        <f>H108*'Res PW'!$B$10</f>
        <v>30.219147205849385</v>
      </c>
      <c r="P108" s="29">
        <f>I108*'Res PW'!$B$11</f>
        <v>-1.18560218277844</v>
      </c>
      <c r="Q108" s="44">
        <f>'Monthly Data'!F108</f>
        <v>61031</v>
      </c>
      <c r="R108" s="46">
        <f>'Monthly Data'!BH108</f>
        <v>30</v>
      </c>
      <c r="S108" s="44">
        <f t="shared" ca="1" si="63"/>
        <v>39367524.238220274</v>
      </c>
      <c r="T108" s="44">
        <f t="shared" ca="1" si="64"/>
        <v>-1787050.9832265601</v>
      </c>
      <c r="U108" s="48">
        <f t="shared" ca="1" si="65"/>
        <v>4.3422899485918549E-2</v>
      </c>
    </row>
    <row r="109" spans="1:21" x14ac:dyDescent="0.2">
      <c r="A109" s="45">
        <v>43435</v>
      </c>
      <c r="B109" s="29">
        <f t="shared" si="58"/>
        <v>2018</v>
      </c>
      <c r="C109" s="29">
        <f t="shared" si="59"/>
        <v>12</v>
      </c>
      <c r="D109" s="44">
        <f>'Monthly Data'!E109</f>
        <v>46188029.221446835</v>
      </c>
      <c r="E109" s="46">
        <f t="shared" ref="E109:F109" ca="1" si="106">E97</f>
        <v>351.65000000000003</v>
      </c>
      <c r="F109" s="46">
        <f t="shared" ca="1" si="106"/>
        <v>0</v>
      </c>
      <c r="G109" s="29">
        <f>'Monthly Data'!BG109</f>
        <v>108</v>
      </c>
      <c r="H109" s="29">
        <f>'Monthly Data'!W109</f>
        <v>7289.2</v>
      </c>
      <c r="I109" s="29">
        <f>'Monthly Data'!BF109</f>
        <v>0</v>
      </c>
      <c r="K109" s="29">
        <f>'Res PW'!$B$6</f>
        <v>-4.4351669087570498</v>
      </c>
      <c r="L109" s="29">
        <f ca="1">E109*'Res PW'!$B$7</f>
        <v>2.7811774502195097</v>
      </c>
      <c r="M109" s="29">
        <f ca="1">F109*'Res PW'!$B$8</f>
        <v>0</v>
      </c>
      <c r="N109" s="29">
        <f>G109*'Res PW'!$B$9</f>
        <v>-4.810642153337862</v>
      </c>
      <c r="O109" s="163">
        <f>H109*'Res PW'!$B$10</f>
        <v>30.284375859335579</v>
      </c>
      <c r="P109" s="29">
        <f>I109*'Res PW'!$B$11</f>
        <v>0</v>
      </c>
      <c r="Q109" s="44">
        <f>'Monthly Data'!F109</f>
        <v>61253</v>
      </c>
      <c r="R109" s="46">
        <f>'Monthly Data'!BH109</f>
        <v>31</v>
      </c>
      <c r="S109" s="44">
        <f t="shared" ca="1" si="63"/>
        <v>45229954.626080029</v>
      </c>
      <c r="T109" s="44">
        <f t="shared" ca="1" si="64"/>
        <v>-958074.59536680579</v>
      </c>
      <c r="U109" s="48">
        <f t="shared" ca="1" si="65"/>
        <v>2.0742920005816914E-2</v>
      </c>
    </row>
    <row r="110" spans="1:21" x14ac:dyDescent="0.2">
      <c r="A110" s="45">
        <v>43466</v>
      </c>
      <c r="B110" s="29">
        <f t="shared" si="58"/>
        <v>2019</v>
      </c>
      <c r="C110" s="29">
        <f t="shared" si="59"/>
        <v>1</v>
      </c>
      <c r="D110" s="44">
        <f>'Monthly Data'!E110</f>
        <v>47946223.226718538</v>
      </c>
      <c r="E110" s="46">
        <f t="shared" ref="E110:F110" ca="1" si="107">E98</f>
        <v>477.14</v>
      </c>
      <c r="F110" s="46">
        <f t="shared" ca="1" si="107"/>
        <v>0</v>
      </c>
      <c r="G110" s="29">
        <f>'Monthly Data'!BG110</f>
        <v>109</v>
      </c>
      <c r="H110" s="29">
        <f>'Monthly Data'!W110</f>
        <v>7315.7</v>
      </c>
      <c r="I110" s="29">
        <f>'Monthly Data'!BF110</f>
        <v>0</v>
      </c>
      <c r="K110" s="29">
        <f>'Res PW'!$B$6</f>
        <v>-4.4351669087570498</v>
      </c>
      <c r="L110" s="29">
        <f ca="1">E110*'Res PW'!$B$7</f>
        <v>3.7736698666223143</v>
      </c>
      <c r="M110" s="29">
        <f ca="1">F110*'Res PW'!$B$8</f>
        <v>0</v>
      </c>
      <c r="N110" s="29">
        <f>G110*'Res PW'!$B$9</f>
        <v>-4.8551851362391387</v>
      </c>
      <c r="O110" s="163">
        <f>H110*'Res PW'!$B$10</f>
        <v>30.394475178914188</v>
      </c>
      <c r="P110" s="29">
        <f>I110*'Res PW'!$B$11</f>
        <v>0</v>
      </c>
      <c r="Q110" s="44">
        <f>'Monthly Data'!F110</f>
        <v>61267</v>
      </c>
      <c r="R110" s="46">
        <f>'Monthly Data'!BH110</f>
        <v>31</v>
      </c>
      <c r="S110" s="44">
        <f t="shared" ca="1" si="63"/>
        <v>47249820.056687206</v>
      </c>
      <c r="T110" s="44">
        <f t="shared" ca="1" si="64"/>
        <v>-696403.17003133148</v>
      </c>
      <c r="U110" s="48">
        <f t="shared" ca="1" si="65"/>
        <v>1.4524672083937019E-2</v>
      </c>
    </row>
    <row r="111" spans="1:21" x14ac:dyDescent="0.2">
      <c r="A111" s="45">
        <v>43497</v>
      </c>
      <c r="B111" s="29">
        <f t="shared" si="58"/>
        <v>2019</v>
      </c>
      <c r="C111" s="29">
        <f t="shared" si="59"/>
        <v>2</v>
      </c>
      <c r="D111" s="44">
        <f>'Monthly Data'!E111</f>
        <v>42834954.226718538</v>
      </c>
      <c r="E111" s="46">
        <f t="shared" ref="E111:F111" ca="1" si="108">E99</f>
        <v>417.05</v>
      </c>
      <c r="F111" s="46">
        <f t="shared" ca="1" si="108"/>
        <v>0</v>
      </c>
      <c r="G111" s="29">
        <f>'Monthly Data'!BG111</f>
        <v>110</v>
      </c>
      <c r="H111" s="29">
        <f>'Monthly Data'!W111</f>
        <v>7346.7</v>
      </c>
      <c r="I111" s="29">
        <f>'Monthly Data'!BF111</f>
        <v>0</v>
      </c>
      <c r="K111" s="29">
        <f>'Res PW'!$B$6</f>
        <v>-4.4351669087570498</v>
      </c>
      <c r="L111" s="29">
        <f ca="1">E111*'Res PW'!$B$7</f>
        <v>3.2984218842998621</v>
      </c>
      <c r="M111" s="29">
        <f ca="1">F111*'Res PW'!$B$8</f>
        <v>0</v>
      </c>
      <c r="N111" s="29">
        <f>G111*'Res PW'!$B$9</f>
        <v>-4.8997281191404154</v>
      </c>
      <c r="O111" s="163">
        <f>H111*'Res PW'!$B$10</f>
        <v>30.523270609364637</v>
      </c>
      <c r="P111" s="29">
        <f>I111*'Res PW'!$B$11</f>
        <v>0</v>
      </c>
      <c r="Q111" s="44">
        <f>'Monthly Data'!F111</f>
        <v>61283</v>
      </c>
      <c r="R111" s="46">
        <f>'Monthly Data'!BH111</f>
        <v>28</v>
      </c>
      <c r="S111" s="44">
        <f t="shared" ca="1" si="63"/>
        <v>42017483.45464883</v>
      </c>
      <c r="T111" s="44">
        <f t="shared" ca="1" si="64"/>
        <v>-817470.77206970751</v>
      </c>
      <c r="U111" s="48">
        <f t="shared" ca="1" si="65"/>
        <v>1.9084198566968601E-2</v>
      </c>
    </row>
    <row r="112" spans="1:21" x14ac:dyDescent="0.2">
      <c r="A112" s="45">
        <v>43525</v>
      </c>
      <c r="B112" s="29">
        <f t="shared" si="58"/>
        <v>2019</v>
      </c>
      <c r="C112" s="29">
        <f t="shared" si="59"/>
        <v>3</v>
      </c>
      <c r="D112" s="44">
        <f>'Monthly Data'!E112</f>
        <v>43153575.226718538</v>
      </c>
      <c r="E112" s="46">
        <f t="shared" ref="E112:F112" ca="1" si="109">E100</f>
        <v>332.70999999999992</v>
      </c>
      <c r="F112" s="46">
        <f t="shared" ca="1" si="109"/>
        <v>3.0000000000000072E-2</v>
      </c>
      <c r="G112" s="29">
        <f>'Monthly Data'!BG112</f>
        <v>111</v>
      </c>
      <c r="H112" s="29">
        <f>'Monthly Data'!W112</f>
        <v>7371</v>
      </c>
      <c r="I112" s="29">
        <f>'Monthly Data'!BF112</f>
        <v>1</v>
      </c>
      <c r="K112" s="29">
        <f>'Res PW'!$B$6</f>
        <v>-4.4351669087570498</v>
      </c>
      <c r="L112" s="29">
        <f ca="1">E112*'Res PW'!$B$7</f>
        <v>2.6313821966800308</v>
      </c>
      <c r="M112" s="29">
        <f ca="1">F112*'Res PW'!$B$8</f>
        <v>1.1622930104603637E-3</v>
      </c>
      <c r="N112" s="29">
        <f>G112*'Res PW'!$B$9</f>
        <v>-4.9442711020416912</v>
      </c>
      <c r="O112" s="163">
        <f>H112*'Res PW'!$B$10</f>
        <v>30.624229608072568</v>
      </c>
      <c r="P112" s="29">
        <f>I112*'Res PW'!$B$11</f>
        <v>-1.18560218277844</v>
      </c>
      <c r="Q112" s="44">
        <f>'Monthly Data'!F112</f>
        <v>61278</v>
      </c>
      <c r="R112" s="46">
        <f>'Monthly Data'!BH112</f>
        <v>31</v>
      </c>
      <c r="S112" s="44">
        <f t="shared" ca="1" si="63"/>
        <v>43105626.175601773</v>
      </c>
      <c r="T112" s="44">
        <f t="shared" ca="1" si="64"/>
        <v>-47949.051116764545</v>
      </c>
      <c r="U112" s="48">
        <f t="shared" ca="1" si="65"/>
        <v>1.1111258074180813E-3</v>
      </c>
    </row>
    <row r="113" spans="1:26" x14ac:dyDescent="0.2">
      <c r="A113" s="45">
        <v>43556</v>
      </c>
      <c r="B113" s="29">
        <f t="shared" si="58"/>
        <v>2019</v>
      </c>
      <c r="C113" s="29">
        <f t="shared" si="59"/>
        <v>4</v>
      </c>
      <c r="D113" s="44">
        <f>'Monthly Data'!E113</f>
        <v>38136662.226718538</v>
      </c>
      <c r="E113" s="46">
        <f t="shared" ref="E113:F113" ca="1" si="110">E101</f>
        <v>164.53999999999996</v>
      </c>
      <c r="F113" s="46">
        <f t="shared" ca="1" si="110"/>
        <v>1.45</v>
      </c>
      <c r="G113" s="29">
        <f>'Monthly Data'!BG113</f>
        <v>112</v>
      </c>
      <c r="H113" s="29">
        <f>'Monthly Data'!W113</f>
        <v>7395.4</v>
      </c>
      <c r="I113" s="29">
        <f>'Monthly Data'!BF113</f>
        <v>1</v>
      </c>
      <c r="K113" s="29">
        <f>'Res PW'!$B$6</f>
        <v>-4.4351669087570498</v>
      </c>
      <c r="L113" s="29">
        <f ca="1">E113*'Res PW'!$B$7</f>
        <v>1.3013363789538406</v>
      </c>
      <c r="M113" s="29">
        <f ca="1">F113*'Res PW'!$B$8</f>
        <v>5.617749550558411E-2</v>
      </c>
      <c r="N113" s="29">
        <f>G113*'Res PW'!$B$9</f>
        <v>-4.9888140849429679</v>
      </c>
      <c r="O113" s="163">
        <f>H113*'Res PW'!$B$10</f>
        <v>30.725604075910983</v>
      </c>
      <c r="P113" s="29">
        <f>I113*'Res PW'!$B$11</f>
        <v>-1.18560218277844</v>
      </c>
      <c r="Q113" s="44">
        <f>'Monthly Data'!F113</f>
        <v>61471</v>
      </c>
      <c r="R113" s="46">
        <f>'Monthly Data'!BH113</f>
        <v>30</v>
      </c>
      <c r="S113" s="44">
        <f t="shared" ca="1" si="63"/>
        <v>39599989.682577364</v>
      </c>
      <c r="T113" s="44">
        <f t="shared" ca="1" si="64"/>
        <v>1463327.4558588266</v>
      </c>
      <c r="U113" s="48">
        <f t="shared" ca="1" si="65"/>
        <v>3.8370622136764232E-2</v>
      </c>
    </row>
    <row r="114" spans="1:26" x14ac:dyDescent="0.2">
      <c r="A114" s="45">
        <v>43586</v>
      </c>
      <c r="B114" s="29">
        <f t="shared" si="58"/>
        <v>2019</v>
      </c>
      <c r="C114" s="29">
        <f t="shared" si="59"/>
        <v>5</v>
      </c>
      <c r="D114" s="44">
        <f>'Monthly Data'!E114</f>
        <v>38687980.226718538</v>
      </c>
      <c r="E114" s="46">
        <f t="shared" ref="E114:F114" ca="1" si="111">E102</f>
        <v>35.92</v>
      </c>
      <c r="F114" s="46">
        <f t="shared" ca="1" si="111"/>
        <v>50.69</v>
      </c>
      <c r="G114" s="29">
        <f>'Monthly Data'!BG114</f>
        <v>113</v>
      </c>
      <c r="H114" s="29">
        <f>'Monthly Data'!W114</f>
        <v>7412.6</v>
      </c>
      <c r="I114" s="29">
        <f>'Monthly Data'!BF114</f>
        <v>1</v>
      </c>
      <c r="K114" s="29">
        <f>'Res PW'!$B$6</f>
        <v>-4.4351669087570498</v>
      </c>
      <c r="L114" s="29">
        <f ca="1">E114*'Res PW'!$B$7</f>
        <v>0.28408899192914772</v>
      </c>
      <c r="M114" s="29">
        <f ca="1">F114*'Res PW'!$B$8</f>
        <v>1.9638877566745232</v>
      </c>
      <c r="N114" s="29">
        <f>G114*'Res PW'!$B$9</f>
        <v>-5.0333570678442445</v>
      </c>
      <c r="O114" s="163">
        <f>H114*'Res PW'!$B$10</f>
        <v>30.79706476635446</v>
      </c>
      <c r="P114" s="29">
        <f>I114*'Res PW'!$B$11</f>
        <v>-1.18560218277844</v>
      </c>
      <c r="Q114" s="44">
        <f>'Monthly Data'!F114</f>
        <v>61467</v>
      </c>
      <c r="R114" s="46">
        <f>'Monthly Data'!BH114</f>
        <v>31</v>
      </c>
      <c r="S114" s="44">
        <f t="shared" ca="1" si="63"/>
        <v>42665374.219001457</v>
      </c>
      <c r="T114" s="44">
        <f t="shared" ca="1" si="64"/>
        <v>3977393.9922829196</v>
      </c>
      <c r="U114" s="48">
        <f t="shared" ca="1" si="65"/>
        <v>0.1028069692182087</v>
      </c>
    </row>
    <row r="115" spans="1:26" x14ac:dyDescent="0.2">
      <c r="A115" s="45">
        <v>43617</v>
      </c>
      <c r="B115" s="29">
        <f t="shared" si="58"/>
        <v>2019</v>
      </c>
      <c r="C115" s="29">
        <f t="shared" si="59"/>
        <v>6</v>
      </c>
      <c r="D115" s="44">
        <f>'Monthly Data'!E115</f>
        <v>45809796.226718538</v>
      </c>
      <c r="E115" s="46">
        <f t="shared" ref="E115:F115" ca="1" si="112">E103</f>
        <v>0.37999999999999989</v>
      </c>
      <c r="F115" s="46">
        <f t="shared" ca="1" si="112"/>
        <v>145.17999999999998</v>
      </c>
      <c r="G115" s="29">
        <f>'Monthly Data'!BG115</f>
        <v>114</v>
      </c>
      <c r="H115" s="29">
        <f>'Monthly Data'!W115</f>
        <v>7430.3</v>
      </c>
      <c r="I115" s="29">
        <f>'Monthly Data'!BF115</f>
        <v>0</v>
      </c>
      <c r="K115" s="29">
        <f>'Res PW'!$B$6</f>
        <v>-4.4351669087570498</v>
      </c>
      <c r="L115" s="29">
        <f ca="1">E115*'Res PW'!$B$7</f>
        <v>3.0053957943506709E-3</v>
      </c>
      <c r="M115" s="29">
        <f ca="1">F115*'Res PW'!$B$8</f>
        <v>5.6247233086211725</v>
      </c>
      <c r="N115" s="29">
        <f>G115*'Res PW'!$B$9</f>
        <v>-5.0779000507455212</v>
      </c>
      <c r="O115" s="163">
        <f>H115*'Res PW'!$B$10</f>
        <v>30.87060280245036</v>
      </c>
      <c r="P115" s="29">
        <f>I115*'Res PW'!$B$11</f>
        <v>0</v>
      </c>
      <c r="Q115" s="44">
        <f>'Monthly Data'!F115</f>
        <v>61472</v>
      </c>
      <c r="R115" s="46">
        <f>'Monthly Data'!BH115</f>
        <v>30</v>
      </c>
      <c r="S115" s="44">
        <f t="shared" ca="1" si="63"/>
        <v>49765145.467665531</v>
      </c>
      <c r="T115" s="44">
        <f t="shared" ca="1" si="64"/>
        <v>3955349.2409469932</v>
      </c>
      <c r="U115" s="48">
        <f t="shared" ca="1" si="65"/>
        <v>8.6342869140291836E-2</v>
      </c>
    </row>
    <row r="116" spans="1:26" x14ac:dyDescent="0.2">
      <c r="A116" s="45">
        <v>43647</v>
      </c>
      <c r="B116" s="29">
        <f t="shared" si="58"/>
        <v>2019</v>
      </c>
      <c r="C116" s="29">
        <f t="shared" si="59"/>
        <v>7</v>
      </c>
      <c r="D116" s="44">
        <f>'Monthly Data'!E116</f>
        <v>63707328.226718538</v>
      </c>
      <c r="E116" s="46">
        <f t="shared" ref="E116:F116" ca="1" si="113">E104</f>
        <v>0</v>
      </c>
      <c r="F116" s="46">
        <f t="shared" ca="1" si="113"/>
        <v>268.18999999999994</v>
      </c>
      <c r="G116" s="29">
        <f>'Monthly Data'!BG116</f>
        <v>115</v>
      </c>
      <c r="H116" s="29">
        <f>'Monthly Data'!W116</f>
        <v>7432.9</v>
      </c>
      <c r="I116" s="29">
        <f>'Monthly Data'!BF116</f>
        <v>0</v>
      </c>
      <c r="K116" s="29">
        <f>'Res PW'!$B$6</f>
        <v>-4.4351669087570498</v>
      </c>
      <c r="L116" s="29">
        <f ca="1">E116*'Res PW'!$B$7</f>
        <v>0</v>
      </c>
      <c r="M116" s="29">
        <f ca="1">F116*'Res PW'!$B$8</f>
        <v>10.390512082512139</v>
      </c>
      <c r="N116" s="29">
        <f>G116*'Res PW'!$B$9</f>
        <v>-5.1224430336467979</v>
      </c>
      <c r="O116" s="163">
        <f>H116*'Res PW'!$B$10</f>
        <v>30.881404999842978</v>
      </c>
      <c r="P116" s="29">
        <f>I116*'Res PW'!$B$11</f>
        <v>0</v>
      </c>
      <c r="Q116" s="44">
        <f>'Monthly Data'!F116</f>
        <v>61470</v>
      </c>
      <c r="R116" s="46">
        <f>'Monthly Data'!BH116</f>
        <v>31</v>
      </c>
      <c r="S116" s="44">
        <f t="shared" ca="1" si="63"/>
        <v>60433832.256676942</v>
      </c>
      <c r="T116" s="44">
        <f t="shared" ca="1" si="64"/>
        <v>-3273495.9700415954</v>
      </c>
      <c r="U116" s="48">
        <f t="shared" ca="1" si="65"/>
        <v>5.138335041130649E-2</v>
      </c>
    </row>
    <row r="117" spans="1:26" x14ac:dyDescent="0.2">
      <c r="A117" s="45">
        <v>43678</v>
      </c>
      <c r="B117" s="29">
        <f t="shared" si="58"/>
        <v>2019</v>
      </c>
      <c r="C117" s="29">
        <f t="shared" si="59"/>
        <v>8</v>
      </c>
      <c r="D117" s="44">
        <f>'Monthly Data'!E117</f>
        <v>58791766.226718538</v>
      </c>
      <c r="E117" s="46">
        <f t="shared" ref="E117:F117" ca="1" si="114">E105</f>
        <v>0</v>
      </c>
      <c r="F117" s="46">
        <f t="shared" ca="1" si="114"/>
        <v>239.59000000000006</v>
      </c>
      <c r="G117" s="29">
        <f>'Monthly Data'!BG117</f>
        <v>116</v>
      </c>
      <c r="H117" s="29">
        <f>'Monthly Data'!W117</f>
        <v>7449.6</v>
      </c>
      <c r="I117" s="29">
        <f>'Monthly Data'!BF117</f>
        <v>0</v>
      </c>
      <c r="K117" s="29">
        <f>'Res PW'!$B$6</f>
        <v>-4.4351669087570498</v>
      </c>
      <c r="L117" s="29">
        <f ca="1">E117*'Res PW'!$B$7</f>
        <v>0</v>
      </c>
      <c r="M117" s="29">
        <f ca="1">F117*'Res PW'!$B$8</f>
        <v>9.2824594125399322</v>
      </c>
      <c r="N117" s="29">
        <f>G117*'Res PW'!$B$9</f>
        <v>-5.1669860165480737</v>
      </c>
      <c r="O117" s="163">
        <f>H117*'Res PW'!$B$10</f>
        <v>30.950788344634027</v>
      </c>
      <c r="P117" s="29">
        <f>I117*'Res PW'!$B$11</f>
        <v>0</v>
      </c>
      <c r="Q117" s="44">
        <f>'Monthly Data'!F117</f>
        <v>61464</v>
      </c>
      <c r="R117" s="46">
        <f>'Monthly Data'!BH117</f>
        <v>31</v>
      </c>
      <c r="S117" s="44">
        <f t="shared" ca="1" si="63"/>
        <v>58363997.995125569</v>
      </c>
      <c r="T117" s="44">
        <f t="shared" ca="1" si="64"/>
        <v>-427768.23159296811</v>
      </c>
      <c r="U117" s="48">
        <f t="shared" ca="1" si="65"/>
        <v>7.2759887829082492E-3</v>
      </c>
    </row>
    <row r="118" spans="1:26" x14ac:dyDescent="0.2">
      <c r="A118" s="45">
        <v>43709</v>
      </c>
      <c r="B118" s="29">
        <f t="shared" si="58"/>
        <v>2019</v>
      </c>
      <c r="C118" s="29">
        <f t="shared" si="59"/>
        <v>9</v>
      </c>
      <c r="D118" s="44">
        <f>'Monthly Data'!E118</f>
        <v>44846342.226718538</v>
      </c>
      <c r="E118" s="46">
        <f t="shared" ref="E118:F118" ca="1" si="115">E106</f>
        <v>0.49000000000000005</v>
      </c>
      <c r="F118" s="46">
        <f t="shared" ca="1" si="115"/>
        <v>132.95000000000002</v>
      </c>
      <c r="G118" s="29">
        <f>'Monthly Data'!BG118</f>
        <v>117</v>
      </c>
      <c r="H118" s="29">
        <f>'Monthly Data'!W118</f>
        <v>7478.3</v>
      </c>
      <c r="I118" s="29">
        <f>'Monthly Data'!BF118</f>
        <v>1</v>
      </c>
      <c r="K118" s="29">
        <f>'Res PW'!$B$6</f>
        <v>-4.4351669087570498</v>
      </c>
      <c r="L118" s="29">
        <f ca="1">E118*'Res PW'!$B$7</f>
        <v>3.8753787874521821E-3</v>
      </c>
      <c r="M118" s="29">
        <f ca="1">F118*'Res PW'!$B$8</f>
        <v>5.1508951913568337</v>
      </c>
      <c r="N118" s="29">
        <f>G118*'Res PW'!$B$9</f>
        <v>-5.2115289994493503</v>
      </c>
      <c r="O118" s="163">
        <f>H118*'Res PW'!$B$10</f>
        <v>31.070027985083311</v>
      </c>
      <c r="P118" s="29">
        <f>I118*'Res PW'!$B$11</f>
        <v>-1.18560218277844</v>
      </c>
      <c r="Q118" s="44">
        <f>'Monthly Data'!F118</f>
        <v>61464</v>
      </c>
      <c r="R118" s="46">
        <f>'Monthly Data'!BH118</f>
        <v>30</v>
      </c>
      <c r="S118" s="44">
        <f t="shared" ca="1" si="63"/>
        <v>46821739.456026509</v>
      </c>
      <c r="T118" s="44">
        <f t="shared" ca="1" si="64"/>
        <v>1975397.2293079719</v>
      </c>
      <c r="U118" s="48">
        <f t="shared" ca="1" si="65"/>
        <v>4.4048123686909531E-2</v>
      </c>
    </row>
    <row r="119" spans="1:26" x14ac:dyDescent="0.2">
      <c r="A119" s="45">
        <v>43739</v>
      </c>
      <c r="B119" s="29">
        <f t="shared" si="58"/>
        <v>2019</v>
      </c>
      <c r="C119" s="29">
        <f t="shared" si="59"/>
        <v>10</v>
      </c>
      <c r="D119" s="44">
        <f>'Monthly Data'!E119</f>
        <v>39953556.226718538</v>
      </c>
      <c r="E119" s="46">
        <f t="shared" ref="E119:F119" ca="1" si="116">E107</f>
        <v>53.33000000000002</v>
      </c>
      <c r="F119" s="46">
        <f t="shared" ca="1" si="116"/>
        <v>27.9</v>
      </c>
      <c r="G119" s="29">
        <f>'Monthly Data'!BG119</f>
        <v>118</v>
      </c>
      <c r="H119" s="29">
        <f>'Monthly Data'!W119</f>
        <v>7504</v>
      </c>
      <c r="I119" s="29">
        <f>'Monthly Data'!BF119</f>
        <v>1</v>
      </c>
      <c r="K119" s="29">
        <f>'Res PW'!$B$6</f>
        <v>-4.4351669087570498</v>
      </c>
      <c r="L119" s="29">
        <f ca="1">E119*'Res PW'!$B$7</f>
        <v>0.42178357292821411</v>
      </c>
      <c r="M119" s="29">
        <f ca="1">F119*'Res PW'!$B$8</f>
        <v>1.0809324997281358</v>
      </c>
      <c r="N119" s="29">
        <f>G119*'Res PW'!$B$9</f>
        <v>-5.256071982350627</v>
      </c>
      <c r="O119" s="163">
        <f>H119*'Res PW'!$B$10</f>
        <v>31.176803551618036</v>
      </c>
      <c r="P119" s="29">
        <f>I119*'Res PW'!$B$11</f>
        <v>-1.18560218277844</v>
      </c>
      <c r="Q119" s="44">
        <f>'Monthly Data'!F119</f>
        <v>61500</v>
      </c>
      <c r="R119" s="46">
        <f>'Monthly Data'!BH119</f>
        <v>31</v>
      </c>
      <c r="S119" s="44">
        <f t="shared" ca="1" si="63"/>
        <v>41566806.656315245</v>
      </c>
      <c r="T119" s="44">
        <f t="shared" ca="1" si="64"/>
        <v>1613250.4295967072</v>
      </c>
      <c r="U119" s="48">
        <f t="shared" ca="1" si="65"/>
        <v>4.0378143573559101E-2</v>
      </c>
    </row>
    <row r="120" spans="1:26" x14ac:dyDescent="0.2">
      <c r="A120" s="45">
        <v>43770</v>
      </c>
      <c r="B120" s="29">
        <f t="shared" si="58"/>
        <v>2019</v>
      </c>
      <c r="C120" s="29">
        <f t="shared" si="59"/>
        <v>11</v>
      </c>
      <c r="D120" s="44">
        <f>'Monthly Data'!E120</f>
        <v>40979024.226718538</v>
      </c>
      <c r="E120" s="46">
        <f t="shared" ref="E120:F120" ca="1" si="117">E108</f>
        <v>207.66000000000003</v>
      </c>
      <c r="F120" s="46">
        <f t="shared" ca="1" si="117"/>
        <v>0.69000000000000006</v>
      </c>
      <c r="G120" s="29">
        <f>'Monthly Data'!BG120</f>
        <v>119</v>
      </c>
      <c r="H120" s="29">
        <f>'Monthly Data'!W120</f>
        <v>7517.3</v>
      </c>
      <c r="I120" s="29">
        <f>'Monthly Data'!BF120</f>
        <v>1</v>
      </c>
      <c r="K120" s="29">
        <f>'Res PW'!$B$6</f>
        <v>-4.4351669087570498</v>
      </c>
      <c r="L120" s="29">
        <f ca="1">E120*'Res PW'!$B$7</f>
        <v>1.642369712249633</v>
      </c>
      <c r="M120" s="29">
        <f ca="1">F120*'Res PW'!$B$8</f>
        <v>2.6732739240588305E-2</v>
      </c>
      <c r="N120" s="29">
        <f>G120*'Res PW'!$B$9</f>
        <v>-5.3006149652519037</v>
      </c>
      <c r="O120" s="163">
        <f>H120*'Res PW'!$B$10</f>
        <v>31.232060945972584</v>
      </c>
      <c r="P120" s="29">
        <f>I120*'Res PW'!$B$11</f>
        <v>-1.18560218277844</v>
      </c>
      <c r="Q120" s="44">
        <f>'Monthly Data'!F120</f>
        <v>61496</v>
      </c>
      <c r="R120" s="46">
        <f>'Monthly Data'!BH120</f>
        <v>30</v>
      </c>
      <c r="S120" s="44">
        <f t="shared" ca="1" si="63"/>
        <v>40550055.31002526</v>
      </c>
      <c r="T120" s="44">
        <f t="shared" ca="1" si="64"/>
        <v>-428968.91669327766</v>
      </c>
      <c r="U120" s="48">
        <f t="shared" ca="1" si="65"/>
        <v>1.0468011983886812E-2</v>
      </c>
    </row>
    <row r="121" spans="1:26" x14ac:dyDescent="0.2">
      <c r="A121" s="45">
        <v>43800</v>
      </c>
      <c r="B121" s="29">
        <f t="shared" si="58"/>
        <v>2019</v>
      </c>
      <c r="C121" s="29">
        <f t="shared" si="59"/>
        <v>12</v>
      </c>
      <c r="D121" s="44">
        <f>'Monthly Data'!E121</f>
        <v>46060405.226718538</v>
      </c>
      <c r="E121" s="46">
        <f t="shared" ref="E121:F121" ca="1" si="118">E109</f>
        <v>351.65000000000003</v>
      </c>
      <c r="F121" s="46">
        <f t="shared" ca="1" si="118"/>
        <v>0</v>
      </c>
      <c r="G121" s="29">
        <f>'Monthly Data'!BG121</f>
        <v>120</v>
      </c>
      <c r="H121" s="29">
        <f>'Monthly Data'!W121</f>
        <v>7525</v>
      </c>
      <c r="I121" s="29">
        <f>'Monthly Data'!BF121</f>
        <v>0</v>
      </c>
      <c r="K121" s="29">
        <f>'Res PW'!$B$6</f>
        <v>-4.4351669087570498</v>
      </c>
      <c r="L121" s="29">
        <f ca="1">E121*'Res PW'!$B$7</f>
        <v>2.7811774502195097</v>
      </c>
      <c r="M121" s="29">
        <f ca="1">F121*'Res PW'!$B$8</f>
        <v>0</v>
      </c>
      <c r="N121" s="29">
        <f>G121*'Res PW'!$B$9</f>
        <v>-5.3451579481531803</v>
      </c>
      <c r="O121" s="163">
        <f>H121*'Res PW'!$B$10</f>
        <v>31.264052069019954</v>
      </c>
      <c r="P121" s="29">
        <f>I121*'Res PW'!$B$11</f>
        <v>0</v>
      </c>
      <c r="Q121" s="44">
        <f>'Monthly Data'!F121</f>
        <v>61500</v>
      </c>
      <c r="R121" s="46">
        <f>'Monthly Data'!BH121</f>
        <v>31</v>
      </c>
      <c r="S121" s="44">
        <f t="shared" ca="1" si="63"/>
        <v>46261040.738730676</v>
      </c>
      <c r="T121" s="44">
        <f t="shared" ca="1" si="64"/>
        <v>200635.51201213896</v>
      </c>
      <c r="U121" s="48">
        <f t="shared" ca="1" si="65"/>
        <v>4.3559215561515532E-3</v>
      </c>
      <c r="V121" s="225" t="s">
        <v>41</v>
      </c>
      <c r="W121" s="225" t="s">
        <v>40</v>
      </c>
      <c r="X121" s="225" t="s">
        <v>239</v>
      </c>
      <c r="Y121" s="225" t="s">
        <v>87</v>
      </c>
    </row>
    <row r="122" spans="1:26" x14ac:dyDescent="0.2">
      <c r="A122" s="45">
        <v>43831</v>
      </c>
      <c r="B122" s="29">
        <f t="shared" si="58"/>
        <v>2020</v>
      </c>
      <c r="C122" s="29">
        <f t="shared" si="59"/>
        <v>1</v>
      </c>
      <c r="D122" s="192">
        <f>'Monthly Data (to June 2020)'!E122</f>
        <v>45679000.963918254</v>
      </c>
      <c r="E122" s="46">
        <f t="shared" ref="E122:F122" ca="1" si="119">E110</f>
        <v>477.14</v>
      </c>
      <c r="F122" s="46">
        <f t="shared" ca="1" si="119"/>
        <v>0</v>
      </c>
      <c r="G122" s="29">
        <f>G121+1</f>
        <v>121</v>
      </c>
      <c r="H122" s="189">
        <f>'Economic (2020 Adj.)'!X134</f>
        <v>7454.6982999999991</v>
      </c>
      <c r="I122" s="29">
        <f>I110</f>
        <v>0</v>
      </c>
      <c r="K122" s="29">
        <f>'Res PW'!$B$6</f>
        <v>-4.4351669087570498</v>
      </c>
      <c r="L122" s="29">
        <f ca="1">E122*'Res PW'!$B$7</f>
        <v>3.7736698666223143</v>
      </c>
      <c r="M122" s="29">
        <f ca="1">F122*'Res PW'!$B$8</f>
        <v>0</v>
      </c>
      <c r="N122" s="29">
        <f>G122*'Res PW'!$B$9</f>
        <v>-5.3897009310544561</v>
      </c>
      <c r="O122" s="163">
        <f>H122*'Res PW'!$B$10</f>
        <v>30.971970207313554</v>
      </c>
      <c r="P122" s="29">
        <f>I122*'Res PW'!$B$11</f>
        <v>0</v>
      </c>
      <c r="Q122" s="44">
        <f>'Customer Count'!C37</f>
        <v>61510</v>
      </c>
      <c r="R122" s="46">
        <f>R74</f>
        <v>31</v>
      </c>
      <c r="S122" s="44">
        <f ca="1">SUM(K122:P122)*R122*Q122</f>
        <v>47519177.703750677</v>
      </c>
      <c r="T122" s="44"/>
      <c r="U122" s="48"/>
      <c r="V122" s="29">
        <f>Weather!M254</f>
        <v>365.8</v>
      </c>
      <c r="W122" s="29">
        <f>Weather!L254</f>
        <v>0</v>
      </c>
      <c r="X122" s="44">
        <f ca="1">D122-(((V122-E122)*'Res PW'!$B$7+(W122-F122)*'Res PW'!$B$8)*Q122*R122)</f>
        <v>47358101.559023611</v>
      </c>
      <c r="Y122" s="158">
        <f t="shared" ref="Y122:Y126" ca="1" si="120">X122-S122</f>
        <v>-161076.14472706616</v>
      </c>
    </row>
    <row r="123" spans="1:26" x14ac:dyDescent="0.2">
      <c r="A123" s="45">
        <v>43862</v>
      </c>
      <c r="B123" s="29">
        <f t="shared" si="58"/>
        <v>2020</v>
      </c>
      <c r="C123" s="29">
        <f t="shared" si="59"/>
        <v>2</v>
      </c>
      <c r="D123" s="192">
        <f>'Monthly Data (to June 2020)'!E123</f>
        <v>41650816.963918254</v>
      </c>
      <c r="E123" s="46">
        <f t="shared" ref="E123:F123" ca="1" si="121">E111</f>
        <v>417.05</v>
      </c>
      <c r="F123" s="46">
        <f t="shared" ca="1" si="121"/>
        <v>0</v>
      </c>
      <c r="G123" s="29">
        <f t="shared" ref="G123:G145" si="122">G122+1</f>
        <v>122</v>
      </c>
      <c r="H123" s="189">
        <f>'Economic (2020 Adj.)'!X135</f>
        <v>7486.287299999999</v>
      </c>
      <c r="I123" s="29">
        <f t="shared" ref="I123:I145" si="123">I111</f>
        <v>0</v>
      </c>
      <c r="K123" s="29">
        <f>'Res PW'!$B$6</f>
        <v>-4.4351669087570498</v>
      </c>
      <c r="L123" s="29">
        <f ca="1">E123*'Res PW'!$B$7</f>
        <v>3.2984218842998621</v>
      </c>
      <c r="M123" s="29">
        <f ca="1">F123*'Res PW'!$B$8</f>
        <v>0</v>
      </c>
      <c r="N123" s="29">
        <f>G123*'Res PW'!$B$9</f>
        <v>-5.4342439139557328</v>
      </c>
      <c r="O123" s="163">
        <f>H123*'Res PW'!$B$10</f>
        <v>31.103212750942561</v>
      </c>
      <c r="P123" s="29">
        <f>I123*'Res PW'!$B$11</f>
        <v>0</v>
      </c>
      <c r="Q123" s="44">
        <f>'Customer Count'!C38</f>
        <v>61517</v>
      </c>
      <c r="R123" s="46">
        <f t="shared" ref="R123:R145" si="124">R75</f>
        <v>29</v>
      </c>
      <c r="S123" s="44">
        <f t="shared" ca="1" si="63"/>
        <v>43765315.555986188</v>
      </c>
      <c r="T123" s="44"/>
      <c r="U123" s="48"/>
      <c r="V123" s="29">
        <f>Weather!M255</f>
        <v>387.2</v>
      </c>
      <c r="W123" s="29">
        <f>Weather!L255</f>
        <v>0</v>
      </c>
      <c r="X123" s="44">
        <f ca="1">D123-(((V123-E123)*'Res PW'!$B$7+(W123-F123)*'Res PW'!$B$8)*Q123*R123)</f>
        <v>42071985.150817275</v>
      </c>
      <c r="Y123" s="158">
        <f t="shared" ca="1" si="120"/>
        <v>-1693330.4051689133</v>
      </c>
    </row>
    <row r="124" spans="1:26" x14ac:dyDescent="0.2">
      <c r="A124" s="45">
        <v>43891</v>
      </c>
      <c r="B124" s="29">
        <f t="shared" si="58"/>
        <v>2020</v>
      </c>
      <c r="C124" s="29">
        <f t="shared" si="59"/>
        <v>3</v>
      </c>
      <c r="D124" s="192">
        <f>'Monthly Data (to June 2020)'!E124</f>
        <v>42916551.963918254</v>
      </c>
      <c r="E124" s="46">
        <f t="shared" ref="E124:F124" ca="1" si="125">E112</f>
        <v>332.70999999999992</v>
      </c>
      <c r="F124" s="46">
        <f t="shared" ca="1" si="125"/>
        <v>3.0000000000000072E-2</v>
      </c>
      <c r="G124" s="29">
        <f t="shared" si="122"/>
        <v>123</v>
      </c>
      <c r="H124" s="189">
        <f>'Economic (2020 Adj.)'!X136</f>
        <v>7511.0489999999991</v>
      </c>
      <c r="I124" s="29">
        <f t="shared" si="123"/>
        <v>1</v>
      </c>
      <c r="K124" s="29">
        <f>'Res PW'!$B$6</f>
        <v>-4.4351669087570498</v>
      </c>
      <c r="L124" s="29">
        <f ca="1">E124*'Res PW'!$B$7</f>
        <v>2.6313821966800308</v>
      </c>
      <c r="M124" s="29">
        <f ca="1">F124*'Res PW'!$B$8</f>
        <v>1.1622930104603637E-3</v>
      </c>
      <c r="N124" s="29">
        <f>G124*'Res PW'!$B$9</f>
        <v>-5.4787868968570095</v>
      </c>
      <c r="O124" s="163">
        <f>H124*'Res PW'!$B$10</f>
        <v>31.206089970625943</v>
      </c>
      <c r="P124" s="29">
        <f>I124*'Res PW'!$B$11</f>
        <v>-1.18560218277844</v>
      </c>
      <c r="Q124" s="44">
        <f>'Customer Count'!C39</f>
        <v>61554</v>
      </c>
      <c r="R124" s="46">
        <f t="shared" si="124"/>
        <v>31</v>
      </c>
      <c r="S124" s="44">
        <f t="shared" ca="1" si="63"/>
        <v>43390118.324084982</v>
      </c>
      <c r="T124" s="44"/>
      <c r="U124" s="48"/>
      <c r="V124" s="29">
        <f>Weather!M256</f>
        <v>254.00000000000006</v>
      </c>
      <c r="W124" s="29">
        <f>Weather!L256</f>
        <v>0</v>
      </c>
      <c r="X124" s="44">
        <f ca="1">D124-(((V124-E124)*'Res PW'!$B$7+(W124-F124)*'Res PW'!$B$8)*Q124*R124)</f>
        <v>44106631.752251334</v>
      </c>
      <c r="Y124" s="158">
        <f t="shared" ca="1" si="120"/>
        <v>716513.42816635221</v>
      </c>
    </row>
    <row r="125" spans="1:26" x14ac:dyDescent="0.2">
      <c r="A125" s="45">
        <v>43922</v>
      </c>
      <c r="B125" s="29">
        <f t="shared" si="58"/>
        <v>2020</v>
      </c>
      <c r="C125" s="29">
        <f t="shared" si="59"/>
        <v>4</v>
      </c>
      <c r="D125" s="192">
        <f>'Monthly Data (to June 2020)'!E125</f>
        <v>41294428.963918254</v>
      </c>
      <c r="E125" s="46">
        <f t="shared" ref="E125:F125" ca="1" si="126">E113</f>
        <v>164.53999999999996</v>
      </c>
      <c r="F125" s="46">
        <f t="shared" ca="1" si="126"/>
        <v>1.45</v>
      </c>
      <c r="G125" s="29">
        <f t="shared" si="122"/>
        <v>124</v>
      </c>
      <c r="H125" s="189">
        <f>'Economic (2020 Adj.)'!X137</f>
        <v>7535.9125999999987</v>
      </c>
      <c r="I125" s="29">
        <f t="shared" si="123"/>
        <v>1</v>
      </c>
      <c r="K125" s="29">
        <f>'Res PW'!$B$6</f>
        <v>-4.4351669087570498</v>
      </c>
      <c r="L125" s="29">
        <f ca="1">E125*'Res PW'!$B$7</f>
        <v>1.3013363789538406</v>
      </c>
      <c r="M125" s="29">
        <f ca="1">F125*'Res PW'!$B$8</f>
        <v>5.617749550558411E-2</v>
      </c>
      <c r="N125" s="29">
        <f>G125*'Res PW'!$B$9</f>
        <v>-5.5233298797582862</v>
      </c>
      <c r="O125" s="163">
        <f>H125*'Res PW'!$B$10</f>
        <v>31.309390553353289</v>
      </c>
      <c r="P125" s="29">
        <f>I125*'Res PW'!$B$11</f>
        <v>-1.18560218277844</v>
      </c>
      <c r="Q125" s="44">
        <f>'Customer Count'!C40</f>
        <v>61567</v>
      </c>
      <c r="R125" s="46">
        <f t="shared" si="124"/>
        <v>30</v>
      </c>
      <c r="S125" s="44">
        <f t="shared" ca="1" si="63"/>
        <v>39752836.906245045</v>
      </c>
      <c r="T125" s="44"/>
      <c r="U125" s="48"/>
      <c r="V125" s="29">
        <f>Weather!M257</f>
        <v>181.00000000000003</v>
      </c>
      <c r="W125" s="29">
        <f>Weather!L257</f>
        <v>0</v>
      </c>
      <c r="X125" s="44">
        <f ca="1">D125-(((V125-E125)*'Res PW'!$B$7+(W125-F125)*'Res PW'!$B$8)*Q125*R125)</f>
        <v>41157743.582056247</v>
      </c>
      <c r="Y125" s="158">
        <f t="shared" ca="1" si="120"/>
        <v>1404906.6758112013</v>
      </c>
    </row>
    <row r="126" spans="1:26" x14ac:dyDescent="0.2">
      <c r="A126" s="45">
        <v>43952</v>
      </c>
      <c r="B126" s="29">
        <f t="shared" si="58"/>
        <v>2020</v>
      </c>
      <c r="C126" s="29">
        <f t="shared" si="59"/>
        <v>5</v>
      </c>
      <c r="D126" s="192">
        <f>'Monthly Data (to June 2020)'!E126</f>
        <v>46424125.963918254</v>
      </c>
      <c r="E126" s="46">
        <f t="shared" ref="E126:F126" ca="1" si="127">E114</f>
        <v>35.92</v>
      </c>
      <c r="F126" s="46">
        <f t="shared" ca="1" si="127"/>
        <v>50.69</v>
      </c>
      <c r="G126" s="29">
        <f t="shared" si="122"/>
        <v>125</v>
      </c>
      <c r="H126" s="189">
        <f>'Economic (2020 Adj.)'!X138</f>
        <v>7553.4393999999993</v>
      </c>
      <c r="I126" s="29">
        <f t="shared" si="123"/>
        <v>1</v>
      </c>
      <c r="K126" s="29">
        <f>'Res PW'!$B$6</f>
        <v>-4.4351669087570498</v>
      </c>
      <c r="L126" s="29">
        <f ca="1">E126*'Res PW'!$B$7</f>
        <v>0.28408899192914772</v>
      </c>
      <c r="M126" s="29">
        <f ca="1">F126*'Res PW'!$B$8</f>
        <v>1.9638877566745232</v>
      </c>
      <c r="N126" s="29">
        <f>G126*'Res PW'!$B$9</f>
        <v>-5.5678728626595628</v>
      </c>
      <c r="O126" s="163">
        <f>H126*'Res PW'!$B$10</f>
        <v>31.382208996915193</v>
      </c>
      <c r="P126" s="29">
        <f>I126*'Res PW'!$B$11</f>
        <v>-1.18560218277844</v>
      </c>
      <c r="Q126" s="44">
        <f>'Customer Count'!C41</f>
        <v>61593</v>
      </c>
      <c r="R126" s="46">
        <f t="shared" si="124"/>
        <v>31</v>
      </c>
      <c r="S126" s="44">
        <f t="shared" ca="1" si="63"/>
        <v>42849502.208909228</v>
      </c>
      <c r="T126" s="44"/>
      <c r="U126" s="48"/>
      <c r="V126" s="29">
        <f>Weather!M258</f>
        <v>83.199999999999989</v>
      </c>
      <c r="W126" s="29">
        <f>Weather!L258</f>
        <v>35.1</v>
      </c>
      <c r="X126" s="44">
        <f ca="1">D126-(((V126-E126)*'Res PW'!$B$7+(W126-F126)*'Res PW'!$B$8)*Q126*R126)</f>
        <v>46863418.524370328</v>
      </c>
      <c r="Y126" s="158">
        <f t="shared" ca="1" si="120"/>
        <v>4013916.3154610991</v>
      </c>
    </row>
    <row r="127" spans="1:26" x14ac:dyDescent="0.2">
      <c r="A127" s="45">
        <v>43983</v>
      </c>
      <c r="B127" s="29">
        <f t="shared" si="58"/>
        <v>2020</v>
      </c>
      <c r="C127" s="29">
        <f t="shared" si="59"/>
        <v>6</v>
      </c>
      <c r="D127" s="192">
        <f>'Monthly Data (to June 2020)'!E127</f>
        <v>59123962.963918254</v>
      </c>
      <c r="E127" s="46">
        <f t="shared" ref="E127:F127" ca="1" si="128">E115</f>
        <v>0.37999999999999989</v>
      </c>
      <c r="F127" s="46">
        <f t="shared" ca="1" si="128"/>
        <v>145.17999999999998</v>
      </c>
      <c r="G127" s="29">
        <f t="shared" si="122"/>
        <v>126</v>
      </c>
      <c r="H127" s="189">
        <f>'Economic (2020 Adj.)'!X139</f>
        <v>7571.4756999999991</v>
      </c>
      <c r="I127" s="29">
        <f t="shared" si="123"/>
        <v>0</v>
      </c>
      <c r="K127" s="29">
        <f>'Res PW'!$B$6</f>
        <v>-4.4351669087570498</v>
      </c>
      <c r="L127" s="29">
        <f ca="1">E127*'Res PW'!$B$7</f>
        <v>3.0053957943506709E-3</v>
      </c>
      <c r="M127" s="29">
        <f ca="1">F127*'Res PW'!$B$8</f>
        <v>5.6247233086211725</v>
      </c>
      <c r="N127" s="29">
        <f>G127*'Res PW'!$B$9</f>
        <v>-5.6124158455608386</v>
      </c>
      <c r="O127" s="163">
        <f>H127*'Res PW'!$B$10</f>
        <v>31.457144255696914</v>
      </c>
      <c r="P127" s="29">
        <f>I127*'Res PW'!$B$11</f>
        <v>0</v>
      </c>
      <c r="Q127" s="44">
        <f>'Customer Count'!C42</f>
        <v>61616</v>
      </c>
      <c r="R127" s="46">
        <f t="shared" si="124"/>
        <v>30</v>
      </c>
      <c r="S127" s="44">
        <f t="shared" ca="1" si="63"/>
        <v>49977890.199607112</v>
      </c>
      <c r="T127" s="44"/>
      <c r="U127" s="48"/>
      <c r="V127" s="29">
        <f>Weather!M259</f>
        <v>0</v>
      </c>
      <c r="W127" s="29">
        <f>Weather!L259</f>
        <v>182.39999999999995</v>
      </c>
      <c r="X127" s="44">
        <f ca="1">D127-(((V127-E127)*'Res PW'!$B$7+(W127-F127)*'Res PW'!$B$8)*Q127*R127)</f>
        <v>56463976.584883593</v>
      </c>
      <c r="Y127" s="158">
        <f ca="1">X127-S127</f>
        <v>6486086.3852764815</v>
      </c>
    </row>
    <row r="128" spans="1:26" x14ac:dyDescent="0.2">
      <c r="A128" s="45">
        <v>44013</v>
      </c>
      <c r="B128" s="29">
        <f t="shared" si="58"/>
        <v>2020</v>
      </c>
      <c r="C128" s="29">
        <f t="shared" si="59"/>
        <v>7</v>
      </c>
      <c r="D128" s="44"/>
      <c r="E128" s="46">
        <f t="shared" ref="E128:F128" ca="1" si="129">E116</f>
        <v>0</v>
      </c>
      <c r="F128" s="46">
        <f t="shared" ca="1" si="129"/>
        <v>268.18999999999994</v>
      </c>
      <c r="G128" s="29">
        <f t="shared" si="122"/>
        <v>127</v>
      </c>
      <c r="H128" s="189">
        <f>'Economic (2020 Adj.)'!X140</f>
        <v>7574.1250999999993</v>
      </c>
      <c r="I128" s="29">
        <f t="shared" si="123"/>
        <v>0</v>
      </c>
      <c r="K128" s="29">
        <f>'Res PW'!$B$6</f>
        <v>-4.4351669087570498</v>
      </c>
      <c r="L128" s="29">
        <f ca="1">E128*'Res PW'!$B$7</f>
        <v>0</v>
      </c>
      <c r="M128" s="29">
        <f ca="1">F128*'Res PW'!$B$8</f>
        <v>10.390512082512139</v>
      </c>
      <c r="N128" s="29">
        <f>G128*'Res PW'!$B$9</f>
        <v>-5.6569588284621153</v>
      </c>
      <c r="O128" s="163">
        <f>H128*'Res PW'!$B$10</f>
        <v>31.468151694839992</v>
      </c>
      <c r="P128" s="29">
        <f>I128*'Res PW'!$B$11</f>
        <v>0</v>
      </c>
      <c r="Q128" s="44">
        <f>'Customer Count'!C43</f>
        <v>61659</v>
      </c>
      <c r="R128" s="46">
        <f t="shared" si="124"/>
        <v>31</v>
      </c>
      <c r="S128" s="44">
        <f ca="1">SUM(K128:P128)*R128*Q128+Y128*Z128</f>
        <v>67205568.424789786</v>
      </c>
      <c r="T128" s="44"/>
      <c r="U128" s="48"/>
      <c r="W128" s="44"/>
      <c r="Y128" s="226">
        <f ca="1">Y127</f>
        <v>6486086.3852764815</v>
      </c>
      <c r="Z128" s="29">
        <v>1</v>
      </c>
    </row>
    <row r="129" spans="1:26" x14ac:dyDescent="0.2">
      <c r="A129" s="45">
        <v>44044</v>
      </c>
      <c r="B129" s="29">
        <f t="shared" si="58"/>
        <v>2020</v>
      </c>
      <c r="C129" s="29">
        <f t="shared" si="59"/>
        <v>8</v>
      </c>
      <c r="D129" s="44"/>
      <c r="E129" s="46">
        <f t="shared" ref="E129:F129" ca="1" si="130">E117</f>
        <v>0</v>
      </c>
      <c r="F129" s="46">
        <f t="shared" ca="1" si="130"/>
        <v>239.59000000000006</v>
      </c>
      <c r="G129" s="29">
        <f t="shared" si="122"/>
        <v>128</v>
      </c>
      <c r="H129" s="189">
        <f>'Economic (2020 Adj.)'!X141</f>
        <v>7591.1423999999997</v>
      </c>
      <c r="I129" s="29">
        <f t="shared" si="123"/>
        <v>0</v>
      </c>
      <c r="K129" s="29">
        <f>'Res PW'!$B$6</f>
        <v>-4.4351669087570498</v>
      </c>
      <c r="L129" s="29">
        <f ca="1">E129*'Res PW'!$B$7</f>
        <v>0</v>
      </c>
      <c r="M129" s="29">
        <f ca="1">F129*'Res PW'!$B$8</f>
        <v>9.2824594125399322</v>
      </c>
      <c r="N129" s="29">
        <f>G129*'Res PW'!$B$9</f>
        <v>-5.701501811363392</v>
      </c>
      <c r="O129" s="163">
        <f>H129*'Res PW'!$B$10</f>
        <v>31.538853323182071</v>
      </c>
      <c r="P129" s="29">
        <f>I129*'Res PW'!$B$11</f>
        <v>0</v>
      </c>
      <c r="Q129" s="44">
        <f>'Customer Count'!C44</f>
        <v>61692.603959562686</v>
      </c>
      <c r="R129" s="46">
        <f t="shared" si="124"/>
        <v>31</v>
      </c>
      <c r="S129" s="44">
        <f t="shared" ref="S129:S132" ca="1" si="131">SUM(K129:P129)*R129*Q129+Y129*Z129</f>
        <v>64520961.064483687</v>
      </c>
      <c r="T129" s="44"/>
      <c r="U129" s="48"/>
      <c r="W129" s="44"/>
      <c r="Y129" s="226">
        <f ca="1">Y128</f>
        <v>6486086.3852764815</v>
      </c>
      <c r="Z129" s="29">
        <v>0.9</v>
      </c>
    </row>
    <row r="130" spans="1:26" x14ac:dyDescent="0.2">
      <c r="A130" s="45">
        <v>44075</v>
      </c>
      <c r="B130" s="29">
        <f t="shared" ref="B130:B145" si="132">YEAR(A130)</f>
        <v>2020</v>
      </c>
      <c r="C130" s="29">
        <f t="shared" ref="C130:C145" si="133">MONTH(A130)</f>
        <v>9</v>
      </c>
      <c r="D130" s="44"/>
      <c r="E130" s="46">
        <f t="shared" ref="E130:F130" ca="1" si="134">E118</f>
        <v>0.49000000000000005</v>
      </c>
      <c r="F130" s="46">
        <f t="shared" ca="1" si="134"/>
        <v>132.95000000000002</v>
      </c>
      <c r="G130" s="29">
        <f t="shared" si="122"/>
        <v>129</v>
      </c>
      <c r="H130" s="189">
        <f>'Economic (2020 Adj.)'!X142</f>
        <v>7620.3876999999993</v>
      </c>
      <c r="I130" s="29">
        <f t="shared" si="123"/>
        <v>1</v>
      </c>
      <c r="K130" s="29">
        <f>'Res PW'!$B$6</f>
        <v>-4.4351669087570498</v>
      </c>
      <c r="L130" s="29">
        <f ca="1">E130*'Res PW'!$B$7</f>
        <v>3.8753787874521821E-3</v>
      </c>
      <c r="M130" s="29">
        <f ca="1">F130*'Res PW'!$B$8</f>
        <v>5.1508951913568337</v>
      </c>
      <c r="N130" s="29">
        <f>G130*'Res PW'!$B$9</f>
        <v>-5.7460447942646686</v>
      </c>
      <c r="O130" s="163">
        <f>H130*'Res PW'!$B$10</f>
        <v>31.660358516799892</v>
      </c>
      <c r="P130" s="29">
        <f>I130*'Res PW'!$B$11</f>
        <v>-1.18560218277844</v>
      </c>
      <c r="Q130" s="44">
        <f>'Customer Count'!C45</f>
        <v>61726.226233176814</v>
      </c>
      <c r="R130" s="46">
        <f t="shared" si="124"/>
        <v>30</v>
      </c>
      <c r="S130" s="44">
        <f t="shared" ca="1" si="131"/>
        <v>51324854.921065286</v>
      </c>
      <c r="T130" s="44"/>
      <c r="U130" s="48"/>
      <c r="Y130" s="226">
        <f ca="1">AVERAGE(Y126,Y127)</f>
        <v>5250001.3503687903</v>
      </c>
      <c r="Z130" s="29">
        <v>0.8</v>
      </c>
    </row>
    <row r="131" spans="1:26" x14ac:dyDescent="0.2">
      <c r="A131" s="45">
        <v>44105</v>
      </c>
      <c r="B131" s="29">
        <f t="shared" si="132"/>
        <v>2020</v>
      </c>
      <c r="C131" s="29">
        <f t="shared" si="133"/>
        <v>10</v>
      </c>
      <c r="D131" s="44"/>
      <c r="E131" s="46">
        <f t="shared" ref="E131:F131" ca="1" si="135">E119</f>
        <v>53.33000000000002</v>
      </c>
      <c r="F131" s="46">
        <f t="shared" ca="1" si="135"/>
        <v>27.9</v>
      </c>
      <c r="G131" s="29">
        <f t="shared" si="122"/>
        <v>130</v>
      </c>
      <c r="H131" s="189">
        <f>'Economic (2020 Adj.)'!X143</f>
        <v>7646.5759999999991</v>
      </c>
      <c r="I131" s="29">
        <f t="shared" si="123"/>
        <v>1</v>
      </c>
      <c r="K131" s="29">
        <f>'Res PW'!$B$6</f>
        <v>-4.4351669087570498</v>
      </c>
      <c r="L131" s="29">
        <f ca="1">E131*'Res PW'!$B$7</f>
        <v>0.42178357292821411</v>
      </c>
      <c r="M131" s="29">
        <f ca="1">F131*'Res PW'!$B$8</f>
        <v>1.0809324997281358</v>
      </c>
      <c r="N131" s="29">
        <f>G131*'Res PW'!$B$9</f>
        <v>-5.7905877771659453</v>
      </c>
      <c r="O131" s="163">
        <f>H131*'Res PW'!$B$10</f>
        <v>31.769162819098778</v>
      </c>
      <c r="P131" s="29">
        <f>I131*'Res PW'!$B$11</f>
        <v>-1.18560218277844</v>
      </c>
      <c r="Q131" s="44">
        <f>'Customer Count'!C46</f>
        <v>61759.866830823492</v>
      </c>
      <c r="R131" s="46">
        <f t="shared" si="124"/>
        <v>31</v>
      </c>
      <c r="S131" s="44">
        <f t="shared" ca="1" si="131"/>
        <v>44662932.21970126</v>
      </c>
      <c r="T131" s="44"/>
      <c r="U131" s="48"/>
      <c r="Y131" s="226">
        <f ca="1">Y126</f>
        <v>4013916.3154610991</v>
      </c>
      <c r="Z131" s="29">
        <v>0.7</v>
      </c>
    </row>
    <row r="132" spans="1:26" x14ac:dyDescent="0.2">
      <c r="A132" s="45">
        <v>44136</v>
      </c>
      <c r="B132" s="29">
        <f t="shared" si="132"/>
        <v>2020</v>
      </c>
      <c r="C132" s="29">
        <f t="shared" si="133"/>
        <v>11</v>
      </c>
      <c r="E132" s="46">
        <f t="shared" ref="E132:F132" ca="1" si="136">E120</f>
        <v>207.66000000000003</v>
      </c>
      <c r="F132" s="46">
        <f t="shared" ca="1" si="136"/>
        <v>0.69000000000000006</v>
      </c>
      <c r="G132" s="29">
        <f t="shared" si="122"/>
        <v>131</v>
      </c>
      <c r="H132" s="189">
        <f>'Economic (2020 Adj.)'!X144</f>
        <v>7660.1286999999993</v>
      </c>
      <c r="I132" s="29">
        <f t="shared" si="123"/>
        <v>1</v>
      </c>
      <c r="K132" s="29">
        <f>'Res PW'!$B$6</f>
        <v>-4.4351669087570498</v>
      </c>
      <c r="L132" s="29">
        <f ca="1">E132*'Res PW'!$B$7</f>
        <v>1.642369712249633</v>
      </c>
      <c r="M132" s="29">
        <f ca="1">F132*'Res PW'!$B$8</f>
        <v>2.6732739240588305E-2</v>
      </c>
      <c r="N132" s="29">
        <f>G132*'Res PW'!$B$9</f>
        <v>-5.8351307600672211</v>
      </c>
      <c r="O132" s="163">
        <f>H132*'Res PW'!$B$10</f>
        <v>31.82547010394606</v>
      </c>
      <c r="P132" s="29">
        <f>I132*'Res PW'!$B$11</f>
        <v>-1.18560218277844</v>
      </c>
      <c r="Q132" s="44">
        <f>'Customer Count'!C47</f>
        <v>61793.525762489262</v>
      </c>
      <c r="R132" s="46">
        <f t="shared" si="124"/>
        <v>30</v>
      </c>
      <c r="S132" s="44">
        <f t="shared" ca="1" si="131"/>
        <v>41698362.690348975</v>
      </c>
      <c r="T132" s="44"/>
      <c r="U132" s="48"/>
      <c r="Y132" s="226">
        <f ca="1">Y125</f>
        <v>1404906.6758112013</v>
      </c>
      <c r="Z132" s="29">
        <v>0.6</v>
      </c>
    </row>
    <row r="133" spans="1:26" x14ac:dyDescent="0.2">
      <c r="A133" s="45">
        <v>44166</v>
      </c>
      <c r="B133" s="29">
        <f t="shared" si="132"/>
        <v>2020</v>
      </c>
      <c r="C133" s="29">
        <f t="shared" si="133"/>
        <v>12</v>
      </c>
      <c r="E133" s="46">
        <f t="shared" ref="E133:F133" ca="1" si="137">E121</f>
        <v>351.65000000000003</v>
      </c>
      <c r="F133" s="46">
        <f t="shared" ca="1" si="137"/>
        <v>0</v>
      </c>
      <c r="G133" s="29">
        <f t="shared" si="122"/>
        <v>132</v>
      </c>
      <c r="H133" s="189">
        <f>'Economic (2020 Adj.)'!X145</f>
        <v>7667.9749999999995</v>
      </c>
      <c r="I133" s="29">
        <f t="shared" si="123"/>
        <v>0</v>
      </c>
      <c r="K133" s="29">
        <f>'Res PW'!$B$6</f>
        <v>-4.4351669087570498</v>
      </c>
      <c r="L133" s="29">
        <f ca="1">E133*'Res PW'!$B$7</f>
        <v>2.7811774502195097</v>
      </c>
      <c r="M133" s="29">
        <f ca="1">F133*'Res PW'!$B$8</f>
        <v>0</v>
      </c>
      <c r="N133" s="29">
        <f>G133*'Res PW'!$B$9</f>
        <v>-5.8796737429684978</v>
      </c>
      <c r="O133" s="163">
        <f>H133*'Res PW'!$B$10</f>
        <v>31.858069058331331</v>
      </c>
      <c r="P133" s="29">
        <f>I133*'Res PW'!$B$11</f>
        <v>0</v>
      </c>
      <c r="Q133" s="44">
        <f>'Customer Count'!C48</f>
        <v>61827.203038166102</v>
      </c>
      <c r="R133" s="46">
        <f t="shared" si="124"/>
        <v>31</v>
      </c>
      <c r="S133" s="44">
        <f ca="1">SUM(K133:P133)*R133*Q133+Y133*Z133</f>
        <v>47323662.70837912</v>
      </c>
      <c r="T133" s="44"/>
      <c r="U133" s="48"/>
      <c r="Y133" s="226">
        <f ca="1">Y125</f>
        <v>1404906.6758112013</v>
      </c>
      <c r="Z133" s="29">
        <v>0.5</v>
      </c>
    </row>
    <row r="134" spans="1:26" x14ac:dyDescent="0.2">
      <c r="A134" s="45">
        <v>44197</v>
      </c>
      <c r="B134" s="29">
        <f t="shared" si="132"/>
        <v>2021</v>
      </c>
      <c r="C134" s="29">
        <f t="shared" si="133"/>
        <v>1</v>
      </c>
      <c r="E134" s="46">
        <f t="shared" ref="E134:F134" ca="1" si="138">E122</f>
        <v>477.14</v>
      </c>
      <c r="F134" s="46">
        <f t="shared" ca="1" si="138"/>
        <v>0</v>
      </c>
      <c r="G134" s="29">
        <f t="shared" si="122"/>
        <v>133</v>
      </c>
      <c r="H134" s="189">
        <f>'Economic (2020 Adj.)'!X146</f>
        <v>7544.1546795999993</v>
      </c>
      <c r="I134" s="29">
        <f t="shared" si="123"/>
        <v>0</v>
      </c>
      <c r="K134" s="29">
        <f>'Res PW'!$B$6</f>
        <v>-4.4351669087570498</v>
      </c>
      <c r="L134" s="29">
        <f ca="1">E134*'Res PW'!$B$7</f>
        <v>3.7736698666223143</v>
      </c>
      <c r="M134" s="29">
        <f ca="1">F134*'Res PW'!$B$8</f>
        <v>0</v>
      </c>
      <c r="N134" s="29">
        <f>G134*'Res PW'!$B$9</f>
        <v>-5.9242167258697744</v>
      </c>
      <c r="O134" s="163">
        <f>H134*'Res PW'!$B$10</f>
        <v>31.343633849801318</v>
      </c>
      <c r="P134" s="29">
        <f>I134*'Res PW'!$B$11</f>
        <v>0</v>
      </c>
      <c r="Q134" s="44">
        <f>'Customer Count'!C49</f>
        <v>61869.926572140103</v>
      </c>
      <c r="R134" s="46">
        <f t="shared" si="124"/>
        <v>31</v>
      </c>
      <c r="S134" s="44">
        <f t="shared" ref="S134:S145" ca="1" si="139">SUM(K134:P134)*R134*Q134</f>
        <v>47484891.623730123</v>
      </c>
      <c r="T134" s="44"/>
      <c r="U134" s="48"/>
    </row>
    <row r="135" spans="1:26" x14ac:dyDescent="0.2">
      <c r="A135" s="45">
        <v>44228</v>
      </c>
      <c r="B135" s="29">
        <f t="shared" si="132"/>
        <v>2021</v>
      </c>
      <c r="C135" s="29">
        <f t="shared" si="133"/>
        <v>2</v>
      </c>
      <c r="E135" s="46">
        <f t="shared" ref="E135:F135" ca="1" si="140">E123</f>
        <v>417.05</v>
      </c>
      <c r="F135" s="46">
        <f t="shared" ca="1" si="140"/>
        <v>0</v>
      </c>
      <c r="G135" s="29">
        <f t="shared" si="122"/>
        <v>134</v>
      </c>
      <c r="H135" s="189">
        <f>'Economic (2020 Adj.)'!X147</f>
        <v>7576.1227475999995</v>
      </c>
      <c r="I135" s="29">
        <f t="shared" si="123"/>
        <v>0</v>
      </c>
      <c r="K135" s="29">
        <f>'Res PW'!$B$6</f>
        <v>-4.4351669087570498</v>
      </c>
      <c r="L135" s="29">
        <f ca="1">E135*'Res PW'!$B$7</f>
        <v>3.2984218842998621</v>
      </c>
      <c r="M135" s="29">
        <f ca="1">F135*'Res PW'!$B$8</f>
        <v>0</v>
      </c>
      <c r="N135" s="29">
        <f>G135*'Res PW'!$B$9</f>
        <v>-5.9687597087710511</v>
      </c>
      <c r="O135" s="163">
        <f>H135*'Res PW'!$B$10</f>
        <v>31.476451303953873</v>
      </c>
      <c r="P135" s="29">
        <f>I135*'Res PW'!$B$11</f>
        <v>0</v>
      </c>
      <c r="Q135" s="44">
        <f>'Customer Count'!C50</f>
        <v>61903.645486016037</v>
      </c>
      <c r="R135" s="46">
        <f t="shared" si="124"/>
        <v>28</v>
      </c>
      <c r="S135" s="44">
        <f t="shared" ca="1" si="139"/>
        <v>42242212.226839468</v>
      </c>
      <c r="T135" s="44"/>
      <c r="U135" s="48"/>
    </row>
    <row r="136" spans="1:26" x14ac:dyDescent="0.2">
      <c r="A136" s="45">
        <v>44256</v>
      </c>
      <c r="B136" s="29">
        <f t="shared" si="132"/>
        <v>2021</v>
      </c>
      <c r="C136" s="29">
        <f t="shared" si="133"/>
        <v>3</v>
      </c>
      <c r="E136" s="46">
        <f t="shared" ref="E136:F136" ca="1" si="141">E124</f>
        <v>332.70999999999992</v>
      </c>
      <c r="F136" s="46">
        <f t="shared" ca="1" si="141"/>
        <v>3.0000000000000072E-2</v>
      </c>
      <c r="G136" s="29">
        <f t="shared" si="122"/>
        <v>135</v>
      </c>
      <c r="H136" s="189">
        <f>'Economic (2020 Adj.)'!X148</f>
        <v>7601.1815879999995</v>
      </c>
      <c r="I136" s="29">
        <f t="shared" si="123"/>
        <v>1</v>
      </c>
      <c r="K136" s="29">
        <f>'Res PW'!$B$6</f>
        <v>-4.4351669087570498</v>
      </c>
      <c r="L136" s="29">
        <f ca="1">E136*'Res PW'!$B$7</f>
        <v>2.6313821966800308</v>
      </c>
      <c r="M136" s="29">
        <f ca="1">F136*'Res PW'!$B$8</f>
        <v>1.1622930104603637E-3</v>
      </c>
      <c r="N136" s="29">
        <f>G136*'Res PW'!$B$9</f>
        <v>-6.0133026916723278</v>
      </c>
      <c r="O136" s="163">
        <f>H136*'Res PW'!$B$10</f>
        <v>31.580563050273458</v>
      </c>
      <c r="P136" s="29">
        <f>I136*'Res PW'!$B$11</f>
        <v>-1.18560218277844</v>
      </c>
      <c r="Q136" s="44">
        <f>'Customer Count'!C51</f>
        <v>61937.382776593156</v>
      </c>
      <c r="R136" s="46">
        <f t="shared" si="124"/>
        <v>31</v>
      </c>
      <c r="S136" s="44">
        <f t="shared" ca="1" si="139"/>
        <v>43353077.792170241</v>
      </c>
      <c r="T136" s="44"/>
      <c r="U136" s="48"/>
    </row>
    <row r="137" spans="1:26" x14ac:dyDescent="0.2">
      <c r="A137" s="45">
        <v>44287</v>
      </c>
      <c r="B137" s="29">
        <f t="shared" si="132"/>
        <v>2021</v>
      </c>
      <c r="C137" s="29">
        <f t="shared" si="133"/>
        <v>4</v>
      </c>
      <c r="E137" s="46">
        <f t="shared" ref="E137:F137" ca="1" si="142">E125</f>
        <v>164.53999999999996</v>
      </c>
      <c r="F137" s="46">
        <f t="shared" ca="1" si="142"/>
        <v>1.45</v>
      </c>
      <c r="G137" s="29">
        <f t="shared" si="122"/>
        <v>136</v>
      </c>
      <c r="H137" s="189">
        <f>'Economic (2020 Adj.)'!X149</f>
        <v>7626.3435511999987</v>
      </c>
      <c r="I137" s="29">
        <f t="shared" si="123"/>
        <v>1</v>
      </c>
      <c r="K137" s="29">
        <f>'Res PW'!$B$6</f>
        <v>-4.4351669087570498</v>
      </c>
      <c r="L137" s="29">
        <f ca="1">E137*'Res PW'!$B$7</f>
        <v>1.3013363789538406</v>
      </c>
      <c r="M137" s="29">
        <f ca="1">F137*'Res PW'!$B$8</f>
        <v>5.617749550558411E-2</v>
      </c>
      <c r="N137" s="29">
        <f>G137*'Res PW'!$B$9</f>
        <v>-6.0578456745736036</v>
      </c>
      <c r="O137" s="163">
        <f>H137*'Res PW'!$B$10</f>
        <v>31.685103239993527</v>
      </c>
      <c r="P137" s="29">
        <f>I137*'Res PW'!$B$11</f>
        <v>-1.18560218277844</v>
      </c>
      <c r="Q137" s="44">
        <f>'Customer Count'!C52</f>
        <v>61971.138453886706</v>
      </c>
      <c r="R137" s="46">
        <f t="shared" si="124"/>
        <v>30</v>
      </c>
      <c r="S137" s="44">
        <f t="shared" ca="1" si="139"/>
        <v>39718546.423751339</v>
      </c>
      <c r="T137" s="44"/>
      <c r="U137" s="48"/>
    </row>
    <row r="138" spans="1:26" x14ac:dyDescent="0.2">
      <c r="A138" s="45">
        <v>44317</v>
      </c>
      <c r="B138" s="29">
        <f t="shared" si="132"/>
        <v>2021</v>
      </c>
      <c r="C138" s="29">
        <f t="shared" si="133"/>
        <v>5</v>
      </c>
      <c r="E138" s="46">
        <f t="shared" ref="E138:F138" ca="1" si="143">E126</f>
        <v>35.92</v>
      </c>
      <c r="F138" s="46">
        <f t="shared" ca="1" si="143"/>
        <v>50.69</v>
      </c>
      <c r="G138" s="29">
        <f t="shared" si="122"/>
        <v>137</v>
      </c>
      <c r="H138" s="189">
        <f>'Economic (2020 Adj.)'!X150</f>
        <v>7644.0806727999998</v>
      </c>
      <c r="I138" s="29">
        <f t="shared" si="123"/>
        <v>1</v>
      </c>
      <c r="K138" s="29">
        <f>'Res PW'!$B$6</f>
        <v>-4.4351669087570498</v>
      </c>
      <c r="L138" s="29">
        <f ca="1">E138*'Res PW'!$B$7</f>
        <v>0.28408899192914772</v>
      </c>
      <c r="M138" s="29">
        <f ca="1">F138*'Res PW'!$B$8</f>
        <v>1.9638877566745232</v>
      </c>
      <c r="N138" s="29">
        <f>G138*'Res PW'!$B$9</f>
        <v>-6.1023886574748802</v>
      </c>
      <c r="O138" s="163">
        <f>H138*'Res PW'!$B$10</f>
        <v>31.758795504878176</v>
      </c>
      <c r="P138" s="29">
        <f>I138*'Res PW'!$B$11</f>
        <v>-1.18560218277844</v>
      </c>
      <c r="Q138" s="44">
        <f>'Customer Count'!C53</f>
        <v>62004.91252791739</v>
      </c>
      <c r="R138" s="46">
        <f t="shared" si="124"/>
        <v>31</v>
      </c>
      <c r="S138" s="44">
        <f t="shared" ca="1" si="139"/>
        <v>42832500.612823144</v>
      </c>
      <c r="T138" s="44"/>
      <c r="U138" s="48"/>
    </row>
    <row r="139" spans="1:26" x14ac:dyDescent="0.2">
      <c r="A139" s="45">
        <v>44348</v>
      </c>
      <c r="B139" s="29">
        <f t="shared" si="132"/>
        <v>2021</v>
      </c>
      <c r="C139" s="29">
        <f t="shared" si="133"/>
        <v>6</v>
      </c>
      <c r="E139" s="46">
        <f t="shared" ref="E139:F139" ca="1" si="144">E127</f>
        <v>0.37999999999999989</v>
      </c>
      <c r="F139" s="46">
        <f t="shared" ca="1" si="144"/>
        <v>145.17999999999998</v>
      </c>
      <c r="G139" s="29">
        <f t="shared" si="122"/>
        <v>138</v>
      </c>
      <c r="H139" s="189">
        <f>'Economic (2020 Adj.)'!X151</f>
        <v>7662.3334083999989</v>
      </c>
      <c r="I139" s="29">
        <f t="shared" si="123"/>
        <v>0</v>
      </c>
      <c r="K139" s="29">
        <f>'Res PW'!$B$6</f>
        <v>-4.4351669087570498</v>
      </c>
      <c r="L139" s="29">
        <f ca="1">E139*'Res PW'!$B$7</f>
        <v>3.0053957943506709E-3</v>
      </c>
      <c r="M139" s="29">
        <f ca="1">F139*'Res PW'!$B$8</f>
        <v>5.6247233086211725</v>
      </c>
      <c r="N139" s="29">
        <f>G139*'Res PW'!$B$9</f>
        <v>-6.1469316403761569</v>
      </c>
      <c r="O139" s="163">
        <f>H139*'Res PW'!$B$10</f>
        <v>31.834629986765275</v>
      </c>
      <c r="P139" s="29">
        <f>I139*'Res PW'!$B$11</f>
        <v>0</v>
      </c>
      <c r="Q139" s="44">
        <f>'Customer Count'!C54</f>
        <v>62038.705008711368</v>
      </c>
      <c r="R139" s="46">
        <f t="shared" si="124"/>
        <v>30</v>
      </c>
      <c r="S139" s="44">
        <f t="shared" ca="1" si="139"/>
        <v>50028495.88529738</v>
      </c>
      <c r="T139" s="44"/>
      <c r="U139" s="48"/>
    </row>
    <row r="140" spans="1:26" x14ac:dyDescent="0.2">
      <c r="A140" s="45">
        <v>44378</v>
      </c>
      <c r="B140" s="29">
        <f t="shared" si="132"/>
        <v>2021</v>
      </c>
      <c r="C140" s="29">
        <f t="shared" si="133"/>
        <v>7</v>
      </c>
      <c r="E140" s="46">
        <f t="shared" ref="E140:F140" ca="1" si="145">E128</f>
        <v>0</v>
      </c>
      <c r="F140" s="46">
        <f t="shared" ca="1" si="145"/>
        <v>268.18999999999994</v>
      </c>
      <c r="G140" s="29">
        <f t="shared" si="122"/>
        <v>139</v>
      </c>
      <c r="H140" s="189">
        <f>'Economic (2020 Adj.)'!X152</f>
        <v>7665.0146011999996</v>
      </c>
      <c r="I140" s="29">
        <f t="shared" si="123"/>
        <v>0</v>
      </c>
      <c r="K140" s="29">
        <f>'Res PW'!$B$6</f>
        <v>-4.4351669087570498</v>
      </c>
      <c r="L140" s="29">
        <f ca="1">E140*'Res PW'!$B$7</f>
        <v>0</v>
      </c>
      <c r="M140" s="29">
        <f ca="1">F140*'Res PW'!$B$8</f>
        <v>10.390512082512139</v>
      </c>
      <c r="N140" s="29">
        <f>G140*'Res PW'!$B$9</f>
        <v>-6.1914746232774336</v>
      </c>
      <c r="O140" s="163">
        <f>H140*'Res PW'!$B$10</f>
        <v>31.845769515178073</v>
      </c>
      <c r="P140" s="29">
        <f>I140*'Res PW'!$B$11</f>
        <v>0</v>
      </c>
      <c r="Q140" s="44">
        <f>'Customer Count'!C55</f>
        <v>62072.515906300265</v>
      </c>
      <c r="R140" s="46">
        <f t="shared" si="124"/>
        <v>31</v>
      </c>
      <c r="S140" s="44">
        <f t="shared" ca="1" si="139"/>
        <v>60824786.45880308</v>
      </c>
      <c r="T140" s="44"/>
      <c r="U140" s="48"/>
    </row>
    <row r="141" spans="1:26" x14ac:dyDescent="0.2">
      <c r="A141" s="45">
        <v>44409</v>
      </c>
      <c r="B141" s="29">
        <f t="shared" si="132"/>
        <v>2021</v>
      </c>
      <c r="C141" s="29">
        <f t="shared" si="133"/>
        <v>8</v>
      </c>
      <c r="E141" s="46">
        <f t="shared" ref="E141:F141" ca="1" si="146">E129</f>
        <v>0</v>
      </c>
      <c r="F141" s="46">
        <f t="shared" ca="1" si="146"/>
        <v>239.59000000000006</v>
      </c>
      <c r="G141" s="29">
        <f t="shared" si="122"/>
        <v>140</v>
      </c>
      <c r="H141" s="189">
        <f>'Economic (2020 Adj.)'!X153</f>
        <v>7682.2361087999998</v>
      </c>
      <c r="I141" s="29">
        <f t="shared" si="123"/>
        <v>0</v>
      </c>
      <c r="K141" s="29">
        <f>'Res PW'!$B$6</f>
        <v>-4.4351669087570498</v>
      </c>
      <c r="L141" s="29">
        <f ca="1">E141*'Res PW'!$B$7</f>
        <v>0</v>
      </c>
      <c r="M141" s="29">
        <f ca="1">F141*'Res PW'!$B$8</f>
        <v>9.2824594125399322</v>
      </c>
      <c r="N141" s="29">
        <f>G141*'Res PW'!$B$9</f>
        <v>-6.2360176061787103</v>
      </c>
      <c r="O141" s="163">
        <f>H141*'Res PW'!$B$10</f>
        <v>31.917319563060257</v>
      </c>
      <c r="P141" s="29">
        <f>I141*'Res PW'!$B$11</f>
        <v>0</v>
      </c>
      <c r="Q141" s="44">
        <f>'Customer Count'!C56</f>
        <v>62106.345230721185</v>
      </c>
      <c r="R141" s="46">
        <f t="shared" si="124"/>
        <v>31</v>
      </c>
      <c r="S141" s="44">
        <f t="shared" ca="1" si="139"/>
        <v>58776602.236463934</v>
      </c>
      <c r="T141" s="44"/>
      <c r="U141" s="48"/>
    </row>
    <row r="142" spans="1:26" x14ac:dyDescent="0.2">
      <c r="A142" s="45">
        <v>44440</v>
      </c>
      <c r="B142" s="29">
        <f t="shared" si="132"/>
        <v>2021</v>
      </c>
      <c r="C142" s="29">
        <f t="shared" si="133"/>
        <v>9</v>
      </c>
      <c r="E142" s="46">
        <f t="shared" ref="E142:F142" ca="1" si="147">E130</f>
        <v>0.49000000000000005</v>
      </c>
      <c r="F142" s="46">
        <f t="shared" ca="1" si="147"/>
        <v>132.95000000000002</v>
      </c>
      <c r="G142" s="29">
        <f t="shared" si="122"/>
        <v>141</v>
      </c>
      <c r="H142" s="189">
        <f>'Economic (2020 Adj.)'!X154</f>
        <v>7711.8323523999998</v>
      </c>
      <c r="I142" s="29">
        <f t="shared" si="123"/>
        <v>1</v>
      </c>
      <c r="K142" s="29">
        <f>'Res PW'!$B$6</f>
        <v>-4.4351669087570498</v>
      </c>
      <c r="L142" s="29">
        <f ca="1">E142*'Res PW'!$B$7</f>
        <v>3.8753787874521821E-3</v>
      </c>
      <c r="M142" s="29">
        <f ca="1">F142*'Res PW'!$B$8</f>
        <v>5.1508951913568337</v>
      </c>
      <c r="N142" s="29">
        <f>G142*'Res PW'!$B$9</f>
        <v>-6.280560589079986</v>
      </c>
      <c r="O142" s="163">
        <f>H142*'Res PW'!$B$10</f>
        <v>32.04028281900149</v>
      </c>
      <c r="P142" s="29">
        <f>I142*'Res PW'!$B$11</f>
        <v>-1.18560218277844</v>
      </c>
      <c r="Q142" s="44">
        <f>'Customer Count'!C57</f>
        <v>62140.19299201668</v>
      </c>
      <c r="R142" s="46">
        <f t="shared" si="124"/>
        <v>30</v>
      </c>
      <c r="S142" s="44">
        <f t="shared" ca="1" si="139"/>
        <v>47152706.182044625</v>
      </c>
      <c r="T142" s="44"/>
      <c r="U142" s="48"/>
    </row>
    <row r="143" spans="1:26" x14ac:dyDescent="0.2">
      <c r="A143" s="45">
        <v>44470</v>
      </c>
      <c r="B143" s="29">
        <f t="shared" si="132"/>
        <v>2021</v>
      </c>
      <c r="C143" s="29">
        <f t="shared" si="133"/>
        <v>10</v>
      </c>
      <c r="E143" s="46">
        <f t="shared" ref="E143:F143" ca="1" si="148">E131</f>
        <v>53.33000000000002</v>
      </c>
      <c r="F143" s="46">
        <f t="shared" ca="1" si="148"/>
        <v>27.9</v>
      </c>
      <c r="G143" s="29">
        <f t="shared" si="122"/>
        <v>142</v>
      </c>
      <c r="H143" s="189">
        <f>'Economic (2020 Adj.)'!X155</f>
        <v>7738.3349119999993</v>
      </c>
      <c r="I143" s="29">
        <f t="shared" si="123"/>
        <v>1</v>
      </c>
      <c r="K143" s="29">
        <f>'Res PW'!$B$6</f>
        <v>-4.4351669087570498</v>
      </c>
      <c r="L143" s="29">
        <f ca="1">E143*'Res PW'!$B$7</f>
        <v>0.42178357292821411</v>
      </c>
      <c r="M143" s="29">
        <f ca="1">F143*'Res PW'!$B$8</f>
        <v>1.0809324997281358</v>
      </c>
      <c r="N143" s="29">
        <f>G143*'Res PW'!$B$9</f>
        <v>-6.3251035719812627</v>
      </c>
      <c r="O143" s="163">
        <f>H143*'Res PW'!$B$10</f>
        <v>32.150392772927965</v>
      </c>
      <c r="P143" s="29">
        <f>I143*'Res PW'!$B$11</f>
        <v>-1.18560218277844</v>
      </c>
      <c r="Q143" s="44">
        <f>'Customer Count'!C58</f>
        <v>62174.059200234798</v>
      </c>
      <c r="R143" s="46">
        <f t="shared" si="124"/>
        <v>31</v>
      </c>
      <c r="S143" s="44">
        <f t="shared" ca="1" si="139"/>
        <v>41838436.611177772</v>
      </c>
      <c r="T143" s="44"/>
      <c r="U143" s="48"/>
    </row>
    <row r="144" spans="1:26" x14ac:dyDescent="0.2">
      <c r="A144" s="45">
        <v>44501</v>
      </c>
      <c r="B144" s="29">
        <f t="shared" si="132"/>
        <v>2021</v>
      </c>
      <c r="C144" s="29">
        <f t="shared" si="133"/>
        <v>11</v>
      </c>
      <c r="E144" s="46">
        <f t="shared" ref="E144:F144" ca="1" si="149">E132</f>
        <v>207.66000000000003</v>
      </c>
      <c r="F144" s="46">
        <f t="shared" ca="1" si="149"/>
        <v>0.69000000000000006</v>
      </c>
      <c r="G144" s="29">
        <f t="shared" si="122"/>
        <v>143</v>
      </c>
      <c r="H144" s="189">
        <f>'Economic (2020 Adj.)'!X156</f>
        <v>7752.0502443999994</v>
      </c>
      <c r="I144" s="29">
        <f t="shared" si="123"/>
        <v>1</v>
      </c>
      <c r="K144" s="29">
        <f>'Res PW'!$B$6</f>
        <v>-4.4351669087570498</v>
      </c>
      <c r="L144" s="29">
        <f ca="1">E144*'Res PW'!$B$7</f>
        <v>1.642369712249633</v>
      </c>
      <c r="M144" s="29">
        <f ca="1">F144*'Res PW'!$B$8</f>
        <v>2.6732739240588305E-2</v>
      </c>
      <c r="N144" s="29">
        <f>G144*'Res PW'!$B$9</f>
        <v>-6.3696465548825394</v>
      </c>
      <c r="O144" s="163">
        <f>H144*'Res PW'!$B$10</f>
        <v>32.207375745193417</v>
      </c>
      <c r="P144" s="29">
        <f>I144*'Res PW'!$B$11</f>
        <v>-1.18560218277844</v>
      </c>
      <c r="Q144" s="44">
        <f>'Customer Count'!C59</f>
        <v>62207.94386542905</v>
      </c>
      <c r="R144" s="46">
        <f t="shared" si="124"/>
        <v>30</v>
      </c>
      <c r="S144" s="44">
        <f t="shared" ca="1" si="139"/>
        <v>40844608.51686576</v>
      </c>
      <c r="T144" s="44"/>
      <c r="U144" s="48"/>
    </row>
    <row r="145" spans="1:21" x14ac:dyDescent="0.2">
      <c r="A145" s="45">
        <v>44531</v>
      </c>
      <c r="B145" s="29">
        <f t="shared" si="132"/>
        <v>2021</v>
      </c>
      <c r="C145" s="29">
        <f t="shared" si="133"/>
        <v>12</v>
      </c>
      <c r="E145" s="46">
        <f t="shared" ref="E145:F145" ca="1" si="150">E133</f>
        <v>351.65000000000003</v>
      </c>
      <c r="F145" s="46">
        <f t="shared" ca="1" si="150"/>
        <v>0</v>
      </c>
      <c r="G145" s="29">
        <f t="shared" si="122"/>
        <v>144</v>
      </c>
      <c r="H145" s="189">
        <f>'Economic (2020 Adj.)'!X157</f>
        <v>7759.9906999999994</v>
      </c>
      <c r="I145" s="29">
        <f t="shared" si="123"/>
        <v>0</v>
      </c>
      <c r="K145" s="29">
        <f>'Res PW'!$B$6</f>
        <v>-4.4351669087570498</v>
      </c>
      <c r="L145" s="29">
        <f ca="1">E145*'Res PW'!$B$7</f>
        <v>2.7811774502195097</v>
      </c>
      <c r="M145" s="29">
        <f ca="1">F145*'Res PW'!$B$8</f>
        <v>0</v>
      </c>
      <c r="N145" s="29">
        <f>G145*'Res PW'!$B$9</f>
        <v>-6.4141895377838161</v>
      </c>
      <c r="O145" s="163">
        <f>H145*'Res PW'!$B$10</f>
        <v>32.240365887031309</v>
      </c>
      <c r="P145" s="29">
        <f>I145*'Res PW'!$B$11</f>
        <v>0</v>
      </c>
      <c r="Q145" s="44">
        <f>'Customer Count'!C60</f>
        <v>62241.846997658431</v>
      </c>
      <c r="R145" s="46">
        <f t="shared" si="124"/>
        <v>31</v>
      </c>
      <c r="S145" s="44">
        <f t="shared" ca="1" si="139"/>
        <v>46640168.299561583</v>
      </c>
      <c r="T145" s="44"/>
      <c r="U145" s="48"/>
    </row>
    <row r="146" spans="1:21" x14ac:dyDescent="0.2">
      <c r="A146" s="45"/>
    </row>
    <row r="147" spans="1:21" x14ac:dyDescent="0.2">
      <c r="A147" s="45"/>
    </row>
    <row r="148" spans="1:21" x14ac:dyDescent="0.2">
      <c r="A148" s="45"/>
    </row>
    <row r="149" spans="1:21" x14ac:dyDescent="0.2">
      <c r="A149" s="45"/>
    </row>
    <row r="150" spans="1:21" x14ac:dyDescent="0.2">
      <c r="A150" s="45"/>
    </row>
    <row r="151" spans="1:21" x14ac:dyDescent="0.2">
      <c r="A151" s="45"/>
    </row>
    <row r="152" spans="1:21" x14ac:dyDescent="0.2">
      <c r="A152" s="45"/>
    </row>
    <row r="153" spans="1:21" x14ac:dyDescent="0.2">
      <c r="A153" s="45"/>
    </row>
    <row r="154" spans="1:21" x14ac:dyDescent="0.2">
      <c r="A154" s="45"/>
    </row>
    <row r="155" spans="1:21" x14ac:dyDescent="0.2">
      <c r="A155" s="45"/>
    </row>
    <row r="156" spans="1:21" x14ac:dyDescent="0.2">
      <c r="A156" s="45"/>
    </row>
    <row r="157" spans="1:21" x14ac:dyDescent="0.2">
      <c r="A157" s="45"/>
    </row>
    <row r="158" spans="1:21" x14ac:dyDescent="0.2">
      <c r="A158" s="45"/>
    </row>
    <row r="159" spans="1:21" x14ac:dyDescent="0.2">
      <c r="A159" s="45"/>
    </row>
    <row r="160" spans="1:21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5"/>
  <dimension ref="A1:W183"/>
  <sheetViews>
    <sheetView topLeftCell="A111" workbookViewId="0">
      <selection activeCell="H122" sqref="H122:H133"/>
    </sheetView>
  </sheetViews>
  <sheetFormatPr defaultRowHeight="12.75" x14ac:dyDescent="0.2"/>
  <cols>
    <col min="1" max="3" width="9.33203125" style="29"/>
    <col min="4" max="4" width="17.5" style="29" customWidth="1"/>
    <col min="5" max="7" width="9.33203125" style="29"/>
    <col min="8" max="8" width="10.6640625" style="29" customWidth="1"/>
    <col min="9" max="10" width="9.33203125" style="29"/>
    <col min="11" max="11" width="11.83203125" style="29" bestFit="1" customWidth="1"/>
    <col min="12" max="14" width="9.33203125" style="29"/>
    <col min="15" max="15" width="12.5" style="29" bestFit="1" customWidth="1"/>
    <col min="16" max="17" width="12.5" style="29" customWidth="1"/>
    <col min="18" max="18" width="9.33203125" style="29"/>
    <col min="19" max="19" width="14.1640625" style="29" bestFit="1" customWidth="1"/>
    <col min="20" max="20" width="9.33203125" style="29"/>
    <col min="21" max="21" width="13.83203125" style="29" bestFit="1" customWidth="1"/>
    <col min="22" max="22" width="12.5" style="29" bestFit="1" customWidth="1"/>
    <col min="23" max="16384" width="9.33203125" style="29"/>
  </cols>
  <sheetData>
    <row r="1" spans="1:19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Data'!J1</f>
        <v>GS_lt_50_NoCDM</v>
      </c>
      <c r="E1" s="46" t="str">
        <f>'Monthly Data'!AL1</f>
        <v>HDD12</v>
      </c>
      <c r="F1" s="46" t="str">
        <f>'Monthly Data'!AI1</f>
        <v>CDD16</v>
      </c>
      <c r="G1" s="29" t="str">
        <f>'Monthly Data'!BG1</f>
        <v>Trend</v>
      </c>
      <c r="H1" s="29" t="str">
        <f>'Monthly Data'!X1</f>
        <v>Tor_FTEAdj</v>
      </c>
      <c r="I1" s="44" t="str">
        <f>'Monthly Data'!BF1</f>
        <v>Shoulder</v>
      </c>
      <c r="K1" s="29" t="s">
        <v>76</v>
      </c>
      <c r="L1" s="46" t="str">
        <f>E1</f>
        <v>HDD12</v>
      </c>
      <c r="M1" s="46" t="str">
        <f t="shared" ref="M1:P1" si="0">F1</f>
        <v>CDD16</v>
      </c>
      <c r="N1" s="46" t="str">
        <f t="shared" si="0"/>
        <v>Trend</v>
      </c>
      <c r="O1" s="46" t="str">
        <f t="shared" si="0"/>
        <v>Tor_FTEAdj</v>
      </c>
      <c r="P1" s="46" t="str">
        <f t="shared" si="0"/>
        <v>Shoulder</v>
      </c>
      <c r="Q1" s="44" t="str">
        <f>'Monthly Data'!H1</f>
        <v>GS_lt_50_Customersomers</v>
      </c>
      <c r="R1" s="29" t="str">
        <f>'Monthly Data'!BH1</f>
        <v>Month Days</v>
      </c>
      <c r="S1" s="29" t="s">
        <v>123</v>
      </c>
    </row>
    <row r="2" spans="1:19" x14ac:dyDescent="0.2">
      <c r="A2" s="45">
        <f>'Monthly Data'!A2</f>
        <v>40179</v>
      </c>
      <c r="B2" s="29">
        <f t="shared" ref="B2:B65" si="1">YEAR(A2)</f>
        <v>2010</v>
      </c>
      <c r="C2" s="29">
        <f t="shared" ref="C2:C65" si="2">MONTH(A2)</f>
        <v>1</v>
      </c>
      <c r="D2" s="44">
        <f>'Monthly Data'!J2</f>
        <v>15762767</v>
      </c>
      <c r="E2" s="46">
        <f ca="1">Weather!BL61</f>
        <v>477.14</v>
      </c>
      <c r="F2" s="46">
        <f ca="1">Weather!AK61</f>
        <v>0</v>
      </c>
      <c r="G2" s="29">
        <f>'Monthly Data'!BG2</f>
        <v>1</v>
      </c>
      <c r="H2" s="29">
        <f>'Monthly Data'!X2</f>
        <v>2836.8</v>
      </c>
      <c r="I2" s="44">
        <f>'Monthly Data'!BF2</f>
        <v>0</v>
      </c>
      <c r="K2" s="29">
        <f>'GS&lt;50 PW'!$B$6</f>
        <v>50.759309292559799</v>
      </c>
      <c r="L2" s="29">
        <f ca="1">E2*'GS&lt;50 PW'!$B$7</f>
        <v>14.652770308649437</v>
      </c>
      <c r="M2" s="29">
        <f ca="1">F2*'GS&lt;50 PW'!$B$8</f>
        <v>0</v>
      </c>
      <c r="N2" s="29">
        <f>G2*'GS&lt;50 PW'!$B$9</f>
        <v>-9.6359804914303293E-2</v>
      </c>
      <c r="O2" s="29">
        <f>H2*'GS&lt;50 PW'!$B$10</f>
        <v>36.060638975663302</v>
      </c>
      <c r="P2" s="44">
        <f>I2*'GS&lt;50 PW'!$B$11</f>
        <v>0</v>
      </c>
      <c r="Q2" s="44">
        <f>'Monthly Data'!H2</f>
        <v>4982</v>
      </c>
      <c r="R2" s="29">
        <f>'Monthly Data'!BH2</f>
        <v>31</v>
      </c>
      <c r="S2" s="28">
        <f ca="1">SUM(K2:P2)*Q2*R2</f>
        <v>15656767.601458771</v>
      </c>
    </row>
    <row r="3" spans="1:19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44">
        <f>'Monthly Data'!J3</f>
        <v>14456043</v>
      </c>
      <c r="E3" s="46">
        <f ca="1">Weather!BL62</f>
        <v>417.05</v>
      </c>
      <c r="F3" s="46">
        <f ca="1">Weather!AK62</f>
        <v>0</v>
      </c>
      <c r="G3" s="29">
        <f>'Monthly Data'!BG3</f>
        <v>2</v>
      </c>
      <c r="H3" s="29">
        <f>'Monthly Data'!X3</f>
        <v>2842.3</v>
      </c>
      <c r="I3" s="44">
        <f>'Monthly Data'!BF3</f>
        <v>0</v>
      </c>
      <c r="K3" s="29">
        <f>'GS&lt;50 PW'!$B$6</f>
        <v>50.759309292559799</v>
      </c>
      <c r="L3" s="29">
        <f ca="1">E3*'GS&lt;50 PW'!$B$7</f>
        <v>12.807431481792028</v>
      </c>
      <c r="M3" s="29">
        <f ca="1">F3*'GS&lt;50 PW'!$B$8</f>
        <v>0</v>
      </c>
      <c r="N3" s="29">
        <f>G3*'GS&lt;50 PW'!$B$9</f>
        <v>-0.19271960982860659</v>
      </c>
      <c r="O3" s="29">
        <f>H3*'GS&lt;50 PW'!$B$10</f>
        <v>36.130553497083966</v>
      </c>
      <c r="P3" s="44">
        <f>I3*'GS&lt;50 PW'!$B$11</f>
        <v>0</v>
      </c>
      <c r="Q3" s="44">
        <f>'Monthly Data'!H3</f>
        <v>4991</v>
      </c>
      <c r="R3" s="29">
        <f>'Monthly Data'!BH3</f>
        <v>28</v>
      </c>
      <c r="S3" s="28">
        <f t="shared" ref="S3:S66" ca="1" si="3">SUM(K3:P3)*Q3*R3</f>
        <v>13905565.299810283</v>
      </c>
    </row>
    <row r="4" spans="1:19" x14ac:dyDescent="0.2">
      <c r="A4" s="45">
        <f>'Monthly Data'!A4</f>
        <v>40238</v>
      </c>
      <c r="B4" s="29">
        <f t="shared" si="1"/>
        <v>2010</v>
      </c>
      <c r="C4" s="29">
        <f t="shared" si="2"/>
        <v>3</v>
      </c>
      <c r="D4" s="44">
        <f>'Monthly Data'!J4</f>
        <v>14266604</v>
      </c>
      <c r="E4" s="46">
        <f ca="1">Weather!BL63</f>
        <v>332.70999999999992</v>
      </c>
      <c r="F4" s="46">
        <f ca="1">Weather!AK63</f>
        <v>0</v>
      </c>
      <c r="G4" s="29">
        <f>'Monthly Data'!BG4</f>
        <v>3</v>
      </c>
      <c r="H4" s="29">
        <f>'Monthly Data'!X4</f>
        <v>2849.8</v>
      </c>
      <c r="I4" s="44">
        <f>'Monthly Data'!BF4</f>
        <v>1</v>
      </c>
      <c r="K4" s="29">
        <f>'GS&lt;50 PW'!$B$6</f>
        <v>50.759309292559799</v>
      </c>
      <c r="L4" s="29">
        <f ca="1">E4*'GS&lt;50 PW'!$B$7</f>
        <v>10.217385273485252</v>
      </c>
      <c r="M4" s="29">
        <f ca="1">F4*'GS&lt;50 PW'!$B$8</f>
        <v>0</v>
      </c>
      <c r="N4" s="29">
        <f>G4*'GS&lt;50 PW'!$B$9</f>
        <v>-0.28907941474290988</v>
      </c>
      <c r="O4" s="29">
        <f>H4*'GS&lt;50 PW'!$B$10</f>
        <v>36.225891480839422</v>
      </c>
      <c r="P4" s="44">
        <f>I4*'GS&lt;50 PW'!$B$11</f>
        <v>-1.9723066266223299</v>
      </c>
      <c r="Q4" s="44">
        <f>'Monthly Data'!H4</f>
        <v>4993</v>
      </c>
      <c r="R4" s="29">
        <f>'Monthly Data'!BH4</f>
        <v>31</v>
      </c>
      <c r="S4" s="28">
        <f t="shared" ca="1" si="3"/>
        <v>14695283.760454286</v>
      </c>
    </row>
    <row r="5" spans="1:19" x14ac:dyDescent="0.2">
      <c r="A5" s="45">
        <f>'Monthly Data'!A5</f>
        <v>40269</v>
      </c>
      <c r="B5" s="29">
        <f t="shared" si="1"/>
        <v>2010</v>
      </c>
      <c r="C5" s="29">
        <f t="shared" si="2"/>
        <v>4</v>
      </c>
      <c r="D5" s="44">
        <f>'Monthly Data'!J5</f>
        <v>12709245</v>
      </c>
      <c r="E5" s="46">
        <f ca="1">Weather!BL64</f>
        <v>164.53999999999996</v>
      </c>
      <c r="F5" s="46">
        <f ca="1">Weather!AK64</f>
        <v>0.16999999999999993</v>
      </c>
      <c r="G5" s="29">
        <f>'Monthly Data'!BG5</f>
        <v>4</v>
      </c>
      <c r="H5" s="29">
        <f>'Monthly Data'!X5</f>
        <v>2844.4</v>
      </c>
      <c r="I5" s="44">
        <f>'Monthly Data'!BF5</f>
        <v>1</v>
      </c>
      <c r="K5" s="29">
        <f>'GS&lt;50 PW'!$B$6</f>
        <v>50.759309292559799</v>
      </c>
      <c r="L5" s="29">
        <f ca="1">E5*'GS&lt;50 PW'!$B$7</f>
        <v>5.0529547440691998</v>
      </c>
      <c r="M5" s="29">
        <f ca="1">F5*'GS&lt;50 PW'!$B$8</f>
        <v>1.3395135197872927E-2</v>
      </c>
      <c r="N5" s="29">
        <f>G5*'GS&lt;50 PW'!$B$9</f>
        <v>-0.38543921965721317</v>
      </c>
      <c r="O5" s="29">
        <f>H5*'GS&lt;50 PW'!$B$10</f>
        <v>36.157248132535493</v>
      </c>
      <c r="P5" s="44">
        <f>I5*'GS&lt;50 PW'!$B$11</f>
        <v>-1.9723066266223299</v>
      </c>
      <c r="Q5" s="44">
        <f>'Monthly Data'!H5</f>
        <v>4962</v>
      </c>
      <c r="R5" s="29">
        <f>'Monthly Data'!BH5</f>
        <v>30</v>
      </c>
      <c r="S5" s="28">
        <f t="shared" ca="1" si="3"/>
        <v>13341601.53465021</v>
      </c>
    </row>
    <row r="6" spans="1:19" x14ac:dyDescent="0.2">
      <c r="A6" s="45">
        <f>'Monthly Data'!A6</f>
        <v>40299</v>
      </c>
      <c r="B6" s="29">
        <f t="shared" si="1"/>
        <v>2010</v>
      </c>
      <c r="C6" s="29">
        <f t="shared" si="2"/>
        <v>5</v>
      </c>
      <c r="D6" s="44">
        <f>'Monthly Data'!J6</f>
        <v>13617876</v>
      </c>
      <c r="E6" s="46">
        <f ca="1">Weather!BL65</f>
        <v>35.92</v>
      </c>
      <c r="F6" s="46">
        <f ca="1">Weather!AK65</f>
        <v>30.080000000000002</v>
      </c>
      <c r="G6" s="29">
        <f>'Monthly Data'!BG6</f>
        <v>5</v>
      </c>
      <c r="H6" s="29">
        <f>'Monthly Data'!X6</f>
        <v>2847.5</v>
      </c>
      <c r="I6" s="44">
        <f>'Monthly Data'!BF6</f>
        <v>1</v>
      </c>
      <c r="K6" s="29">
        <f>'GS&lt;50 PW'!$B$6</f>
        <v>50.759309292559799</v>
      </c>
      <c r="L6" s="29">
        <f ca="1">E6*'GS&lt;50 PW'!$B$7</f>
        <v>1.103088212027262</v>
      </c>
      <c r="M6" s="29">
        <f ca="1">F6*'GS&lt;50 PW'!$B$8</f>
        <v>2.3701509808942225</v>
      </c>
      <c r="N6" s="29">
        <f>G6*'GS&lt;50 PW'!$B$9</f>
        <v>-0.48179902457151647</v>
      </c>
      <c r="O6" s="29">
        <f>H6*'GS&lt;50 PW'!$B$10</f>
        <v>36.196654499154413</v>
      </c>
      <c r="P6" s="44">
        <f>I6*'GS&lt;50 PW'!$B$11</f>
        <v>-1.9723066266223299</v>
      </c>
      <c r="Q6" s="44">
        <f>'Monthly Data'!H6</f>
        <v>4969</v>
      </c>
      <c r="R6" s="29">
        <f>'Monthly Data'!BH6</f>
        <v>31</v>
      </c>
      <c r="S6" s="28">
        <f t="shared" ca="1" si="3"/>
        <v>13551596.018146049</v>
      </c>
    </row>
    <row r="7" spans="1:19" x14ac:dyDescent="0.2">
      <c r="A7" s="45">
        <f>'Monthly Data'!A7</f>
        <v>40330</v>
      </c>
      <c r="B7" s="29">
        <f t="shared" si="1"/>
        <v>2010</v>
      </c>
      <c r="C7" s="29">
        <f t="shared" si="2"/>
        <v>6</v>
      </c>
      <c r="D7" s="44">
        <f>'Monthly Data'!J7</f>
        <v>14352297</v>
      </c>
      <c r="E7" s="46">
        <f ca="1">Weather!BL66</f>
        <v>0.37999999999999989</v>
      </c>
      <c r="F7" s="46">
        <f ca="1">Weather!AK66</f>
        <v>94.58</v>
      </c>
      <c r="G7" s="29">
        <f>'Monthly Data'!BG7</f>
        <v>6</v>
      </c>
      <c r="H7" s="29">
        <f>'Monthly Data'!X7</f>
        <v>2859.9</v>
      </c>
      <c r="I7" s="44">
        <f>'Monthly Data'!BF7</f>
        <v>0</v>
      </c>
      <c r="K7" s="29">
        <f>'GS&lt;50 PW'!$B$6</f>
        <v>50.759309292559799</v>
      </c>
      <c r="L7" s="29">
        <f ca="1">E7*'GS&lt;50 PW'!$B$7</f>
        <v>1.1669641441268358E-2</v>
      </c>
      <c r="M7" s="29">
        <f ca="1">F7*'GS&lt;50 PW'!$B$8</f>
        <v>7.4524228647930704</v>
      </c>
      <c r="N7" s="29">
        <f>G7*'GS&lt;50 PW'!$B$9</f>
        <v>-0.57815882948581976</v>
      </c>
      <c r="O7" s="29">
        <f>H7*'GS&lt;50 PW'!$B$10</f>
        <v>36.354279965630099</v>
      </c>
      <c r="P7" s="44">
        <f>I7*'GS&lt;50 PW'!$B$11</f>
        <v>0</v>
      </c>
      <c r="Q7" s="44">
        <f>'Monthly Data'!H7</f>
        <v>4976</v>
      </c>
      <c r="R7" s="29">
        <f>'Monthly Data'!BH7</f>
        <v>30</v>
      </c>
      <c r="S7" s="28">
        <f t="shared" ca="1" si="3"/>
        <v>14032248.783727607</v>
      </c>
    </row>
    <row r="8" spans="1:19" x14ac:dyDescent="0.2">
      <c r="A8" s="45">
        <f>'Monthly Data'!A8</f>
        <v>40360</v>
      </c>
      <c r="B8" s="29">
        <f t="shared" si="1"/>
        <v>2010</v>
      </c>
      <c r="C8" s="29">
        <f t="shared" si="2"/>
        <v>7</v>
      </c>
      <c r="D8" s="44">
        <f>'Monthly Data'!J8</f>
        <v>16022256</v>
      </c>
      <c r="E8" s="46">
        <f ca="1">Weather!BL67</f>
        <v>0</v>
      </c>
      <c r="F8" s="46">
        <f ca="1">Weather!AK67</f>
        <v>206.28000000000003</v>
      </c>
      <c r="G8" s="29">
        <f>'Monthly Data'!BG8</f>
        <v>7</v>
      </c>
      <c r="H8" s="29">
        <f>'Monthly Data'!X8</f>
        <v>2878.7</v>
      </c>
      <c r="I8" s="44">
        <f>'Monthly Data'!BF8</f>
        <v>0</v>
      </c>
      <c r="K8" s="29">
        <f>'GS&lt;50 PW'!$B$6</f>
        <v>50.759309292559799</v>
      </c>
      <c r="L8" s="29">
        <f ca="1">E8*'GS&lt;50 PW'!$B$7</f>
        <v>0</v>
      </c>
      <c r="M8" s="29">
        <f ca="1">F8*'GS&lt;50 PW'!$B$8</f>
        <v>16.253814638924876</v>
      </c>
      <c r="N8" s="29">
        <f>G8*'GS&lt;50 PW'!$B$9</f>
        <v>-0.67451863440012305</v>
      </c>
      <c r="O8" s="29">
        <f>H8*'GS&lt;50 PW'!$B$10</f>
        <v>36.593260511577107</v>
      </c>
      <c r="P8" s="44">
        <f>I8*'GS&lt;50 PW'!$B$11</f>
        <v>0</v>
      </c>
      <c r="Q8" s="44">
        <f>'Monthly Data'!H8</f>
        <v>4982</v>
      </c>
      <c r="R8" s="29">
        <f>'Monthly Data'!BH8</f>
        <v>31</v>
      </c>
      <c r="S8" s="28">
        <f t="shared" ca="1" si="3"/>
        <v>15897003.219221324</v>
      </c>
    </row>
    <row r="9" spans="1:19" x14ac:dyDescent="0.2">
      <c r="A9" s="45">
        <f>'Monthly Data'!A9</f>
        <v>40391</v>
      </c>
      <c r="B9" s="29">
        <f t="shared" si="1"/>
        <v>2010</v>
      </c>
      <c r="C9" s="29">
        <f t="shared" si="2"/>
        <v>8</v>
      </c>
      <c r="D9" s="44">
        <f>'Monthly Data'!J9</f>
        <v>15750964</v>
      </c>
      <c r="E9" s="46">
        <f ca="1">Weather!BL68</f>
        <v>0</v>
      </c>
      <c r="F9" s="46">
        <f ca="1">Weather!AK68</f>
        <v>177.64000000000001</v>
      </c>
      <c r="G9" s="29">
        <f>'Monthly Data'!BG9</f>
        <v>8</v>
      </c>
      <c r="H9" s="29">
        <f>'Monthly Data'!X9</f>
        <v>2895.3</v>
      </c>
      <c r="I9" s="44">
        <f>'Monthly Data'!BF9</f>
        <v>0</v>
      </c>
      <c r="K9" s="29">
        <f>'GS&lt;50 PW'!$B$6</f>
        <v>50.759309292559799</v>
      </c>
      <c r="L9" s="29">
        <f ca="1">E9*'GS&lt;50 PW'!$B$7</f>
        <v>0</v>
      </c>
      <c r="M9" s="29">
        <f ca="1">F9*'GS&lt;50 PW'!$B$8</f>
        <v>13.997128332647929</v>
      </c>
      <c r="N9" s="29">
        <f>G9*'GS&lt;50 PW'!$B$9</f>
        <v>-0.77087843931442634</v>
      </c>
      <c r="O9" s="29">
        <f>H9*'GS&lt;50 PW'!$B$10</f>
        <v>36.804275248955854</v>
      </c>
      <c r="P9" s="44">
        <f>I9*'GS&lt;50 PW'!$B$11</f>
        <v>0</v>
      </c>
      <c r="Q9" s="44">
        <f>'Monthly Data'!H9</f>
        <v>4983</v>
      </c>
      <c r="R9" s="29">
        <f>'Monthly Data'!BH9</f>
        <v>31</v>
      </c>
      <c r="S9" s="28">
        <f t="shared" ca="1" si="3"/>
        <v>15569308.094654454</v>
      </c>
    </row>
    <row r="10" spans="1:19" x14ac:dyDescent="0.2">
      <c r="A10" s="45">
        <f>'Monthly Data'!A10</f>
        <v>40422</v>
      </c>
      <c r="B10" s="29">
        <f t="shared" si="1"/>
        <v>2010</v>
      </c>
      <c r="C10" s="29">
        <f t="shared" si="2"/>
        <v>9</v>
      </c>
      <c r="D10" s="44">
        <f>'Monthly Data'!J10</f>
        <v>13403453</v>
      </c>
      <c r="E10" s="46">
        <f ca="1">Weather!BL69</f>
        <v>0.49000000000000005</v>
      </c>
      <c r="F10" s="46">
        <f ca="1">Weather!AK69</f>
        <v>85.65</v>
      </c>
      <c r="G10" s="29">
        <f>'Monthly Data'!BG10</f>
        <v>9</v>
      </c>
      <c r="H10" s="29">
        <f>'Monthly Data'!X10</f>
        <v>2891.8</v>
      </c>
      <c r="I10" s="44">
        <f>'Monthly Data'!BF10</f>
        <v>1</v>
      </c>
      <c r="K10" s="29">
        <f>'GS&lt;50 PW'!$B$6</f>
        <v>50.759309292559799</v>
      </c>
      <c r="L10" s="29">
        <f ca="1">E10*'GS&lt;50 PW'!$B$7</f>
        <v>1.5047695542688151E-2</v>
      </c>
      <c r="M10" s="29">
        <f ca="1">F10*'GS&lt;50 PW'!$B$8</f>
        <v>6.7487842923400985</v>
      </c>
      <c r="N10" s="29">
        <f>G10*'GS&lt;50 PW'!$B$9</f>
        <v>-0.86723824422872964</v>
      </c>
      <c r="O10" s="29">
        <f>H10*'GS&lt;50 PW'!$B$10</f>
        <v>36.759784189869968</v>
      </c>
      <c r="P10" s="44">
        <f>I10*'GS&lt;50 PW'!$B$11</f>
        <v>-1.9723066266223299</v>
      </c>
      <c r="Q10" s="44">
        <f>'Monthly Data'!H10</f>
        <v>4981</v>
      </c>
      <c r="R10" s="29">
        <f>'Monthly Data'!BH10</f>
        <v>30</v>
      </c>
      <c r="S10" s="28">
        <f t="shared" ca="1" si="3"/>
        <v>13664384.362977533</v>
      </c>
    </row>
    <row r="11" spans="1:19" x14ac:dyDescent="0.2">
      <c r="A11" s="45">
        <f>'Monthly Data'!A11</f>
        <v>40452</v>
      </c>
      <c r="B11" s="29">
        <f t="shared" si="1"/>
        <v>2010</v>
      </c>
      <c r="C11" s="29">
        <f t="shared" si="2"/>
        <v>10</v>
      </c>
      <c r="D11" s="44">
        <f>'Monthly Data'!J11</f>
        <v>13142565</v>
      </c>
      <c r="E11" s="46">
        <f ca="1">Weather!BL70</f>
        <v>53.33000000000002</v>
      </c>
      <c r="F11" s="46">
        <f ca="1">Weather!AK70</f>
        <v>12.219999999999999</v>
      </c>
      <c r="G11" s="29">
        <f>'Monthly Data'!BG11</f>
        <v>10</v>
      </c>
      <c r="H11" s="29">
        <f>'Monthly Data'!X11</f>
        <v>2893.7</v>
      </c>
      <c r="I11" s="44">
        <f>'Monthly Data'!BF11</f>
        <v>1</v>
      </c>
      <c r="K11" s="29">
        <f>'GS&lt;50 PW'!$B$6</f>
        <v>50.759309292559799</v>
      </c>
      <c r="L11" s="29">
        <f ca="1">E11*'GS&lt;50 PW'!$B$7</f>
        <v>1.6377420475337947</v>
      </c>
      <c r="M11" s="29">
        <f ca="1">F11*'GS&lt;50 PW'!$B$8</f>
        <v>0.96287383598827769</v>
      </c>
      <c r="N11" s="29">
        <f>G11*'GS&lt;50 PW'!$B$9</f>
        <v>-0.96359804914303293</v>
      </c>
      <c r="O11" s="29">
        <f>H11*'GS&lt;50 PW'!$B$10</f>
        <v>36.783936479088013</v>
      </c>
      <c r="P11" s="44">
        <f>I11*'GS&lt;50 PW'!$B$11</f>
        <v>-1.9723066266223299</v>
      </c>
      <c r="Q11" s="44">
        <f>'Monthly Data'!H11</f>
        <v>4981</v>
      </c>
      <c r="R11" s="29">
        <f>'Monthly Data'!BH11</f>
        <v>31</v>
      </c>
      <c r="S11" s="28">
        <f t="shared" ca="1" si="3"/>
        <v>13465867.845146829</v>
      </c>
    </row>
    <row r="12" spans="1:19" x14ac:dyDescent="0.2">
      <c r="A12" s="45">
        <f>'Monthly Data'!A12</f>
        <v>40483</v>
      </c>
      <c r="B12" s="29">
        <f t="shared" si="1"/>
        <v>2010</v>
      </c>
      <c r="C12" s="29">
        <f t="shared" si="2"/>
        <v>11</v>
      </c>
      <c r="D12" s="44">
        <f>'Monthly Data'!J12</f>
        <v>13574075</v>
      </c>
      <c r="E12" s="46">
        <f ca="1">Weather!BL71</f>
        <v>207.66000000000003</v>
      </c>
      <c r="F12" s="46">
        <f ca="1">Weather!AK71</f>
        <v>1.0000000000000142E-2</v>
      </c>
      <c r="G12" s="29">
        <f>'Monthly Data'!BG12</f>
        <v>11</v>
      </c>
      <c r="H12" s="29">
        <f>'Monthly Data'!X12</f>
        <v>2893.6</v>
      </c>
      <c r="I12" s="44">
        <f>'Monthly Data'!BF12</f>
        <v>1</v>
      </c>
      <c r="K12" s="29">
        <f>'GS&lt;50 PW'!$B$6</f>
        <v>50.759309292559799</v>
      </c>
      <c r="L12" s="29">
        <f ca="1">E12*'GS&lt;50 PW'!$B$7</f>
        <v>6.3771519518257582</v>
      </c>
      <c r="M12" s="29">
        <f ca="1">F12*'GS&lt;50 PW'!$B$8</f>
        <v>7.8794912928665433E-4</v>
      </c>
      <c r="N12" s="29">
        <f>G12*'GS&lt;50 PW'!$B$9</f>
        <v>-1.0599578540573362</v>
      </c>
      <c r="O12" s="29">
        <f>H12*'GS&lt;50 PW'!$B$10</f>
        <v>36.782665305971278</v>
      </c>
      <c r="P12" s="44">
        <f>I12*'GS&lt;50 PW'!$B$11</f>
        <v>-1.9723066266223299</v>
      </c>
      <c r="Q12" s="44">
        <f>'Monthly Data'!H12</f>
        <v>5023</v>
      </c>
      <c r="R12" s="29">
        <f>'Monthly Data'!BH12</f>
        <v>30</v>
      </c>
      <c r="S12" s="28">
        <f t="shared" ca="1" si="3"/>
        <v>13695859.981333945</v>
      </c>
    </row>
    <row r="13" spans="1:19" x14ac:dyDescent="0.2">
      <c r="A13" s="45">
        <f>'Monthly Data'!A13</f>
        <v>40513</v>
      </c>
      <c r="B13" s="29">
        <f t="shared" si="1"/>
        <v>2010</v>
      </c>
      <c r="C13" s="29">
        <f t="shared" si="2"/>
        <v>12</v>
      </c>
      <c r="D13" s="44">
        <f>'Monthly Data'!J13</f>
        <v>15142180</v>
      </c>
      <c r="E13" s="46">
        <f ca="1">Weather!BL72</f>
        <v>351.65000000000003</v>
      </c>
      <c r="F13" s="46">
        <f ca="1">Weather!AK72</f>
        <v>0</v>
      </c>
      <c r="G13" s="29">
        <f>'Monthly Data'!BG13</f>
        <v>12</v>
      </c>
      <c r="H13" s="29">
        <f>'Monthly Data'!X13</f>
        <v>2918.5</v>
      </c>
      <c r="I13" s="44">
        <f>'Monthly Data'!BF13</f>
        <v>0</v>
      </c>
      <c r="K13" s="29">
        <f>'GS&lt;50 PW'!$B$6</f>
        <v>50.759309292559799</v>
      </c>
      <c r="L13" s="29">
        <f ca="1">E13*'GS&lt;50 PW'!$B$7</f>
        <v>10.799024770584262</v>
      </c>
      <c r="M13" s="29">
        <f ca="1">F13*'GS&lt;50 PW'!$B$8</f>
        <v>0</v>
      </c>
      <c r="N13" s="29">
        <f>G13*'GS&lt;50 PW'!$B$9</f>
        <v>-1.1563176589716395</v>
      </c>
      <c r="O13" s="29">
        <f>H13*'GS&lt;50 PW'!$B$10</f>
        <v>37.099187412039392</v>
      </c>
      <c r="P13" s="44">
        <f>I13*'GS&lt;50 PW'!$B$11</f>
        <v>0</v>
      </c>
      <c r="Q13" s="44">
        <f>'Monthly Data'!H13</f>
        <v>5036</v>
      </c>
      <c r="R13" s="29">
        <f>'Monthly Data'!BH13</f>
        <v>31</v>
      </c>
      <c r="S13" s="28">
        <f t="shared" ca="1" si="3"/>
        <v>15221497.934971724</v>
      </c>
    </row>
    <row r="14" spans="1:19" x14ac:dyDescent="0.2">
      <c r="A14" s="45">
        <f>'Monthly Data'!A14</f>
        <v>40544</v>
      </c>
      <c r="B14" s="29">
        <f t="shared" si="1"/>
        <v>2011</v>
      </c>
      <c r="C14" s="29">
        <f t="shared" si="2"/>
        <v>1</v>
      </c>
      <c r="D14" s="44">
        <f>'Monthly Data'!J14</f>
        <v>15995127.334936943</v>
      </c>
      <c r="E14" s="46">
        <f t="shared" ref="E14:F29" ca="1" si="4">E2</f>
        <v>477.14</v>
      </c>
      <c r="F14" s="46">
        <f t="shared" ca="1" si="4"/>
        <v>0</v>
      </c>
      <c r="G14" s="29">
        <f>'Monthly Data'!BG14</f>
        <v>13</v>
      </c>
      <c r="H14" s="29">
        <f>'Monthly Data'!X14</f>
        <v>2938.5</v>
      </c>
      <c r="I14" s="44">
        <f>'Monthly Data'!BF14</f>
        <v>0</v>
      </c>
      <c r="K14" s="29">
        <f>'GS&lt;50 PW'!$B$6</f>
        <v>50.759309292559799</v>
      </c>
      <c r="L14" s="29">
        <f ca="1">E14*'GS&lt;50 PW'!$B$7</f>
        <v>14.652770308649437</v>
      </c>
      <c r="M14" s="29">
        <f ca="1">F14*'GS&lt;50 PW'!$B$8</f>
        <v>0</v>
      </c>
      <c r="N14" s="29">
        <f>G14*'GS&lt;50 PW'!$B$9</f>
        <v>-1.2526774638859428</v>
      </c>
      <c r="O14" s="29">
        <f>H14*'GS&lt;50 PW'!$B$10</f>
        <v>37.353422035387268</v>
      </c>
      <c r="P14" s="44">
        <f>I14*'GS&lt;50 PW'!$B$11</f>
        <v>0</v>
      </c>
      <c r="Q14" s="44">
        <f>'Monthly Data'!H14</f>
        <v>5045</v>
      </c>
      <c r="R14" s="29">
        <f>'Monthly Data'!BH14</f>
        <v>31</v>
      </c>
      <c r="S14" s="28">
        <f t="shared" ca="1" si="3"/>
        <v>15876098.136491068</v>
      </c>
    </row>
    <row r="15" spans="1:19" x14ac:dyDescent="0.2">
      <c r="A15" s="45">
        <f>'Monthly Data'!A15</f>
        <v>40575</v>
      </c>
      <c r="B15" s="29">
        <f t="shared" si="1"/>
        <v>2011</v>
      </c>
      <c r="C15" s="29">
        <f t="shared" si="2"/>
        <v>2</v>
      </c>
      <c r="D15" s="44">
        <f>'Monthly Data'!J15</f>
        <v>14555084.334936943</v>
      </c>
      <c r="E15" s="46">
        <f t="shared" ca="1" si="4"/>
        <v>417.05</v>
      </c>
      <c r="F15" s="46">
        <f t="shared" ca="1" si="4"/>
        <v>0</v>
      </c>
      <c r="G15" s="29">
        <f>'Monthly Data'!BG15</f>
        <v>14</v>
      </c>
      <c r="H15" s="29">
        <f>'Monthly Data'!X15</f>
        <v>2947.4</v>
      </c>
      <c r="I15" s="44">
        <f>'Monthly Data'!BF15</f>
        <v>0</v>
      </c>
      <c r="K15" s="29">
        <f>'GS&lt;50 PW'!$B$6</f>
        <v>50.759309292559799</v>
      </c>
      <c r="L15" s="29">
        <f ca="1">E15*'GS&lt;50 PW'!$B$7</f>
        <v>12.807431481792028</v>
      </c>
      <c r="M15" s="29">
        <f ca="1">F15*'GS&lt;50 PW'!$B$8</f>
        <v>0</v>
      </c>
      <c r="N15" s="29">
        <f>G15*'GS&lt;50 PW'!$B$9</f>
        <v>-1.3490372688002461</v>
      </c>
      <c r="O15" s="29">
        <f>H15*'GS&lt;50 PW'!$B$10</f>
        <v>37.466556442777076</v>
      </c>
      <c r="P15" s="44">
        <f>I15*'GS&lt;50 PW'!$B$11</f>
        <v>0</v>
      </c>
      <c r="Q15" s="44">
        <f>'Monthly Data'!H15</f>
        <v>5089</v>
      </c>
      <c r="R15" s="29">
        <f>'Monthly Data'!BH15</f>
        <v>28</v>
      </c>
      <c r="S15" s="28">
        <f t="shared" ca="1" si="3"/>
        <v>14204209.568557248</v>
      </c>
    </row>
    <row r="16" spans="1:19" x14ac:dyDescent="0.2">
      <c r="A16" s="45">
        <f>'Monthly Data'!A16</f>
        <v>40603</v>
      </c>
      <c r="B16" s="29">
        <f t="shared" si="1"/>
        <v>2011</v>
      </c>
      <c r="C16" s="29">
        <f t="shared" si="2"/>
        <v>3</v>
      </c>
      <c r="D16" s="44">
        <f>'Monthly Data'!J16</f>
        <v>15164745.334936943</v>
      </c>
      <c r="E16" s="46">
        <f t="shared" ca="1" si="4"/>
        <v>332.70999999999992</v>
      </c>
      <c r="F16" s="46">
        <f t="shared" ca="1" si="4"/>
        <v>0</v>
      </c>
      <c r="G16" s="29">
        <f>'Monthly Data'!BG16</f>
        <v>15</v>
      </c>
      <c r="H16" s="29">
        <f>'Monthly Data'!X16</f>
        <v>2938.7</v>
      </c>
      <c r="I16" s="44">
        <f>'Monthly Data'!BF16</f>
        <v>1</v>
      </c>
      <c r="K16" s="29">
        <f>'GS&lt;50 PW'!$B$6</f>
        <v>50.759309292559799</v>
      </c>
      <c r="L16" s="29">
        <f ca="1">E16*'GS&lt;50 PW'!$B$7</f>
        <v>10.217385273485252</v>
      </c>
      <c r="M16" s="29">
        <f ca="1">F16*'GS&lt;50 PW'!$B$8</f>
        <v>0</v>
      </c>
      <c r="N16" s="29">
        <f>G16*'GS&lt;50 PW'!$B$9</f>
        <v>-1.4453970737145494</v>
      </c>
      <c r="O16" s="29">
        <f>H16*'GS&lt;50 PW'!$B$10</f>
        <v>37.355964381620744</v>
      </c>
      <c r="P16" s="44">
        <f>I16*'GS&lt;50 PW'!$B$11</f>
        <v>-1.9723066266223299</v>
      </c>
      <c r="Q16" s="44">
        <f>'Monthly Data'!H16</f>
        <v>5088</v>
      </c>
      <c r="R16" s="29">
        <f>'Monthly Data'!BH16</f>
        <v>31</v>
      </c>
      <c r="S16" s="28">
        <f t="shared" ca="1" si="3"/>
        <v>14970746.061250696</v>
      </c>
    </row>
    <row r="17" spans="1:19" x14ac:dyDescent="0.2">
      <c r="A17" s="45">
        <f>'Monthly Data'!A17</f>
        <v>40634</v>
      </c>
      <c r="B17" s="29">
        <f t="shared" si="1"/>
        <v>2011</v>
      </c>
      <c r="C17" s="29">
        <f t="shared" si="2"/>
        <v>4</v>
      </c>
      <c r="D17" s="44">
        <f>'Monthly Data'!J17</f>
        <v>13518631.334936943</v>
      </c>
      <c r="E17" s="46">
        <f t="shared" ca="1" si="4"/>
        <v>164.53999999999996</v>
      </c>
      <c r="F17" s="46">
        <f t="shared" ca="1" si="4"/>
        <v>0.16999999999999993</v>
      </c>
      <c r="G17" s="29">
        <f>'Monthly Data'!BG17</f>
        <v>16</v>
      </c>
      <c r="H17" s="29">
        <f>'Monthly Data'!X17</f>
        <v>2929.9</v>
      </c>
      <c r="I17" s="44">
        <f>'Monthly Data'!BF17</f>
        <v>1</v>
      </c>
      <c r="K17" s="29">
        <f>'GS&lt;50 PW'!$B$6</f>
        <v>50.759309292559799</v>
      </c>
      <c r="L17" s="29">
        <f ca="1">E17*'GS&lt;50 PW'!$B$7</f>
        <v>5.0529547440691998</v>
      </c>
      <c r="M17" s="29">
        <f ca="1">F17*'GS&lt;50 PW'!$B$8</f>
        <v>1.3395135197872927E-2</v>
      </c>
      <c r="N17" s="29">
        <f>G17*'GS&lt;50 PW'!$B$9</f>
        <v>-1.5417568786288527</v>
      </c>
      <c r="O17" s="29">
        <f>H17*'GS&lt;50 PW'!$B$10</f>
        <v>37.244101147347685</v>
      </c>
      <c r="P17" s="44">
        <f>I17*'GS&lt;50 PW'!$B$11</f>
        <v>-1.9723066266223299</v>
      </c>
      <c r="Q17" s="44">
        <f>'Monthly Data'!H17</f>
        <v>5085</v>
      </c>
      <c r="R17" s="29">
        <f>'Monthly Data'!BH17</f>
        <v>30</v>
      </c>
      <c r="S17" s="28">
        <f t="shared" ca="1" si="3"/>
        <v>13661721.548964011</v>
      </c>
    </row>
    <row r="18" spans="1:19" x14ac:dyDescent="0.2">
      <c r="A18" s="45">
        <f>'Monthly Data'!A18</f>
        <v>40664</v>
      </c>
      <c r="B18" s="29">
        <f t="shared" si="1"/>
        <v>2011</v>
      </c>
      <c r="C18" s="29">
        <f t="shared" si="2"/>
        <v>5</v>
      </c>
      <c r="D18" s="44">
        <f>'Monthly Data'!J18</f>
        <v>13626861.334936943</v>
      </c>
      <c r="E18" s="46">
        <f t="shared" ca="1" si="4"/>
        <v>35.92</v>
      </c>
      <c r="F18" s="46">
        <f t="shared" ca="1" si="4"/>
        <v>30.080000000000002</v>
      </c>
      <c r="G18" s="29">
        <f>'Monthly Data'!BG18</f>
        <v>17</v>
      </c>
      <c r="H18" s="29">
        <f>'Monthly Data'!X18</f>
        <v>2930.2</v>
      </c>
      <c r="I18" s="44">
        <f>'Monthly Data'!BF18</f>
        <v>1</v>
      </c>
      <c r="K18" s="29">
        <f>'GS&lt;50 PW'!$B$6</f>
        <v>50.759309292559799</v>
      </c>
      <c r="L18" s="29">
        <f ca="1">E18*'GS&lt;50 PW'!$B$7</f>
        <v>1.103088212027262</v>
      </c>
      <c r="M18" s="29">
        <f ca="1">F18*'GS&lt;50 PW'!$B$8</f>
        <v>2.3701509808942225</v>
      </c>
      <c r="N18" s="29">
        <f>G18*'GS&lt;50 PW'!$B$9</f>
        <v>-1.638116683543156</v>
      </c>
      <c r="O18" s="29">
        <f>H18*'GS&lt;50 PW'!$B$10</f>
        <v>37.247914666697895</v>
      </c>
      <c r="P18" s="44">
        <f>I18*'GS&lt;50 PW'!$B$11</f>
        <v>-1.9723066266223299</v>
      </c>
      <c r="Q18" s="44">
        <f>'Monthly Data'!H18</f>
        <v>5078</v>
      </c>
      <c r="R18" s="29">
        <f>'Monthly Data'!BH18</f>
        <v>31</v>
      </c>
      <c r="S18" s="28">
        <f t="shared" ca="1" si="3"/>
        <v>13832325.931850111</v>
      </c>
    </row>
    <row r="19" spans="1:19" x14ac:dyDescent="0.2">
      <c r="A19" s="45">
        <f>'Monthly Data'!A19</f>
        <v>40695</v>
      </c>
      <c r="B19" s="29">
        <f t="shared" si="1"/>
        <v>2011</v>
      </c>
      <c r="C19" s="29">
        <f t="shared" si="2"/>
        <v>6</v>
      </c>
      <c r="D19" s="44">
        <f>'Monthly Data'!J19</f>
        <v>14487788.334936943</v>
      </c>
      <c r="E19" s="46">
        <f t="shared" ca="1" si="4"/>
        <v>0.37999999999999989</v>
      </c>
      <c r="F19" s="46">
        <f t="shared" ca="1" si="4"/>
        <v>94.58</v>
      </c>
      <c r="G19" s="29">
        <f>'Monthly Data'!BG19</f>
        <v>18</v>
      </c>
      <c r="H19" s="29">
        <f>'Monthly Data'!X19</f>
        <v>2934.9</v>
      </c>
      <c r="I19" s="44">
        <f>'Monthly Data'!BF19</f>
        <v>0</v>
      </c>
      <c r="K19" s="29">
        <f>'GS&lt;50 PW'!$B$6</f>
        <v>50.759309292559799</v>
      </c>
      <c r="L19" s="29">
        <f ca="1">E19*'GS&lt;50 PW'!$B$7</f>
        <v>1.1669641441268358E-2</v>
      </c>
      <c r="M19" s="29">
        <f ca="1">F19*'GS&lt;50 PW'!$B$8</f>
        <v>7.4524228647930704</v>
      </c>
      <c r="N19" s="29">
        <f>G19*'GS&lt;50 PW'!$B$9</f>
        <v>-1.7344764884574593</v>
      </c>
      <c r="O19" s="29">
        <f>H19*'GS&lt;50 PW'!$B$10</f>
        <v>37.307659803184649</v>
      </c>
      <c r="P19" s="44">
        <f>I19*'GS&lt;50 PW'!$B$11</f>
        <v>0</v>
      </c>
      <c r="Q19" s="44">
        <f>'Monthly Data'!H19</f>
        <v>5082</v>
      </c>
      <c r="R19" s="29">
        <f>'Monthly Data'!BH19</f>
        <v>30</v>
      </c>
      <c r="S19" s="28">
        <f t="shared" ca="1" si="3"/>
        <v>14300227.366407461</v>
      </c>
    </row>
    <row r="20" spans="1:19" x14ac:dyDescent="0.2">
      <c r="A20" s="45">
        <f>'Monthly Data'!A20</f>
        <v>40725</v>
      </c>
      <c r="B20" s="29">
        <f t="shared" si="1"/>
        <v>2011</v>
      </c>
      <c r="C20" s="29">
        <f t="shared" si="2"/>
        <v>7</v>
      </c>
      <c r="D20" s="44">
        <f>'Monthly Data'!J20</f>
        <v>16609782.334936943</v>
      </c>
      <c r="E20" s="46">
        <f t="shared" ca="1" si="4"/>
        <v>0</v>
      </c>
      <c r="F20" s="46">
        <f t="shared" ca="1" si="4"/>
        <v>206.28000000000003</v>
      </c>
      <c r="G20" s="29">
        <f>'Monthly Data'!BG20</f>
        <v>19</v>
      </c>
      <c r="H20" s="29">
        <f>'Monthly Data'!X20</f>
        <v>2928.1</v>
      </c>
      <c r="I20" s="44">
        <f>'Monthly Data'!BF20</f>
        <v>0</v>
      </c>
      <c r="K20" s="29">
        <f>'GS&lt;50 PW'!$B$6</f>
        <v>50.759309292559799</v>
      </c>
      <c r="L20" s="29">
        <f ca="1">E20*'GS&lt;50 PW'!$B$7</f>
        <v>0</v>
      </c>
      <c r="M20" s="29">
        <f ca="1">F20*'GS&lt;50 PW'!$B$8</f>
        <v>16.253814638924876</v>
      </c>
      <c r="N20" s="29">
        <f>G20*'GS&lt;50 PW'!$B$9</f>
        <v>-1.8308362933717626</v>
      </c>
      <c r="O20" s="29">
        <f>H20*'GS&lt;50 PW'!$B$10</f>
        <v>37.221220031246368</v>
      </c>
      <c r="P20" s="44">
        <f>I20*'GS&lt;50 PW'!$B$11</f>
        <v>0</v>
      </c>
      <c r="Q20" s="44">
        <f>'Monthly Data'!H20</f>
        <v>5096</v>
      </c>
      <c r="R20" s="29">
        <f>'Monthly Data'!BH20</f>
        <v>31</v>
      </c>
      <c r="S20" s="28">
        <f t="shared" ca="1" si="3"/>
        <v>16177296.527574699</v>
      </c>
    </row>
    <row r="21" spans="1:19" x14ac:dyDescent="0.2">
      <c r="A21" s="45">
        <f>'Monthly Data'!A21</f>
        <v>40756</v>
      </c>
      <c r="B21" s="29">
        <f t="shared" si="1"/>
        <v>2011</v>
      </c>
      <c r="C21" s="29">
        <f t="shared" si="2"/>
        <v>8</v>
      </c>
      <c r="D21" s="44">
        <f>'Monthly Data'!J21</f>
        <v>15863299.334936943</v>
      </c>
      <c r="E21" s="46">
        <f t="shared" ca="1" si="4"/>
        <v>0</v>
      </c>
      <c r="F21" s="46">
        <f t="shared" ca="1" si="4"/>
        <v>177.64000000000001</v>
      </c>
      <c r="G21" s="29">
        <f>'Monthly Data'!BG21</f>
        <v>20</v>
      </c>
      <c r="H21" s="29">
        <f>'Monthly Data'!X21</f>
        <v>2922.7</v>
      </c>
      <c r="I21" s="44">
        <f>'Monthly Data'!BF21</f>
        <v>0</v>
      </c>
      <c r="K21" s="29">
        <f>'GS&lt;50 PW'!$B$6</f>
        <v>50.759309292559799</v>
      </c>
      <c r="L21" s="29">
        <f ca="1">E21*'GS&lt;50 PW'!$B$7</f>
        <v>0</v>
      </c>
      <c r="M21" s="29">
        <f ca="1">F21*'GS&lt;50 PW'!$B$8</f>
        <v>13.997128332647929</v>
      </c>
      <c r="N21" s="29">
        <f>G21*'GS&lt;50 PW'!$B$9</f>
        <v>-1.9271960982860659</v>
      </c>
      <c r="O21" s="29">
        <f>H21*'GS&lt;50 PW'!$B$10</f>
        <v>37.152576682942438</v>
      </c>
      <c r="P21" s="44">
        <f>I21*'GS&lt;50 PW'!$B$11</f>
        <v>0</v>
      </c>
      <c r="Q21" s="44">
        <f>'Monthly Data'!H21</f>
        <v>5089</v>
      </c>
      <c r="R21" s="29">
        <f>'Monthly Data'!BH21</f>
        <v>31</v>
      </c>
      <c r="S21" s="28">
        <f t="shared" ca="1" si="3"/>
        <v>15773031.65896995</v>
      </c>
    </row>
    <row r="22" spans="1:19" x14ac:dyDescent="0.2">
      <c r="A22" s="45">
        <f>'Monthly Data'!A22</f>
        <v>40787</v>
      </c>
      <c r="B22" s="29">
        <f t="shared" si="1"/>
        <v>2011</v>
      </c>
      <c r="C22" s="29">
        <f t="shared" si="2"/>
        <v>9</v>
      </c>
      <c r="D22" s="44">
        <f>'Monthly Data'!J22</f>
        <v>13532144.334936943</v>
      </c>
      <c r="E22" s="46">
        <f t="shared" ca="1" si="4"/>
        <v>0.49000000000000005</v>
      </c>
      <c r="F22" s="46">
        <f t="shared" ca="1" si="4"/>
        <v>85.65</v>
      </c>
      <c r="G22" s="29">
        <f>'Monthly Data'!BG22</f>
        <v>21</v>
      </c>
      <c r="H22" s="29">
        <f>'Monthly Data'!X22</f>
        <v>2918.3</v>
      </c>
      <c r="I22" s="44">
        <f>'Monthly Data'!BF22</f>
        <v>1</v>
      </c>
      <c r="K22" s="29">
        <f>'GS&lt;50 PW'!$B$6</f>
        <v>50.759309292559799</v>
      </c>
      <c r="L22" s="29">
        <f ca="1">E22*'GS&lt;50 PW'!$B$7</f>
        <v>1.5047695542688151E-2</v>
      </c>
      <c r="M22" s="29">
        <f ca="1">F22*'GS&lt;50 PW'!$B$8</f>
        <v>6.7487842923400985</v>
      </c>
      <c r="N22" s="29">
        <f>G22*'GS&lt;50 PW'!$B$9</f>
        <v>-2.0235559032003692</v>
      </c>
      <c r="O22" s="29">
        <f>H22*'GS&lt;50 PW'!$B$10</f>
        <v>37.096645065805916</v>
      </c>
      <c r="P22" s="44">
        <f>I22*'GS&lt;50 PW'!$B$11</f>
        <v>-1.9723066266223299</v>
      </c>
      <c r="Q22" s="44">
        <f>'Monthly Data'!H22</f>
        <v>5088</v>
      </c>
      <c r="R22" s="29">
        <f>'Monthly Data'!BH22</f>
        <v>30</v>
      </c>
      <c r="S22" s="28">
        <f t="shared" ca="1" si="3"/>
        <v>13832835.731339237</v>
      </c>
    </row>
    <row r="23" spans="1:19" x14ac:dyDescent="0.2">
      <c r="A23" s="45">
        <f>'Monthly Data'!A23</f>
        <v>40817</v>
      </c>
      <c r="B23" s="29">
        <f t="shared" si="1"/>
        <v>2011</v>
      </c>
      <c r="C23" s="29">
        <f t="shared" si="2"/>
        <v>10</v>
      </c>
      <c r="D23" s="44">
        <f>'Monthly Data'!J23</f>
        <v>13280230.334936943</v>
      </c>
      <c r="E23" s="46">
        <f t="shared" ca="1" si="4"/>
        <v>53.33000000000002</v>
      </c>
      <c r="F23" s="46">
        <f t="shared" ca="1" si="4"/>
        <v>12.219999999999999</v>
      </c>
      <c r="G23" s="29">
        <f>'Monthly Data'!BG23</f>
        <v>22</v>
      </c>
      <c r="H23" s="29">
        <f>'Monthly Data'!X23</f>
        <v>2912.1</v>
      </c>
      <c r="I23" s="44">
        <f>'Monthly Data'!BF23</f>
        <v>1</v>
      </c>
      <c r="K23" s="29">
        <f>'GS&lt;50 PW'!$B$6</f>
        <v>50.759309292559799</v>
      </c>
      <c r="L23" s="29">
        <f ca="1">E23*'GS&lt;50 PW'!$B$7</f>
        <v>1.6377420475337947</v>
      </c>
      <c r="M23" s="29">
        <f ca="1">F23*'GS&lt;50 PW'!$B$8</f>
        <v>0.96287383598827769</v>
      </c>
      <c r="N23" s="29">
        <f>G23*'GS&lt;50 PW'!$B$9</f>
        <v>-2.1199157081146724</v>
      </c>
      <c r="O23" s="29">
        <f>H23*'GS&lt;50 PW'!$B$10</f>
        <v>37.017832332568069</v>
      </c>
      <c r="P23" s="44">
        <f>I23*'GS&lt;50 PW'!$B$11</f>
        <v>-1.9723066266223299</v>
      </c>
      <c r="Q23" s="44">
        <f>'Monthly Data'!H23</f>
        <v>5102</v>
      </c>
      <c r="R23" s="29">
        <f>'Monthly Data'!BH23</f>
        <v>31</v>
      </c>
      <c r="S23" s="28">
        <f t="shared" ca="1" si="3"/>
        <v>13647092.814176416</v>
      </c>
    </row>
    <row r="24" spans="1:19" x14ac:dyDescent="0.2">
      <c r="A24" s="45">
        <f>'Monthly Data'!A24</f>
        <v>40848</v>
      </c>
      <c r="B24" s="29">
        <f t="shared" si="1"/>
        <v>2011</v>
      </c>
      <c r="C24" s="29">
        <f t="shared" si="2"/>
        <v>11</v>
      </c>
      <c r="D24" s="44">
        <f>'Monthly Data'!J24</f>
        <v>13582759.334936943</v>
      </c>
      <c r="E24" s="46">
        <f t="shared" ca="1" si="4"/>
        <v>207.66000000000003</v>
      </c>
      <c r="F24" s="46">
        <f t="shared" ca="1" si="4"/>
        <v>1.0000000000000142E-2</v>
      </c>
      <c r="G24" s="29">
        <f>'Monthly Data'!BG24</f>
        <v>23</v>
      </c>
      <c r="H24" s="29">
        <f>'Monthly Data'!X24</f>
        <v>2908.5</v>
      </c>
      <c r="I24" s="44">
        <f>'Monthly Data'!BF24</f>
        <v>1</v>
      </c>
      <c r="K24" s="29">
        <f>'GS&lt;50 PW'!$B$6</f>
        <v>50.759309292559799</v>
      </c>
      <c r="L24" s="29">
        <f ca="1">E24*'GS&lt;50 PW'!$B$7</f>
        <v>6.3771519518257582</v>
      </c>
      <c r="M24" s="29">
        <f ca="1">F24*'GS&lt;50 PW'!$B$8</f>
        <v>7.8794912928665433E-4</v>
      </c>
      <c r="N24" s="29">
        <f>G24*'GS&lt;50 PW'!$B$9</f>
        <v>-2.2162755130289757</v>
      </c>
      <c r="O24" s="29">
        <f>H24*'GS&lt;50 PW'!$B$10</f>
        <v>36.97207010036545</v>
      </c>
      <c r="P24" s="44">
        <f>I24*'GS&lt;50 PW'!$B$11</f>
        <v>-1.9723066266223299</v>
      </c>
      <c r="Q24" s="44">
        <f>'Monthly Data'!H24</f>
        <v>5122</v>
      </c>
      <c r="R24" s="29">
        <f>'Monthly Data'!BH24</f>
        <v>30</v>
      </c>
      <c r="S24" s="28">
        <f t="shared" ca="1" si="3"/>
        <v>13817220.471118826</v>
      </c>
    </row>
    <row r="25" spans="1:19" x14ac:dyDescent="0.2">
      <c r="A25" s="45">
        <f>'Monthly Data'!A25</f>
        <v>40878</v>
      </c>
      <c r="B25" s="29">
        <f t="shared" si="1"/>
        <v>2011</v>
      </c>
      <c r="C25" s="29">
        <f t="shared" si="2"/>
        <v>12</v>
      </c>
      <c r="D25" s="44">
        <f>'Monthly Data'!J25</f>
        <v>14822411.334936943</v>
      </c>
      <c r="E25" s="46">
        <f t="shared" ca="1" si="4"/>
        <v>351.65000000000003</v>
      </c>
      <c r="F25" s="46">
        <f t="shared" ca="1" si="4"/>
        <v>0</v>
      </c>
      <c r="G25" s="29">
        <f>'Monthly Data'!BG25</f>
        <v>24</v>
      </c>
      <c r="H25" s="29">
        <f>'Monthly Data'!X25</f>
        <v>2903</v>
      </c>
      <c r="I25" s="44">
        <f>'Monthly Data'!BF25</f>
        <v>0</v>
      </c>
      <c r="K25" s="29">
        <f>'GS&lt;50 PW'!$B$6</f>
        <v>50.759309292559799</v>
      </c>
      <c r="L25" s="29">
        <f ca="1">E25*'GS&lt;50 PW'!$B$7</f>
        <v>10.799024770584262</v>
      </c>
      <c r="M25" s="29">
        <f ca="1">F25*'GS&lt;50 PW'!$B$8</f>
        <v>0</v>
      </c>
      <c r="N25" s="29">
        <f>G25*'GS&lt;50 PW'!$B$9</f>
        <v>-2.312635317943279</v>
      </c>
      <c r="O25" s="29">
        <f>H25*'GS&lt;50 PW'!$B$10</f>
        <v>36.902155578944779</v>
      </c>
      <c r="P25" s="44">
        <f>I25*'GS&lt;50 PW'!$B$11</f>
        <v>0</v>
      </c>
      <c r="Q25" s="44">
        <f>'Monthly Data'!H25</f>
        <v>5123</v>
      </c>
      <c r="R25" s="29">
        <f>'Monthly Data'!BH25</f>
        <v>31</v>
      </c>
      <c r="S25" s="28">
        <f t="shared" ca="1" si="3"/>
        <v>15269529.188780528</v>
      </c>
    </row>
    <row r="26" spans="1:19" x14ac:dyDescent="0.2">
      <c r="A26" s="45">
        <f>'Monthly Data'!A26</f>
        <v>40909</v>
      </c>
      <c r="B26" s="29">
        <f t="shared" si="1"/>
        <v>2012</v>
      </c>
      <c r="C26" s="29">
        <f t="shared" si="2"/>
        <v>1</v>
      </c>
      <c r="D26" s="44">
        <f>'Monthly Data'!J26</f>
        <v>15492130.281657217</v>
      </c>
      <c r="E26" s="46">
        <f t="shared" ca="1" si="4"/>
        <v>477.14</v>
      </c>
      <c r="F26" s="46">
        <f t="shared" ca="1" si="4"/>
        <v>0</v>
      </c>
      <c r="G26" s="29">
        <f>'Monthly Data'!BG26</f>
        <v>25</v>
      </c>
      <c r="H26" s="29">
        <f>'Monthly Data'!X26</f>
        <v>2903.3</v>
      </c>
      <c r="I26" s="44">
        <f>'Monthly Data'!BF26</f>
        <v>0</v>
      </c>
      <c r="K26" s="29">
        <f>'GS&lt;50 PW'!$B$6</f>
        <v>50.759309292559799</v>
      </c>
      <c r="L26" s="29">
        <f ca="1">E26*'GS&lt;50 PW'!$B$7</f>
        <v>14.652770308649437</v>
      </c>
      <c r="M26" s="29">
        <f ca="1">F26*'GS&lt;50 PW'!$B$8</f>
        <v>0</v>
      </c>
      <c r="N26" s="29">
        <f>G26*'GS&lt;50 PW'!$B$9</f>
        <v>-2.4089951228575823</v>
      </c>
      <c r="O26" s="29">
        <f>H26*'GS&lt;50 PW'!$B$10</f>
        <v>36.905969098295003</v>
      </c>
      <c r="P26" s="44">
        <f>I26*'GS&lt;50 PW'!$B$11</f>
        <v>0</v>
      </c>
      <c r="Q26" s="44">
        <f>'Monthly Data'!H26</f>
        <v>5121</v>
      </c>
      <c r="R26" s="29">
        <f>'Monthly Data'!BH26</f>
        <v>31</v>
      </c>
      <c r="S26" s="28">
        <f t="shared" ca="1" si="3"/>
        <v>15860662.164346231</v>
      </c>
    </row>
    <row r="27" spans="1:19" x14ac:dyDescent="0.2">
      <c r="A27" s="45">
        <f>'Monthly Data'!A27</f>
        <v>40940</v>
      </c>
      <c r="B27" s="29">
        <f t="shared" si="1"/>
        <v>2012</v>
      </c>
      <c r="C27" s="29">
        <f t="shared" si="2"/>
        <v>2</v>
      </c>
      <c r="D27" s="44">
        <f>'Monthly Data'!J27</f>
        <v>14445977.281657217</v>
      </c>
      <c r="E27" s="46">
        <f t="shared" ca="1" si="4"/>
        <v>417.05</v>
      </c>
      <c r="F27" s="46">
        <f t="shared" ca="1" si="4"/>
        <v>0</v>
      </c>
      <c r="G27" s="29">
        <f>'Monthly Data'!BG27</f>
        <v>26</v>
      </c>
      <c r="H27" s="29">
        <f>'Monthly Data'!X27</f>
        <v>2901.2</v>
      </c>
      <c r="I27" s="44">
        <f>'Monthly Data'!BF27</f>
        <v>0</v>
      </c>
      <c r="K27" s="29">
        <f>'GS&lt;50 PW'!$B$6</f>
        <v>50.759309292559799</v>
      </c>
      <c r="L27" s="29">
        <f ca="1">E27*'GS&lt;50 PW'!$B$7</f>
        <v>12.807431481792028</v>
      </c>
      <c r="M27" s="29">
        <f ca="1">F27*'GS&lt;50 PW'!$B$8</f>
        <v>0</v>
      </c>
      <c r="N27" s="29">
        <f>G27*'GS&lt;50 PW'!$B$9</f>
        <v>-2.5053549277718856</v>
      </c>
      <c r="O27" s="29">
        <f>H27*'GS&lt;50 PW'!$B$10</f>
        <v>36.879274462843469</v>
      </c>
      <c r="P27" s="44">
        <f>I27*'GS&lt;50 PW'!$B$11</f>
        <v>0</v>
      </c>
      <c r="Q27" s="44">
        <f>'Monthly Data'!H27</f>
        <v>5127</v>
      </c>
      <c r="R27" s="29">
        <f>'Monthly Data'!BH27</f>
        <v>29</v>
      </c>
      <c r="S27" s="28">
        <f t="shared" ca="1" si="3"/>
        <v>14562111.196786001</v>
      </c>
    </row>
    <row r="28" spans="1:19" x14ac:dyDescent="0.2">
      <c r="A28" s="45">
        <f>'Monthly Data'!A28</f>
        <v>40969</v>
      </c>
      <c r="B28" s="29">
        <f t="shared" si="1"/>
        <v>2012</v>
      </c>
      <c r="C28" s="29">
        <f t="shared" si="2"/>
        <v>3</v>
      </c>
      <c r="D28" s="44">
        <f>'Monthly Data'!J28</f>
        <v>14326333.281657217</v>
      </c>
      <c r="E28" s="46">
        <f t="shared" ca="1" si="4"/>
        <v>332.70999999999992</v>
      </c>
      <c r="F28" s="46">
        <f t="shared" ca="1" si="4"/>
        <v>0</v>
      </c>
      <c r="G28" s="29">
        <f>'Monthly Data'!BG28</f>
        <v>27</v>
      </c>
      <c r="H28" s="29">
        <f>'Monthly Data'!X28</f>
        <v>2907.4</v>
      </c>
      <c r="I28" s="44">
        <f>'Monthly Data'!BF28</f>
        <v>1</v>
      </c>
      <c r="K28" s="29">
        <f>'GS&lt;50 PW'!$B$6</f>
        <v>50.759309292559799</v>
      </c>
      <c r="L28" s="29">
        <f ca="1">E28*'GS&lt;50 PW'!$B$7</f>
        <v>10.217385273485252</v>
      </c>
      <c r="M28" s="29">
        <f ca="1">F28*'GS&lt;50 PW'!$B$8</f>
        <v>0</v>
      </c>
      <c r="N28" s="29">
        <f>G28*'GS&lt;50 PW'!$B$9</f>
        <v>-2.6017147326861889</v>
      </c>
      <c r="O28" s="29">
        <f>H28*'GS&lt;50 PW'!$B$10</f>
        <v>36.958087196081316</v>
      </c>
      <c r="P28" s="44">
        <f>I28*'GS&lt;50 PW'!$B$11</f>
        <v>-1.9723066266223299</v>
      </c>
      <c r="Q28" s="44">
        <f>'Monthly Data'!H28</f>
        <v>5122</v>
      </c>
      <c r="R28" s="29">
        <f>'Monthly Data'!BH28</f>
        <v>31</v>
      </c>
      <c r="S28" s="28">
        <f t="shared" ca="1" si="3"/>
        <v>14824008.258280223</v>
      </c>
    </row>
    <row r="29" spans="1:19" x14ac:dyDescent="0.2">
      <c r="A29" s="45">
        <f>'Monthly Data'!A29</f>
        <v>41000</v>
      </c>
      <c r="B29" s="29">
        <f t="shared" si="1"/>
        <v>2012</v>
      </c>
      <c r="C29" s="29">
        <f t="shared" si="2"/>
        <v>4</v>
      </c>
      <c r="D29" s="44">
        <f>'Monthly Data'!J29</f>
        <v>13184039.281657217</v>
      </c>
      <c r="E29" s="46">
        <f t="shared" ca="1" si="4"/>
        <v>164.53999999999996</v>
      </c>
      <c r="F29" s="46">
        <f t="shared" ca="1" si="4"/>
        <v>0.16999999999999993</v>
      </c>
      <c r="G29" s="29">
        <f>'Monthly Data'!BG29</f>
        <v>28</v>
      </c>
      <c r="H29" s="29">
        <f>'Monthly Data'!X29</f>
        <v>2912.5</v>
      </c>
      <c r="I29" s="44">
        <f>'Monthly Data'!BF29</f>
        <v>1</v>
      </c>
      <c r="K29" s="29">
        <f>'GS&lt;50 PW'!$B$6</f>
        <v>50.759309292559799</v>
      </c>
      <c r="L29" s="29">
        <f ca="1">E29*'GS&lt;50 PW'!$B$7</f>
        <v>5.0529547440691998</v>
      </c>
      <c r="M29" s="29">
        <f ca="1">F29*'GS&lt;50 PW'!$B$8</f>
        <v>1.3395135197872927E-2</v>
      </c>
      <c r="N29" s="29">
        <f>G29*'GS&lt;50 PW'!$B$9</f>
        <v>-2.6980745376004922</v>
      </c>
      <c r="O29" s="29">
        <f>H29*'GS&lt;50 PW'!$B$10</f>
        <v>37.022917025035028</v>
      </c>
      <c r="P29" s="44">
        <f>I29*'GS&lt;50 PW'!$B$11</f>
        <v>-1.9723066266223299</v>
      </c>
      <c r="Q29" s="44">
        <f>'Monthly Data'!H29</f>
        <v>5123</v>
      </c>
      <c r="R29" s="29">
        <f>'Monthly Data'!BH29</f>
        <v>30</v>
      </c>
      <c r="S29" s="28">
        <f t="shared" ca="1" si="3"/>
        <v>13552106.7945663</v>
      </c>
    </row>
    <row r="30" spans="1:19" x14ac:dyDescent="0.2">
      <c r="A30" s="45">
        <f>'Monthly Data'!A30</f>
        <v>41030</v>
      </c>
      <c r="B30" s="29">
        <f t="shared" si="1"/>
        <v>2012</v>
      </c>
      <c r="C30" s="29">
        <f t="shared" si="2"/>
        <v>5</v>
      </c>
      <c r="D30" s="44">
        <f>'Monthly Data'!J30</f>
        <v>13982977.281657217</v>
      </c>
      <c r="E30" s="46">
        <f t="shared" ref="E30:F45" ca="1" si="5">E18</f>
        <v>35.92</v>
      </c>
      <c r="F30" s="46">
        <f t="shared" ca="1" si="5"/>
        <v>30.080000000000002</v>
      </c>
      <c r="G30" s="29">
        <f>'Monthly Data'!BG30</f>
        <v>29</v>
      </c>
      <c r="H30" s="29">
        <f>'Monthly Data'!X30</f>
        <v>2917.9</v>
      </c>
      <c r="I30" s="44">
        <f>'Monthly Data'!BF30</f>
        <v>1</v>
      </c>
      <c r="K30" s="29">
        <f>'GS&lt;50 PW'!$B$6</f>
        <v>50.759309292559799</v>
      </c>
      <c r="L30" s="29">
        <f ca="1">E30*'GS&lt;50 PW'!$B$7</f>
        <v>1.103088212027262</v>
      </c>
      <c r="M30" s="29">
        <f ca="1">F30*'GS&lt;50 PW'!$B$8</f>
        <v>2.3701509808942225</v>
      </c>
      <c r="N30" s="29">
        <f>G30*'GS&lt;50 PW'!$B$9</f>
        <v>-2.7944343425147955</v>
      </c>
      <c r="O30" s="29">
        <f>H30*'GS&lt;50 PW'!$B$10</f>
        <v>37.091560373338957</v>
      </c>
      <c r="P30" s="44">
        <f>I30*'GS&lt;50 PW'!$B$11</f>
        <v>-1.9723066266223299</v>
      </c>
      <c r="Q30" s="44">
        <f>'Monthly Data'!H30</f>
        <v>5123</v>
      </c>
      <c r="R30" s="29">
        <f>'Monthly Data'!BH30</f>
        <v>31</v>
      </c>
      <c r="S30" s="28">
        <f t="shared" ca="1" si="3"/>
        <v>13746435.266664244</v>
      </c>
    </row>
    <row r="31" spans="1:19" x14ac:dyDescent="0.2">
      <c r="A31" s="45">
        <f>'Monthly Data'!A31</f>
        <v>41061</v>
      </c>
      <c r="B31" s="29">
        <f t="shared" si="1"/>
        <v>2012</v>
      </c>
      <c r="C31" s="29">
        <f t="shared" si="2"/>
        <v>6</v>
      </c>
      <c r="D31" s="44">
        <f>'Monthly Data'!J31</f>
        <v>14982710.281657217</v>
      </c>
      <c r="E31" s="46">
        <f t="shared" ca="1" si="5"/>
        <v>0.37999999999999989</v>
      </c>
      <c r="F31" s="46">
        <f t="shared" ca="1" si="5"/>
        <v>94.58</v>
      </c>
      <c r="G31" s="29">
        <f>'Monthly Data'!BG31</f>
        <v>30</v>
      </c>
      <c r="H31" s="29">
        <f>'Monthly Data'!X31</f>
        <v>2928.6</v>
      </c>
      <c r="I31" s="44">
        <f>'Monthly Data'!BF31</f>
        <v>0</v>
      </c>
      <c r="K31" s="29">
        <f>'GS&lt;50 PW'!$B$6</f>
        <v>50.759309292559799</v>
      </c>
      <c r="L31" s="29">
        <f ca="1">E31*'GS&lt;50 PW'!$B$7</f>
        <v>1.1669641441268358E-2</v>
      </c>
      <c r="M31" s="29">
        <f ca="1">F31*'GS&lt;50 PW'!$B$8</f>
        <v>7.4524228647930704</v>
      </c>
      <c r="N31" s="29">
        <f>G31*'GS&lt;50 PW'!$B$9</f>
        <v>-2.8907941474290988</v>
      </c>
      <c r="O31" s="29">
        <f>H31*'GS&lt;50 PW'!$B$10</f>
        <v>37.227575896830068</v>
      </c>
      <c r="P31" s="44">
        <f>I31*'GS&lt;50 PW'!$B$11</f>
        <v>0</v>
      </c>
      <c r="Q31" s="44">
        <f>'Monthly Data'!H31</f>
        <v>5127</v>
      </c>
      <c r="R31" s="29">
        <f>'Monthly Data'!BH31</f>
        <v>30</v>
      </c>
      <c r="S31" s="28">
        <f t="shared" ca="1" si="3"/>
        <v>14236681.831547892</v>
      </c>
    </row>
    <row r="32" spans="1:19" x14ac:dyDescent="0.2">
      <c r="A32" s="45">
        <f>'Monthly Data'!A32</f>
        <v>41091</v>
      </c>
      <c r="B32" s="29">
        <f t="shared" si="1"/>
        <v>2012</v>
      </c>
      <c r="C32" s="29">
        <f t="shared" si="2"/>
        <v>7</v>
      </c>
      <c r="D32" s="44">
        <f>'Monthly Data'!J32</f>
        <v>16737303.281657217</v>
      </c>
      <c r="E32" s="46">
        <f t="shared" ca="1" si="5"/>
        <v>0</v>
      </c>
      <c r="F32" s="46">
        <f t="shared" ca="1" si="5"/>
        <v>206.28000000000003</v>
      </c>
      <c r="G32" s="29">
        <f>'Monthly Data'!BG32</f>
        <v>31</v>
      </c>
      <c r="H32" s="29">
        <f>'Monthly Data'!X32</f>
        <v>2949.2</v>
      </c>
      <c r="I32" s="44">
        <f>'Monthly Data'!BF32</f>
        <v>0</v>
      </c>
      <c r="K32" s="29">
        <f>'GS&lt;50 PW'!$B$6</f>
        <v>50.759309292559799</v>
      </c>
      <c r="L32" s="29">
        <f ca="1">E32*'GS&lt;50 PW'!$B$7</f>
        <v>0</v>
      </c>
      <c r="M32" s="29">
        <f ca="1">F32*'GS&lt;50 PW'!$B$8</f>
        <v>16.253814638924876</v>
      </c>
      <c r="N32" s="29">
        <f>G32*'GS&lt;50 PW'!$B$9</f>
        <v>-2.9871539523434021</v>
      </c>
      <c r="O32" s="29">
        <f>H32*'GS&lt;50 PW'!$B$10</f>
        <v>37.489437558878386</v>
      </c>
      <c r="P32" s="44">
        <f>I32*'GS&lt;50 PW'!$B$11</f>
        <v>0</v>
      </c>
      <c r="Q32" s="44">
        <f>'Monthly Data'!H32</f>
        <v>5135</v>
      </c>
      <c r="R32" s="29">
        <f>'Monthly Data'!BH32</f>
        <v>31</v>
      </c>
      <c r="S32" s="28">
        <f t="shared" ca="1" si="3"/>
        <v>16159730.148939656</v>
      </c>
    </row>
    <row r="33" spans="1:19" x14ac:dyDescent="0.2">
      <c r="A33" s="45">
        <f>'Monthly Data'!A33</f>
        <v>41122</v>
      </c>
      <c r="B33" s="29">
        <f t="shared" si="1"/>
        <v>2012</v>
      </c>
      <c r="C33" s="29">
        <f t="shared" si="2"/>
        <v>8</v>
      </c>
      <c r="D33" s="44">
        <f>'Monthly Data'!J33</f>
        <v>15895184.281657217</v>
      </c>
      <c r="E33" s="46">
        <f t="shared" ca="1" si="5"/>
        <v>0</v>
      </c>
      <c r="F33" s="46">
        <f t="shared" ca="1" si="5"/>
        <v>177.64000000000001</v>
      </c>
      <c r="G33" s="29">
        <f>'Monthly Data'!BG33</f>
        <v>32</v>
      </c>
      <c r="H33" s="29">
        <f>'Monthly Data'!X33</f>
        <v>2968.4</v>
      </c>
      <c r="I33" s="44">
        <f>'Monthly Data'!BF33</f>
        <v>0</v>
      </c>
      <c r="K33" s="29">
        <f>'GS&lt;50 PW'!$B$6</f>
        <v>50.759309292559799</v>
      </c>
      <c r="L33" s="29">
        <f ca="1">E33*'GS&lt;50 PW'!$B$7</f>
        <v>0</v>
      </c>
      <c r="M33" s="29">
        <f ca="1">F33*'GS&lt;50 PW'!$B$8</f>
        <v>13.997128332647929</v>
      </c>
      <c r="N33" s="29">
        <f>G33*'GS&lt;50 PW'!$B$9</f>
        <v>-3.0835137572577054</v>
      </c>
      <c r="O33" s="29">
        <f>H33*'GS&lt;50 PW'!$B$10</f>
        <v>37.733502797292353</v>
      </c>
      <c r="P33" s="44">
        <f>I33*'GS&lt;50 PW'!$B$11</f>
        <v>0</v>
      </c>
      <c r="Q33" s="44">
        <f>'Monthly Data'!H33</f>
        <v>5147</v>
      </c>
      <c r="R33" s="29">
        <f>'Monthly Data'!BH33</f>
        <v>31</v>
      </c>
      <c r="S33" s="28">
        <f t="shared" ca="1" si="3"/>
        <v>15860991.219426079</v>
      </c>
    </row>
    <row r="34" spans="1:19" x14ac:dyDescent="0.2">
      <c r="A34" s="45">
        <f>'Monthly Data'!A34</f>
        <v>41153</v>
      </c>
      <c r="B34" s="29">
        <f t="shared" si="1"/>
        <v>2012</v>
      </c>
      <c r="C34" s="29">
        <f t="shared" si="2"/>
        <v>9</v>
      </c>
      <c r="D34" s="44">
        <f>'Monthly Data'!J34</f>
        <v>14172207.281657217</v>
      </c>
      <c r="E34" s="46">
        <f t="shared" ca="1" si="5"/>
        <v>0.49000000000000005</v>
      </c>
      <c r="F34" s="46">
        <f t="shared" ca="1" si="5"/>
        <v>85.65</v>
      </c>
      <c r="G34" s="29">
        <f>'Monthly Data'!BG34</f>
        <v>33</v>
      </c>
      <c r="H34" s="29">
        <f>'Monthly Data'!X34</f>
        <v>2985.6</v>
      </c>
      <c r="I34" s="44">
        <f>'Monthly Data'!BF34</f>
        <v>1</v>
      </c>
      <c r="K34" s="29">
        <f>'GS&lt;50 PW'!$B$6</f>
        <v>50.759309292559799</v>
      </c>
      <c r="L34" s="29">
        <f ca="1">E34*'GS&lt;50 PW'!$B$7</f>
        <v>1.5047695542688151E-2</v>
      </c>
      <c r="M34" s="29">
        <f ca="1">F34*'GS&lt;50 PW'!$B$8</f>
        <v>6.7487842923400985</v>
      </c>
      <c r="N34" s="29">
        <f>G34*'GS&lt;50 PW'!$B$9</f>
        <v>-3.1798735621720087</v>
      </c>
      <c r="O34" s="29">
        <f>H34*'GS&lt;50 PW'!$B$10</f>
        <v>37.952144573371527</v>
      </c>
      <c r="P34" s="44">
        <f>I34*'GS&lt;50 PW'!$B$11</f>
        <v>-1.9723066266223299</v>
      </c>
      <c r="Q34" s="44">
        <f>'Monthly Data'!H34</f>
        <v>5148</v>
      </c>
      <c r="R34" s="29">
        <f>'Monthly Data'!BH34</f>
        <v>30</v>
      </c>
      <c r="S34" s="28">
        <f t="shared" ca="1" si="3"/>
        <v>13949500.438905654</v>
      </c>
    </row>
    <row r="35" spans="1:19" x14ac:dyDescent="0.2">
      <c r="A35" s="45">
        <f>'Monthly Data'!A35</f>
        <v>41183</v>
      </c>
      <c r="B35" s="29">
        <f t="shared" si="1"/>
        <v>2012</v>
      </c>
      <c r="C35" s="29">
        <f t="shared" si="2"/>
        <v>10</v>
      </c>
      <c r="D35" s="44">
        <f>'Monthly Data'!J35</f>
        <v>13656586.281657217</v>
      </c>
      <c r="E35" s="46">
        <f t="shared" ca="1" si="5"/>
        <v>53.33000000000002</v>
      </c>
      <c r="F35" s="46">
        <f t="shared" ca="1" si="5"/>
        <v>12.219999999999999</v>
      </c>
      <c r="G35" s="29">
        <f>'Monthly Data'!BG35</f>
        <v>34</v>
      </c>
      <c r="H35" s="29">
        <f>'Monthly Data'!X35</f>
        <v>3002.1</v>
      </c>
      <c r="I35" s="44">
        <f>'Monthly Data'!BF35</f>
        <v>1</v>
      </c>
      <c r="K35" s="29">
        <f>'GS&lt;50 PW'!$B$6</f>
        <v>50.759309292559799</v>
      </c>
      <c r="L35" s="29">
        <f ca="1">E35*'GS&lt;50 PW'!$B$7</f>
        <v>1.6377420475337947</v>
      </c>
      <c r="M35" s="29">
        <f ca="1">F35*'GS&lt;50 PW'!$B$8</f>
        <v>0.96287383598827769</v>
      </c>
      <c r="N35" s="29">
        <f>G35*'GS&lt;50 PW'!$B$9</f>
        <v>-3.276233367086312</v>
      </c>
      <c r="O35" s="29">
        <f>H35*'GS&lt;50 PW'!$B$10</f>
        <v>38.161888137633525</v>
      </c>
      <c r="P35" s="44">
        <f>I35*'GS&lt;50 PW'!$B$11</f>
        <v>-1.9723066266223299</v>
      </c>
      <c r="Q35" s="44">
        <f>'Monthly Data'!H35</f>
        <v>5150</v>
      </c>
      <c r="R35" s="29">
        <f>'Monthly Data'!BH35</f>
        <v>31</v>
      </c>
      <c r="S35" s="28">
        <f t="shared" ca="1" si="3"/>
        <v>13773528.085539078</v>
      </c>
    </row>
    <row r="36" spans="1:19" x14ac:dyDescent="0.2">
      <c r="A36" s="45">
        <f>'Monthly Data'!A36</f>
        <v>41214</v>
      </c>
      <c r="B36" s="29">
        <f t="shared" si="1"/>
        <v>2012</v>
      </c>
      <c r="C36" s="29">
        <f t="shared" si="2"/>
        <v>11</v>
      </c>
      <c r="D36" s="44">
        <f>'Monthly Data'!J36</f>
        <v>14160121.281657217</v>
      </c>
      <c r="E36" s="46">
        <f t="shared" ca="1" si="5"/>
        <v>207.66000000000003</v>
      </c>
      <c r="F36" s="46">
        <f t="shared" ca="1" si="5"/>
        <v>1.0000000000000142E-2</v>
      </c>
      <c r="G36" s="29">
        <f>'Monthly Data'!BG36</f>
        <v>35</v>
      </c>
      <c r="H36" s="29">
        <f>'Monthly Data'!X36</f>
        <v>3019.5</v>
      </c>
      <c r="I36" s="44">
        <f>'Monthly Data'!BF36</f>
        <v>1</v>
      </c>
      <c r="K36" s="29">
        <f>'GS&lt;50 PW'!$B$6</f>
        <v>50.759309292559799</v>
      </c>
      <c r="L36" s="29">
        <f ca="1">E36*'GS&lt;50 PW'!$B$7</f>
        <v>6.3771519518257582</v>
      </c>
      <c r="M36" s="29">
        <f ca="1">F36*'GS&lt;50 PW'!$B$8</f>
        <v>7.8794912928665433E-4</v>
      </c>
      <c r="N36" s="29">
        <f>G36*'GS&lt;50 PW'!$B$9</f>
        <v>-3.3725931720006153</v>
      </c>
      <c r="O36" s="29">
        <f>H36*'GS&lt;50 PW'!$B$10</f>
        <v>38.383072259946182</v>
      </c>
      <c r="P36" s="44">
        <f>I36*'GS&lt;50 PW'!$B$11</f>
        <v>-1.9723066266223299</v>
      </c>
      <c r="Q36" s="44">
        <f>'Monthly Data'!H36</f>
        <v>5162</v>
      </c>
      <c r="R36" s="29">
        <f>'Monthly Data'!BH36</f>
        <v>30</v>
      </c>
      <c r="S36" s="28">
        <f t="shared" ca="1" si="3"/>
        <v>13964565.797468226</v>
      </c>
    </row>
    <row r="37" spans="1:19" x14ac:dyDescent="0.2">
      <c r="A37" s="45">
        <f>'Monthly Data'!A37</f>
        <v>41244</v>
      </c>
      <c r="B37" s="29">
        <f t="shared" si="1"/>
        <v>2012</v>
      </c>
      <c r="C37" s="29">
        <f t="shared" si="2"/>
        <v>12</v>
      </c>
      <c r="D37" s="44">
        <f>'Monthly Data'!J37</f>
        <v>15041472.281657217</v>
      </c>
      <c r="E37" s="46">
        <f t="shared" ca="1" si="5"/>
        <v>351.65000000000003</v>
      </c>
      <c r="F37" s="46">
        <f t="shared" ca="1" si="5"/>
        <v>0</v>
      </c>
      <c r="G37" s="29">
        <f>'Monthly Data'!BG37</f>
        <v>36</v>
      </c>
      <c r="H37" s="29">
        <f>'Monthly Data'!X37</f>
        <v>3030.3</v>
      </c>
      <c r="I37" s="44">
        <f>'Monthly Data'!BF37</f>
        <v>0</v>
      </c>
      <c r="K37" s="29">
        <f>'GS&lt;50 PW'!$B$6</f>
        <v>50.759309292559799</v>
      </c>
      <c r="L37" s="29">
        <f ca="1">E37*'GS&lt;50 PW'!$B$7</f>
        <v>10.799024770584262</v>
      </c>
      <c r="M37" s="29">
        <f ca="1">F37*'GS&lt;50 PW'!$B$8</f>
        <v>0</v>
      </c>
      <c r="N37" s="29">
        <f>G37*'GS&lt;50 PW'!$B$9</f>
        <v>-3.4689529769149186</v>
      </c>
      <c r="O37" s="29">
        <f>H37*'GS&lt;50 PW'!$B$10</f>
        <v>38.520358956554041</v>
      </c>
      <c r="P37" s="44">
        <f>I37*'GS&lt;50 PW'!$B$11</f>
        <v>0</v>
      </c>
      <c r="Q37" s="44">
        <f>'Monthly Data'!H37</f>
        <v>5168</v>
      </c>
      <c r="R37" s="29">
        <f>'Monthly Data'!BH37</f>
        <v>31</v>
      </c>
      <c r="S37" s="28">
        <f t="shared" ca="1" si="3"/>
        <v>15477653.232774209</v>
      </c>
    </row>
    <row r="38" spans="1:19" x14ac:dyDescent="0.2">
      <c r="A38" s="45">
        <f>'Monthly Data'!A38</f>
        <v>41275</v>
      </c>
      <c r="B38" s="29">
        <f t="shared" si="1"/>
        <v>2013</v>
      </c>
      <c r="C38" s="29">
        <f t="shared" si="2"/>
        <v>1</v>
      </c>
      <c r="D38" s="44">
        <f>'Monthly Data'!J38</f>
        <v>15838016.622677803</v>
      </c>
      <c r="E38" s="46">
        <f t="shared" ca="1" si="5"/>
        <v>477.14</v>
      </c>
      <c r="F38" s="46">
        <f t="shared" ca="1" si="5"/>
        <v>0</v>
      </c>
      <c r="G38" s="29">
        <f>'Monthly Data'!BG38</f>
        <v>37</v>
      </c>
      <c r="H38" s="29">
        <f>'Monthly Data'!X38</f>
        <v>3038</v>
      </c>
      <c r="I38" s="44">
        <f>'Monthly Data'!BF38</f>
        <v>0</v>
      </c>
      <c r="K38" s="29">
        <f>'GS&lt;50 PW'!$B$6</f>
        <v>50.759309292559799</v>
      </c>
      <c r="L38" s="29">
        <f ca="1">E38*'GS&lt;50 PW'!$B$7</f>
        <v>14.652770308649437</v>
      </c>
      <c r="M38" s="29">
        <f ca="1">F38*'GS&lt;50 PW'!$B$8</f>
        <v>0</v>
      </c>
      <c r="N38" s="29">
        <f>G38*'GS&lt;50 PW'!$B$9</f>
        <v>-3.5653127818292218</v>
      </c>
      <c r="O38" s="29">
        <f>H38*'GS&lt;50 PW'!$B$10</f>
        <v>38.618239286542973</v>
      </c>
      <c r="P38" s="44">
        <f>I38*'GS&lt;50 PW'!$B$11</f>
        <v>0</v>
      </c>
      <c r="Q38" s="44">
        <f>'Monthly Data'!H38</f>
        <v>5177</v>
      </c>
      <c r="R38" s="29">
        <f>'Monthly Data'!BH38</f>
        <v>31</v>
      </c>
      <c r="S38" s="28">
        <f t="shared" ca="1" si="3"/>
        <v>16123327.434921261</v>
      </c>
    </row>
    <row r="39" spans="1:19" x14ac:dyDescent="0.2">
      <c r="A39" s="45">
        <f>'Monthly Data'!A39</f>
        <v>41306</v>
      </c>
      <c r="B39" s="29">
        <f t="shared" si="1"/>
        <v>2013</v>
      </c>
      <c r="C39" s="29">
        <f t="shared" si="2"/>
        <v>2</v>
      </c>
      <c r="D39" s="44">
        <f>'Monthly Data'!J39</f>
        <v>14586196.622677803</v>
      </c>
      <c r="E39" s="46">
        <f t="shared" ca="1" si="5"/>
        <v>417.05</v>
      </c>
      <c r="F39" s="46">
        <f t="shared" ca="1" si="5"/>
        <v>0</v>
      </c>
      <c r="G39" s="29">
        <f>'Monthly Data'!BG39</f>
        <v>38</v>
      </c>
      <c r="H39" s="29">
        <f>'Monthly Data'!X39</f>
        <v>3041.7</v>
      </c>
      <c r="I39" s="44">
        <f>'Monthly Data'!BF39</f>
        <v>0</v>
      </c>
      <c r="K39" s="29">
        <f>'GS&lt;50 PW'!$B$6</f>
        <v>50.759309292559799</v>
      </c>
      <c r="L39" s="29">
        <f ca="1">E39*'GS&lt;50 PW'!$B$7</f>
        <v>12.807431481792028</v>
      </c>
      <c r="M39" s="29">
        <f ca="1">F39*'GS&lt;50 PW'!$B$8</f>
        <v>0</v>
      </c>
      <c r="N39" s="29">
        <f>G39*'GS&lt;50 PW'!$B$9</f>
        <v>-3.6616725867435251</v>
      </c>
      <c r="O39" s="29">
        <f>H39*'GS&lt;50 PW'!$B$10</f>
        <v>38.665272691862327</v>
      </c>
      <c r="P39" s="44">
        <f>I39*'GS&lt;50 PW'!$B$11</f>
        <v>0</v>
      </c>
      <c r="Q39" s="44">
        <f>'Monthly Data'!H39</f>
        <v>5175</v>
      </c>
      <c r="R39" s="29">
        <f>'Monthly Data'!BH39</f>
        <v>28</v>
      </c>
      <c r="S39" s="28">
        <f t="shared" ca="1" si="3"/>
        <v>14282842.393435294</v>
      </c>
    </row>
    <row r="40" spans="1:19" x14ac:dyDescent="0.2">
      <c r="A40" s="45">
        <f>'Monthly Data'!A40</f>
        <v>41334</v>
      </c>
      <c r="B40" s="29">
        <f t="shared" si="1"/>
        <v>2013</v>
      </c>
      <c r="C40" s="29">
        <f t="shared" si="2"/>
        <v>3</v>
      </c>
      <c r="D40" s="44">
        <f>'Monthly Data'!J40</f>
        <v>15372207.622677803</v>
      </c>
      <c r="E40" s="46">
        <f t="shared" ca="1" si="5"/>
        <v>332.70999999999992</v>
      </c>
      <c r="F40" s="46">
        <f t="shared" ca="1" si="5"/>
        <v>0</v>
      </c>
      <c r="G40" s="29">
        <f>'Monthly Data'!BG40</f>
        <v>39</v>
      </c>
      <c r="H40" s="29">
        <f>'Monthly Data'!X40</f>
        <v>3045.3</v>
      </c>
      <c r="I40" s="44">
        <f>'Monthly Data'!BF40</f>
        <v>1</v>
      </c>
      <c r="K40" s="29">
        <f>'GS&lt;50 PW'!$B$6</f>
        <v>50.759309292559799</v>
      </c>
      <c r="L40" s="29">
        <f ca="1">E40*'GS&lt;50 PW'!$B$7</f>
        <v>10.217385273485252</v>
      </c>
      <c r="M40" s="29">
        <f ca="1">F40*'GS&lt;50 PW'!$B$8</f>
        <v>0</v>
      </c>
      <c r="N40" s="29">
        <f>G40*'GS&lt;50 PW'!$B$9</f>
        <v>-3.7580323916578284</v>
      </c>
      <c r="O40" s="29">
        <f>H40*'GS&lt;50 PW'!$B$10</f>
        <v>38.711034924064954</v>
      </c>
      <c r="P40" s="44">
        <f>I40*'GS&lt;50 PW'!$B$11</f>
        <v>-1.9723066266223299</v>
      </c>
      <c r="Q40" s="44">
        <f>'Monthly Data'!H40</f>
        <v>5178</v>
      </c>
      <c r="R40" s="29">
        <f>'Monthly Data'!BH40</f>
        <v>31</v>
      </c>
      <c r="S40" s="28">
        <f t="shared" ca="1" si="3"/>
        <v>15081852.403757185</v>
      </c>
    </row>
    <row r="41" spans="1:19" x14ac:dyDescent="0.2">
      <c r="A41" s="45">
        <f>'Monthly Data'!A41</f>
        <v>41365</v>
      </c>
      <c r="B41" s="29">
        <f t="shared" si="1"/>
        <v>2013</v>
      </c>
      <c r="C41" s="29">
        <f t="shared" si="2"/>
        <v>4</v>
      </c>
      <c r="D41" s="44">
        <f>'Monthly Data'!J41</f>
        <v>13920639.622677803</v>
      </c>
      <c r="E41" s="46">
        <f t="shared" ca="1" si="5"/>
        <v>164.53999999999996</v>
      </c>
      <c r="F41" s="46">
        <f t="shared" ca="1" si="5"/>
        <v>0.16999999999999993</v>
      </c>
      <c r="G41" s="29">
        <f>'Monthly Data'!BG41</f>
        <v>40</v>
      </c>
      <c r="H41" s="29">
        <f>'Monthly Data'!X41</f>
        <v>3057</v>
      </c>
      <c r="I41" s="44">
        <f>'Monthly Data'!BF41</f>
        <v>1</v>
      </c>
      <c r="K41" s="29">
        <f>'GS&lt;50 PW'!$B$6</f>
        <v>50.759309292559799</v>
      </c>
      <c r="L41" s="29">
        <f ca="1">E41*'GS&lt;50 PW'!$B$7</f>
        <v>5.0529547440691998</v>
      </c>
      <c r="M41" s="29">
        <f ca="1">F41*'GS&lt;50 PW'!$B$8</f>
        <v>1.3395135197872927E-2</v>
      </c>
      <c r="N41" s="29">
        <f>G41*'GS&lt;50 PW'!$B$9</f>
        <v>-3.8543921965721317</v>
      </c>
      <c r="O41" s="29">
        <f>H41*'GS&lt;50 PW'!$B$10</f>
        <v>38.859762178723457</v>
      </c>
      <c r="P41" s="44">
        <f>I41*'GS&lt;50 PW'!$B$11</f>
        <v>-1.9723066266223299</v>
      </c>
      <c r="Q41" s="44">
        <f>'Monthly Data'!H41</f>
        <v>5137</v>
      </c>
      <c r="R41" s="29">
        <f>'Monthly Data'!BH41</f>
        <v>30</v>
      </c>
      <c r="S41" s="28">
        <f t="shared" ca="1" si="3"/>
        <v>13694017.728690812</v>
      </c>
    </row>
    <row r="42" spans="1:19" x14ac:dyDescent="0.2">
      <c r="A42" s="45">
        <f>'Monthly Data'!A42</f>
        <v>41395</v>
      </c>
      <c r="B42" s="29">
        <f t="shared" si="1"/>
        <v>2013</v>
      </c>
      <c r="C42" s="29">
        <f t="shared" si="2"/>
        <v>5</v>
      </c>
      <c r="D42" s="44">
        <f>'Monthly Data'!J42</f>
        <v>13887530.622677803</v>
      </c>
      <c r="E42" s="46">
        <f t="shared" ca="1" si="5"/>
        <v>35.92</v>
      </c>
      <c r="F42" s="46">
        <f t="shared" ca="1" si="5"/>
        <v>30.080000000000002</v>
      </c>
      <c r="G42" s="29">
        <f>'Monthly Data'!BG42</f>
        <v>41</v>
      </c>
      <c r="H42" s="29">
        <f>'Monthly Data'!X42</f>
        <v>3073.7</v>
      </c>
      <c r="I42" s="44">
        <f>'Monthly Data'!BF42</f>
        <v>1</v>
      </c>
      <c r="K42" s="29">
        <f>'GS&lt;50 PW'!$B$6</f>
        <v>50.759309292559799</v>
      </c>
      <c r="L42" s="29">
        <f ca="1">E42*'GS&lt;50 PW'!$B$7</f>
        <v>1.103088212027262</v>
      </c>
      <c r="M42" s="29">
        <f ca="1">F42*'GS&lt;50 PW'!$B$8</f>
        <v>2.3701509808942225</v>
      </c>
      <c r="N42" s="29">
        <f>G42*'GS&lt;50 PW'!$B$9</f>
        <v>-3.950752001486435</v>
      </c>
      <c r="O42" s="29">
        <f>H42*'GS&lt;50 PW'!$B$10</f>
        <v>39.072048089218939</v>
      </c>
      <c r="P42" s="44">
        <f>I42*'GS&lt;50 PW'!$B$11</f>
        <v>-1.9723066266223299</v>
      </c>
      <c r="Q42" s="44">
        <f>'Monthly Data'!H42</f>
        <v>5144</v>
      </c>
      <c r="R42" s="29">
        <f>'Monthly Data'!BH42</f>
        <v>31</v>
      </c>
      <c r="S42" s="28">
        <f t="shared" ca="1" si="3"/>
        <v>13934209.567115262</v>
      </c>
    </row>
    <row r="43" spans="1:19" x14ac:dyDescent="0.2">
      <c r="A43" s="45">
        <f>'Monthly Data'!A43</f>
        <v>41426</v>
      </c>
      <c r="B43" s="29">
        <f t="shared" si="1"/>
        <v>2013</v>
      </c>
      <c r="C43" s="29">
        <f t="shared" si="2"/>
        <v>6</v>
      </c>
      <c r="D43" s="44">
        <f>'Monthly Data'!J43</f>
        <v>14423533.622677803</v>
      </c>
      <c r="E43" s="46">
        <f t="shared" ca="1" si="5"/>
        <v>0.37999999999999989</v>
      </c>
      <c r="F43" s="46">
        <f t="shared" ca="1" si="5"/>
        <v>94.58</v>
      </c>
      <c r="G43" s="29">
        <f>'Monthly Data'!BG43</f>
        <v>42</v>
      </c>
      <c r="H43" s="29">
        <f>'Monthly Data'!X43</f>
        <v>3092.4</v>
      </c>
      <c r="I43" s="44">
        <f>'Monthly Data'!BF43</f>
        <v>0</v>
      </c>
      <c r="K43" s="29">
        <f>'GS&lt;50 PW'!$B$6</f>
        <v>50.759309292559799</v>
      </c>
      <c r="L43" s="29">
        <f ca="1">E43*'GS&lt;50 PW'!$B$7</f>
        <v>1.1669641441268358E-2</v>
      </c>
      <c r="M43" s="29">
        <f ca="1">F43*'GS&lt;50 PW'!$B$8</f>
        <v>7.4524228647930704</v>
      </c>
      <c r="N43" s="29">
        <f>G43*'GS&lt;50 PW'!$B$9</f>
        <v>-4.0471118064007383</v>
      </c>
      <c r="O43" s="29">
        <f>H43*'GS&lt;50 PW'!$B$10</f>
        <v>39.309757462049205</v>
      </c>
      <c r="P43" s="44">
        <f>I43*'GS&lt;50 PW'!$B$11</f>
        <v>0</v>
      </c>
      <c r="Q43" s="44">
        <f>'Monthly Data'!H43</f>
        <v>5144</v>
      </c>
      <c r="R43" s="29">
        <f>'Monthly Data'!BH43</f>
        <v>30</v>
      </c>
      <c r="S43" s="28">
        <f t="shared" ca="1" si="3"/>
        <v>14426766.843169581</v>
      </c>
    </row>
    <row r="44" spans="1:19" x14ac:dyDescent="0.2">
      <c r="A44" s="45">
        <f>'Monthly Data'!A44</f>
        <v>41456</v>
      </c>
      <c r="B44" s="29">
        <f t="shared" si="1"/>
        <v>2013</v>
      </c>
      <c r="C44" s="29">
        <f t="shared" si="2"/>
        <v>7</v>
      </c>
      <c r="D44" s="44">
        <f>'Monthly Data'!J44</f>
        <v>16236138.622677803</v>
      </c>
      <c r="E44" s="46">
        <f t="shared" ca="1" si="5"/>
        <v>0</v>
      </c>
      <c r="F44" s="46">
        <f t="shared" ca="1" si="5"/>
        <v>206.28000000000003</v>
      </c>
      <c r="G44" s="29">
        <f>'Monthly Data'!BG44</f>
        <v>43</v>
      </c>
      <c r="H44" s="29">
        <f>'Monthly Data'!X44</f>
        <v>3100</v>
      </c>
      <c r="I44" s="44">
        <f>'Monthly Data'!BF44</f>
        <v>0</v>
      </c>
      <c r="K44" s="29">
        <f>'GS&lt;50 PW'!$B$6</f>
        <v>50.759309292559799</v>
      </c>
      <c r="L44" s="29">
        <f ca="1">E44*'GS&lt;50 PW'!$B$7</f>
        <v>0</v>
      </c>
      <c r="M44" s="29">
        <f ca="1">F44*'GS&lt;50 PW'!$B$8</f>
        <v>16.253814638924876</v>
      </c>
      <c r="N44" s="29">
        <f>G44*'GS&lt;50 PW'!$B$9</f>
        <v>-4.1434716113150412</v>
      </c>
      <c r="O44" s="29">
        <f>H44*'GS&lt;50 PW'!$B$10</f>
        <v>39.406366618921403</v>
      </c>
      <c r="P44" s="44">
        <f>I44*'GS&lt;50 PW'!$B$11</f>
        <v>0</v>
      </c>
      <c r="Q44" s="44">
        <f>'Monthly Data'!H44</f>
        <v>5148</v>
      </c>
      <c r="R44" s="29">
        <f>'Monthly Data'!BH44</f>
        <v>31</v>
      </c>
      <c r="S44" s="28">
        <f t="shared" ca="1" si="3"/>
        <v>16322025.31045166</v>
      </c>
    </row>
    <row r="45" spans="1:19" x14ac:dyDescent="0.2">
      <c r="A45" s="45">
        <f>'Monthly Data'!A45</f>
        <v>41487</v>
      </c>
      <c r="B45" s="29">
        <f t="shared" si="1"/>
        <v>2013</v>
      </c>
      <c r="C45" s="29">
        <f t="shared" si="2"/>
        <v>8</v>
      </c>
      <c r="D45" s="44">
        <f>'Monthly Data'!J45</f>
        <v>15500151.622677803</v>
      </c>
      <c r="E45" s="46">
        <f t="shared" ca="1" si="5"/>
        <v>0</v>
      </c>
      <c r="F45" s="46">
        <f t="shared" ca="1" si="5"/>
        <v>177.64000000000001</v>
      </c>
      <c r="G45" s="29">
        <f>'Monthly Data'!BG45</f>
        <v>44</v>
      </c>
      <c r="H45" s="29">
        <f>'Monthly Data'!X45</f>
        <v>3110.2</v>
      </c>
      <c r="I45" s="44">
        <f>'Monthly Data'!BF45</f>
        <v>0</v>
      </c>
      <c r="K45" s="29">
        <f>'GS&lt;50 PW'!$B$6</f>
        <v>50.759309292559799</v>
      </c>
      <c r="L45" s="29">
        <f ca="1">E45*'GS&lt;50 PW'!$B$7</f>
        <v>0</v>
      </c>
      <c r="M45" s="29">
        <f ca="1">F45*'GS&lt;50 PW'!$B$8</f>
        <v>13.997128332647929</v>
      </c>
      <c r="N45" s="29">
        <f>G45*'GS&lt;50 PW'!$B$9</f>
        <v>-4.2398314162293449</v>
      </c>
      <c r="O45" s="29">
        <f>H45*'GS&lt;50 PW'!$B$10</f>
        <v>39.536026276828814</v>
      </c>
      <c r="P45" s="44">
        <f>I45*'GS&lt;50 PW'!$B$11</f>
        <v>0</v>
      </c>
      <c r="Q45" s="44">
        <f>'Monthly Data'!H45</f>
        <v>5147</v>
      </c>
      <c r="R45" s="29">
        <f>'Monthly Data'!BH45</f>
        <v>31</v>
      </c>
      <c r="S45" s="28">
        <f t="shared" ca="1" si="3"/>
        <v>15964097.881537938</v>
      </c>
    </row>
    <row r="46" spans="1:19" x14ac:dyDescent="0.2">
      <c r="A46" s="45">
        <f>'Monthly Data'!A46</f>
        <v>41518</v>
      </c>
      <c r="B46" s="29">
        <f t="shared" si="1"/>
        <v>2013</v>
      </c>
      <c r="C46" s="29">
        <f t="shared" si="2"/>
        <v>9</v>
      </c>
      <c r="D46" s="44">
        <f>'Monthly Data'!J46</f>
        <v>14135606.622677803</v>
      </c>
      <c r="E46" s="46">
        <f t="shared" ref="E46:F61" ca="1" si="6">E34</f>
        <v>0.49000000000000005</v>
      </c>
      <c r="F46" s="46">
        <f t="shared" ca="1" si="6"/>
        <v>85.65</v>
      </c>
      <c r="G46" s="29">
        <f>'Monthly Data'!BG46</f>
        <v>45</v>
      </c>
      <c r="H46" s="29">
        <f>'Monthly Data'!X46</f>
        <v>3116.8</v>
      </c>
      <c r="I46" s="44">
        <f>'Monthly Data'!BF46</f>
        <v>1</v>
      </c>
      <c r="K46" s="29">
        <f>'GS&lt;50 PW'!$B$6</f>
        <v>50.759309292559799</v>
      </c>
      <c r="L46" s="29">
        <f ca="1">E46*'GS&lt;50 PW'!$B$7</f>
        <v>1.5047695542688151E-2</v>
      </c>
      <c r="M46" s="29">
        <f ca="1">F46*'GS&lt;50 PW'!$B$8</f>
        <v>6.7487842923400985</v>
      </c>
      <c r="N46" s="29">
        <f>G46*'GS&lt;50 PW'!$B$9</f>
        <v>-4.3361912211436486</v>
      </c>
      <c r="O46" s="29">
        <f>H46*'GS&lt;50 PW'!$B$10</f>
        <v>39.619923702533619</v>
      </c>
      <c r="P46" s="44">
        <f>I46*'GS&lt;50 PW'!$B$11</f>
        <v>-1.9723066266223299</v>
      </c>
      <c r="Q46" s="44">
        <f>'Monthly Data'!H46</f>
        <v>5152</v>
      </c>
      <c r="R46" s="29">
        <f>'Monthly Data'!BH46</f>
        <v>30</v>
      </c>
      <c r="S46" s="28">
        <f t="shared" ca="1" si="3"/>
        <v>14039390.696418092</v>
      </c>
    </row>
    <row r="47" spans="1:19" x14ac:dyDescent="0.2">
      <c r="A47" s="45">
        <f>'Monthly Data'!A47</f>
        <v>41548</v>
      </c>
      <c r="B47" s="29">
        <f t="shared" si="1"/>
        <v>2013</v>
      </c>
      <c r="C47" s="29">
        <f t="shared" si="2"/>
        <v>10</v>
      </c>
      <c r="D47" s="44">
        <f>'Monthly Data'!J47</f>
        <v>13724627.622677803</v>
      </c>
      <c r="E47" s="46">
        <f t="shared" ca="1" si="6"/>
        <v>53.33000000000002</v>
      </c>
      <c r="F47" s="46">
        <f t="shared" ca="1" si="6"/>
        <v>12.219999999999999</v>
      </c>
      <c r="G47" s="29">
        <f>'Monthly Data'!BG47</f>
        <v>46</v>
      </c>
      <c r="H47" s="29">
        <f>'Monthly Data'!X47</f>
        <v>3116</v>
      </c>
      <c r="I47" s="44">
        <f>'Monthly Data'!BF47</f>
        <v>1</v>
      </c>
      <c r="K47" s="29">
        <f>'GS&lt;50 PW'!$B$6</f>
        <v>50.759309292559799</v>
      </c>
      <c r="L47" s="29">
        <f ca="1">E47*'GS&lt;50 PW'!$B$7</f>
        <v>1.6377420475337947</v>
      </c>
      <c r="M47" s="29">
        <f ca="1">F47*'GS&lt;50 PW'!$B$8</f>
        <v>0.96287383598827769</v>
      </c>
      <c r="N47" s="29">
        <f>G47*'GS&lt;50 PW'!$B$9</f>
        <v>-4.4325510260579515</v>
      </c>
      <c r="O47" s="29">
        <f>H47*'GS&lt;50 PW'!$B$10</f>
        <v>39.609754317599702</v>
      </c>
      <c r="P47" s="44">
        <f>I47*'GS&lt;50 PW'!$B$11</f>
        <v>-1.9723066266223299</v>
      </c>
      <c r="Q47" s="44">
        <f>'Monthly Data'!H47</f>
        <v>5151</v>
      </c>
      <c r="R47" s="29">
        <f>'Monthly Data'!BH47</f>
        <v>31</v>
      </c>
      <c r="S47" s="28">
        <f t="shared" ca="1" si="3"/>
        <v>13822757.316392926</v>
      </c>
    </row>
    <row r="48" spans="1:19" x14ac:dyDescent="0.2">
      <c r="A48" s="45">
        <f>'Monthly Data'!A48</f>
        <v>41579</v>
      </c>
      <c r="B48" s="29">
        <f t="shared" si="1"/>
        <v>2013</v>
      </c>
      <c r="C48" s="29">
        <f t="shared" si="2"/>
        <v>11</v>
      </c>
      <c r="D48" s="44">
        <f>'Monthly Data'!J48</f>
        <v>14236916.622677803</v>
      </c>
      <c r="E48" s="46">
        <f t="shared" ca="1" si="6"/>
        <v>207.66000000000003</v>
      </c>
      <c r="F48" s="46">
        <f t="shared" ca="1" si="6"/>
        <v>1.0000000000000142E-2</v>
      </c>
      <c r="G48" s="29">
        <f>'Monthly Data'!BG48</f>
        <v>47</v>
      </c>
      <c r="H48" s="29">
        <f>'Monthly Data'!X48</f>
        <v>3113.4</v>
      </c>
      <c r="I48" s="44">
        <f>'Monthly Data'!BF48</f>
        <v>1</v>
      </c>
      <c r="K48" s="29">
        <f>'GS&lt;50 PW'!$B$6</f>
        <v>50.759309292559799</v>
      </c>
      <c r="L48" s="29">
        <f ca="1">E48*'GS&lt;50 PW'!$B$7</f>
        <v>6.3771519518257582</v>
      </c>
      <c r="M48" s="29">
        <f ca="1">F48*'GS&lt;50 PW'!$B$8</f>
        <v>7.8794912928665433E-4</v>
      </c>
      <c r="N48" s="29">
        <f>G48*'GS&lt;50 PW'!$B$9</f>
        <v>-4.5289108309722543</v>
      </c>
      <c r="O48" s="29">
        <f>H48*'GS&lt;50 PW'!$B$10</f>
        <v>39.576703816564482</v>
      </c>
      <c r="P48" s="44">
        <f>I48*'GS&lt;50 PW'!$B$11</f>
        <v>-1.9723066266223299</v>
      </c>
      <c r="Q48" s="44">
        <f>'Monthly Data'!H48</f>
        <v>5173</v>
      </c>
      <c r="R48" s="29">
        <f>'Monthly Data'!BH48</f>
        <v>30</v>
      </c>
      <c r="S48" s="28">
        <f t="shared" ca="1" si="3"/>
        <v>14000114.43039011</v>
      </c>
    </row>
    <row r="49" spans="1:19" x14ac:dyDescent="0.2">
      <c r="A49" s="45">
        <f>'Monthly Data'!A49</f>
        <v>41609</v>
      </c>
      <c r="B49" s="29">
        <f t="shared" si="1"/>
        <v>2013</v>
      </c>
      <c r="C49" s="29">
        <f t="shared" si="2"/>
        <v>12</v>
      </c>
      <c r="D49" s="44">
        <f>'Monthly Data'!J49</f>
        <v>15780327.622677803</v>
      </c>
      <c r="E49" s="46">
        <f t="shared" ca="1" si="6"/>
        <v>351.65000000000003</v>
      </c>
      <c r="F49" s="46">
        <f t="shared" ca="1" si="6"/>
        <v>0</v>
      </c>
      <c r="G49" s="29">
        <f>'Monthly Data'!BG49</f>
        <v>48</v>
      </c>
      <c r="H49" s="29">
        <f>'Monthly Data'!X49</f>
        <v>3108.4</v>
      </c>
      <c r="I49" s="44">
        <f>'Monthly Data'!BF49</f>
        <v>0</v>
      </c>
      <c r="K49" s="29">
        <f>'GS&lt;50 PW'!$B$6</f>
        <v>50.759309292559799</v>
      </c>
      <c r="L49" s="29">
        <f ca="1">E49*'GS&lt;50 PW'!$B$7</f>
        <v>10.799024770584262</v>
      </c>
      <c r="M49" s="29">
        <f ca="1">F49*'GS&lt;50 PW'!$B$8</f>
        <v>0</v>
      </c>
      <c r="N49" s="29">
        <f>G49*'GS&lt;50 PW'!$B$9</f>
        <v>-4.6252706358865581</v>
      </c>
      <c r="O49" s="29">
        <f>H49*'GS&lt;50 PW'!$B$10</f>
        <v>39.513145160727511</v>
      </c>
      <c r="P49" s="44">
        <f>I49*'GS&lt;50 PW'!$B$11</f>
        <v>0</v>
      </c>
      <c r="Q49" s="44">
        <f>'Monthly Data'!H49</f>
        <v>5176</v>
      </c>
      <c r="R49" s="29">
        <f>'Monthly Data'!BH49</f>
        <v>31</v>
      </c>
      <c r="S49" s="28">
        <f t="shared" ca="1" si="3"/>
        <v>15475372.845193723</v>
      </c>
    </row>
    <row r="50" spans="1:19" x14ac:dyDescent="0.2">
      <c r="A50" s="45">
        <f>'Monthly Data'!A50</f>
        <v>41640</v>
      </c>
      <c r="B50" s="29">
        <f t="shared" si="1"/>
        <v>2014</v>
      </c>
      <c r="C50" s="29">
        <f t="shared" si="2"/>
        <v>1</v>
      </c>
      <c r="D50" s="44">
        <f>'Monthly Data'!J50</f>
        <v>16666551.644145023</v>
      </c>
      <c r="E50" s="46">
        <f t="shared" ca="1" si="6"/>
        <v>477.14</v>
      </c>
      <c r="F50" s="46">
        <f t="shared" ca="1" si="6"/>
        <v>0</v>
      </c>
      <c r="G50" s="29">
        <f>'Monthly Data'!BG50</f>
        <v>49</v>
      </c>
      <c r="H50" s="29">
        <f>'Monthly Data'!X50</f>
        <v>3105.1</v>
      </c>
      <c r="I50" s="44">
        <f>'Monthly Data'!BF50</f>
        <v>0</v>
      </c>
      <c r="K50" s="29">
        <f>'GS&lt;50 PW'!$B$6</f>
        <v>50.759309292559799</v>
      </c>
      <c r="L50" s="29">
        <f ca="1">E50*'GS&lt;50 PW'!$B$7</f>
        <v>14.652770308649437</v>
      </c>
      <c r="M50" s="29">
        <f ca="1">F50*'GS&lt;50 PW'!$B$8</f>
        <v>0</v>
      </c>
      <c r="N50" s="29">
        <f>G50*'GS&lt;50 PW'!$B$9</f>
        <v>-4.7216304408008618</v>
      </c>
      <c r="O50" s="29">
        <f>H50*'GS&lt;50 PW'!$B$10</f>
        <v>39.471196447875109</v>
      </c>
      <c r="P50" s="44">
        <f>I50*'GS&lt;50 PW'!$B$11</f>
        <v>0</v>
      </c>
      <c r="Q50" s="44">
        <f>'Monthly Data'!H50</f>
        <v>5174</v>
      </c>
      <c r="R50" s="29">
        <f>'Monthly Data'!BH50</f>
        <v>31</v>
      </c>
      <c r="S50" s="28">
        <f t="shared" ca="1" si="3"/>
        <v>16065326.985695018</v>
      </c>
    </row>
    <row r="51" spans="1:19" x14ac:dyDescent="0.2">
      <c r="A51" s="45">
        <f>'Monthly Data'!A51</f>
        <v>41671</v>
      </c>
      <c r="B51" s="29">
        <f t="shared" si="1"/>
        <v>2014</v>
      </c>
      <c r="C51" s="29">
        <f t="shared" si="2"/>
        <v>2</v>
      </c>
      <c r="D51" s="44">
        <f>'Monthly Data'!J51</f>
        <v>15212265.644145023</v>
      </c>
      <c r="E51" s="46">
        <f t="shared" ca="1" si="6"/>
        <v>417.05</v>
      </c>
      <c r="F51" s="46">
        <f t="shared" ca="1" si="6"/>
        <v>0</v>
      </c>
      <c r="G51" s="29">
        <f>'Monthly Data'!BG51</f>
        <v>50</v>
      </c>
      <c r="H51" s="29">
        <f>'Monthly Data'!X51</f>
        <v>3109.9</v>
      </c>
      <c r="I51" s="44">
        <f>'Monthly Data'!BF51</f>
        <v>0</v>
      </c>
      <c r="K51" s="29">
        <f>'GS&lt;50 PW'!$B$6</f>
        <v>50.759309292559799</v>
      </c>
      <c r="L51" s="29">
        <f ca="1">E51*'GS&lt;50 PW'!$B$7</f>
        <v>12.807431481792028</v>
      </c>
      <c r="M51" s="29">
        <f ca="1">F51*'GS&lt;50 PW'!$B$8</f>
        <v>0</v>
      </c>
      <c r="N51" s="29">
        <f>G51*'GS&lt;50 PW'!$B$9</f>
        <v>-4.8179902457151647</v>
      </c>
      <c r="O51" s="29">
        <f>H51*'GS&lt;50 PW'!$B$10</f>
        <v>39.532212757478604</v>
      </c>
      <c r="P51" s="44">
        <f>I51*'GS&lt;50 PW'!$B$11</f>
        <v>0</v>
      </c>
      <c r="Q51" s="44">
        <f>'Monthly Data'!H51</f>
        <v>5177</v>
      </c>
      <c r="R51" s="29">
        <f>'Monthly Data'!BH51</f>
        <v>28</v>
      </c>
      <c r="S51" s="28">
        <f t="shared" ca="1" si="3"/>
        <v>14246415.314102124</v>
      </c>
    </row>
    <row r="52" spans="1:19" x14ac:dyDescent="0.2">
      <c r="A52" s="45">
        <f>'Monthly Data'!A52</f>
        <v>41699</v>
      </c>
      <c r="B52" s="29">
        <f t="shared" si="1"/>
        <v>2014</v>
      </c>
      <c r="C52" s="29">
        <f t="shared" si="2"/>
        <v>3</v>
      </c>
      <c r="D52" s="44">
        <f>'Monthly Data'!J52</f>
        <v>15928487.644145023</v>
      </c>
      <c r="E52" s="46">
        <f t="shared" ca="1" si="6"/>
        <v>332.70999999999992</v>
      </c>
      <c r="F52" s="46">
        <f t="shared" ca="1" si="6"/>
        <v>0</v>
      </c>
      <c r="G52" s="29">
        <f>'Monthly Data'!BG52</f>
        <v>51</v>
      </c>
      <c r="H52" s="29">
        <f>'Monthly Data'!X52</f>
        <v>3115.2</v>
      </c>
      <c r="I52" s="44">
        <f>'Monthly Data'!BF52</f>
        <v>1</v>
      </c>
      <c r="K52" s="29">
        <f>'GS&lt;50 PW'!$B$6</f>
        <v>50.759309292559799</v>
      </c>
      <c r="L52" s="29">
        <f ca="1">E52*'GS&lt;50 PW'!$B$7</f>
        <v>10.217385273485252</v>
      </c>
      <c r="M52" s="29">
        <f ca="1">F52*'GS&lt;50 PW'!$B$8</f>
        <v>0</v>
      </c>
      <c r="N52" s="29">
        <f>G52*'GS&lt;50 PW'!$B$9</f>
        <v>-4.9143500506294675</v>
      </c>
      <c r="O52" s="29">
        <f>H52*'GS&lt;50 PW'!$B$10</f>
        <v>39.599584932665785</v>
      </c>
      <c r="P52" s="44">
        <f>I52*'GS&lt;50 PW'!$B$11</f>
        <v>-1.9723066266223299</v>
      </c>
      <c r="Q52" s="44">
        <f>'Monthly Data'!H52</f>
        <v>5180</v>
      </c>
      <c r="R52" s="29">
        <f>'Monthly Data'!BH52</f>
        <v>31</v>
      </c>
      <c r="S52" s="28">
        <f t="shared" ca="1" si="3"/>
        <v>15044679.632669894</v>
      </c>
    </row>
    <row r="53" spans="1:19" x14ac:dyDescent="0.2">
      <c r="A53" s="45">
        <f>'Monthly Data'!A53</f>
        <v>41730</v>
      </c>
      <c r="B53" s="29">
        <f t="shared" si="1"/>
        <v>2014</v>
      </c>
      <c r="C53" s="29">
        <f t="shared" si="2"/>
        <v>4</v>
      </c>
      <c r="D53" s="44">
        <f>'Monthly Data'!J53</f>
        <v>13755808.644145023</v>
      </c>
      <c r="E53" s="46">
        <f t="shared" ca="1" si="6"/>
        <v>164.53999999999996</v>
      </c>
      <c r="F53" s="46">
        <f t="shared" ca="1" si="6"/>
        <v>0.16999999999999993</v>
      </c>
      <c r="G53" s="29">
        <f>'Monthly Data'!BG53</f>
        <v>52</v>
      </c>
      <c r="H53" s="29">
        <f>'Monthly Data'!X53</f>
        <v>3126.8</v>
      </c>
      <c r="I53" s="44">
        <f>'Monthly Data'!BF53</f>
        <v>1</v>
      </c>
      <c r="K53" s="29">
        <f>'GS&lt;50 PW'!$B$6</f>
        <v>50.759309292559799</v>
      </c>
      <c r="L53" s="29">
        <f ca="1">E53*'GS&lt;50 PW'!$B$7</f>
        <v>5.0529547440691998</v>
      </c>
      <c r="M53" s="29">
        <f ca="1">F53*'GS&lt;50 PW'!$B$8</f>
        <v>1.3395135197872927E-2</v>
      </c>
      <c r="N53" s="29">
        <f>G53*'GS&lt;50 PW'!$B$9</f>
        <v>-5.0107098555437712</v>
      </c>
      <c r="O53" s="29">
        <f>H53*'GS&lt;50 PW'!$B$10</f>
        <v>39.747041014207561</v>
      </c>
      <c r="P53" s="44">
        <f>I53*'GS&lt;50 PW'!$B$11</f>
        <v>-1.9723066266223299</v>
      </c>
      <c r="Q53" s="44">
        <f>'Monthly Data'!H53</f>
        <v>5185</v>
      </c>
      <c r="R53" s="29">
        <f>'Monthly Data'!BH53</f>
        <v>30</v>
      </c>
      <c r="S53" s="28">
        <f t="shared" ca="1" si="3"/>
        <v>13780125.300136719</v>
      </c>
    </row>
    <row r="54" spans="1:19" x14ac:dyDescent="0.2">
      <c r="A54" s="45">
        <f>'Monthly Data'!A54</f>
        <v>41760</v>
      </c>
      <c r="B54" s="29">
        <f t="shared" si="1"/>
        <v>2014</v>
      </c>
      <c r="C54" s="29">
        <f t="shared" si="2"/>
        <v>5</v>
      </c>
      <c r="D54" s="44">
        <f>'Monthly Data'!J54</f>
        <v>13728640.644145023</v>
      </c>
      <c r="E54" s="46">
        <f t="shared" ca="1" si="6"/>
        <v>35.92</v>
      </c>
      <c r="F54" s="46">
        <f t="shared" ca="1" si="6"/>
        <v>30.080000000000002</v>
      </c>
      <c r="G54" s="29">
        <f>'Monthly Data'!BG54</f>
        <v>53</v>
      </c>
      <c r="H54" s="29">
        <f>'Monthly Data'!X54</f>
        <v>3114.3</v>
      </c>
      <c r="I54" s="44">
        <f>'Monthly Data'!BF54</f>
        <v>1</v>
      </c>
      <c r="K54" s="29">
        <f>'GS&lt;50 PW'!$B$6</f>
        <v>50.759309292559799</v>
      </c>
      <c r="L54" s="29">
        <f ca="1">E54*'GS&lt;50 PW'!$B$7</f>
        <v>1.103088212027262</v>
      </c>
      <c r="M54" s="29">
        <f ca="1">F54*'GS&lt;50 PW'!$B$8</f>
        <v>2.3701509808942225</v>
      </c>
      <c r="N54" s="29">
        <f>G54*'GS&lt;50 PW'!$B$9</f>
        <v>-5.107069660458075</v>
      </c>
      <c r="O54" s="29">
        <f>H54*'GS&lt;50 PW'!$B$10</f>
        <v>39.588144374615133</v>
      </c>
      <c r="P54" s="44">
        <f>I54*'GS&lt;50 PW'!$B$11</f>
        <v>-1.9723066266223299</v>
      </c>
      <c r="Q54" s="44">
        <f>'Monthly Data'!H54</f>
        <v>5182</v>
      </c>
      <c r="R54" s="29">
        <f>'Monthly Data'!BH54</f>
        <v>31</v>
      </c>
      <c r="S54" s="28">
        <f t="shared" ca="1" si="3"/>
        <v>13934298.576922437</v>
      </c>
    </row>
    <row r="55" spans="1:19" x14ac:dyDescent="0.2">
      <c r="A55" s="45">
        <f>'Monthly Data'!A55</f>
        <v>41791</v>
      </c>
      <c r="B55" s="29">
        <f t="shared" si="1"/>
        <v>2014</v>
      </c>
      <c r="C55" s="29">
        <f t="shared" si="2"/>
        <v>6</v>
      </c>
      <c r="D55" s="44">
        <f>'Monthly Data'!J55</f>
        <v>14380195.644145023</v>
      </c>
      <c r="E55" s="46">
        <f t="shared" ca="1" si="6"/>
        <v>0.37999999999999989</v>
      </c>
      <c r="F55" s="46">
        <f t="shared" ca="1" si="6"/>
        <v>94.58</v>
      </c>
      <c r="G55" s="29">
        <f>'Monthly Data'!BG55</f>
        <v>54</v>
      </c>
      <c r="H55" s="29">
        <f>'Monthly Data'!X55</f>
        <v>3091.8</v>
      </c>
      <c r="I55" s="44">
        <f>'Monthly Data'!BF55</f>
        <v>0</v>
      </c>
      <c r="K55" s="29">
        <f>'GS&lt;50 PW'!$B$6</f>
        <v>50.759309292559799</v>
      </c>
      <c r="L55" s="29">
        <f ca="1">E55*'GS&lt;50 PW'!$B$7</f>
        <v>1.1669641441268358E-2</v>
      </c>
      <c r="M55" s="29">
        <f ca="1">F55*'GS&lt;50 PW'!$B$8</f>
        <v>7.4524228647930704</v>
      </c>
      <c r="N55" s="29">
        <f>G55*'GS&lt;50 PW'!$B$9</f>
        <v>-5.2034294653723778</v>
      </c>
      <c r="O55" s="29">
        <f>H55*'GS&lt;50 PW'!$B$10</f>
        <v>39.302130423348771</v>
      </c>
      <c r="P55" s="44">
        <f>I55*'GS&lt;50 PW'!$B$11</f>
        <v>0</v>
      </c>
      <c r="Q55" s="44">
        <f>'Monthly Data'!H55</f>
        <v>5192.5</v>
      </c>
      <c r="R55" s="29">
        <f>'Monthly Data'!BH55</f>
        <v>30</v>
      </c>
      <c r="S55" s="28">
        <f t="shared" ca="1" si="3"/>
        <v>14381475.556935931</v>
      </c>
    </row>
    <row r="56" spans="1:19" x14ac:dyDescent="0.2">
      <c r="A56" s="45">
        <f>'Monthly Data'!A56</f>
        <v>41821</v>
      </c>
      <c r="B56" s="29">
        <f t="shared" si="1"/>
        <v>2014</v>
      </c>
      <c r="C56" s="29">
        <f t="shared" si="2"/>
        <v>7</v>
      </c>
      <c r="D56" s="44">
        <f>'Monthly Data'!J56</f>
        <v>15171411.644145023</v>
      </c>
      <c r="E56" s="46">
        <f t="shared" ca="1" si="6"/>
        <v>0</v>
      </c>
      <c r="F56" s="46">
        <f t="shared" ca="1" si="6"/>
        <v>206.28000000000003</v>
      </c>
      <c r="G56" s="29">
        <f>'Monthly Data'!BG56</f>
        <v>55</v>
      </c>
      <c r="H56" s="29">
        <f>'Monthly Data'!X56</f>
        <v>3067.1</v>
      </c>
      <c r="I56" s="44">
        <f>'Monthly Data'!BF56</f>
        <v>0</v>
      </c>
      <c r="K56" s="29">
        <f>'GS&lt;50 PW'!$B$6</f>
        <v>50.759309292559799</v>
      </c>
      <c r="L56" s="29">
        <f ca="1">E56*'GS&lt;50 PW'!$B$7</f>
        <v>0</v>
      </c>
      <c r="M56" s="29">
        <f ca="1">F56*'GS&lt;50 PW'!$B$8</f>
        <v>16.253814638924876</v>
      </c>
      <c r="N56" s="29">
        <f>G56*'GS&lt;50 PW'!$B$9</f>
        <v>-5.2997892702866807</v>
      </c>
      <c r="O56" s="29">
        <f>H56*'GS&lt;50 PW'!$B$10</f>
        <v>38.988150663514133</v>
      </c>
      <c r="P56" s="44">
        <f>I56*'GS&lt;50 PW'!$B$11</f>
        <v>0</v>
      </c>
      <c r="Q56" s="44">
        <f>'Monthly Data'!H56</f>
        <v>5203</v>
      </c>
      <c r="R56" s="29">
        <f>'Monthly Data'!BH56</f>
        <v>31</v>
      </c>
      <c r="S56" s="28">
        <f t="shared" ca="1" si="3"/>
        <v>16242444.672478791</v>
      </c>
    </row>
    <row r="57" spans="1:19" x14ac:dyDescent="0.2">
      <c r="A57" s="45">
        <f>'Monthly Data'!A57</f>
        <v>41852</v>
      </c>
      <c r="B57" s="29">
        <f t="shared" si="1"/>
        <v>2014</v>
      </c>
      <c r="C57" s="29">
        <f t="shared" si="2"/>
        <v>8</v>
      </c>
      <c r="D57" s="44">
        <f>'Monthly Data'!J57</f>
        <v>14799566.644145023</v>
      </c>
      <c r="E57" s="46">
        <f t="shared" ca="1" si="6"/>
        <v>0</v>
      </c>
      <c r="F57" s="46">
        <f t="shared" ca="1" si="6"/>
        <v>177.64000000000001</v>
      </c>
      <c r="G57" s="29">
        <f>'Monthly Data'!BG57</f>
        <v>56</v>
      </c>
      <c r="H57" s="29">
        <f>'Monthly Data'!X57</f>
        <v>3056.5</v>
      </c>
      <c r="I57" s="44">
        <f>'Monthly Data'!BF57</f>
        <v>0</v>
      </c>
      <c r="K57" s="29">
        <f>'GS&lt;50 PW'!$B$6</f>
        <v>50.759309292559799</v>
      </c>
      <c r="L57" s="29">
        <f ca="1">E57*'GS&lt;50 PW'!$B$7</f>
        <v>0</v>
      </c>
      <c r="M57" s="29">
        <f ca="1">F57*'GS&lt;50 PW'!$B$8</f>
        <v>13.997128332647929</v>
      </c>
      <c r="N57" s="29">
        <f>G57*'GS&lt;50 PW'!$B$9</f>
        <v>-5.3961490752009844</v>
      </c>
      <c r="O57" s="29">
        <f>H57*'GS&lt;50 PW'!$B$10</f>
        <v>38.853406313139764</v>
      </c>
      <c r="P57" s="44">
        <f>I57*'GS&lt;50 PW'!$B$11</f>
        <v>0</v>
      </c>
      <c r="Q57" s="44">
        <f>'Monthly Data'!H57</f>
        <v>5210</v>
      </c>
      <c r="R57" s="29">
        <f>'Monthly Data'!BH57</f>
        <v>31</v>
      </c>
      <c r="S57" s="28">
        <f t="shared" ca="1" si="3"/>
        <v>15862493.857346794</v>
      </c>
    </row>
    <row r="58" spans="1:19" x14ac:dyDescent="0.2">
      <c r="A58" s="45">
        <f>'Monthly Data'!A58</f>
        <v>41883</v>
      </c>
      <c r="B58" s="29">
        <f t="shared" si="1"/>
        <v>2014</v>
      </c>
      <c r="C58" s="29">
        <f t="shared" si="2"/>
        <v>9</v>
      </c>
      <c r="D58" s="44">
        <f>'Monthly Data'!J58</f>
        <v>13670813.644145023</v>
      </c>
      <c r="E58" s="46">
        <f t="shared" ca="1" si="6"/>
        <v>0.49000000000000005</v>
      </c>
      <c r="F58" s="46">
        <f t="shared" ca="1" si="6"/>
        <v>85.65</v>
      </c>
      <c r="G58" s="29">
        <f>'Monthly Data'!BG58</f>
        <v>57</v>
      </c>
      <c r="H58" s="29">
        <f>'Monthly Data'!X58</f>
        <v>3058.5</v>
      </c>
      <c r="I58" s="44">
        <f>'Monthly Data'!BF58</f>
        <v>1</v>
      </c>
      <c r="K58" s="29">
        <f>'GS&lt;50 PW'!$B$6</f>
        <v>50.759309292559799</v>
      </c>
      <c r="L58" s="29">
        <f ca="1">E58*'GS&lt;50 PW'!$B$7</f>
        <v>1.5047695542688151E-2</v>
      </c>
      <c r="M58" s="29">
        <f ca="1">F58*'GS&lt;50 PW'!$B$8</f>
        <v>6.7487842923400985</v>
      </c>
      <c r="N58" s="29">
        <f>G58*'GS&lt;50 PW'!$B$9</f>
        <v>-5.4925088801152882</v>
      </c>
      <c r="O58" s="29">
        <f>H58*'GS&lt;50 PW'!$B$10</f>
        <v>38.87882977547455</v>
      </c>
      <c r="P58" s="44">
        <f>I58*'GS&lt;50 PW'!$B$11</f>
        <v>-1.9723066266223299</v>
      </c>
      <c r="Q58" s="44">
        <f>'Monthly Data'!H58</f>
        <v>5214</v>
      </c>
      <c r="R58" s="29">
        <f>'Monthly Data'!BH58</f>
        <v>30</v>
      </c>
      <c r="S58" s="28">
        <f t="shared" ca="1" si="3"/>
        <v>13911549.871002661</v>
      </c>
    </row>
    <row r="59" spans="1:19" x14ac:dyDescent="0.2">
      <c r="A59" s="45">
        <f>'Monthly Data'!A59</f>
        <v>41913</v>
      </c>
      <c r="B59" s="29">
        <f t="shared" si="1"/>
        <v>2014</v>
      </c>
      <c r="C59" s="29">
        <f t="shared" si="2"/>
        <v>10</v>
      </c>
      <c r="D59" s="44">
        <f>'Monthly Data'!J59</f>
        <v>13266929.644145023</v>
      </c>
      <c r="E59" s="46">
        <f t="shared" ca="1" si="6"/>
        <v>53.33000000000002</v>
      </c>
      <c r="F59" s="46">
        <f t="shared" ca="1" si="6"/>
        <v>12.219999999999999</v>
      </c>
      <c r="G59" s="29">
        <f>'Monthly Data'!BG59</f>
        <v>58</v>
      </c>
      <c r="H59" s="29">
        <f>'Monthly Data'!X59</f>
        <v>3072.7</v>
      </c>
      <c r="I59" s="44">
        <f>'Monthly Data'!BF59</f>
        <v>1</v>
      </c>
      <c r="K59" s="29">
        <f>'GS&lt;50 PW'!$B$6</f>
        <v>50.759309292559799</v>
      </c>
      <c r="L59" s="29">
        <f ca="1">E59*'GS&lt;50 PW'!$B$7</f>
        <v>1.6377420475337947</v>
      </c>
      <c r="M59" s="29">
        <f ca="1">F59*'GS&lt;50 PW'!$B$8</f>
        <v>0.96287383598827769</v>
      </c>
      <c r="N59" s="29">
        <f>G59*'GS&lt;50 PW'!$B$9</f>
        <v>-5.588868685029591</v>
      </c>
      <c r="O59" s="29">
        <f>H59*'GS&lt;50 PW'!$B$10</f>
        <v>39.059336358051539</v>
      </c>
      <c r="P59" s="44">
        <f>I59*'GS&lt;50 PW'!$B$11</f>
        <v>-1.9723066266223299</v>
      </c>
      <c r="Q59" s="44">
        <f>'Monthly Data'!H59</f>
        <v>5215</v>
      </c>
      <c r="R59" s="29">
        <f>'Monthly Data'!BH59</f>
        <v>31</v>
      </c>
      <c r="S59" s="28">
        <f t="shared" ca="1" si="3"/>
        <v>13718582.509157469</v>
      </c>
    </row>
    <row r="60" spans="1:19" x14ac:dyDescent="0.2">
      <c r="A60" s="45">
        <f>'Monthly Data'!A60</f>
        <v>41944</v>
      </c>
      <c r="B60" s="29">
        <f t="shared" si="1"/>
        <v>2014</v>
      </c>
      <c r="C60" s="29">
        <f t="shared" si="2"/>
        <v>11</v>
      </c>
      <c r="D60" s="44">
        <f>'Monthly Data'!J60</f>
        <v>14011300.644145023</v>
      </c>
      <c r="E60" s="46">
        <f t="shared" ca="1" si="6"/>
        <v>207.66000000000003</v>
      </c>
      <c r="F60" s="46">
        <f t="shared" ca="1" si="6"/>
        <v>1.0000000000000142E-2</v>
      </c>
      <c r="G60" s="29">
        <f>'Monthly Data'!BG60</f>
        <v>59</v>
      </c>
      <c r="H60" s="29">
        <f>'Monthly Data'!X60</f>
        <v>3082</v>
      </c>
      <c r="I60" s="44">
        <f>'Monthly Data'!BF60</f>
        <v>1</v>
      </c>
      <c r="K60" s="29">
        <f>'GS&lt;50 PW'!$B$6</f>
        <v>50.759309292559799</v>
      </c>
      <c r="L60" s="29">
        <f ca="1">E60*'GS&lt;50 PW'!$B$7</f>
        <v>6.3771519518257582</v>
      </c>
      <c r="M60" s="29">
        <f ca="1">F60*'GS&lt;50 PW'!$B$8</f>
        <v>7.8794912928665433E-4</v>
      </c>
      <c r="N60" s="29">
        <f>G60*'GS&lt;50 PW'!$B$9</f>
        <v>-5.6852284899438938</v>
      </c>
      <c r="O60" s="29">
        <f>H60*'GS&lt;50 PW'!$B$10</f>
        <v>39.177555457908305</v>
      </c>
      <c r="P60" s="44">
        <f>I60*'GS&lt;50 PW'!$B$11</f>
        <v>-1.9723066266223299</v>
      </c>
      <c r="Q60" s="44">
        <f>'Monthly Data'!H60</f>
        <v>5219</v>
      </c>
      <c r="R60" s="29">
        <f>'Monthly Data'!BH60</f>
        <v>30</v>
      </c>
      <c r="S60" s="28">
        <f t="shared" ca="1" si="3"/>
        <v>13881068.691072552</v>
      </c>
    </row>
    <row r="61" spans="1:19" x14ac:dyDescent="0.2">
      <c r="A61" s="45">
        <f>'Monthly Data'!A61</f>
        <v>41974</v>
      </c>
      <c r="B61" s="29">
        <f t="shared" si="1"/>
        <v>2014</v>
      </c>
      <c r="C61" s="29">
        <f t="shared" si="2"/>
        <v>12</v>
      </c>
      <c r="D61" s="44">
        <f>'Monthly Data'!J61</f>
        <v>15136895.644145023</v>
      </c>
      <c r="E61" s="46">
        <f t="shared" ca="1" si="6"/>
        <v>351.65000000000003</v>
      </c>
      <c r="F61" s="46">
        <f t="shared" ca="1" si="6"/>
        <v>0</v>
      </c>
      <c r="G61" s="29">
        <f>'Monthly Data'!BG61</f>
        <v>60</v>
      </c>
      <c r="H61" s="29">
        <f>'Monthly Data'!X61</f>
        <v>3080.1</v>
      </c>
      <c r="I61" s="44">
        <f>'Monthly Data'!BF61</f>
        <v>0</v>
      </c>
      <c r="K61" s="29">
        <f>'GS&lt;50 PW'!$B$6</f>
        <v>50.759309292559799</v>
      </c>
      <c r="L61" s="29">
        <f ca="1">E61*'GS&lt;50 PW'!$B$7</f>
        <v>10.799024770584262</v>
      </c>
      <c r="M61" s="29">
        <f ca="1">F61*'GS&lt;50 PW'!$B$8</f>
        <v>0</v>
      </c>
      <c r="N61" s="29">
        <f>G61*'GS&lt;50 PW'!$B$9</f>
        <v>-5.7815882948581976</v>
      </c>
      <c r="O61" s="29">
        <f>H61*'GS&lt;50 PW'!$B$10</f>
        <v>39.153403168690261</v>
      </c>
      <c r="P61" s="44">
        <f>I61*'GS&lt;50 PW'!$B$11</f>
        <v>0</v>
      </c>
      <c r="Q61" s="44">
        <f>'Monthly Data'!H61</f>
        <v>5230</v>
      </c>
      <c r="R61" s="29">
        <f>'Monthly Data'!BH61</f>
        <v>31</v>
      </c>
      <c r="S61" s="28">
        <f t="shared" ca="1" si="3"/>
        <v>15391025.047151938</v>
      </c>
    </row>
    <row r="62" spans="1:19" x14ac:dyDescent="0.2">
      <c r="A62" s="45">
        <f>'Monthly Data'!A62</f>
        <v>42005</v>
      </c>
      <c r="B62" s="29">
        <f t="shared" si="1"/>
        <v>2015</v>
      </c>
      <c r="C62" s="29">
        <f t="shared" si="2"/>
        <v>1</v>
      </c>
      <c r="D62" s="44">
        <f>'Monthly Data'!J62</f>
        <v>16182556.699089883</v>
      </c>
      <c r="E62" s="46">
        <f t="shared" ref="E62:F77" ca="1" si="7">E50</f>
        <v>477.14</v>
      </c>
      <c r="F62" s="46">
        <f t="shared" ca="1" si="7"/>
        <v>0</v>
      </c>
      <c r="G62" s="29">
        <f>'Monthly Data'!BG62</f>
        <v>61</v>
      </c>
      <c r="H62" s="29">
        <f>'Monthly Data'!X62</f>
        <v>3076.8</v>
      </c>
      <c r="I62" s="44">
        <f>'Monthly Data'!BF62</f>
        <v>0</v>
      </c>
      <c r="K62" s="29">
        <f>'GS&lt;50 PW'!$B$6</f>
        <v>50.759309292559799</v>
      </c>
      <c r="L62" s="29">
        <f ca="1">E62*'GS&lt;50 PW'!$B$7</f>
        <v>14.652770308649437</v>
      </c>
      <c r="M62" s="29">
        <f ca="1">F62*'GS&lt;50 PW'!$B$8</f>
        <v>0</v>
      </c>
      <c r="N62" s="29">
        <f>G62*'GS&lt;50 PW'!$B$9</f>
        <v>-5.8779480997725013</v>
      </c>
      <c r="O62" s="29">
        <f>H62*'GS&lt;50 PW'!$B$10</f>
        <v>39.111454455837865</v>
      </c>
      <c r="P62" s="44">
        <f>I62*'GS&lt;50 PW'!$B$11</f>
        <v>0</v>
      </c>
      <c r="Q62" s="44">
        <f>'Monthly Data'!H62</f>
        <v>5230</v>
      </c>
      <c r="R62" s="29">
        <f>'Monthly Data'!BH62</f>
        <v>31</v>
      </c>
      <c r="S62" s="28">
        <f t="shared" ca="1" si="3"/>
        <v>15993408.85125293</v>
      </c>
    </row>
    <row r="63" spans="1:19" x14ac:dyDescent="0.2">
      <c r="A63" s="45">
        <f>'Monthly Data'!A63</f>
        <v>42036</v>
      </c>
      <c r="B63" s="29">
        <f t="shared" si="1"/>
        <v>2015</v>
      </c>
      <c r="C63" s="29">
        <f t="shared" si="2"/>
        <v>2</v>
      </c>
      <c r="D63" s="44">
        <f>'Monthly Data'!J63</f>
        <v>15130034.699089883</v>
      </c>
      <c r="E63" s="46">
        <f t="shared" ca="1" si="7"/>
        <v>417.05</v>
      </c>
      <c r="F63" s="46">
        <f t="shared" ca="1" si="7"/>
        <v>0</v>
      </c>
      <c r="G63" s="29">
        <f>'Monthly Data'!BG63</f>
        <v>62</v>
      </c>
      <c r="H63" s="29">
        <f>'Monthly Data'!X63</f>
        <v>3085.5</v>
      </c>
      <c r="I63" s="44">
        <f>'Monthly Data'!BF63</f>
        <v>0</v>
      </c>
      <c r="K63" s="29">
        <f>'GS&lt;50 PW'!$B$6</f>
        <v>50.759309292559799</v>
      </c>
      <c r="L63" s="29">
        <f ca="1">E63*'GS&lt;50 PW'!$B$7</f>
        <v>12.807431481792028</v>
      </c>
      <c r="M63" s="29">
        <f ca="1">F63*'GS&lt;50 PW'!$B$8</f>
        <v>0</v>
      </c>
      <c r="N63" s="29">
        <f>G63*'GS&lt;50 PW'!$B$9</f>
        <v>-5.9743079046868042</v>
      </c>
      <c r="O63" s="29">
        <f>H63*'GS&lt;50 PW'!$B$10</f>
        <v>39.22204651699419</v>
      </c>
      <c r="P63" s="44">
        <f>I63*'GS&lt;50 PW'!$B$11</f>
        <v>0</v>
      </c>
      <c r="Q63" s="44">
        <f>'Monthly Data'!H63</f>
        <v>5234</v>
      </c>
      <c r="R63" s="29">
        <f>'Monthly Data'!BH63</f>
        <v>28</v>
      </c>
      <c r="S63" s="28">
        <f t="shared" ca="1" si="3"/>
        <v>14188355.583073681</v>
      </c>
    </row>
    <row r="64" spans="1:19" x14ac:dyDescent="0.2">
      <c r="A64" s="45">
        <f>'Monthly Data'!A64</f>
        <v>42064</v>
      </c>
      <c r="B64" s="29">
        <f t="shared" si="1"/>
        <v>2015</v>
      </c>
      <c r="C64" s="29">
        <f t="shared" si="2"/>
        <v>3</v>
      </c>
      <c r="D64" s="44">
        <f>'Monthly Data'!J64</f>
        <v>15540011.699089883</v>
      </c>
      <c r="E64" s="46">
        <f t="shared" ca="1" si="7"/>
        <v>332.70999999999992</v>
      </c>
      <c r="F64" s="46">
        <f t="shared" ca="1" si="7"/>
        <v>0</v>
      </c>
      <c r="G64" s="29">
        <f>'Monthly Data'!BG64</f>
        <v>63</v>
      </c>
      <c r="H64" s="29">
        <f>'Monthly Data'!X64</f>
        <v>3108.7</v>
      </c>
      <c r="I64" s="44">
        <f>'Monthly Data'!BF64</f>
        <v>1</v>
      </c>
      <c r="K64" s="29">
        <f>'GS&lt;50 PW'!$B$6</f>
        <v>50.759309292559799</v>
      </c>
      <c r="L64" s="29">
        <f ca="1">E64*'GS&lt;50 PW'!$B$7</f>
        <v>10.217385273485252</v>
      </c>
      <c r="M64" s="29">
        <f ca="1">F64*'GS&lt;50 PW'!$B$8</f>
        <v>0</v>
      </c>
      <c r="N64" s="29">
        <f>G64*'GS&lt;50 PW'!$B$9</f>
        <v>-6.070667709601107</v>
      </c>
      <c r="O64" s="29">
        <f>H64*'GS&lt;50 PW'!$B$10</f>
        <v>39.516958680077728</v>
      </c>
      <c r="P64" s="44">
        <f>I64*'GS&lt;50 PW'!$B$11</f>
        <v>-1.9723066266223299</v>
      </c>
      <c r="Q64" s="44">
        <f>'Monthly Data'!H64</f>
        <v>5236</v>
      </c>
      <c r="R64" s="29">
        <f>'Monthly Data'!BH64</f>
        <v>31</v>
      </c>
      <c r="S64" s="28">
        <f t="shared" ca="1" si="3"/>
        <v>15006224.397939224</v>
      </c>
    </row>
    <row r="65" spans="1:19" x14ac:dyDescent="0.2">
      <c r="A65" s="45">
        <f>'Monthly Data'!A65</f>
        <v>42095</v>
      </c>
      <c r="B65" s="29">
        <f t="shared" si="1"/>
        <v>2015</v>
      </c>
      <c r="C65" s="29">
        <f t="shared" si="2"/>
        <v>4</v>
      </c>
      <c r="D65" s="44">
        <f>'Monthly Data'!J65</f>
        <v>13711956.699089883</v>
      </c>
      <c r="E65" s="46">
        <f t="shared" ca="1" si="7"/>
        <v>164.53999999999996</v>
      </c>
      <c r="F65" s="46">
        <f t="shared" ca="1" si="7"/>
        <v>0.16999999999999993</v>
      </c>
      <c r="G65" s="29">
        <f>'Monthly Data'!BG65</f>
        <v>64</v>
      </c>
      <c r="H65" s="29">
        <f>'Monthly Data'!X65</f>
        <v>3122.7</v>
      </c>
      <c r="I65" s="44">
        <f>'Monthly Data'!BF65</f>
        <v>1</v>
      </c>
      <c r="K65" s="29">
        <f>'GS&lt;50 PW'!$B$6</f>
        <v>50.759309292559799</v>
      </c>
      <c r="L65" s="29">
        <f ca="1">E65*'GS&lt;50 PW'!$B$7</f>
        <v>5.0529547440691998</v>
      </c>
      <c r="M65" s="29">
        <f ca="1">F65*'GS&lt;50 PW'!$B$8</f>
        <v>1.3395135197872927E-2</v>
      </c>
      <c r="N65" s="29">
        <f>G65*'GS&lt;50 PW'!$B$9</f>
        <v>-6.1670275145154108</v>
      </c>
      <c r="O65" s="29">
        <f>H65*'GS&lt;50 PW'!$B$10</f>
        <v>39.694922916421241</v>
      </c>
      <c r="P65" s="44">
        <f>I65*'GS&lt;50 PW'!$B$11</f>
        <v>-1.9723066266223299</v>
      </c>
      <c r="Q65" s="44">
        <f>'Monthly Data'!H65</f>
        <v>5236</v>
      </c>
      <c r="R65" s="29">
        <f>'Monthly Data'!BH65</f>
        <v>30</v>
      </c>
      <c r="S65" s="28">
        <f t="shared" ca="1" si="3"/>
        <v>13725846.427532097</v>
      </c>
    </row>
    <row r="66" spans="1:19" x14ac:dyDescent="0.2">
      <c r="A66" s="45">
        <f>'Monthly Data'!A66</f>
        <v>42125</v>
      </c>
      <c r="B66" s="29">
        <f t="shared" ref="B66:B129" si="8">YEAR(A66)</f>
        <v>2015</v>
      </c>
      <c r="C66" s="29">
        <f t="shared" ref="C66:C129" si="9">MONTH(A66)</f>
        <v>5</v>
      </c>
      <c r="D66" s="44">
        <f>'Monthly Data'!J66</f>
        <v>13844626.699089883</v>
      </c>
      <c r="E66" s="46">
        <f t="shared" ca="1" si="7"/>
        <v>35.92</v>
      </c>
      <c r="F66" s="46">
        <f t="shared" ca="1" si="7"/>
        <v>30.080000000000002</v>
      </c>
      <c r="G66" s="29">
        <f>'Monthly Data'!BG66</f>
        <v>65</v>
      </c>
      <c r="H66" s="29">
        <f>'Monthly Data'!X66</f>
        <v>3142.3</v>
      </c>
      <c r="I66" s="44">
        <f>'Monthly Data'!BF66</f>
        <v>1</v>
      </c>
      <c r="K66" s="29">
        <f>'GS&lt;50 PW'!$B$6</f>
        <v>50.759309292559799</v>
      </c>
      <c r="L66" s="29">
        <f ca="1">E66*'GS&lt;50 PW'!$B$7</f>
        <v>1.103088212027262</v>
      </c>
      <c r="M66" s="29">
        <f ca="1">F66*'GS&lt;50 PW'!$B$8</f>
        <v>2.3701509808942225</v>
      </c>
      <c r="N66" s="29">
        <f>G66*'GS&lt;50 PW'!$B$9</f>
        <v>-6.2633873194297145</v>
      </c>
      <c r="O66" s="29">
        <f>H66*'GS&lt;50 PW'!$B$10</f>
        <v>39.944072847302166</v>
      </c>
      <c r="P66" s="44">
        <f>I66*'GS&lt;50 PW'!$B$11</f>
        <v>-1.9723066266223299</v>
      </c>
      <c r="Q66" s="44">
        <f>'Monthly Data'!H66</f>
        <v>5250</v>
      </c>
      <c r="R66" s="29">
        <f>'Monthly Data'!BH66</f>
        <v>31</v>
      </c>
      <c r="S66" s="28">
        <f t="shared" ca="1" si="3"/>
        <v>13986885.932190537</v>
      </c>
    </row>
    <row r="67" spans="1:19" x14ac:dyDescent="0.2">
      <c r="A67" s="45">
        <f>'Monthly Data'!A67</f>
        <v>42156</v>
      </c>
      <c r="B67" s="29">
        <f t="shared" si="8"/>
        <v>2015</v>
      </c>
      <c r="C67" s="29">
        <f t="shared" si="9"/>
        <v>6</v>
      </c>
      <c r="D67" s="44">
        <f>'Monthly Data'!J67</f>
        <v>14160686.699089883</v>
      </c>
      <c r="E67" s="46">
        <f t="shared" ca="1" si="7"/>
        <v>0.37999999999999989</v>
      </c>
      <c r="F67" s="46">
        <f t="shared" ca="1" si="7"/>
        <v>94.58</v>
      </c>
      <c r="G67" s="29">
        <f>'Monthly Data'!BG67</f>
        <v>66</v>
      </c>
      <c r="H67" s="29">
        <f>'Monthly Data'!X67</f>
        <v>3163.2</v>
      </c>
      <c r="I67" s="44">
        <f>'Monthly Data'!BF67</f>
        <v>0</v>
      </c>
      <c r="K67" s="29">
        <f>'GS&lt;50 PW'!$B$6</f>
        <v>50.759309292559799</v>
      </c>
      <c r="L67" s="29">
        <f ca="1">E67*'GS&lt;50 PW'!$B$7</f>
        <v>1.1669641441268358E-2</v>
      </c>
      <c r="M67" s="29">
        <f ca="1">F67*'GS&lt;50 PW'!$B$8</f>
        <v>7.4524228647930704</v>
      </c>
      <c r="N67" s="29">
        <f>G67*'GS&lt;50 PW'!$B$9</f>
        <v>-6.3597471243440173</v>
      </c>
      <c r="O67" s="29">
        <f>H67*'GS&lt;50 PW'!$B$10</f>
        <v>40.209748028700702</v>
      </c>
      <c r="P67" s="44">
        <f>I67*'GS&lt;50 PW'!$B$11</f>
        <v>0</v>
      </c>
      <c r="Q67" s="44">
        <f>'Monthly Data'!H67</f>
        <v>5241</v>
      </c>
      <c r="R67" s="29">
        <f>'Monthly Data'!BH67</f>
        <v>30</v>
      </c>
      <c r="S67" s="28">
        <f t="shared" ref="S67:S130" ca="1" si="10">SUM(K67:P67)*Q67*R67</f>
        <v>14476701.107016403</v>
      </c>
    </row>
    <row r="68" spans="1:19" x14ac:dyDescent="0.2">
      <c r="A68" s="45">
        <f>'Monthly Data'!A68</f>
        <v>42186</v>
      </c>
      <c r="B68" s="29">
        <f t="shared" si="8"/>
        <v>2015</v>
      </c>
      <c r="C68" s="29">
        <f t="shared" si="9"/>
        <v>7</v>
      </c>
      <c r="D68" s="44">
        <f>'Monthly Data'!J68</f>
        <v>15621116.699089883</v>
      </c>
      <c r="E68" s="46">
        <f t="shared" ca="1" si="7"/>
        <v>0</v>
      </c>
      <c r="F68" s="46">
        <f t="shared" ca="1" si="7"/>
        <v>206.28000000000003</v>
      </c>
      <c r="G68" s="29">
        <f>'Monthly Data'!BG68</f>
        <v>67</v>
      </c>
      <c r="H68" s="29">
        <f>'Monthly Data'!X68</f>
        <v>3194.9</v>
      </c>
      <c r="I68" s="44">
        <f>'Monthly Data'!BF68</f>
        <v>0</v>
      </c>
      <c r="K68" s="29">
        <f>'GS&lt;50 PW'!$B$6</f>
        <v>50.759309292559799</v>
      </c>
      <c r="L68" s="29">
        <f ca="1">E68*'GS&lt;50 PW'!$B$7</f>
        <v>0</v>
      </c>
      <c r="M68" s="29">
        <f ca="1">F68*'GS&lt;50 PW'!$B$8</f>
        <v>16.253814638924876</v>
      </c>
      <c r="N68" s="29">
        <f>G68*'GS&lt;50 PW'!$B$9</f>
        <v>-6.4561069292583202</v>
      </c>
      <c r="O68" s="29">
        <f>H68*'GS&lt;50 PW'!$B$10</f>
        <v>40.612709906707089</v>
      </c>
      <c r="P68" s="44">
        <f>I68*'GS&lt;50 PW'!$B$11</f>
        <v>0</v>
      </c>
      <c r="Q68" s="44">
        <f>'Monthly Data'!H68</f>
        <v>5240</v>
      </c>
      <c r="R68" s="29">
        <f>'Monthly Data'!BH68</f>
        <v>31</v>
      </c>
      <c r="S68" s="28">
        <f t="shared" ca="1" si="10"/>
        <v>16434010.439087149</v>
      </c>
    </row>
    <row r="69" spans="1:19" x14ac:dyDescent="0.2">
      <c r="A69" s="45">
        <f>'Monthly Data'!A69</f>
        <v>42217</v>
      </c>
      <c r="B69" s="29">
        <f t="shared" si="8"/>
        <v>2015</v>
      </c>
      <c r="C69" s="29">
        <f t="shared" si="9"/>
        <v>8</v>
      </c>
      <c r="D69" s="44">
        <f>'Monthly Data'!J69</f>
        <v>15851803.699089883</v>
      </c>
      <c r="E69" s="46">
        <f t="shared" ca="1" si="7"/>
        <v>0</v>
      </c>
      <c r="F69" s="46">
        <f t="shared" ca="1" si="7"/>
        <v>177.64000000000001</v>
      </c>
      <c r="G69" s="29">
        <f>'Monthly Data'!BG69</f>
        <v>68</v>
      </c>
      <c r="H69" s="29">
        <f>'Monthly Data'!X69</f>
        <v>3214.6</v>
      </c>
      <c r="I69" s="44">
        <f>'Monthly Data'!BF69</f>
        <v>0</v>
      </c>
      <c r="K69" s="29">
        <f>'GS&lt;50 PW'!$B$6</f>
        <v>50.759309292559799</v>
      </c>
      <c r="L69" s="29">
        <f ca="1">E69*'GS&lt;50 PW'!$B$7</f>
        <v>0</v>
      </c>
      <c r="M69" s="29">
        <f ca="1">F69*'GS&lt;50 PW'!$B$8</f>
        <v>13.997128332647929</v>
      </c>
      <c r="N69" s="29">
        <f>G69*'GS&lt;50 PW'!$B$9</f>
        <v>-6.5524667341726239</v>
      </c>
      <c r="O69" s="29">
        <f>H69*'GS&lt;50 PW'!$B$10</f>
        <v>40.863131010704748</v>
      </c>
      <c r="P69" s="44">
        <f>I69*'GS&lt;50 PW'!$B$11</f>
        <v>0</v>
      </c>
      <c r="Q69" s="44">
        <f>'Monthly Data'!H69</f>
        <v>5244</v>
      </c>
      <c r="R69" s="29">
        <f>'Monthly Data'!BH69</f>
        <v>31</v>
      </c>
      <c r="S69" s="28">
        <f t="shared" ca="1" si="10"/>
        <v>16104744.353554437</v>
      </c>
    </row>
    <row r="70" spans="1:19" x14ac:dyDescent="0.2">
      <c r="A70" s="45">
        <f>'Monthly Data'!A70</f>
        <v>42248</v>
      </c>
      <c r="B70" s="29">
        <f t="shared" si="8"/>
        <v>2015</v>
      </c>
      <c r="C70" s="29">
        <f t="shared" si="9"/>
        <v>9</v>
      </c>
      <c r="D70" s="44">
        <f>'Monthly Data'!J70</f>
        <v>14469369.699089883</v>
      </c>
      <c r="E70" s="46">
        <f t="shared" ca="1" si="7"/>
        <v>0.49000000000000005</v>
      </c>
      <c r="F70" s="46">
        <f t="shared" ca="1" si="7"/>
        <v>85.65</v>
      </c>
      <c r="G70" s="29">
        <f>'Monthly Data'!BG70</f>
        <v>69</v>
      </c>
      <c r="H70" s="29">
        <f>'Monthly Data'!X70</f>
        <v>3220.3</v>
      </c>
      <c r="I70" s="44">
        <f>'Monthly Data'!BF70</f>
        <v>1</v>
      </c>
      <c r="K70" s="29">
        <f>'GS&lt;50 PW'!$B$6</f>
        <v>50.759309292559799</v>
      </c>
      <c r="L70" s="29">
        <f ca="1">E70*'GS&lt;50 PW'!$B$7</f>
        <v>1.5047695542688151E-2</v>
      </c>
      <c r="M70" s="29">
        <f ca="1">F70*'GS&lt;50 PW'!$B$8</f>
        <v>6.7487842923400985</v>
      </c>
      <c r="N70" s="29">
        <f>G70*'GS&lt;50 PW'!$B$9</f>
        <v>-6.6488265390869277</v>
      </c>
      <c r="O70" s="29">
        <f>H70*'GS&lt;50 PW'!$B$10</f>
        <v>40.935587878358902</v>
      </c>
      <c r="P70" s="44">
        <f>I70*'GS&lt;50 PW'!$B$11</f>
        <v>-1.9723066266223299</v>
      </c>
      <c r="Q70" s="44">
        <f>'Monthly Data'!H70</f>
        <v>5237</v>
      </c>
      <c r="R70" s="29">
        <f>'Monthly Data'!BH70</f>
        <v>30</v>
      </c>
      <c r="S70" s="28">
        <f t="shared" ca="1" si="10"/>
        <v>14114384.706474721</v>
      </c>
    </row>
    <row r="71" spans="1:19" x14ac:dyDescent="0.2">
      <c r="A71" s="45">
        <f>'Monthly Data'!A71</f>
        <v>42278</v>
      </c>
      <c r="B71" s="29">
        <f t="shared" si="8"/>
        <v>2015</v>
      </c>
      <c r="C71" s="29">
        <f t="shared" si="9"/>
        <v>10</v>
      </c>
      <c r="D71" s="44">
        <f>'Monthly Data'!J71</f>
        <v>13421736.699089883</v>
      </c>
      <c r="E71" s="46">
        <f t="shared" ca="1" si="7"/>
        <v>53.33000000000002</v>
      </c>
      <c r="F71" s="46">
        <f t="shared" ca="1" si="7"/>
        <v>12.219999999999999</v>
      </c>
      <c r="G71" s="29">
        <f>'Monthly Data'!BG71</f>
        <v>70</v>
      </c>
      <c r="H71" s="29">
        <f>'Monthly Data'!X71</f>
        <v>3216.5</v>
      </c>
      <c r="I71" s="44">
        <f>'Monthly Data'!BF71</f>
        <v>1</v>
      </c>
      <c r="K71" s="29">
        <f>'GS&lt;50 PW'!$B$6</f>
        <v>50.759309292559799</v>
      </c>
      <c r="L71" s="29">
        <f ca="1">E71*'GS&lt;50 PW'!$B$7</f>
        <v>1.6377420475337947</v>
      </c>
      <c r="M71" s="29">
        <f ca="1">F71*'GS&lt;50 PW'!$B$8</f>
        <v>0.96287383598827769</v>
      </c>
      <c r="N71" s="29">
        <f>G71*'GS&lt;50 PW'!$B$9</f>
        <v>-6.7451863440012305</v>
      </c>
      <c r="O71" s="29">
        <f>H71*'GS&lt;50 PW'!$B$10</f>
        <v>40.8872832999228</v>
      </c>
      <c r="P71" s="44">
        <f>I71*'GS&lt;50 PW'!$B$11</f>
        <v>-1.9723066266223299</v>
      </c>
      <c r="Q71" s="44">
        <f>'Monthly Data'!H71</f>
        <v>5242</v>
      </c>
      <c r="R71" s="29">
        <f>'Monthly Data'!BH71</f>
        <v>31</v>
      </c>
      <c r="S71" s="28">
        <f t="shared" ca="1" si="10"/>
        <v>13898749.829055442</v>
      </c>
    </row>
    <row r="72" spans="1:19" x14ac:dyDescent="0.2">
      <c r="A72" s="45">
        <f>'Monthly Data'!A72</f>
        <v>42309</v>
      </c>
      <c r="B72" s="29">
        <f t="shared" si="8"/>
        <v>2015</v>
      </c>
      <c r="C72" s="29">
        <f t="shared" si="9"/>
        <v>11</v>
      </c>
      <c r="D72" s="44">
        <f>'Monthly Data'!J72</f>
        <v>13464398.699089883</v>
      </c>
      <c r="E72" s="46">
        <f t="shared" ca="1" si="7"/>
        <v>207.66000000000003</v>
      </c>
      <c r="F72" s="46">
        <f t="shared" ca="1" si="7"/>
        <v>1.0000000000000142E-2</v>
      </c>
      <c r="G72" s="29">
        <f>'Monthly Data'!BG72</f>
        <v>71</v>
      </c>
      <c r="H72" s="29">
        <f>'Monthly Data'!X72</f>
        <v>3211.5</v>
      </c>
      <c r="I72" s="44">
        <f>'Monthly Data'!BF72</f>
        <v>1</v>
      </c>
      <c r="K72" s="29">
        <f>'GS&lt;50 PW'!$B$6</f>
        <v>50.759309292559799</v>
      </c>
      <c r="L72" s="29">
        <f ca="1">E72*'GS&lt;50 PW'!$B$7</f>
        <v>6.3771519518257582</v>
      </c>
      <c r="M72" s="29">
        <f ca="1">F72*'GS&lt;50 PW'!$B$8</f>
        <v>7.8794912928665433E-4</v>
      </c>
      <c r="N72" s="29">
        <f>G72*'GS&lt;50 PW'!$B$9</f>
        <v>-6.8415461489155334</v>
      </c>
      <c r="O72" s="29">
        <f>H72*'GS&lt;50 PW'!$B$10</f>
        <v>40.823724644085829</v>
      </c>
      <c r="P72" s="44">
        <f>I72*'GS&lt;50 PW'!$B$11</f>
        <v>-1.9723066266223299</v>
      </c>
      <c r="Q72" s="44">
        <f>'Monthly Data'!H72</f>
        <v>5234</v>
      </c>
      <c r="R72" s="29">
        <f>'Monthly Data'!BH72</f>
        <v>30</v>
      </c>
      <c r="S72" s="28">
        <f t="shared" ca="1" si="10"/>
        <v>13997880.949165102</v>
      </c>
    </row>
    <row r="73" spans="1:19" x14ac:dyDescent="0.2">
      <c r="A73" s="45">
        <f>'Monthly Data'!A73</f>
        <v>42339</v>
      </c>
      <c r="B73" s="29">
        <f t="shared" si="8"/>
        <v>2015</v>
      </c>
      <c r="C73" s="29">
        <f t="shared" si="9"/>
        <v>12</v>
      </c>
      <c r="D73" s="44">
        <f>'Monthly Data'!J73</f>
        <v>14365730.699089883</v>
      </c>
      <c r="E73" s="46">
        <f t="shared" ca="1" si="7"/>
        <v>351.65000000000003</v>
      </c>
      <c r="F73" s="46">
        <f t="shared" ca="1" si="7"/>
        <v>0</v>
      </c>
      <c r="G73" s="29">
        <f>'Monthly Data'!BG73</f>
        <v>72</v>
      </c>
      <c r="H73" s="29">
        <f>'Monthly Data'!X73</f>
        <v>3220.1</v>
      </c>
      <c r="I73" s="44">
        <f>'Monthly Data'!BF73</f>
        <v>0</v>
      </c>
      <c r="K73" s="29">
        <f>'GS&lt;50 PW'!$B$6</f>
        <v>50.759309292559799</v>
      </c>
      <c r="L73" s="29">
        <f ca="1">E73*'GS&lt;50 PW'!$B$7</f>
        <v>10.799024770584262</v>
      </c>
      <c r="M73" s="29">
        <f ca="1">F73*'GS&lt;50 PW'!$B$8</f>
        <v>0</v>
      </c>
      <c r="N73" s="29">
        <f>G73*'GS&lt;50 PW'!$B$9</f>
        <v>-6.9379059538298371</v>
      </c>
      <c r="O73" s="29">
        <f>H73*'GS&lt;50 PW'!$B$10</f>
        <v>40.933045532125419</v>
      </c>
      <c r="P73" s="44">
        <f>I73*'GS&lt;50 PW'!$B$11</f>
        <v>0</v>
      </c>
      <c r="Q73" s="44">
        <f>'Monthly Data'!H73</f>
        <v>5238</v>
      </c>
      <c r="R73" s="29">
        <f>'Monthly Data'!BH73</f>
        <v>31</v>
      </c>
      <c r="S73" s="28">
        <f t="shared" ca="1" si="10"/>
        <v>15515781.942949686</v>
      </c>
    </row>
    <row r="74" spans="1:19" x14ac:dyDescent="0.2">
      <c r="A74" s="45">
        <f>'Monthly Data'!A74</f>
        <v>42370</v>
      </c>
      <c r="B74" s="29">
        <f t="shared" si="8"/>
        <v>2016</v>
      </c>
      <c r="C74" s="29">
        <f t="shared" si="9"/>
        <v>1</v>
      </c>
      <c r="D74" s="44">
        <f>'Monthly Data'!J74</f>
        <v>15517081.303964725</v>
      </c>
      <c r="E74" s="46">
        <f t="shared" ca="1" si="7"/>
        <v>477.14</v>
      </c>
      <c r="F74" s="46">
        <f t="shared" ca="1" si="7"/>
        <v>0</v>
      </c>
      <c r="G74" s="29">
        <f>'Monthly Data'!BG74</f>
        <v>73</v>
      </c>
      <c r="H74" s="29">
        <f>'Monthly Data'!X74</f>
        <v>3227</v>
      </c>
      <c r="I74" s="44">
        <f>'Monthly Data'!BF74</f>
        <v>0</v>
      </c>
      <c r="K74" s="29">
        <f>'GS&lt;50 PW'!$B$6</f>
        <v>50.759309292559799</v>
      </c>
      <c r="L74" s="29">
        <f ca="1">E74*'GS&lt;50 PW'!$B$7</f>
        <v>14.652770308649437</v>
      </c>
      <c r="M74" s="29">
        <f ca="1">F74*'GS&lt;50 PW'!$B$8</f>
        <v>0</v>
      </c>
      <c r="N74" s="29">
        <f>G74*'GS&lt;50 PW'!$B$9</f>
        <v>-7.0342657587441408</v>
      </c>
      <c r="O74" s="29">
        <f>H74*'GS&lt;50 PW'!$B$10</f>
        <v>41.020756477180441</v>
      </c>
      <c r="P74" s="44">
        <f>I74*'GS&lt;50 PW'!$B$11</f>
        <v>0</v>
      </c>
      <c r="Q74" s="44">
        <f>'Monthly Data'!H74</f>
        <v>5246</v>
      </c>
      <c r="R74" s="29">
        <f>'Monthly Data'!BH74</f>
        <v>31</v>
      </c>
      <c r="S74" s="28">
        <f t="shared" ca="1" si="10"/>
        <v>16164791.896802675</v>
      </c>
    </row>
    <row r="75" spans="1:19" x14ac:dyDescent="0.2">
      <c r="A75" s="45">
        <f>'Monthly Data'!A75</f>
        <v>42401</v>
      </c>
      <c r="B75" s="29">
        <f t="shared" si="8"/>
        <v>2016</v>
      </c>
      <c r="C75" s="29">
        <f t="shared" si="9"/>
        <v>2</v>
      </c>
      <c r="D75" s="44">
        <f>'Monthly Data'!J75</f>
        <v>14725350.303964725</v>
      </c>
      <c r="E75" s="46">
        <f t="shared" ca="1" si="7"/>
        <v>417.05</v>
      </c>
      <c r="F75" s="46">
        <f t="shared" ca="1" si="7"/>
        <v>0</v>
      </c>
      <c r="G75" s="29">
        <f>'Monthly Data'!BG75</f>
        <v>74</v>
      </c>
      <c r="H75" s="29">
        <f>'Monthly Data'!X75</f>
        <v>3221.1</v>
      </c>
      <c r="I75" s="44">
        <f>'Monthly Data'!BF75</f>
        <v>0</v>
      </c>
      <c r="K75" s="29">
        <f>'GS&lt;50 PW'!$B$6</f>
        <v>50.759309292559799</v>
      </c>
      <c r="L75" s="29">
        <f ca="1">E75*'GS&lt;50 PW'!$B$7</f>
        <v>12.807431481792028</v>
      </c>
      <c r="M75" s="29">
        <f ca="1">F75*'GS&lt;50 PW'!$B$8</f>
        <v>0</v>
      </c>
      <c r="N75" s="29">
        <f>G75*'GS&lt;50 PW'!$B$9</f>
        <v>-7.1306255636584437</v>
      </c>
      <c r="O75" s="29">
        <f>H75*'GS&lt;50 PW'!$B$10</f>
        <v>40.945757263292812</v>
      </c>
      <c r="P75" s="44">
        <f>I75*'GS&lt;50 PW'!$B$11</f>
        <v>0</v>
      </c>
      <c r="Q75" s="44">
        <f>'Monthly Data'!H75</f>
        <v>5267</v>
      </c>
      <c r="R75" s="29">
        <f>'Monthly Data'!BH75</f>
        <v>29</v>
      </c>
      <c r="S75" s="28">
        <f t="shared" ca="1" si="10"/>
        <v>14874399.347294072</v>
      </c>
    </row>
    <row r="76" spans="1:19" x14ac:dyDescent="0.2">
      <c r="A76" s="45">
        <f>'Monthly Data'!A76</f>
        <v>42430</v>
      </c>
      <c r="B76" s="29">
        <f t="shared" si="8"/>
        <v>2016</v>
      </c>
      <c r="C76" s="29">
        <f t="shared" si="9"/>
        <v>3</v>
      </c>
      <c r="D76" s="44">
        <f>'Monthly Data'!J76</f>
        <v>14848383.303964725</v>
      </c>
      <c r="E76" s="46">
        <f t="shared" ca="1" si="7"/>
        <v>332.70999999999992</v>
      </c>
      <c r="F76" s="46">
        <f t="shared" ca="1" si="7"/>
        <v>0</v>
      </c>
      <c r="G76" s="29">
        <f>'Monthly Data'!BG76</f>
        <v>75</v>
      </c>
      <c r="H76" s="29">
        <f>'Monthly Data'!X76</f>
        <v>3210.6</v>
      </c>
      <c r="I76" s="44">
        <f>'Monthly Data'!BF76</f>
        <v>1</v>
      </c>
      <c r="K76" s="29">
        <f>'GS&lt;50 PW'!$B$6</f>
        <v>50.759309292559799</v>
      </c>
      <c r="L76" s="29">
        <f ca="1">E76*'GS&lt;50 PW'!$B$7</f>
        <v>10.217385273485252</v>
      </c>
      <c r="M76" s="29">
        <f ca="1">F76*'GS&lt;50 PW'!$B$8</f>
        <v>0</v>
      </c>
      <c r="N76" s="29">
        <f>G76*'GS&lt;50 PW'!$B$9</f>
        <v>-7.2269853685727465</v>
      </c>
      <c r="O76" s="29">
        <f>H76*'GS&lt;50 PW'!$B$10</f>
        <v>40.812284086035177</v>
      </c>
      <c r="P76" s="44">
        <f>I76*'GS&lt;50 PW'!$B$11</f>
        <v>-1.9723066266223299</v>
      </c>
      <c r="Q76" s="44">
        <f>'Monthly Data'!H76</f>
        <v>5268</v>
      </c>
      <c r="R76" s="29">
        <f>'Monthly Data'!BH76</f>
        <v>31</v>
      </c>
      <c r="S76" s="28">
        <f t="shared" ca="1" si="10"/>
        <v>15120636.548562601</v>
      </c>
    </row>
    <row r="77" spans="1:19" x14ac:dyDescent="0.2">
      <c r="A77" s="45">
        <f>'Monthly Data'!A77</f>
        <v>42461</v>
      </c>
      <c r="B77" s="29">
        <f t="shared" si="8"/>
        <v>2016</v>
      </c>
      <c r="C77" s="29">
        <f t="shared" si="9"/>
        <v>4</v>
      </c>
      <c r="D77" s="44">
        <f>'Monthly Data'!J77</f>
        <v>13743778.303964725</v>
      </c>
      <c r="E77" s="46">
        <f t="shared" ca="1" si="7"/>
        <v>164.53999999999996</v>
      </c>
      <c r="F77" s="46">
        <f t="shared" ca="1" si="7"/>
        <v>0.16999999999999993</v>
      </c>
      <c r="G77" s="29">
        <f>'Monthly Data'!BG77</f>
        <v>76</v>
      </c>
      <c r="H77" s="29">
        <f>'Monthly Data'!X77</f>
        <v>3208.5</v>
      </c>
      <c r="I77" s="44">
        <f>'Monthly Data'!BF77</f>
        <v>1</v>
      </c>
      <c r="K77" s="29">
        <f>'GS&lt;50 PW'!$B$6</f>
        <v>50.759309292559799</v>
      </c>
      <c r="L77" s="29">
        <f ca="1">E77*'GS&lt;50 PW'!$B$7</f>
        <v>5.0529547440691998</v>
      </c>
      <c r="M77" s="29">
        <f ca="1">F77*'GS&lt;50 PW'!$B$8</f>
        <v>1.3395135197872927E-2</v>
      </c>
      <c r="N77" s="29">
        <f>G77*'GS&lt;50 PW'!$B$9</f>
        <v>-7.3233451734870503</v>
      </c>
      <c r="O77" s="29">
        <f>H77*'GS&lt;50 PW'!$B$10</f>
        <v>40.78558945058365</v>
      </c>
      <c r="P77" s="44">
        <f>I77*'GS&lt;50 PW'!$B$11</f>
        <v>-1.9723066266223299</v>
      </c>
      <c r="Q77" s="44">
        <f>'Monthly Data'!H77</f>
        <v>5267</v>
      </c>
      <c r="R77" s="29">
        <f>'Monthly Data'!BH77</f>
        <v>30</v>
      </c>
      <c r="S77" s="28">
        <f t="shared" ca="1" si="10"/>
        <v>13796737.453891804</v>
      </c>
    </row>
    <row r="78" spans="1:19" x14ac:dyDescent="0.2">
      <c r="A78" s="45">
        <f>'Monthly Data'!A78</f>
        <v>42491</v>
      </c>
      <c r="B78" s="29">
        <f t="shared" si="8"/>
        <v>2016</v>
      </c>
      <c r="C78" s="29">
        <f t="shared" si="9"/>
        <v>5</v>
      </c>
      <c r="D78" s="44">
        <f>'Monthly Data'!J78</f>
        <v>14047734.303964725</v>
      </c>
      <c r="E78" s="46">
        <f t="shared" ref="E78:F93" ca="1" si="11">E66</f>
        <v>35.92</v>
      </c>
      <c r="F78" s="46">
        <f t="shared" ca="1" si="11"/>
        <v>30.080000000000002</v>
      </c>
      <c r="G78" s="29">
        <f>'Monthly Data'!BG78</f>
        <v>77</v>
      </c>
      <c r="H78" s="29">
        <f>'Monthly Data'!X78</f>
        <v>3217.7</v>
      </c>
      <c r="I78" s="44">
        <f>'Monthly Data'!BF78</f>
        <v>1</v>
      </c>
      <c r="K78" s="29">
        <f>'GS&lt;50 PW'!$B$6</f>
        <v>50.759309292559799</v>
      </c>
      <c r="L78" s="29">
        <f ca="1">E78*'GS&lt;50 PW'!$B$7</f>
        <v>1.103088212027262</v>
      </c>
      <c r="M78" s="29">
        <f ca="1">F78*'GS&lt;50 PW'!$B$8</f>
        <v>2.3701509808942225</v>
      </c>
      <c r="N78" s="29">
        <f>G78*'GS&lt;50 PW'!$B$9</f>
        <v>-7.419704978401354</v>
      </c>
      <c r="O78" s="29">
        <f>H78*'GS&lt;50 PW'!$B$10</f>
        <v>40.902537377323675</v>
      </c>
      <c r="P78" s="44">
        <f>I78*'GS&lt;50 PW'!$B$11</f>
        <v>-1.9723066266223299</v>
      </c>
      <c r="Q78" s="44">
        <f>'Monthly Data'!H78</f>
        <v>5294</v>
      </c>
      <c r="R78" s="29">
        <f>'Monthly Data'!BH78</f>
        <v>31</v>
      </c>
      <c r="S78" s="28">
        <f t="shared" ca="1" si="10"/>
        <v>14071638.888741516</v>
      </c>
    </row>
    <row r="79" spans="1:19" x14ac:dyDescent="0.2">
      <c r="A79" s="45">
        <f>'Monthly Data'!A79</f>
        <v>42522</v>
      </c>
      <c r="B79" s="29">
        <f t="shared" si="8"/>
        <v>2016</v>
      </c>
      <c r="C79" s="29">
        <f t="shared" si="9"/>
        <v>6</v>
      </c>
      <c r="D79" s="44">
        <f>'Monthly Data'!J79</f>
        <v>14848177.303964725</v>
      </c>
      <c r="E79" s="46">
        <f t="shared" ca="1" si="11"/>
        <v>0.37999999999999989</v>
      </c>
      <c r="F79" s="46">
        <f t="shared" ca="1" si="11"/>
        <v>94.58</v>
      </c>
      <c r="G79" s="29">
        <f>'Monthly Data'!BG79</f>
        <v>78</v>
      </c>
      <c r="H79" s="29">
        <f>'Monthly Data'!X79</f>
        <v>3230.3</v>
      </c>
      <c r="I79" s="44">
        <f>'Monthly Data'!BF79</f>
        <v>0</v>
      </c>
      <c r="K79" s="29">
        <f>'GS&lt;50 PW'!$B$6</f>
        <v>50.759309292559799</v>
      </c>
      <c r="L79" s="29">
        <f ca="1">E79*'GS&lt;50 PW'!$B$7</f>
        <v>1.1669641441268358E-2</v>
      </c>
      <c r="M79" s="29">
        <f ca="1">F79*'GS&lt;50 PW'!$B$8</f>
        <v>7.4524228647930704</v>
      </c>
      <c r="N79" s="29">
        <f>G79*'GS&lt;50 PW'!$B$9</f>
        <v>-7.5160647833156569</v>
      </c>
      <c r="O79" s="29">
        <f>H79*'GS&lt;50 PW'!$B$10</f>
        <v>41.062705190032844</v>
      </c>
      <c r="P79" s="44">
        <f>I79*'GS&lt;50 PW'!$B$11</f>
        <v>0</v>
      </c>
      <c r="Q79" s="44">
        <f>'Monthly Data'!H79</f>
        <v>5264</v>
      </c>
      <c r="R79" s="29">
        <f>'Monthly Data'!BH79</f>
        <v>30</v>
      </c>
      <c r="S79" s="28">
        <f t="shared" ca="1" si="10"/>
        <v>14492325.065094348</v>
      </c>
    </row>
    <row r="80" spans="1:19" x14ac:dyDescent="0.2">
      <c r="A80" s="45">
        <f>'Monthly Data'!A80</f>
        <v>42552</v>
      </c>
      <c r="B80" s="29">
        <f t="shared" si="8"/>
        <v>2016</v>
      </c>
      <c r="C80" s="29">
        <f t="shared" si="9"/>
        <v>7</v>
      </c>
      <c r="D80" s="44">
        <f>'Monthly Data'!J80</f>
        <v>16626440.303964725</v>
      </c>
      <c r="E80" s="46">
        <f t="shared" ca="1" si="11"/>
        <v>0</v>
      </c>
      <c r="F80" s="46">
        <f t="shared" ca="1" si="11"/>
        <v>206.28000000000003</v>
      </c>
      <c r="G80" s="29">
        <f>'Monthly Data'!BG80</f>
        <v>79</v>
      </c>
      <c r="H80" s="29">
        <f>'Monthly Data'!X80</f>
        <v>3229.4</v>
      </c>
      <c r="I80" s="44">
        <f>'Monthly Data'!BF80</f>
        <v>0</v>
      </c>
      <c r="K80" s="29">
        <f>'GS&lt;50 PW'!$B$6</f>
        <v>50.759309292559799</v>
      </c>
      <c r="L80" s="29">
        <f ca="1">E80*'GS&lt;50 PW'!$B$7</f>
        <v>0</v>
      </c>
      <c r="M80" s="29">
        <f ca="1">F80*'GS&lt;50 PW'!$B$8</f>
        <v>16.253814638924876</v>
      </c>
      <c r="N80" s="29">
        <f>G80*'GS&lt;50 PW'!$B$9</f>
        <v>-7.6124245882299597</v>
      </c>
      <c r="O80" s="29">
        <f>H80*'GS&lt;50 PW'!$B$10</f>
        <v>41.051264631982185</v>
      </c>
      <c r="P80" s="44">
        <f>I80*'GS&lt;50 PW'!$B$11</f>
        <v>0</v>
      </c>
      <c r="Q80" s="44">
        <f>'Monthly Data'!H80</f>
        <v>5262</v>
      </c>
      <c r="R80" s="29">
        <f>'Monthly Data'!BH80</f>
        <v>31</v>
      </c>
      <c r="S80" s="28">
        <f t="shared" ca="1" si="10"/>
        <v>16385925.267568596</v>
      </c>
    </row>
    <row r="81" spans="1:19" x14ac:dyDescent="0.2">
      <c r="A81" s="45">
        <f>'Monthly Data'!A81</f>
        <v>42583</v>
      </c>
      <c r="B81" s="29">
        <f t="shared" si="8"/>
        <v>2016</v>
      </c>
      <c r="C81" s="29">
        <f t="shared" si="9"/>
        <v>8</v>
      </c>
      <c r="D81" s="44">
        <f>'Monthly Data'!J81</f>
        <v>16998535.303964727</v>
      </c>
      <c r="E81" s="46">
        <f t="shared" ca="1" si="11"/>
        <v>0</v>
      </c>
      <c r="F81" s="46">
        <f t="shared" ca="1" si="11"/>
        <v>177.64000000000001</v>
      </c>
      <c r="G81" s="29">
        <f>'Monthly Data'!BG81</f>
        <v>80</v>
      </c>
      <c r="H81" s="29">
        <f>'Monthly Data'!X81</f>
        <v>3224.8</v>
      </c>
      <c r="I81" s="44">
        <f>'Monthly Data'!BF81</f>
        <v>0</v>
      </c>
      <c r="K81" s="29">
        <f>'GS&lt;50 PW'!$B$6</f>
        <v>50.759309292559799</v>
      </c>
      <c r="L81" s="29">
        <f ca="1">E81*'GS&lt;50 PW'!$B$7</f>
        <v>0</v>
      </c>
      <c r="M81" s="29">
        <f ca="1">F81*'GS&lt;50 PW'!$B$8</f>
        <v>13.997128332647929</v>
      </c>
      <c r="N81" s="29">
        <f>G81*'GS&lt;50 PW'!$B$9</f>
        <v>-7.7087843931442634</v>
      </c>
      <c r="O81" s="29">
        <f>H81*'GS&lt;50 PW'!$B$10</f>
        <v>40.992790668612173</v>
      </c>
      <c r="P81" s="44">
        <f>I81*'GS&lt;50 PW'!$B$11</f>
        <v>0</v>
      </c>
      <c r="Q81" s="44">
        <f>'Monthly Data'!H81</f>
        <v>5260</v>
      </c>
      <c r="R81" s="29">
        <f>'Monthly Data'!BH81</f>
        <v>31</v>
      </c>
      <c r="S81" s="28">
        <f t="shared" ca="1" si="10"/>
        <v>15986474.782444168</v>
      </c>
    </row>
    <row r="82" spans="1:19" x14ac:dyDescent="0.2">
      <c r="A82" s="45">
        <f>'Monthly Data'!A82</f>
        <v>42614</v>
      </c>
      <c r="B82" s="29">
        <f t="shared" si="8"/>
        <v>2016</v>
      </c>
      <c r="C82" s="29">
        <f t="shared" si="9"/>
        <v>9</v>
      </c>
      <c r="D82" s="44">
        <f>'Monthly Data'!J82</f>
        <v>14679750.303964725</v>
      </c>
      <c r="E82" s="46">
        <f t="shared" ca="1" si="11"/>
        <v>0.49000000000000005</v>
      </c>
      <c r="F82" s="46">
        <f t="shared" ca="1" si="11"/>
        <v>85.65</v>
      </c>
      <c r="G82" s="29">
        <f>'Monthly Data'!BG82</f>
        <v>81</v>
      </c>
      <c r="H82" s="29">
        <f>'Monthly Data'!X82</f>
        <v>3216.9</v>
      </c>
      <c r="I82" s="44">
        <f>'Monthly Data'!BF82</f>
        <v>1</v>
      </c>
      <c r="K82" s="29">
        <f>'GS&lt;50 PW'!$B$6</f>
        <v>50.759309292559799</v>
      </c>
      <c r="L82" s="29">
        <f ca="1">E82*'GS&lt;50 PW'!$B$7</f>
        <v>1.5047695542688151E-2</v>
      </c>
      <c r="M82" s="29">
        <f ca="1">F82*'GS&lt;50 PW'!$B$8</f>
        <v>6.7487842923400985</v>
      </c>
      <c r="N82" s="29">
        <f>G82*'GS&lt;50 PW'!$B$9</f>
        <v>-7.8051441980585672</v>
      </c>
      <c r="O82" s="29">
        <f>H82*'GS&lt;50 PW'!$B$10</f>
        <v>40.892367992389758</v>
      </c>
      <c r="P82" s="44">
        <f>I82*'GS&lt;50 PW'!$B$11</f>
        <v>-1.9723066266223299</v>
      </c>
      <c r="Q82" s="44">
        <f>'Monthly Data'!H82</f>
        <v>5273</v>
      </c>
      <c r="R82" s="29">
        <f>'Monthly Data'!BH82</f>
        <v>30</v>
      </c>
      <c r="S82" s="28">
        <f t="shared" ca="1" si="10"/>
        <v>14021654.465913078</v>
      </c>
    </row>
    <row r="83" spans="1:19" x14ac:dyDescent="0.2">
      <c r="A83" s="45">
        <f>'Monthly Data'!A83</f>
        <v>42644</v>
      </c>
      <c r="B83" s="29">
        <f t="shared" si="8"/>
        <v>2016</v>
      </c>
      <c r="C83" s="29">
        <f t="shared" si="9"/>
        <v>10</v>
      </c>
      <c r="D83" s="44">
        <f>'Monthly Data'!J83</f>
        <v>13570857.303964725</v>
      </c>
      <c r="E83" s="46">
        <f t="shared" ca="1" si="11"/>
        <v>53.33000000000002</v>
      </c>
      <c r="F83" s="46">
        <f t="shared" ca="1" si="11"/>
        <v>12.219999999999999</v>
      </c>
      <c r="G83" s="29">
        <f>'Monthly Data'!BG83</f>
        <v>82</v>
      </c>
      <c r="H83" s="29">
        <f>'Monthly Data'!X83</f>
        <v>3209.8</v>
      </c>
      <c r="I83" s="44">
        <f>'Monthly Data'!BF83</f>
        <v>1</v>
      </c>
      <c r="K83" s="29">
        <f>'GS&lt;50 PW'!$B$6</f>
        <v>50.759309292559799</v>
      </c>
      <c r="L83" s="29">
        <f ca="1">E83*'GS&lt;50 PW'!$B$7</f>
        <v>1.6377420475337947</v>
      </c>
      <c r="M83" s="29">
        <f ca="1">F83*'GS&lt;50 PW'!$B$8</f>
        <v>0.96287383598827769</v>
      </c>
      <c r="N83" s="29">
        <f>G83*'GS&lt;50 PW'!$B$9</f>
        <v>-7.90150400297287</v>
      </c>
      <c r="O83" s="29">
        <f>H83*'GS&lt;50 PW'!$B$10</f>
        <v>40.802114701101267</v>
      </c>
      <c r="P83" s="44">
        <f>I83*'GS&lt;50 PW'!$B$11</f>
        <v>-1.9723066266223299</v>
      </c>
      <c r="Q83" s="44">
        <f>'Monthly Data'!H83</f>
        <v>5278</v>
      </c>
      <c r="R83" s="29">
        <f>'Monthly Data'!BH83</f>
        <v>31</v>
      </c>
      <c r="S83" s="28">
        <f t="shared" ca="1" si="10"/>
        <v>13791071.493031843</v>
      </c>
    </row>
    <row r="84" spans="1:19" x14ac:dyDescent="0.2">
      <c r="A84" s="45">
        <f>'Monthly Data'!A84</f>
        <v>42675</v>
      </c>
      <c r="B84" s="29">
        <f t="shared" si="8"/>
        <v>2016</v>
      </c>
      <c r="C84" s="29">
        <f t="shared" si="9"/>
        <v>11</v>
      </c>
      <c r="D84" s="44">
        <f>'Monthly Data'!J84</f>
        <v>13638777.303964725</v>
      </c>
      <c r="E84" s="46">
        <f t="shared" ca="1" si="11"/>
        <v>207.66000000000003</v>
      </c>
      <c r="F84" s="46">
        <f t="shared" ca="1" si="11"/>
        <v>1.0000000000000142E-2</v>
      </c>
      <c r="G84" s="29">
        <f>'Monthly Data'!BG84</f>
        <v>83</v>
      </c>
      <c r="H84" s="29">
        <f>'Monthly Data'!X84</f>
        <v>3207.3</v>
      </c>
      <c r="I84" s="44">
        <f>'Monthly Data'!BF84</f>
        <v>1</v>
      </c>
      <c r="K84" s="29">
        <f>'GS&lt;50 PW'!$B$6</f>
        <v>50.759309292559799</v>
      </c>
      <c r="L84" s="29">
        <f ca="1">E84*'GS&lt;50 PW'!$B$7</f>
        <v>6.3771519518257582</v>
      </c>
      <c r="M84" s="29">
        <f ca="1">F84*'GS&lt;50 PW'!$B$8</f>
        <v>7.8794912928665433E-4</v>
      </c>
      <c r="N84" s="29">
        <f>G84*'GS&lt;50 PW'!$B$9</f>
        <v>-7.9978638078871729</v>
      </c>
      <c r="O84" s="29">
        <f>H84*'GS&lt;50 PW'!$B$10</f>
        <v>40.770335373182782</v>
      </c>
      <c r="P84" s="44">
        <f>I84*'GS&lt;50 PW'!$B$11</f>
        <v>-1.9723066266223299</v>
      </c>
      <c r="Q84" s="44">
        <f>'Monthly Data'!H84</f>
        <v>5298</v>
      </c>
      <c r="R84" s="29">
        <f>'Monthly Data'!BH84</f>
        <v>30</v>
      </c>
      <c r="S84" s="28">
        <f t="shared" ca="1" si="10"/>
        <v>13976772.602169983</v>
      </c>
    </row>
    <row r="85" spans="1:19" x14ac:dyDescent="0.2">
      <c r="A85" s="45">
        <f>'Monthly Data'!A85</f>
        <v>42705</v>
      </c>
      <c r="B85" s="29">
        <f t="shared" si="8"/>
        <v>2016</v>
      </c>
      <c r="C85" s="29">
        <f t="shared" si="9"/>
        <v>12</v>
      </c>
      <c r="D85" s="44">
        <f>'Monthly Data'!J85</f>
        <v>15093983.303964725</v>
      </c>
      <c r="E85" s="46">
        <f t="shared" ca="1" si="11"/>
        <v>351.65000000000003</v>
      </c>
      <c r="F85" s="46">
        <f t="shared" ca="1" si="11"/>
        <v>0</v>
      </c>
      <c r="G85" s="29">
        <f>'Monthly Data'!BG85</f>
        <v>84</v>
      </c>
      <c r="H85" s="29">
        <f>'Monthly Data'!X85</f>
        <v>3203.9</v>
      </c>
      <c r="I85" s="44">
        <f>'Monthly Data'!BF85</f>
        <v>0</v>
      </c>
      <c r="K85" s="29">
        <f>'GS&lt;50 PW'!$B$6</f>
        <v>50.759309292559799</v>
      </c>
      <c r="L85" s="29">
        <f ca="1">E85*'GS&lt;50 PW'!$B$7</f>
        <v>10.799024770584262</v>
      </c>
      <c r="M85" s="29">
        <f ca="1">F85*'GS&lt;50 PW'!$B$8</f>
        <v>0</v>
      </c>
      <c r="N85" s="29">
        <f>G85*'GS&lt;50 PW'!$B$9</f>
        <v>-8.0942236128014766</v>
      </c>
      <c r="O85" s="29">
        <f>H85*'GS&lt;50 PW'!$B$10</f>
        <v>40.727115487213638</v>
      </c>
      <c r="P85" s="44">
        <f>I85*'GS&lt;50 PW'!$B$11</f>
        <v>0</v>
      </c>
      <c r="Q85" s="44">
        <f>'Monthly Data'!H85</f>
        <v>5297</v>
      </c>
      <c r="R85" s="29">
        <f>'Monthly Data'!BH85</f>
        <v>31</v>
      </c>
      <c r="S85" s="28">
        <f t="shared" ca="1" si="10"/>
        <v>15466858.637528295</v>
      </c>
    </row>
    <row r="86" spans="1:19" x14ac:dyDescent="0.2">
      <c r="A86" s="45">
        <f>'Monthly Data'!A86</f>
        <v>42736</v>
      </c>
      <c r="B86" s="29">
        <f t="shared" si="8"/>
        <v>2017</v>
      </c>
      <c r="C86" s="29">
        <f t="shared" si="9"/>
        <v>1</v>
      </c>
      <c r="D86" s="44">
        <f>'Monthly Data'!J86</f>
        <v>15848622.716300488</v>
      </c>
      <c r="E86" s="46">
        <f t="shared" ca="1" si="11"/>
        <v>477.14</v>
      </c>
      <c r="F86" s="46">
        <f t="shared" ca="1" si="11"/>
        <v>0</v>
      </c>
      <c r="G86" s="29">
        <f>'Monthly Data'!BG86</f>
        <v>85</v>
      </c>
      <c r="H86" s="29">
        <f>'Monthly Data'!X86</f>
        <v>3213.3</v>
      </c>
      <c r="I86" s="44">
        <f>'Monthly Data'!BF86</f>
        <v>0</v>
      </c>
      <c r="K86" s="29">
        <f>'GS&lt;50 PW'!$B$6</f>
        <v>50.759309292559799</v>
      </c>
      <c r="L86" s="29">
        <f ca="1">E86*'GS&lt;50 PW'!$B$7</f>
        <v>14.652770308649437</v>
      </c>
      <c r="M86" s="29">
        <f ca="1">F86*'GS&lt;50 PW'!$B$8</f>
        <v>0</v>
      </c>
      <c r="N86" s="29">
        <f>G86*'GS&lt;50 PW'!$B$9</f>
        <v>-8.1905834177157804</v>
      </c>
      <c r="O86" s="29">
        <f>H86*'GS&lt;50 PW'!$B$10</f>
        <v>40.846605760187146</v>
      </c>
      <c r="P86" s="44">
        <f>I86*'GS&lt;50 PW'!$B$11</f>
        <v>0</v>
      </c>
      <c r="Q86" s="44">
        <f>'Monthly Data'!H86</f>
        <v>5303</v>
      </c>
      <c r="R86" s="29">
        <f>'Monthly Data'!BH86</f>
        <v>31</v>
      </c>
      <c r="S86" s="28">
        <f t="shared" ca="1" si="10"/>
        <v>16121709.482827485</v>
      </c>
    </row>
    <row r="87" spans="1:19" x14ac:dyDescent="0.2">
      <c r="A87" s="45">
        <f>'Monthly Data'!A87</f>
        <v>42767</v>
      </c>
      <c r="B87" s="29">
        <f t="shared" si="8"/>
        <v>2017</v>
      </c>
      <c r="C87" s="29">
        <f t="shared" si="9"/>
        <v>2</v>
      </c>
      <c r="D87" s="44">
        <f>'Monthly Data'!J87</f>
        <v>14155244.716300488</v>
      </c>
      <c r="E87" s="46">
        <f t="shared" ca="1" si="11"/>
        <v>417.05</v>
      </c>
      <c r="F87" s="46">
        <f t="shared" ca="1" si="11"/>
        <v>0</v>
      </c>
      <c r="G87" s="29">
        <f>'Monthly Data'!BG87</f>
        <v>86</v>
      </c>
      <c r="H87" s="29">
        <f>'Monthly Data'!X87</f>
        <v>3230.3</v>
      </c>
      <c r="I87" s="44">
        <f>'Monthly Data'!BF87</f>
        <v>0</v>
      </c>
      <c r="K87" s="29">
        <f>'GS&lt;50 PW'!$B$6</f>
        <v>50.759309292559799</v>
      </c>
      <c r="L87" s="29">
        <f ca="1">E87*'GS&lt;50 PW'!$B$7</f>
        <v>12.807431481792028</v>
      </c>
      <c r="M87" s="29">
        <f ca="1">F87*'GS&lt;50 PW'!$B$8</f>
        <v>0</v>
      </c>
      <c r="N87" s="29">
        <f>G87*'GS&lt;50 PW'!$B$9</f>
        <v>-8.2869432226300823</v>
      </c>
      <c r="O87" s="29">
        <f>H87*'GS&lt;50 PW'!$B$10</f>
        <v>41.062705190032844</v>
      </c>
      <c r="P87" s="44">
        <f>I87*'GS&lt;50 PW'!$B$11</f>
        <v>0</v>
      </c>
      <c r="Q87" s="44">
        <f>'Monthly Data'!H87</f>
        <v>5341</v>
      </c>
      <c r="R87" s="29">
        <f>'Monthly Data'!BH87</f>
        <v>28</v>
      </c>
      <c r="S87" s="28">
        <f t="shared" ca="1" si="10"/>
        <v>14407828.600023914</v>
      </c>
    </row>
    <row r="88" spans="1:19" x14ac:dyDescent="0.2">
      <c r="A88" s="45">
        <f>'Monthly Data'!A88</f>
        <v>42795</v>
      </c>
      <c r="B88" s="29">
        <f t="shared" si="8"/>
        <v>2017</v>
      </c>
      <c r="C88" s="29">
        <f t="shared" si="9"/>
        <v>3</v>
      </c>
      <c r="D88" s="44">
        <f>'Monthly Data'!J88</f>
        <v>15108599.716300488</v>
      </c>
      <c r="E88" s="46">
        <f t="shared" ca="1" si="11"/>
        <v>332.70999999999992</v>
      </c>
      <c r="F88" s="46">
        <f t="shared" ca="1" si="11"/>
        <v>0</v>
      </c>
      <c r="G88" s="29">
        <f>'Monthly Data'!BG88</f>
        <v>87</v>
      </c>
      <c r="H88" s="29">
        <f>'Monthly Data'!X88</f>
        <v>3247.6</v>
      </c>
      <c r="I88" s="44">
        <f>'Monthly Data'!BF88</f>
        <v>1</v>
      </c>
      <c r="K88" s="29">
        <f>'GS&lt;50 PW'!$B$6</f>
        <v>50.759309292559799</v>
      </c>
      <c r="L88" s="29">
        <f ca="1">E88*'GS&lt;50 PW'!$B$7</f>
        <v>10.217385273485252</v>
      </c>
      <c r="M88" s="29">
        <f ca="1">F88*'GS&lt;50 PW'!$B$8</f>
        <v>0</v>
      </c>
      <c r="N88" s="29">
        <f>G88*'GS&lt;50 PW'!$B$9</f>
        <v>-8.3833030275443861</v>
      </c>
      <c r="O88" s="29">
        <f>H88*'GS&lt;50 PW'!$B$10</f>
        <v>41.282618139228752</v>
      </c>
      <c r="P88" s="44">
        <f>I88*'GS&lt;50 PW'!$B$11</f>
        <v>-1.9723066266223299</v>
      </c>
      <c r="Q88" s="44">
        <f>'Monthly Data'!H88</f>
        <v>5342</v>
      </c>
      <c r="R88" s="29">
        <f>'Monthly Data'!BH88</f>
        <v>31</v>
      </c>
      <c r="S88" s="28">
        <f t="shared" ca="1" si="10"/>
        <v>15219437.032669438</v>
      </c>
    </row>
    <row r="89" spans="1:19" x14ac:dyDescent="0.2">
      <c r="A89" s="45">
        <f>'Monthly Data'!A89</f>
        <v>42826</v>
      </c>
      <c r="B89" s="29">
        <f t="shared" si="8"/>
        <v>2017</v>
      </c>
      <c r="C89" s="29">
        <f t="shared" si="9"/>
        <v>4</v>
      </c>
      <c r="D89" s="44">
        <f>'Monthly Data'!J89</f>
        <v>13649236.716300488</v>
      </c>
      <c r="E89" s="46">
        <f t="shared" ca="1" si="11"/>
        <v>164.53999999999996</v>
      </c>
      <c r="F89" s="46">
        <f t="shared" ca="1" si="11"/>
        <v>0.16999999999999993</v>
      </c>
      <c r="G89" s="29">
        <f>'Monthly Data'!BG89</f>
        <v>88</v>
      </c>
      <c r="H89" s="29">
        <f>'Monthly Data'!X89</f>
        <v>3257.7</v>
      </c>
      <c r="I89" s="44">
        <f>'Monthly Data'!BF89</f>
        <v>1</v>
      </c>
      <c r="K89" s="29">
        <f>'GS&lt;50 PW'!$B$6</f>
        <v>50.759309292559799</v>
      </c>
      <c r="L89" s="29">
        <f ca="1">E89*'GS&lt;50 PW'!$B$7</f>
        <v>5.0529547440691998</v>
      </c>
      <c r="M89" s="29">
        <f ca="1">F89*'GS&lt;50 PW'!$B$8</f>
        <v>1.3395135197872927E-2</v>
      </c>
      <c r="N89" s="29">
        <f>G89*'GS&lt;50 PW'!$B$9</f>
        <v>-8.4796628324586898</v>
      </c>
      <c r="O89" s="29">
        <f>H89*'GS&lt;50 PW'!$B$10</f>
        <v>41.411006624019429</v>
      </c>
      <c r="P89" s="44">
        <f>I89*'GS&lt;50 PW'!$B$11</f>
        <v>-1.9723066266223299</v>
      </c>
      <c r="Q89" s="44">
        <f>'Monthly Data'!H89</f>
        <v>5344</v>
      </c>
      <c r="R89" s="29">
        <f>'Monthly Data'!BH89</f>
        <v>30</v>
      </c>
      <c r="S89" s="28">
        <f t="shared" ca="1" si="10"/>
        <v>13913322.516710211</v>
      </c>
    </row>
    <row r="90" spans="1:19" x14ac:dyDescent="0.2">
      <c r="A90" s="45">
        <f>'Monthly Data'!A90</f>
        <v>42856</v>
      </c>
      <c r="B90" s="29">
        <f t="shared" si="8"/>
        <v>2017</v>
      </c>
      <c r="C90" s="29">
        <f t="shared" si="9"/>
        <v>5</v>
      </c>
      <c r="D90" s="44">
        <f>'Monthly Data'!J90</f>
        <v>13851346.716300488</v>
      </c>
      <c r="E90" s="46">
        <f t="shared" ca="1" si="11"/>
        <v>35.92</v>
      </c>
      <c r="F90" s="46">
        <f t="shared" ca="1" si="11"/>
        <v>30.080000000000002</v>
      </c>
      <c r="G90" s="29">
        <f>'Monthly Data'!BG90</f>
        <v>89</v>
      </c>
      <c r="H90" s="29">
        <f>'Monthly Data'!X90</f>
        <v>3266.8</v>
      </c>
      <c r="I90" s="44">
        <f>'Monthly Data'!BF90</f>
        <v>1</v>
      </c>
      <c r="K90" s="29">
        <f>'GS&lt;50 PW'!$B$6</f>
        <v>50.759309292559799</v>
      </c>
      <c r="L90" s="29">
        <f ca="1">E90*'GS&lt;50 PW'!$B$7</f>
        <v>1.103088212027262</v>
      </c>
      <c r="M90" s="29">
        <f ca="1">F90*'GS&lt;50 PW'!$B$8</f>
        <v>2.3701509808942225</v>
      </c>
      <c r="N90" s="29">
        <f>G90*'GS&lt;50 PW'!$B$9</f>
        <v>-8.5760226373729935</v>
      </c>
      <c r="O90" s="29">
        <f>H90*'GS&lt;50 PW'!$B$10</f>
        <v>41.526683377642719</v>
      </c>
      <c r="P90" s="44">
        <f>I90*'GS&lt;50 PW'!$B$11</f>
        <v>-1.9723066266223299</v>
      </c>
      <c r="Q90" s="44">
        <f>'Monthly Data'!H90</f>
        <v>5341</v>
      </c>
      <c r="R90" s="29">
        <f>'Monthly Data'!BH90</f>
        <v>31</v>
      </c>
      <c r="S90" s="28">
        <f t="shared" ca="1" si="10"/>
        <v>14108454.354240334</v>
      </c>
    </row>
    <row r="91" spans="1:19" x14ac:dyDescent="0.2">
      <c r="A91" s="45">
        <f>'Monthly Data'!A91</f>
        <v>42887</v>
      </c>
      <c r="B91" s="29">
        <f t="shared" si="8"/>
        <v>2017</v>
      </c>
      <c r="C91" s="29">
        <f t="shared" si="9"/>
        <v>6</v>
      </c>
      <c r="D91" s="44">
        <f>'Monthly Data'!J91</f>
        <v>14440865.716300488</v>
      </c>
      <c r="E91" s="46">
        <f t="shared" ca="1" si="11"/>
        <v>0.37999999999999989</v>
      </c>
      <c r="F91" s="46">
        <f t="shared" ca="1" si="11"/>
        <v>94.58</v>
      </c>
      <c r="G91" s="29">
        <f>'Monthly Data'!BG91</f>
        <v>90</v>
      </c>
      <c r="H91" s="29">
        <f>'Monthly Data'!X91</f>
        <v>3268.7</v>
      </c>
      <c r="I91" s="44">
        <f>'Monthly Data'!BF91</f>
        <v>0</v>
      </c>
      <c r="K91" s="29">
        <f>'GS&lt;50 PW'!$B$6</f>
        <v>50.759309292559799</v>
      </c>
      <c r="L91" s="29">
        <f ca="1">E91*'GS&lt;50 PW'!$B$7</f>
        <v>1.1669641441268358E-2</v>
      </c>
      <c r="M91" s="29">
        <f ca="1">F91*'GS&lt;50 PW'!$B$8</f>
        <v>7.4524228647930704</v>
      </c>
      <c r="N91" s="29">
        <f>G91*'GS&lt;50 PW'!$B$9</f>
        <v>-8.6723824422872973</v>
      </c>
      <c r="O91" s="29">
        <f>H91*'GS&lt;50 PW'!$B$10</f>
        <v>41.550835666860763</v>
      </c>
      <c r="P91" s="44">
        <f>I91*'GS&lt;50 PW'!$B$11</f>
        <v>0</v>
      </c>
      <c r="Q91" s="44">
        <f>'Monthly Data'!H91</f>
        <v>5339</v>
      </c>
      <c r="R91" s="29">
        <f>'Monthly Data'!BH91</f>
        <v>30</v>
      </c>
      <c r="S91" s="28">
        <f t="shared" ca="1" si="10"/>
        <v>14591784.11909279</v>
      </c>
    </row>
    <row r="92" spans="1:19" x14ac:dyDescent="0.2">
      <c r="A92" s="45">
        <f>'Monthly Data'!A92</f>
        <v>42917</v>
      </c>
      <c r="B92" s="29">
        <f t="shared" si="8"/>
        <v>2017</v>
      </c>
      <c r="C92" s="29">
        <f t="shared" si="9"/>
        <v>7</v>
      </c>
      <c r="D92" s="44">
        <f>'Monthly Data'!J92</f>
        <v>15754493.716300488</v>
      </c>
      <c r="E92" s="46">
        <f t="shared" ca="1" si="11"/>
        <v>0</v>
      </c>
      <c r="F92" s="46">
        <f t="shared" ca="1" si="11"/>
        <v>206.28000000000003</v>
      </c>
      <c r="G92" s="29">
        <f>'Monthly Data'!BG92</f>
        <v>91</v>
      </c>
      <c r="H92" s="29">
        <f>'Monthly Data'!X92</f>
        <v>3270</v>
      </c>
      <c r="I92" s="44">
        <f>'Monthly Data'!BF92</f>
        <v>0</v>
      </c>
      <c r="K92" s="29">
        <f>'GS&lt;50 PW'!$B$6</f>
        <v>50.759309292559799</v>
      </c>
      <c r="L92" s="29">
        <f ca="1">E92*'GS&lt;50 PW'!$B$7</f>
        <v>0</v>
      </c>
      <c r="M92" s="29">
        <f ca="1">F92*'GS&lt;50 PW'!$B$8</f>
        <v>16.253814638924876</v>
      </c>
      <c r="N92" s="29">
        <f>G92*'GS&lt;50 PW'!$B$9</f>
        <v>-8.7687422472015992</v>
      </c>
      <c r="O92" s="29">
        <f>H92*'GS&lt;50 PW'!$B$10</f>
        <v>41.56736091737838</v>
      </c>
      <c r="P92" s="44">
        <f>I92*'GS&lt;50 PW'!$B$11</f>
        <v>0</v>
      </c>
      <c r="Q92" s="44">
        <f>'Monthly Data'!H92</f>
        <v>5337</v>
      </c>
      <c r="R92" s="29">
        <f>'Monthly Data'!BH92</f>
        <v>31</v>
      </c>
      <c r="S92" s="28">
        <f t="shared" ca="1" si="10"/>
        <v>16513553.378217081</v>
      </c>
    </row>
    <row r="93" spans="1:19" x14ac:dyDescent="0.2">
      <c r="A93" s="45">
        <f>'Monthly Data'!A93</f>
        <v>42948</v>
      </c>
      <c r="B93" s="29">
        <f t="shared" si="8"/>
        <v>2017</v>
      </c>
      <c r="C93" s="29">
        <f t="shared" si="9"/>
        <v>8</v>
      </c>
      <c r="D93" s="44">
        <f>'Monthly Data'!J93</f>
        <v>15368668.716300488</v>
      </c>
      <c r="E93" s="46">
        <f t="shared" ca="1" si="11"/>
        <v>0</v>
      </c>
      <c r="F93" s="46">
        <f t="shared" ca="1" si="11"/>
        <v>177.64000000000001</v>
      </c>
      <c r="G93" s="29">
        <f>'Monthly Data'!BG93</f>
        <v>92</v>
      </c>
      <c r="H93" s="29">
        <f>'Monthly Data'!X93</f>
        <v>3278.6</v>
      </c>
      <c r="I93" s="44">
        <f>'Monthly Data'!BF93</f>
        <v>0</v>
      </c>
      <c r="K93" s="29">
        <f>'GS&lt;50 PW'!$B$6</f>
        <v>50.759309292559799</v>
      </c>
      <c r="L93" s="29">
        <f ca="1">E93*'GS&lt;50 PW'!$B$7</f>
        <v>0</v>
      </c>
      <c r="M93" s="29">
        <f ca="1">F93*'GS&lt;50 PW'!$B$8</f>
        <v>13.997128332647929</v>
      </c>
      <c r="N93" s="29">
        <f>G93*'GS&lt;50 PW'!$B$9</f>
        <v>-8.865102052115903</v>
      </c>
      <c r="O93" s="29">
        <f>H93*'GS&lt;50 PW'!$B$10</f>
        <v>41.676681805417971</v>
      </c>
      <c r="P93" s="44">
        <f>I93*'GS&lt;50 PW'!$B$11</f>
        <v>0</v>
      </c>
      <c r="Q93" s="44">
        <f>'Monthly Data'!H93</f>
        <v>5344</v>
      </c>
      <c r="R93" s="29">
        <f>'Monthly Data'!BH93</f>
        <v>31</v>
      </c>
      <c r="S93" s="28">
        <f t="shared" ca="1" si="10"/>
        <v>16163508.030993447</v>
      </c>
    </row>
    <row r="94" spans="1:19" x14ac:dyDescent="0.2">
      <c r="A94" s="45">
        <f>'Monthly Data'!A94</f>
        <v>42979</v>
      </c>
      <c r="B94" s="29">
        <f t="shared" si="8"/>
        <v>2017</v>
      </c>
      <c r="C94" s="29">
        <f t="shared" si="9"/>
        <v>9</v>
      </c>
      <c r="D94" s="44">
        <f>'Monthly Data'!J94</f>
        <v>14399680.716300488</v>
      </c>
      <c r="E94" s="46">
        <f t="shared" ref="E94:F109" ca="1" si="12">E82</f>
        <v>0.49000000000000005</v>
      </c>
      <c r="F94" s="46">
        <f t="shared" ca="1" si="12"/>
        <v>85.65</v>
      </c>
      <c r="G94" s="29">
        <f>'Monthly Data'!BG94</f>
        <v>93</v>
      </c>
      <c r="H94" s="29">
        <f>'Monthly Data'!X94</f>
        <v>3297.7</v>
      </c>
      <c r="I94" s="44">
        <f>'Monthly Data'!BF94</f>
        <v>1</v>
      </c>
      <c r="K94" s="29">
        <f>'GS&lt;50 PW'!$B$6</f>
        <v>50.759309292559799</v>
      </c>
      <c r="L94" s="29">
        <f ca="1">E94*'GS&lt;50 PW'!$B$7</f>
        <v>1.5047695542688151E-2</v>
      </c>
      <c r="M94" s="29">
        <f ca="1">F94*'GS&lt;50 PW'!$B$8</f>
        <v>6.7487842923400985</v>
      </c>
      <c r="N94" s="29">
        <f>G94*'GS&lt;50 PW'!$B$9</f>
        <v>-8.9614618570302067</v>
      </c>
      <c r="O94" s="29">
        <f>H94*'GS&lt;50 PW'!$B$10</f>
        <v>41.919475870715189</v>
      </c>
      <c r="P94" s="44">
        <f>I94*'GS&lt;50 PW'!$B$11</f>
        <v>-1.9723066266223299</v>
      </c>
      <c r="Q94" s="44">
        <f>'Monthly Data'!H94</f>
        <v>5350</v>
      </c>
      <c r="R94" s="29">
        <f>'Monthly Data'!BH94</f>
        <v>30</v>
      </c>
      <c r="S94" s="28">
        <f t="shared" ca="1" si="10"/>
        <v>14205670.211134592</v>
      </c>
    </row>
    <row r="95" spans="1:19" x14ac:dyDescent="0.2">
      <c r="A95" s="45">
        <f>'Monthly Data'!A95</f>
        <v>43009</v>
      </c>
      <c r="B95" s="29">
        <f t="shared" si="8"/>
        <v>2017</v>
      </c>
      <c r="C95" s="29">
        <f t="shared" si="9"/>
        <v>10</v>
      </c>
      <c r="D95" s="44">
        <f>'Monthly Data'!J95</f>
        <v>14109770.716300488</v>
      </c>
      <c r="E95" s="46">
        <f t="shared" ca="1" si="12"/>
        <v>53.33000000000002</v>
      </c>
      <c r="F95" s="46">
        <f t="shared" ca="1" si="12"/>
        <v>12.219999999999999</v>
      </c>
      <c r="G95" s="29">
        <f>'Monthly Data'!BG95</f>
        <v>94</v>
      </c>
      <c r="H95" s="29">
        <f>'Monthly Data'!X95</f>
        <v>3320.8</v>
      </c>
      <c r="I95" s="44">
        <f>'Monthly Data'!BF95</f>
        <v>1</v>
      </c>
      <c r="K95" s="29">
        <f>'GS&lt;50 PW'!$B$6</f>
        <v>50.759309292559799</v>
      </c>
      <c r="L95" s="29">
        <f ca="1">E95*'GS&lt;50 PW'!$B$7</f>
        <v>1.6377420475337947</v>
      </c>
      <c r="M95" s="29">
        <f ca="1">F95*'GS&lt;50 PW'!$B$8</f>
        <v>0.96287383598827769</v>
      </c>
      <c r="N95" s="29">
        <f>G95*'GS&lt;50 PW'!$B$9</f>
        <v>-9.0578216619445087</v>
      </c>
      <c r="O95" s="29">
        <f>H95*'GS&lt;50 PW'!$B$10</f>
        <v>42.213116860682</v>
      </c>
      <c r="P95" s="44">
        <f>I95*'GS&lt;50 PW'!$B$11</f>
        <v>-1.9723066266223299</v>
      </c>
      <c r="Q95" s="44">
        <f>'Monthly Data'!H95</f>
        <v>5350</v>
      </c>
      <c r="R95" s="29">
        <f>'Monthly Data'!BH95</f>
        <v>31</v>
      </c>
      <c r="S95" s="28">
        <f t="shared" ca="1" si="10"/>
        <v>14021442.245138478</v>
      </c>
    </row>
    <row r="96" spans="1:19" x14ac:dyDescent="0.2">
      <c r="A96" s="45">
        <f>'Monthly Data'!A96</f>
        <v>43040</v>
      </c>
      <c r="B96" s="29">
        <f t="shared" si="8"/>
        <v>2017</v>
      </c>
      <c r="C96" s="29">
        <f t="shared" si="9"/>
        <v>11</v>
      </c>
      <c r="D96" s="44">
        <f>'Monthly Data'!J96</f>
        <v>14159054.716300488</v>
      </c>
      <c r="E96" s="46">
        <f t="shared" ca="1" si="12"/>
        <v>207.66000000000003</v>
      </c>
      <c r="F96" s="46">
        <f t="shared" ca="1" si="12"/>
        <v>1.0000000000000142E-2</v>
      </c>
      <c r="G96" s="29">
        <f>'Monthly Data'!BG96</f>
        <v>95</v>
      </c>
      <c r="H96" s="29">
        <f>'Monthly Data'!X96</f>
        <v>3335.4</v>
      </c>
      <c r="I96" s="44">
        <f>'Monthly Data'!BF96</f>
        <v>1</v>
      </c>
      <c r="K96" s="29">
        <f>'GS&lt;50 PW'!$B$6</f>
        <v>50.759309292559799</v>
      </c>
      <c r="L96" s="29">
        <f ca="1">E96*'GS&lt;50 PW'!$B$7</f>
        <v>6.3771519518257582</v>
      </c>
      <c r="M96" s="29">
        <f ca="1">F96*'GS&lt;50 PW'!$B$8</f>
        <v>7.8794912928665433E-4</v>
      </c>
      <c r="N96" s="29">
        <f>G96*'GS&lt;50 PW'!$B$9</f>
        <v>-9.1541814668588124</v>
      </c>
      <c r="O96" s="29">
        <f>H96*'GS&lt;50 PW'!$B$10</f>
        <v>42.398708135725947</v>
      </c>
      <c r="P96" s="44">
        <f>I96*'GS&lt;50 PW'!$B$11</f>
        <v>-1.9723066266223299</v>
      </c>
      <c r="Q96" s="44">
        <f>'Monthly Data'!H96</f>
        <v>5353</v>
      </c>
      <c r="R96" s="29">
        <f>'Monthly Data'!BH96</f>
        <v>30</v>
      </c>
      <c r="S96" s="28">
        <f t="shared" ca="1" si="10"/>
        <v>14197676.664570641</v>
      </c>
    </row>
    <row r="97" spans="1:23" x14ac:dyDescent="0.2">
      <c r="A97" s="45">
        <f>'Monthly Data'!A97</f>
        <v>43070</v>
      </c>
      <c r="B97" s="29">
        <f t="shared" si="8"/>
        <v>2017</v>
      </c>
      <c r="C97" s="29">
        <f t="shared" si="9"/>
        <v>12</v>
      </c>
      <c r="D97" s="44">
        <f>'Monthly Data'!J97</f>
        <v>15720500.716300488</v>
      </c>
      <c r="E97" s="46">
        <f t="shared" ca="1" si="12"/>
        <v>351.65000000000003</v>
      </c>
      <c r="F97" s="46">
        <f t="shared" ca="1" si="12"/>
        <v>0</v>
      </c>
      <c r="G97" s="29">
        <f>'Monthly Data'!BG97</f>
        <v>96</v>
      </c>
      <c r="H97" s="29">
        <f>'Monthly Data'!X97</f>
        <v>3352.3</v>
      </c>
      <c r="I97" s="44">
        <f>'Monthly Data'!BF97</f>
        <v>0</v>
      </c>
      <c r="K97" s="29">
        <f>'GS&lt;50 PW'!$B$6</f>
        <v>50.759309292559799</v>
      </c>
      <c r="L97" s="29">
        <f ca="1">E97*'GS&lt;50 PW'!$B$7</f>
        <v>10.799024770584262</v>
      </c>
      <c r="M97" s="29">
        <f ca="1">F97*'GS&lt;50 PW'!$B$8</f>
        <v>0</v>
      </c>
      <c r="N97" s="29">
        <f>G97*'GS&lt;50 PW'!$B$9</f>
        <v>-9.2505412717731161</v>
      </c>
      <c r="O97" s="29">
        <f>H97*'GS&lt;50 PW'!$B$10</f>
        <v>42.613536392454911</v>
      </c>
      <c r="P97" s="44">
        <f>I97*'GS&lt;50 PW'!$B$11</f>
        <v>0</v>
      </c>
      <c r="Q97" s="44">
        <f>'Monthly Data'!H97</f>
        <v>5356</v>
      </c>
      <c r="R97" s="29">
        <f>'Monthly Data'!BH97</f>
        <v>31</v>
      </c>
      <c r="S97" s="28">
        <f t="shared" ca="1" si="10"/>
        <v>15760357.812365711</v>
      </c>
    </row>
    <row r="98" spans="1:23" x14ac:dyDescent="0.2">
      <c r="A98" s="45">
        <f>'Monthly Data'!A98</f>
        <v>43101</v>
      </c>
      <c r="B98" s="29">
        <f t="shared" si="8"/>
        <v>2018</v>
      </c>
      <c r="C98" s="29">
        <f t="shared" si="9"/>
        <v>1</v>
      </c>
      <c r="D98" s="44">
        <f>'Monthly Data'!J98</f>
        <v>16654358.367339365</v>
      </c>
      <c r="E98" s="46">
        <f t="shared" ca="1" si="12"/>
        <v>477.14</v>
      </c>
      <c r="F98" s="46">
        <f t="shared" ca="1" si="12"/>
        <v>0</v>
      </c>
      <c r="G98" s="29">
        <f>'Monthly Data'!BG98</f>
        <v>97</v>
      </c>
      <c r="H98" s="29">
        <f>'Monthly Data'!X98</f>
        <v>3357.1</v>
      </c>
      <c r="I98" s="44">
        <f>'Monthly Data'!BF98</f>
        <v>0</v>
      </c>
      <c r="K98" s="29">
        <f>'GS&lt;50 PW'!$B$6</f>
        <v>50.759309292559799</v>
      </c>
      <c r="L98" s="29">
        <f ca="1">E98*'GS&lt;50 PW'!$B$7</f>
        <v>14.652770308649437</v>
      </c>
      <c r="M98" s="29">
        <f ca="1">F98*'GS&lt;50 PW'!$B$8</f>
        <v>0</v>
      </c>
      <c r="N98" s="29">
        <f>G98*'GS&lt;50 PW'!$B$9</f>
        <v>-9.3469010766874199</v>
      </c>
      <c r="O98" s="29">
        <f>H98*'GS&lt;50 PW'!$B$10</f>
        <v>42.674552702058399</v>
      </c>
      <c r="P98" s="44">
        <f>I98*'GS&lt;50 PW'!$B$11</f>
        <v>0</v>
      </c>
      <c r="Q98" s="44">
        <f>'Monthly Data'!H98</f>
        <v>5365</v>
      </c>
      <c r="R98" s="29">
        <f>'Monthly Data'!BH98</f>
        <v>31</v>
      </c>
      <c r="S98" s="28">
        <f t="shared" ca="1" si="10"/>
        <v>16421898.398948688</v>
      </c>
    </row>
    <row r="99" spans="1:23" x14ac:dyDescent="0.2">
      <c r="A99" s="45">
        <f>'Monthly Data'!A99</f>
        <v>43132</v>
      </c>
      <c r="B99" s="29">
        <f t="shared" si="8"/>
        <v>2018</v>
      </c>
      <c r="C99" s="29">
        <f t="shared" si="9"/>
        <v>2</v>
      </c>
      <c r="D99" s="44">
        <f>'Monthly Data'!J99</f>
        <v>14649762.367339365</v>
      </c>
      <c r="E99" s="46">
        <f t="shared" ca="1" si="12"/>
        <v>417.05</v>
      </c>
      <c r="F99" s="46">
        <f t="shared" ca="1" si="12"/>
        <v>0</v>
      </c>
      <c r="G99" s="29">
        <f>'Monthly Data'!BG99</f>
        <v>98</v>
      </c>
      <c r="H99" s="29">
        <f>'Monthly Data'!X99</f>
        <v>3356.1</v>
      </c>
      <c r="I99" s="44">
        <f>'Monthly Data'!BF99</f>
        <v>0</v>
      </c>
      <c r="K99" s="29">
        <f>'GS&lt;50 PW'!$B$6</f>
        <v>50.759309292559799</v>
      </c>
      <c r="L99" s="29">
        <f ca="1">E99*'GS&lt;50 PW'!$B$7</f>
        <v>12.807431481792028</v>
      </c>
      <c r="M99" s="29">
        <f ca="1">F99*'GS&lt;50 PW'!$B$8</f>
        <v>0</v>
      </c>
      <c r="N99" s="29">
        <f>G99*'GS&lt;50 PW'!$B$9</f>
        <v>-9.4432608816017236</v>
      </c>
      <c r="O99" s="29">
        <f>H99*'GS&lt;50 PW'!$B$10</f>
        <v>42.661840970890999</v>
      </c>
      <c r="P99" s="44">
        <f>I99*'GS&lt;50 PW'!$B$11</f>
        <v>0</v>
      </c>
      <c r="Q99" s="44">
        <f>'Monthly Data'!H99</f>
        <v>5367</v>
      </c>
      <c r="R99" s="29">
        <f>'Monthly Data'!BH99</f>
        <v>28</v>
      </c>
      <c r="S99" s="28">
        <f t="shared" ca="1" si="10"/>
        <v>14544510.87810453</v>
      </c>
    </row>
    <row r="100" spans="1:23" x14ac:dyDescent="0.2">
      <c r="A100" s="45">
        <f>'Monthly Data'!A100</f>
        <v>43160</v>
      </c>
      <c r="B100" s="29">
        <f t="shared" si="8"/>
        <v>2018</v>
      </c>
      <c r="C100" s="29">
        <f t="shared" si="9"/>
        <v>3</v>
      </c>
      <c r="D100" s="44">
        <f>'Monthly Data'!J100</f>
        <v>15509147.367339365</v>
      </c>
      <c r="E100" s="46">
        <f t="shared" ca="1" si="12"/>
        <v>332.70999999999992</v>
      </c>
      <c r="F100" s="46">
        <f t="shared" ca="1" si="12"/>
        <v>0</v>
      </c>
      <c r="G100" s="29">
        <f>'Monthly Data'!BG100</f>
        <v>99</v>
      </c>
      <c r="H100" s="29">
        <f>'Monthly Data'!X100</f>
        <v>3345.3</v>
      </c>
      <c r="I100" s="44">
        <f>'Monthly Data'!BF100</f>
        <v>1</v>
      </c>
      <c r="K100" s="29">
        <f>'GS&lt;50 PW'!$B$6</f>
        <v>50.759309292559799</v>
      </c>
      <c r="L100" s="29">
        <f ca="1">E100*'GS&lt;50 PW'!$B$7</f>
        <v>10.217385273485252</v>
      </c>
      <c r="M100" s="29">
        <f ca="1">F100*'GS&lt;50 PW'!$B$8</f>
        <v>0</v>
      </c>
      <c r="N100" s="29">
        <f>G100*'GS&lt;50 PW'!$B$9</f>
        <v>-9.5396206865160256</v>
      </c>
      <c r="O100" s="29">
        <f>H100*'GS&lt;50 PW'!$B$10</f>
        <v>42.524554274283147</v>
      </c>
      <c r="P100" s="44">
        <f>I100*'GS&lt;50 PW'!$B$11</f>
        <v>-1.9723066266223299</v>
      </c>
      <c r="Q100" s="44">
        <f>'Monthly Data'!H100</f>
        <v>5382</v>
      </c>
      <c r="R100" s="29">
        <f>'Monthly Data'!BH100</f>
        <v>31</v>
      </c>
      <c r="S100" s="28">
        <f t="shared" ca="1" si="10"/>
        <v>15347682.382239407</v>
      </c>
    </row>
    <row r="101" spans="1:23" x14ac:dyDescent="0.2">
      <c r="A101" s="45">
        <f>'Monthly Data'!A101</f>
        <v>43191</v>
      </c>
      <c r="B101" s="29">
        <f t="shared" si="8"/>
        <v>2018</v>
      </c>
      <c r="C101" s="29">
        <f t="shared" si="9"/>
        <v>4</v>
      </c>
      <c r="D101" s="44">
        <f>'Monthly Data'!J101</f>
        <v>14451924.367339365</v>
      </c>
      <c r="E101" s="46">
        <f t="shared" ca="1" si="12"/>
        <v>164.53999999999996</v>
      </c>
      <c r="F101" s="46">
        <f t="shared" ca="1" si="12"/>
        <v>0.16999999999999993</v>
      </c>
      <c r="G101" s="29">
        <f>'Monthly Data'!BG101</f>
        <v>100</v>
      </c>
      <c r="H101" s="29">
        <f>'Monthly Data'!X101</f>
        <v>3338.5</v>
      </c>
      <c r="I101" s="44">
        <f>'Monthly Data'!BF101</f>
        <v>1</v>
      </c>
      <c r="K101" s="29">
        <f>'GS&lt;50 PW'!$B$6</f>
        <v>50.759309292559799</v>
      </c>
      <c r="L101" s="29">
        <f ca="1">E101*'GS&lt;50 PW'!$B$7</f>
        <v>5.0529547440691998</v>
      </c>
      <c r="M101" s="29">
        <f ca="1">F101*'GS&lt;50 PW'!$B$8</f>
        <v>1.3395135197872927E-2</v>
      </c>
      <c r="N101" s="29">
        <f>G101*'GS&lt;50 PW'!$B$9</f>
        <v>-9.6359804914303293</v>
      </c>
      <c r="O101" s="29">
        <f>H101*'GS&lt;50 PW'!$B$10</f>
        <v>42.438114502344867</v>
      </c>
      <c r="P101" s="44">
        <f>I101*'GS&lt;50 PW'!$B$11</f>
        <v>-1.9723066266223299</v>
      </c>
      <c r="Q101" s="44">
        <f>'Monthly Data'!H101</f>
        <v>5377</v>
      </c>
      <c r="R101" s="29">
        <f>'Monthly Data'!BH101</f>
        <v>30</v>
      </c>
      <c r="S101" s="28">
        <f t="shared" ca="1" si="10"/>
        <v>13978396.536367571</v>
      </c>
    </row>
    <row r="102" spans="1:23" x14ac:dyDescent="0.2">
      <c r="A102" s="45">
        <f>'Monthly Data'!A102</f>
        <v>43221</v>
      </c>
      <c r="B102" s="29">
        <f t="shared" si="8"/>
        <v>2018</v>
      </c>
      <c r="C102" s="29">
        <f t="shared" si="9"/>
        <v>5</v>
      </c>
      <c r="D102" s="44">
        <f>'Monthly Data'!J102</f>
        <v>14807257.367339365</v>
      </c>
      <c r="E102" s="46">
        <f t="shared" ca="1" si="12"/>
        <v>35.92</v>
      </c>
      <c r="F102" s="46">
        <f t="shared" ca="1" si="12"/>
        <v>30.080000000000002</v>
      </c>
      <c r="G102" s="29">
        <f>'Monthly Data'!BG102</f>
        <v>101</v>
      </c>
      <c r="H102" s="29">
        <f>'Monthly Data'!X102</f>
        <v>3335</v>
      </c>
      <c r="I102" s="44">
        <f>'Monthly Data'!BF102</f>
        <v>1</v>
      </c>
      <c r="K102" s="29">
        <f>'GS&lt;50 PW'!$B$6</f>
        <v>50.759309292559799</v>
      </c>
      <c r="L102" s="29">
        <f ca="1">E102*'GS&lt;50 PW'!$B$7</f>
        <v>1.103088212027262</v>
      </c>
      <c r="M102" s="29">
        <f ca="1">F102*'GS&lt;50 PW'!$B$8</f>
        <v>2.3701509808942225</v>
      </c>
      <c r="N102" s="29">
        <f>G102*'GS&lt;50 PW'!$B$9</f>
        <v>-9.732340296344633</v>
      </c>
      <c r="O102" s="29">
        <f>H102*'GS&lt;50 PW'!$B$10</f>
        <v>42.393623443258988</v>
      </c>
      <c r="P102" s="44">
        <f>I102*'GS&lt;50 PW'!$B$11</f>
        <v>-1.9723066266223299</v>
      </c>
      <c r="Q102" s="44">
        <f>'Monthly Data'!H102</f>
        <v>5371</v>
      </c>
      <c r="R102" s="29">
        <f>'Monthly Data'!BH102</f>
        <v>31</v>
      </c>
      <c r="S102" s="28">
        <f t="shared" ca="1" si="10"/>
        <v>14139518.83498626</v>
      </c>
    </row>
    <row r="103" spans="1:23" x14ac:dyDescent="0.2">
      <c r="A103" s="45">
        <f>'Monthly Data'!A103</f>
        <v>43252</v>
      </c>
      <c r="B103" s="29">
        <f t="shared" si="8"/>
        <v>2018</v>
      </c>
      <c r="C103" s="29">
        <f t="shared" si="9"/>
        <v>6</v>
      </c>
      <c r="D103" s="44">
        <f>'Monthly Data'!J103</f>
        <v>15605806.367339365</v>
      </c>
      <c r="E103" s="46">
        <f t="shared" ca="1" si="12"/>
        <v>0.37999999999999989</v>
      </c>
      <c r="F103" s="46">
        <f t="shared" ca="1" si="12"/>
        <v>94.58</v>
      </c>
      <c r="G103" s="29">
        <f>'Monthly Data'!BG103</f>
        <v>102</v>
      </c>
      <c r="H103" s="29">
        <f>'Monthly Data'!X103</f>
        <v>3341.9</v>
      </c>
      <c r="I103" s="44">
        <f>'Monthly Data'!BF103</f>
        <v>0</v>
      </c>
      <c r="K103" s="29">
        <f>'GS&lt;50 PW'!$B$6</f>
        <v>50.759309292559799</v>
      </c>
      <c r="L103" s="29">
        <f ca="1">E103*'GS&lt;50 PW'!$B$7</f>
        <v>1.1669641441268358E-2</v>
      </c>
      <c r="M103" s="29">
        <f ca="1">F103*'GS&lt;50 PW'!$B$8</f>
        <v>7.4524228647930704</v>
      </c>
      <c r="N103" s="29">
        <f>G103*'GS&lt;50 PW'!$B$9</f>
        <v>-9.828700101258935</v>
      </c>
      <c r="O103" s="29">
        <f>H103*'GS&lt;50 PW'!$B$10</f>
        <v>42.481334388314011</v>
      </c>
      <c r="P103" s="44">
        <f>I103*'GS&lt;50 PW'!$B$11</f>
        <v>0</v>
      </c>
      <c r="Q103" s="44">
        <f>'Monthly Data'!H103</f>
        <v>5437</v>
      </c>
      <c r="R103" s="29">
        <f>'Monthly Data'!BH103</f>
        <v>30</v>
      </c>
      <c r="S103" s="28">
        <f t="shared" ca="1" si="10"/>
        <v>14822790.245962864</v>
      </c>
    </row>
    <row r="104" spans="1:23" x14ac:dyDescent="0.2">
      <c r="A104" s="45">
        <f>'Monthly Data'!A104</f>
        <v>43282</v>
      </c>
      <c r="B104" s="29">
        <f t="shared" si="8"/>
        <v>2018</v>
      </c>
      <c r="C104" s="29">
        <f t="shared" si="9"/>
        <v>7</v>
      </c>
      <c r="D104" s="44">
        <f>'Monthly Data'!J104</f>
        <v>17337110.367339365</v>
      </c>
      <c r="E104" s="46">
        <f t="shared" ca="1" si="12"/>
        <v>0</v>
      </c>
      <c r="F104" s="46">
        <f t="shared" ca="1" si="12"/>
        <v>206.28000000000003</v>
      </c>
      <c r="G104" s="29">
        <f>'Monthly Data'!BG104</f>
        <v>103</v>
      </c>
      <c r="H104" s="29">
        <f>'Monthly Data'!X104</f>
        <v>3357.7</v>
      </c>
      <c r="I104" s="44">
        <f>'Monthly Data'!BF104</f>
        <v>0</v>
      </c>
      <c r="K104" s="29">
        <f>'GS&lt;50 PW'!$B$6</f>
        <v>50.759309292559799</v>
      </c>
      <c r="L104" s="29">
        <f ca="1">E104*'GS&lt;50 PW'!$B$7</f>
        <v>0</v>
      </c>
      <c r="M104" s="29">
        <f ca="1">F104*'GS&lt;50 PW'!$B$8</f>
        <v>16.253814638924876</v>
      </c>
      <c r="N104" s="29">
        <f>G104*'GS&lt;50 PW'!$B$9</f>
        <v>-9.9250599061732387</v>
      </c>
      <c r="O104" s="29">
        <f>H104*'GS&lt;50 PW'!$B$10</f>
        <v>42.682179740758833</v>
      </c>
      <c r="P104" s="44">
        <f>I104*'GS&lt;50 PW'!$B$11</f>
        <v>0</v>
      </c>
      <c r="Q104" s="44">
        <f>'Monthly Data'!H104</f>
        <v>5443</v>
      </c>
      <c r="R104" s="29">
        <f>'Monthly Data'!BH104</f>
        <v>31</v>
      </c>
      <c r="S104" s="28">
        <f t="shared" ca="1" si="10"/>
        <v>16834532.541380335</v>
      </c>
    </row>
    <row r="105" spans="1:23" x14ac:dyDescent="0.2">
      <c r="A105" s="45">
        <f>'Monthly Data'!A105</f>
        <v>43313</v>
      </c>
      <c r="B105" s="29">
        <f t="shared" si="8"/>
        <v>2018</v>
      </c>
      <c r="C105" s="29">
        <f t="shared" si="9"/>
        <v>8</v>
      </c>
      <c r="D105" s="44">
        <f>'Monthly Data'!J105</f>
        <v>17142851.367339365</v>
      </c>
      <c r="E105" s="46">
        <f t="shared" ca="1" si="12"/>
        <v>0</v>
      </c>
      <c r="F105" s="46">
        <f t="shared" ca="1" si="12"/>
        <v>177.64000000000001</v>
      </c>
      <c r="G105" s="29">
        <f>'Monthly Data'!BG105</f>
        <v>104</v>
      </c>
      <c r="H105" s="29">
        <f>'Monthly Data'!X105</f>
        <v>3354.6</v>
      </c>
      <c r="I105" s="44">
        <f>'Monthly Data'!BF105</f>
        <v>0</v>
      </c>
      <c r="K105" s="29">
        <f>'GS&lt;50 PW'!$B$6</f>
        <v>50.759309292559799</v>
      </c>
      <c r="L105" s="29">
        <f ca="1">E105*'GS&lt;50 PW'!$B$7</f>
        <v>0</v>
      </c>
      <c r="M105" s="29">
        <f ca="1">F105*'GS&lt;50 PW'!$B$8</f>
        <v>13.997128332647929</v>
      </c>
      <c r="N105" s="29">
        <f>G105*'GS&lt;50 PW'!$B$9</f>
        <v>-10.021419711087542</v>
      </c>
      <c r="O105" s="29">
        <f>H105*'GS&lt;50 PW'!$B$10</f>
        <v>42.642773374139914</v>
      </c>
      <c r="P105" s="44">
        <f>I105*'GS&lt;50 PW'!$B$11</f>
        <v>0</v>
      </c>
      <c r="Q105" s="44">
        <f>'Monthly Data'!H105</f>
        <v>5466</v>
      </c>
      <c r="R105" s="29">
        <f>'Monthly Data'!BH105</f>
        <v>31</v>
      </c>
      <c r="S105" s="28">
        <f t="shared" ca="1" si="10"/>
        <v>16500277.222630519</v>
      </c>
    </row>
    <row r="106" spans="1:23" x14ac:dyDescent="0.2">
      <c r="A106" s="45">
        <f>'Monthly Data'!A106</f>
        <v>43344</v>
      </c>
      <c r="B106" s="29">
        <f t="shared" si="8"/>
        <v>2018</v>
      </c>
      <c r="C106" s="29">
        <f t="shared" si="9"/>
        <v>9</v>
      </c>
      <c r="D106" s="44">
        <f>'Monthly Data'!J106</f>
        <v>15306561.367339365</v>
      </c>
      <c r="E106" s="46">
        <f t="shared" ca="1" si="12"/>
        <v>0.49000000000000005</v>
      </c>
      <c r="F106" s="46">
        <f t="shared" ca="1" si="12"/>
        <v>85.65</v>
      </c>
      <c r="G106" s="29">
        <f>'Monthly Data'!BG106</f>
        <v>105</v>
      </c>
      <c r="H106" s="29">
        <f>'Monthly Data'!X106</f>
        <v>3347.2</v>
      </c>
      <c r="I106" s="44">
        <f>'Monthly Data'!BF106</f>
        <v>1</v>
      </c>
      <c r="K106" s="29">
        <f>'GS&lt;50 PW'!$B$6</f>
        <v>50.759309292559799</v>
      </c>
      <c r="L106" s="29">
        <f ca="1">E106*'GS&lt;50 PW'!$B$7</f>
        <v>1.5047695542688151E-2</v>
      </c>
      <c r="M106" s="29">
        <f ca="1">F106*'GS&lt;50 PW'!$B$8</f>
        <v>6.7487842923400985</v>
      </c>
      <c r="N106" s="29">
        <f>G106*'GS&lt;50 PW'!$B$9</f>
        <v>-10.117779516001846</v>
      </c>
      <c r="O106" s="29">
        <f>H106*'GS&lt;50 PW'!$B$10</f>
        <v>42.548706563501192</v>
      </c>
      <c r="P106" s="44">
        <f>I106*'GS&lt;50 PW'!$B$11</f>
        <v>-1.9723066266223299</v>
      </c>
      <c r="Q106" s="44">
        <f>'Monthly Data'!H106</f>
        <v>5466</v>
      </c>
      <c r="R106" s="29">
        <f>'Monthly Data'!BH106</f>
        <v>30</v>
      </c>
      <c r="S106" s="28">
        <f t="shared" ca="1" si="10"/>
        <v>14427249.283782389</v>
      </c>
    </row>
    <row r="107" spans="1:23" x14ac:dyDescent="0.2">
      <c r="A107" s="45">
        <v>43374</v>
      </c>
      <c r="B107" s="29">
        <f t="shared" si="8"/>
        <v>2018</v>
      </c>
      <c r="C107" s="29">
        <f t="shared" si="9"/>
        <v>10</v>
      </c>
      <c r="D107" s="44">
        <f>'Monthly Data'!J107</f>
        <v>14377808.367339365</v>
      </c>
      <c r="E107" s="46">
        <f t="shared" ca="1" si="12"/>
        <v>53.33000000000002</v>
      </c>
      <c r="F107" s="46">
        <f t="shared" ca="1" si="12"/>
        <v>12.219999999999999</v>
      </c>
      <c r="G107" s="29">
        <f>'Monthly Data'!BG107</f>
        <v>106</v>
      </c>
      <c r="H107" s="29">
        <f>'Monthly Data'!X107</f>
        <v>3346.6</v>
      </c>
      <c r="I107" s="44">
        <f>'Monthly Data'!BF107</f>
        <v>1</v>
      </c>
      <c r="K107" s="29">
        <f>'GS&lt;50 PW'!$B$6</f>
        <v>50.759309292559799</v>
      </c>
      <c r="L107" s="29">
        <f ca="1">E107*'GS&lt;50 PW'!$B$7</f>
        <v>1.6377420475337947</v>
      </c>
      <c r="M107" s="29">
        <f ca="1">F107*'GS&lt;50 PW'!$B$8</f>
        <v>0.96287383598827769</v>
      </c>
      <c r="N107" s="29">
        <f>G107*'GS&lt;50 PW'!$B$9</f>
        <v>-10.21413932091615</v>
      </c>
      <c r="O107" s="29">
        <f>H107*'GS&lt;50 PW'!$B$10</f>
        <v>42.541079524800757</v>
      </c>
      <c r="P107" s="44">
        <f>I107*'GS&lt;50 PW'!$B$11</f>
        <v>-1.9723066266223299</v>
      </c>
      <c r="Q107" s="44">
        <f>'Monthly Data'!H107</f>
        <v>5469</v>
      </c>
      <c r="R107" s="29">
        <f>'Monthly Data'!BH107</f>
        <v>31</v>
      </c>
      <c r="S107" s="28">
        <f t="shared" ca="1" si="10"/>
        <v>14192882.576483211</v>
      </c>
    </row>
    <row r="108" spans="1:23" x14ac:dyDescent="0.2">
      <c r="A108" s="45">
        <v>43405</v>
      </c>
      <c r="B108" s="29">
        <f t="shared" si="8"/>
        <v>2018</v>
      </c>
      <c r="C108" s="29">
        <f t="shared" si="9"/>
        <v>11</v>
      </c>
      <c r="D108" s="44">
        <f>'Monthly Data'!J108</f>
        <v>14845972.367339365</v>
      </c>
      <c r="E108" s="46">
        <f t="shared" ca="1" si="12"/>
        <v>207.66000000000003</v>
      </c>
      <c r="F108" s="46">
        <f t="shared" ca="1" si="12"/>
        <v>1.0000000000000142E-2</v>
      </c>
      <c r="G108" s="29">
        <f>'Monthly Data'!BG108</f>
        <v>107</v>
      </c>
      <c r="H108" s="29">
        <f>'Monthly Data'!X108</f>
        <v>3365.9</v>
      </c>
      <c r="I108" s="44">
        <f>'Monthly Data'!BF108</f>
        <v>1</v>
      </c>
      <c r="K108" s="29">
        <f>'GS&lt;50 PW'!$B$6</f>
        <v>50.759309292559799</v>
      </c>
      <c r="L108" s="29">
        <f ca="1">E108*'GS&lt;50 PW'!$B$7</f>
        <v>6.3771519518257582</v>
      </c>
      <c r="M108" s="29">
        <f ca="1">F108*'GS&lt;50 PW'!$B$8</f>
        <v>7.8794912928665433E-4</v>
      </c>
      <c r="N108" s="29">
        <f>G108*'GS&lt;50 PW'!$B$9</f>
        <v>-10.310499125830452</v>
      </c>
      <c r="O108" s="29">
        <f>H108*'GS&lt;50 PW'!$B$10</f>
        <v>42.786415936331466</v>
      </c>
      <c r="P108" s="44">
        <f>I108*'GS&lt;50 PW'!$B$11</f>
        <v>-1.9723066266223299</v>
      </c>
      <c r="Q108" s="44">
        <f>'Monthly Data'!H108</f>
        <v>5496</v>
      </c>
      <c r="R108" s="29">
        <f>'Monthly Data'!BH108</f>
        <v>30</v>
      </c>
      <c r="S108" s="28">
        <f t="shared" ca="1" si="10"/>
        <v>14450224.894144645</v>
      </c>
    </row>
    <row r="109" spans="1:23" x14ac:dyDescent="0.2">
      <c r="A109" s="45">
        <v>43435</v>
      </c>
      <c r="B109" s="29">
        <f t="shared" si="8"/>
        <v>2018</v>
      </c>
      <c r="C109" s="29">
        <f t="shared" si="9"/>
        <v>12</v>
      </c>
      <c r="D109" s="44">
        <f>'Monthly Data'!J109</f>
        <v>15695898.367339365</v>
      </c>
      <c r="E109" s="46">
        <f t="shared" ca="1" si="12"/>
        <v>351.65000000000003</v>
      </c>
      <c r="F109" s="46">
        <f t="shared" ca="1" si="12"/>
        <v>0</v>
      </c>
      <c r="G109" s="29">
        <f>'Monthly Data'!BG109</f>
        <v>108</v>
      </c>
      <c r="H109" s="29">
        <f>'Monthly Data'!X109</f>
        <v>3382.8</v>
      </c>
      <c r="I109" s="44">
        <f>'Monthly Data'!BF109</f>
        <v>0</v>
      </c>
      <c r="K109" s="29">
        <f>'GS&lt;50 PW'!$B$6</f>
        <v>50.759309292559799</v>
      </c>
      <c r="L109" s="29">
        <f ca="1">E109*'GS&lt;50 PW'!$B$7</f>
        <v>10.799024770584262</v>
      </c>
      <c r="M109" s="29">
        <f ca="1">F109*'GS&lt;50 PW'!$B$8</f>
        <v>0</v>
      </c>
      <c r="N109" s="29">
        <f>G109*'GS&lt;50 PW'!$B$9</f>
        <v>-10.406858930744756</v>
      </c>
      <c r="O109" s="29">
        <f>H109*'GS&lt;50 PW'!$B$10</f>
        <v>43.001244193060423</v>
      </c>
      <c r="P109" s="44">
        <f>I109*'GS&lt;50 PW'!$B$11</f>
        <v>0</v>
      </c>
      <c r="Q109" s="44">
        <f>'Monthly Data'!H109</f>
        <v>5494</v>
      </c>
      <c r="R109" s="29">
        <f>'Monthly Data'!BH109</f>
        <v>31</v>
      </c>
      <c r="S109" s="28">
        <f t="shared" ca="1" si="10"/>
        <v>16035526.239196349</v>
      </c>
    </row>
    <row r="110" spans="1:23" x14ac:dyDescent="0.2">
      <c r="A110" s="45">
        <v>43466</v>
      </c>
      <c r="B110" s="29">
        <f t="shared" si="8"/>
        <v>2019</v>
      </c>
      <c r="C110" s="29">
        <f t="shared" si="9"/>
        <v>1</v>
      </c>
      <c r="D110" s="44">
        <f>'Monthly Data'!J110</f>
        <v>16830375.066078711</v>
      </c>
      <c r="E110" s="46">
        <f t="shared" ref="E110:F125" ca="1" si="13">E98</f>
        <v>477.14</v>
      </c>
      <c r="F110" s="46">
        <f t="shared" ca="1" si="13"/>
        <v>0</v>
      </c>
      <c r="G110" s="29">
        <f>'Monthly Data'!BG110</f>
        <v>109</v>
      </c>
      <c r="H110" s="29">
        <f>'Monthly Data'!X110</f>
        <v>3394.9</v>
      </c>
      <c r="I110" s="44">
        <f>'Monthly Data'!BF110</f>
        <v>0</v>
      </c>
      <c r="K110" s="29">
        <f>'GS&lt;50 PW'!$B$6</f>
        <v>50.759309292559799</v>
      </c>
      <c r="L110" s="29">
        <f ca="1">E110*'GS&lt;50 PW'!$B$7</f>
        <v>14.652770308649437</v>
      </c>
      <c r="M110" s="29">
        <f ca="1">F110*'GS&lt;50 PW'!$B$8</f>
        <v>0</v>
      </c>
      <c r="N110" s="29">
        <f>G110*'GS&lt;50 PW'!$B$9</f>
        <v>-10.503218735659059</v>
      </c>
      <c r="O110" s="29">
        <f>H110*'GS&lt;50 PW'!$B$10</f>
        <v>43.155056140185891</v>
      </c>
      <c r="P110" s="44">
        <f>I110*'GS&lt;50 PW'!$B$11</f>
        <v>0</v>
      </c>
      <c r="Q110" s="44">
        <f>'Monthly Data'!H110</f>
        <v>5499</v>
      </c>
      <c r="R110" s="29">
        <f>R62</f>
        <v>31</v>
      </c>
      <c r="S110" s="28">
        <f t="shared" ca="1" si="10"/>
        <v>16716857.868050819</v>
      </c>
    </row>
    <row r="111" spans="1:23" x14ac:dyDescent="0.2">
      <c r="A111" s="45">
        <v>43497</v>
      </c>
      <c r="B111" s="29">
        <f t="shared" si="8"/>
        <v>2019</v>
      </c>
      <c r="C111" s="29">
        <f t="shared" si="9"/>
        <v>2</v>
      </c>
      <c r="D111" s="44">
        <f>'Monthly Data'!J111</f>
        <v>15569003.066078711</v>
      </c>
      <c r="E111" s="46">
        <f t="shared" ca="1" si="13"/>
        <v>417.05</v>
      </c>
      <c r="F111" s="46">
        <f t="shared" ca="1" si="13"/>
        <v>0</v>
      </c>
      <c r="G111" s="29">
        <f>'Monthly Data'!BG111</f>
        <v>110</v>
      </c>
      <c r="H111" s="29">
        <f>'Monthly Data'!X111</f>
        <v>3412.3</v>
      </c>
      <c r="I111" s="44">
        <f>'Monthly Data'!BF111</f>
        <v>0</v>
      </c>
      <c r="K111" s="29">
        <f>'GS&lt;50 PW'!$B$6</f>
        <v>50.759309292559799</v>
      </c>
      <c r="L111" s="29">
        <f ca="1">E111*'GS&lt;50 PW'!$B$7</f>
        <v>12.807431481792028</v>
      </c>
      <c r="M111" s="29">
        <f ca="1">F111*'GS&lt;50 PW'!$B$8</f>
        <v>0</v>
      </c>
      <c r="N111" s="29">
        <f>G111*'GS&lt;50 PW'!$B$9</f>
        <v>-10.599578540573361</v>
      </c>
      <c r="O111" s="29">
        <f>H111*'GS&lt;50 PW'!$B$10</f>
        <v>43.376240262498548</v>
      </c>
      <c r="P111" s="44">
        <f>I111*'GS&lt;50 PW'!$B$11</f>
        <v>0</v>
      </c>
      <c r="Q111" s="44">
        <f>'Monthly Data'!H111</f>
        <v>5507</v>
      </c>
      <c r="R111" s="29">
        <f t="shared" ref="R111:R145" si="14">R63</f>
        <v>28</v>
      </c>
      <c r="S111" s="28">
        <f t="shared" ca="1" si="10"/>
        <v>14855767.29131593</v>
      </c>
    </row>
    <row r="112" spans="1:23" x14ac:dyDescent="0.2">
      <c r="A112" s="45">
        <v>43525</v>
      </c>
      <c r="B112" s="29">
        <f t="shared" si="8"/>
        <v>2019</v>
      </c>
      <c r="C112" s="29">
        <f t="shared" si="9"/>
        <v>3</v>
      </c>
      <c r="D112" s="44">
        <f>'Monthly Data'!J112</f>
        <v>16318845.066078711</v>
      </c>
      <c r="E112" s="46">
        <f t="shared" ca="1" si="13"/>
        <v>332.70999999999992</v>
      </c>
      <c r="F112" s="46">
        <f t="shared" ca="1" si="13"/>
        <v>0</v>
      </c>
      <c r="G112" s="29">
        <f>'Monthly Data'!BG112</f>
        <v>111</v>
      </c>
      <c r="H112" s="29">
        <f>'Monthly Data'!X112</f>
        <v>3430.6</v>
      </c>
      <c r="I112" s="44">
        <f>'Monthly Data'!BF112</f>
        <v>1</v>
      </c>
      <c r="K112" s="29">
        <f>'GS&lt;50 PW'!$B$6</f>
        <v>50.759309292559799</v>
      </c>
      <c r="L112" s="29">
        <f ca="1">E112*'GS&lt;50 PW'!$B$7</f>
        <v>10.217385273485252</v>
      </c>
      <c r="M112" s="29">
        <f ca="1">F112*'GS&lt;50 PW'!$B$8</f>
        <v>0</v>
      </c>
      <c r="N112" s="29">
        <f>G112*'GS&lt;50 PW'!$B$9</f>
        <v>-10.695938345487665</v>
      </c>
      <c r="O112" s="29">
        <f>H112*'GS&lt;50 PW'!$B$10</f>
        <v>43.608864942861857</v>
      </c>
      <c r="P112" s="44">
        <f>I112*'GS&lt;50 PW'!$B$11</f>
        <v>-1.9723066266223299</v>
      </c>
      <c r="Q112" s="44">
        <f>'Monthly Data'!H112</f>
        <v>5500</v>
      </c>
      <c r="R112" s="29">
        <f t="shared" si="14"/>
        <v>31</v>
      </c>
      <c r="S112" s="28">
        <f t="shared" ca="1" si="10"/>
        <v>15671902.128523875</v>
      </c>
      <c r="V112" s="26"/>
      <c r="W112" s="47"/>
    </row>
    <row r="113" spans="1:23" x14ac:dyDescent="0.2">
      <c r="A113" s="45">
        <v>43556</v>
      </c>
      <c r="B113" s="29">
        <f t="shared" si="8"/>
        <v>2019</v>
      </c>
      <c r="C113" s="29">
        <f t="shared" si="9"/>
        <v>4</v>
      </c>
      <c r="D113" s="44">
        <f>'Monthly Data'!J113</f>
        <v>14529418.066078711</v>
      </c>
      <c r="E113" s="46">
        <f t="shared" ca="1" si="13"/>
        <v>164.53999999999996</v>
      </c>
      <c r="F113" s="46">
        <f t="shared" ca="1" si="13"/>
        <v>0.16999999999999993</v>
      </c>
      <c r="G113" s="29">
        <f>'Monthly Data'!BG113</f>
        <v>112</v>
      </c>
      <c r="H113" s="29">
        <f>'Monthly Data'!X113</f>
        <v>3447.9</v>
      </c>
      <c r="I113" s="44">
        <f>'Monthly Data'!BF113</f>
        <v>1</v>
      </c>
      <c r="K113" s="29">
        <f>'GS&lt;50 PW'!$B$6</f>
        <v>50.759309292559799</v>
      </c>
      <c r="L113" s="29">
        <f ca="1">E113*'GS&lt;50 PW'!$B$7</f>
        <v>5.0529547440691998</v>
      </c>
      <c r="M113" s="29">
        <f ca="1">F113*'GS&lt;50 PW'!$B$8</f>
        <v>1.3395135197872927E-2</v>
      </c>
      <c r="N113" s="29">
        <f>G113*'GS&lt;50 PW'!$B$9</f>
        <v>-10.792298150401969</v>
      </c>
      <c r="O113" s="29">
        <f>H113*'GS&lt;50 PW'!$B$10</f>
        <v>43.828777892057772</v>
      </c>
      <c r="P113" s="44">
        <f>I113*'GS&lt;50 PW'!$B$11</f>
        <v>-1.9723066266223299</v>
      </c>
      <c r="Q113" s="44">
        <f>'Monthly Data'!H113</f>
        <v>5496</v>
      </c>
      <c r="R113" s="29">
        <f t="shared" si="14"/>
        <v>30</v>
      </c>
      <c r="S113" s="28">
        <f t="shared" ca="1" si="10"/>
        <v>14326395.547457537</v>
      </c>
      <c r="V113" s="26"/>
      <c r="W113" s="47"/>
    </row>
    <row r="114" spans="1:23" x14ac:dyDescent="0.2">
      <c r="A114" s="45">
        <v>43586</v>
      </c>
      <c r="B114" s="29">
        <f t="shared" si="8"/>
        <v>2019</v>
      </c>
      <c r="C114" s="29">
        <f t="shared" si="9"/>
        <v>5</v>
      </c>
      <c r="D114" s="44">
        <f>'Monthly Data'!J114</f>
        <v>14271330.066078711</v>
      </c>
      <c r="E114" s="46">
        <f t="shared" ca="1" si="13"/>
        <v>35.92</v>
      </c>
      <c r="F114" s="46">
        <f t="shared" ca="1" si="13"/>
        <v>30.080000000000002</v>
      </c>
      <c r="G114" s="29">
        <f>'Monthly Data'!BG114</f>
        <v>113</v>
      </c>
      <c r="H114" s="29">
        <f>'Monthly Data'!X114</f>
        <v>3461.7</v>
      </c>
      <c r="I114" s="44">
        <f>'Monthly Data'!BF114</f>
        <v>1</v>
      </c>
      <c r="K114" s="29">
        <f>'GS&lt;50 PW'!$B$6</f>
        <v>50.759309292559799</v>
      </c>
      <c r="L114" s="29">
        <f ca="1">E114*'GS&lt;50 PW'!$B$7</f>
        <v>1.103088212027262</v>
      </c>
      <c r="M114" s="29">
        <f ca="1">F114*'GS&lt;50 PW'!$B$8</f>
        <v>2.3701509808942225</v>
      </c>
      <c r="N114" s="29">
        <f>G114*'GS&lt;50 PW'!$B$9</f>
        <v>-10.888657955316273</v>
      </c>
      <c r="O114" s="29">
        <f>H114*'GS&lt;50 PW'!$B$10</f>
        <v>44.004199782167809</v>
      </c>
      <c r="P114" s="44">
        <f>I114*'GS&lt;50 PW'!$B$11</f>
        <v>-1.9723066266223299</v>
      </c>
      <c r="Q114" s="44">
        <f>'Monthly Data'!H114</f>
        <v>5489</v>
      </c>
      <c r="R114" s="29">
        <f t="shared" si="14"/>
        <v>31</v>
      </c>
      <c r="S114" s="28">
        <f t="shared" ca="1" si="10"/>
        <v>14527457.976176813</v>
      </c>
      <c r="V114" s="26"/>
      <c r="W114" s="47"/>
    </row>
    <row r="115" spans="1:23" x14ac:dyDescent="0.2">
      <c r="A115" s="45">
        <v>43617</v>
      </c>
      <c r="B115" s="29">
        <f t="shared" si="8"/>
        <v>2019</v>
      </c>
      <c r="C115" s="29">
        <f t="shared" si="9"/>
        <v>6</v>
      </c>
      <c r="D115" s="44">
        <f>'Monthly Data'!J115</f>
        <v>14804296.066078711</v>
      </c>
      <c r="E115" s="46">
        <f t="shared" ca="1" si="13"/>
        <v>0.37999999999999989</v>
      </c>
      <c r="F115" s="46">
        <f t="shared" ca="1" si="13"/>
        <v>94.58</v>
      </c>
      <c r="G115" s="29">
        <f>'Monthly Data'!BG115</f>
        <v>114</v>
      </c>
      <c r="H115" s="29">
        <f>'Monthly Data'!X115</f>
        <v>3472.4</v>
      </c>
      <c r="I115" s="44">
        <f>'Monthly Data'!BF115</f>
        <v>0</v>
      </c>
      <c r="K115" s="29">
        <f>'GS&lt;50 PW'!$B$6</f>
        <v>50.759309292559799</v>
      </c>
      <c r="L115" s="29">
        <f ca="1">E115*'GS&lt;50 PW'!$B$7</f>
        <v>1.1669641441268358E-2</v>
      </c>
      <c r="M115" s="29">
        <f ca="1">F115*'GS&lt;50 PW'!$B$8</f>
        <v>7.4524228647930704</v>
      </c>
      <c r="N115" s="29">
        <f>G115*'GS&lt;50 PW'!$B$9</f>
        <v>-10.985017760230576</v>
      </c>
      <c r="O115" s="29">
        <f>H115*'GS&lt;50 PW'!$B$10</f>
        <v>44.140215305658927</v>
      </c>
      <c r="P115" s="44">
        <f>I115*'GS&lt;50 PW'!$B$11</f>
        <v>0</v>
      </c>
      <c r="Q115" s="44">
        <f>'Monthly Data'!H115</f>
        <v>5489</v>
      </c>
      <c r="R115" s="29">
        <f t="shared" si="14"/>
        <v>30</v>
      </c>
      <c r="S115" s="28">
        <f t="shared" ca="1" si="10"/>
        <v>15047313.954013119</v>
      </c>
      <c r="V115" s="26"/>
      <c r="W115" s="47"/>
    </row>
    <row r="116" spans="1:23" x14ac:dyDescent="0.2">
      <c r="A116" s="45">
        <v>43647</v>
      </c>
      <c r="B116" s="29">
        <f t="shared" si="8"/>
        <v>2019</v>
      </c>
      <c r="C116" s="29">
        <f t="shared" si="9"/>
        <v>7</v>
      </c>
      <c r="D116" s="44">
        <f>'Monthly Data'!J116</f>
        <v>17319087.066078711</v>
      </c>
      <c r="E116" s="46">
        <f t="shared" ca="1" si="13"/>
        <v>0</v>
      </c>
      <c r="F116" s="46">
        <f t="shared" ca="1" si="13"/>
        <v>206.28000000000003</v>
      </c>
      <c r="G116" s="29">
        <f>'Monthly Data'!BG116</f>
        <v>115</v>
      </c>
      <c r="H116" s="29">
        <f>'Monthly Data'!X116</f>
        <v>3487.5</v>
      </c>
      <c r="I116" s="44">
        <f>'Monthly Data'!BF116</f>
        <v>0</v>
      </c>
      <c r="K116" s="29">
        <f>'GS&lt;50 PW'!$B$6</f>
        <v>50.759309292559799</v>
      </c>
      <c r="L116" s="29">
        <f ca="1">E116*'GS&lt;50 PW'!$B$7</f>
        <v>0</v>
      </c>
      <c r="M116" s="29">
        <f ca="1">F116*'GS&lt;50 PW'!$B$8</f>
        <v>16.253814638924876</v>
      </c>
      <c r="N116" s="29">
        <f>G116*'GS&lt;50 PW'!$B$9</f>
        <v>-11.081377565144878</v>
      </c>
      <c r="O116" s="29">
        <f>H116*'GS&lt;50 PW'!$B$10</f>
        <v>44.332162446286574</v>
      </c>
      <c r="P116" s="44">
        <f>I116*'GS&lt;50 PW'!$B$11</f>
        <v>0</v>
      </c>
      <c r="Q116" s="44">
        <f>'Monthly Data'!H116</f>
        <v>5495</v>
      </c>
      <c r="R116" s="29">
        <f t="shared" si="14"/>
        <v>31</v>
      </c>
      <c r="S116" s="28">
        <f t="shared" ca="1" si="10"/>
        <v>17079455.546686839</v>
      </c>
      <c r="V116" s="26"/>
      <c r="W116" s="47"/>
    </row>
    <row r="117" spans="1:23" x14ac:dyDescent="0.2">
      <c r="A117" s="45">
        <v>43678</v>
      </c>
      <c r="B117" s="29">
        <f t="shared" si="8"/>
        <v>2019</v>
      </c>
      <c r="C117" s="29">
        <f t="shared" si="9"/>
        <v>8</v>
      </c>
      <c r="D117" s="44">
        <f>'Monthly Data'!J117</f>
        <v>16585053.066078711</v>
      </c>
      <c r="E117" s="46">
        <f t="shared" ca="1" si="13"/>
        <v>0</v>
      </c>
      <c r="F117" s="46">
        <f t="shared" ca="1" si="13"/>
        <v>177.64000000000001</v>
      </c>
      <c r="G117" s="29">
        <f>'Monthly Data'!BG117</f>
        <v>116</v>
      </c>
      <c r="H117" s="29">
        <f>'Monthly Data'!X117</f>
        <v>3500.1</v>
      </c>
      <c r="I117" s="44">
        <f>'Monthly Data'!BF117</f>
        <v>0</v>
      </c>
      <c r="K117" s="29">
        <f>'GS&lt;50 PW'!$B$6</f>
        <v>50.759309292559799</v>
      </c>
      <c r="L117" s="29">
        <f ca="1">E117*'GS&lt;50 PW'!$B$7</f>
        <v>0</v>
      </c>
      <c r="M117" s="29">
        <f ca="1">F117*'GS&lt;50 PW'!$B$8</f>
        <v>13.997128332647929</v>
      </c>
      <c r="N117" s="29">
        <f>G117*'GS&lt;50 PW'!$B$9</f>
        <v>-11.177737370059182</v>
      </c>
      <c r="O117" s="29">
        <f>H117*'GS&lt;50 PW'!$B$10</f>
        <v>44.492330258995736</v>
      </c>
      <c r="P117" s="44">
        <f>I117*'GS&lt;50 PW'!$B$11</f>
        <v>0</v>
      </c>
      <c r="Q117" s="44">
        <f>'Monthly Data'!H117</f>
        <v>5492</v>
      </c>
      <c r="R117" s="29">
        <f t="shared" si="14"/>
        <v>31</v>
      </c>
      <c r="S117" s="28">
        <f t="shared" ca="1" si="10"/>
        <v>16696789.087094089</v>
      </c>
      <c r="V117" s="26"/>
      <c r="W117" s="47"/>
    </row>
    <row r="118" spans="1:23" x14ac:dyDescent="0.2">
      <c r="A118" s="45">
        <v>43709</v>
      </c>
      <c r="B118" s="29">
        <f t="shared" si="8"/>
        <v>2019</v>
      </c>
      <c r="C118" s="29">
        <f t="shared" si="9"/>
        <v>9</v>
      </c>
      <c r="D118" s="44">
        <f>'Monthly Data'!J118</f>
        <v>14725435.066078711</v>
      </c>
      <c r="E118" s="46">
        <f t="shared" ca="1" si="13"/>
        <v>0.49000000000000005</v>
      </c>
      <c r="F118" s="46">
        <f t="shared" ca="1" si="13"/>
        <v>85.65</v>
      </c>
      <c r="G118" s="29">
        <f>'Monthly Data'!BG118</f>
        <v>117</v>
      </c>
      <c r="H118" s="29">
        <f>'Monthly Data'!X118</f>
        <v>3522.9</v>
      </c>
      <c r="I118" s="44">
        <f>'Monthly Data'!BF118</f>
        <v>1</v>
      </c>
      <c r="K118" s="29">
        <f>'GS&lt;50 PW'!$B$6</f>
        <v>50.759309292559799</v>
      </c>
      <c r="L118" s="29">
        <f ca="1">E118*'GS&lt;50 PW'!$B$7</f>
        <v>1.5047695542688151E-2</v>
      </c>
      <c r="M118" s="29">
        <f ca="1">F118*'GS&lt;50 PW'!$B$8</f>
        <v>6.7487842923400985</v>
      </c>
      <c r="N118" s="29">
        <f>G118*'GS&lt;50 PW'!$B$9</f>
        <v>-11.274097174973486</v>
      </c>
      <c r="O118" s="29">
        <f>H118*'GS&lt;50 PW'!$B$10</f>
        <v>44.782157729612322</v>
      </c>
      <c r="P118" s="44">
        <f>I118*'GS&lt;50 PW'!$B$11</f>
        <v>-1.9723066266223299</v>
      </c>
      <c r="Q118" s="44">
        <f>'Monthly Data'!H118</f>
        <v>5496</v>
      </c>
      <c r="R118" s="29">
        <f t="shared" si="14"/>
        <v>30</v>
      </c>
      <c r="S118" s="28">
        <f t="shared" ca="1" si="10"/>
        <v>14684030.641970735</v>
      </c>
      <c r="V118" s="26"/>
      <c r="W118" s="47"/>
    </row>
    <row r="119" spans="1:23" x14ac:dyDescent="0.2">
      <c r="A119" s="45">
        <v>43739</v>
      </c>
      <c r="B119" s="29">
        <f t="shared" si="8"/>
        <v>2019</v>
      </c>
      <c r="C119" s="29">
        <f t="shared" si="9"/>
        <v>10</v>
      </c>
      <c r="D119" s="44">
        <f>'Monthly Data'!J119</f>
        <v>14042656.066078711</v>
      </c>
      <c r="E119" s="46">
        <f t="shared" ca="1" si="13"/>
        <v>53.33000000000002</v>
      </c>
      <c r="F119" s="46">
        <f t="shared" ca="1" si="13"/>
        <v>12.219999999999999</v>
      </c>
      <c r="G119" s="29">
        <f>'Monthly Data'!BG119</f>
        <v>118</v>
      </c>
      <c r="H119" s="29">
        <f>'Monthly Data'!X119</f>
        <v>3525.5</v>
      </c>
      <c r="I119" s="44">
        <f>'Monthly Data'!BF119</f>
        <v>1</v>
      </c>
      <c r="K119" s="29">
        <f>'GS&lt;50 PW'!$B$6</f>
        <v>50.759309292559799</v>
      </c>
      <c r="L119" s="29">
        <f ca="1">E119*'GS&lt;50 PW'!$B$7</f>
        <v>1.6377420475337947</v>
      </c>
      <c r="M119" s="29">
        <f ca="1">F119*'GS&lt;50 PW'!$B$8</f>
        <v>0.96287383598827769</v>
      </c>
      <c r="N119" s="29">
        <f>G119*'GS&lt;50 PW'!$B$9</f>
        <v>-11.370456979887788</v>
      </c>
      <c r="O119" s="29">
        <f>H119*'GS&lt;50 PW'!$B$10</f>
        <v>44.815208230647549</v>
      </c>
      <c r="P119" s="44">
        <f>I119*'GS&lt;50 PW'!$B$11</f>
        <v>-1.9723066266223299</v>
      </c>
      <c r="Q119" s="44">
        <f>'Monthly Data'!H119</f>
        <v>5495</v>
      </c>
      <c r="R119" s="29">
        <f t="shared" si="14"/>
        <v>31</v>
      </c>
      <c r="S119" s="28">
        <f t="shared" ca="1" si="10"/>
        <v>14450770.033618357</v>
      </c>
      <c r="V119" s="26"/>
      <c r="W119" s="47"/>
    </row>
    <row r="120" spans="1:23" x14ac:dyDescent="0.2">
      <c r="A120" s="45">
        <v>43770</v>
      </c>
      <c r="B120" s="29">
        <f t="shared" si="8"/>
        <v>2019</v>
      </c>
      <c r="C120" s="29">
        <f t="shared" si="9"/>
        <v>11</v>
      </c>
      <c r="D120" s="44">
        <f>'Monthly Data'!J120</f>
        <v>14515114.066078711</v>
      </c>
      <c r="E120" s="46">
        <f t="shared" ca="1" si="13"/>
        <v>207.66000000000003</v>
      </c>
      <c r="F120" s="46">
        <f t="shared" ca="1" si="13"/>
        <v>1.0000000000000142E-2</v>
      </c>
      <c r="G120" s="29">
        <f>'Monthly Data'!BG120</f>
        <v>119</v>
      </c>
      <c r="H120" s="29">
        <f>'Monthly Data'!X120</f>
        <v>3531.7</v>
      </c>
      <c r="I120" s="44">
        <f>'Monthly Data'!BF120</f>
        <v>1</v>
      </c>
      <c r="K120" s="29">
        <f>'GS&lt;50 PW'!$B$6</f>
        <v>50.759309292559799</v>
      </c>
      <c r="L120" s="29">
        <f ca="1">E120*'GS&lt;50 PW'!$B$7</f>
        <v>6.3771519518257582</v>
      </c>
      <c r="M120" s="29">
        <f ca="1">F120*'GS&lt;50 PW'!$B$8</f>
        <v>7.8794912928665433E-4</v>
      </c>
      <c r="N120" s="29">
        <f>G120*'GS&lt;50 PW'!$B$9</f>
        <v>-11.466816784802091</v>
      </c>
      <c r="O120" s="29">
        <f>H120*'GS&lt;50 PW'!$B$10</f>
        <v>44.894020963885389</v>
      </c>
      <c r="P120" s="44">
        <f>I120*'GS&lt;50 PW'!$B$11</f>
        <v>-1.9723066266223299</v>
      </c>
      <c r="Q120" s="44">
        <f>'Monthly Data'!H120</f>
        <v>5456</v>
      </c>
      <c r="R120" s="29">
        <f t="shared" si="14"/>
        <v>30</v>
      </c>
      <c r="S120" s="28">
        <f t="shared" ca="1" si="10"/>
        <v>14500762.579381321</v>
      </c>
      <c r="V120" s="26"/>
      <c r="W120" s="47"/>
    </row>
    <row r="121" spans="1:23" x14ac:dyDescent="0.2">
      <c r="A121" s="45">
        <v>43800</v>
      </c>
      <c r="B121" s="29">
        <f t="shared" si="8"/>
        <v>2019</v>
      </c>
      <c r="C121" s="29">
        <f t="shared" si="9"/>
        <v>12</v>
      </c>
      <c r="D121" s="44">
        <f>'Monthly Data'!J121</f>
        <v>15355560.066078711</v>
      </c>
      <c r="E121" s="46">
        <f t="shared" ca="1" si="13"/>
        <v>351.65000000000003</v>
      </c>
      <c r="F121" s="46">
        <f t="shared" ca="1" si="13"/>
        <v>0</v>
      </c>
      <c r="G121" s="29">
        <f>'Monthly Data'!BG121</f>
        <v>120</v>
      </c>
      <c r="H121" s="29">
        <f>'Monthly Data'!X121</f>
        <v>3532</v>
      </c>
      <c r="I121" s="44">
        <f>'Monthly Data'!BF121</f>
        <v>0</v>
      </c>
      <c r="K121" s="29">
        <f>'GS&lt;50 PW'!$B$6</f>
        <v>50.759309292559799</v>
      </c>
      <c r="L121" s="29">
        <f ca="1">E121*'GS&lt;50 PW'!$B$7</f>
        <v>10.799024770584262</v>
      </c>
      <c r="M121" s="29">
        <f ca="1">F121*'GS&lt;50 PW'!$B$8</f>
        <v>0</v>
      </c>
      <c r="N121" s="29">
        <f>G121*'GS&lt;50 PW'!$B$9</f>
        <v>-11.563176589716395</v>
      </c>
      <c r="O121" s="29">
        <f>H121*'GS&lt;50 PW'!$B$10</f>
        <v>44.897834483235606</v>
      </c>
      <c r="P121" s="44">
        <f>I121*'GS&lt;50 PW'!$B$11</f>
        <v>0</v>
      </c>
      <c r="Q121" s="44">
        <f>'Monthly Data'!H121</f>
        <v>5460</v>
      </c>
      <c r="R121" s="29">
        <f t="shared" si="14"/>
        <v>31</v>
      </c>
      <c r="S121" s="28">
        <f t="shared" ca="1" si="10"/>
        <v>16061587.818584828</v>
      </c>
      <c r="V121" s="26"/>
      <c r="W121" s="47"/>
    </row>
    <row r="122" spans="1:23" x14ac:dyDescent="0.2">
      <c r="A122" s="45">
        <v>43831</v>
      </c>
      <c r="B122" s="29">
        <f t="shared" si="8"/>
        <v>2020</v>
      </c>
      <c r="C122" s="29">
        <f t="shared" si="9"/>
        <v>1</v>
      </c>
      <c r="D122" s="192">
        <f>'Monthly Data (to June 2020)'!J122</f>
        <v>15872905.454444034</v>
      </c>
      <c r="E122" s="46">
        <f t="shared" ca="1" si="13"/>
        <v>477.14</v>
      </c>
      <c r="F122" s="46">
        <f t="shared" ca="1" si="13"/>
        <v>0</v>
      </c>
      <c r="G122" s="29">
        <f>1+G121</f>
        <v>121</v>
      </c>
      <c r="H122" s="223">
        <f>'Economic (2020 Adj.)'!R134</f>
        <v>3193.7204154939591</v>
      </c>
      <c r="I122" s="44">
        <f>I110</f>
        <v>0</v>
      </c>
      <c r="K122" s="29">
        <f>'GS&lt;50 PW'!$B$6</f>
        <v>50.759309292559799</v>
      </c>
      <c r="L122" s="29">
        <f ca="1">E122*'GS&lt;50 PW'!$B$7</f>
        <v>14.652770308649437</v>
      </c>
      <c r="M122" s="29">
        <f ca="1">F122*'GS&lt;50 PW'!$B$8</f>
        <v>0</v>
      </c>
      <c r="N122" s="29">
        <f>G122*'GS&lt;50 PW'!$B$9</f>
        <v>-11.659536394630699</v>
      </c>
      <c r="O122" s="29">
        <f>H122*'GS&lt;50 PW'!$B$10</f>
        <v>40.597715345577079</v>
      </c>
      <c r="P122" s="44">
        <f>I122*'GS&lt;50 PW'!$B$11</f>
        <v>0</v>
      </c>
      <c r="Q122" s="44">
        <f>'Customer Count'!G37</f>
        <v>5491</v>
      </c>
      <c r="R122" s="29">
        <f t="shared" si="14"/>
        <v>31</v>
      </c>
      <c r="S122" s="28">
        <f t="shared" ca="1" si="10"/>
        <v>16060395.36100648</v>
      </c>
      <c r="U122" s="44">
        <f ca="1">D122-S122</f>
        <v>-187489.90656244569</v>
      </c>
      <c r="V122" s="26"/>
      <c r="W122" s="47"/>
    </row>
    <row r="123" spans="1:23" x14ac:dyDescent="0.2">
      <c r="A123" s="45">
        <v>43862</v>
      </c>
      <c r="B123" s="29">
        <f t="shared" si="8"/>
        <v>2020</v>
      </c>
      <c r="C123" s="29">
        <f t="shared" si="9"/>
        <v>2</v>
      </c>
      <c r="D123" s="192">
        <f>'Monthly Data (to June 2020)'!J123</f>
        <v>14960550.454444034</v>
      </c>
      <c r="E123" s="46">
        <f t="shared" ca="1" si="13"/>
        <v>417.05</v>
      </c>
      <c r="F123" s="46">
        <f t="shared" ca="1" si="13"/>
        <v>0</v>
      </c>
      <c r="G123" s="29">
        <f t="shared" ref="G123:G145" si="15">1+G122</f>
        <v>122</v>
      </c>
      <c r="H123" s="223">
        <f>'Economic (2020 Adj.)'!R135</f>
        <v>3210.0893027158495</v>
      </c>
      <c r="I123" s="44">
        <f t="shared" ref="I123:I145" si="16">I111</f>
        <v>0</v>
      </c>
      <c r="K123" s="29">
        <f>'GS&lt;50 PW'!$B$6</f>
        <v>50.759309292559799</v>
      </c>
      <c r="L123" s="29">
        <f ca="1">E123*'GS&lt;50 PW'!$B$7</f>
        <v>12.807431481792028</v>
      </c>
      <c r="M123" s="29">
        <f ca="1">F123*'GS&lt;50 PW'!$B$8</f>
        <v>0</v>
      </c>
      <c r="N123" s="29">
        <f>G123*'GS&lt;50 PW'!$B$9</f>
        <v>-11.755896199545003</v>
      </c>
      <c r="O123" s="29">
        <f>H123*'GS&lt;50 PW'!$B$10</f>
        <v>40.805792239451137</v>
      </c>
      <c r="P123" s="44">
        <f>I123*'GS&lt;50 PW'!$B$11</f>
        <v>0</v>
      </c>
      <c r="Q123" s="44">
        <f>'Customer Count'!G38</f>
        <v>5489</v>
      </c>
      <c r="R123" s="29">
        <f t="shared" si="14"/>
        <v>29</v>
      </c>
      <c r="S123" s="28">
        <f t="shared" ca="1" si="10"/>
        <v>14742808.864730395</v>
      </c>
      <c r="U123" s="44">
        <f t="shared" ref="U123:U126" ca="1" si="17">D123-S123</f>
        <v>217741.58971363865</v>
      </c>
      <c r="V123" s="26"/>
      <c r="W123" s="47"/>
    </row>
    <row r="124" spans="1:23" x14ac:dyDescent="0.2">
      <c r="A124" s="45">
        <v>43891</v>
      </c>
      <c r="B124" s="29">
        <f t="shared" si="8"/>
        <v>2020</v>
      </c>
      <c r="C124" s="29">
        <f t="shared" si="9"/>
        <v>3</v>
      </c>
      <c r="D124" s="192">
        <f>'Monthly Data (to June 2020)'!J124</f>
        <v>14210374.454444034</v>
      </c>
      <c r="E124" s="46">
        <f t="shared" ca="1" si="13"/>
        <v>332.70999999999992</v>
      </c>
      <c r="F124" s="46">
        <f t="shared" ca="1" si="13"/>
        <v>0</v>
      </c>
      <c r="G124" s="29">
        <f t="shared" si="15"/>
        <v>123</v>
      </c>
      <c r="H124" s="223">
        <f>'Economic (2020 Adj.)'!R136</f>
        <v>3227.3048565181816</v>
      </c>
      <c r="I124" s="44">
        <f t="shared" si="16"/>
        <v>1</v>
      </c>
      <c r="K124" s="29">
        <f>'GS&lt;50 PW'!$B$6</f>
        <v>50.759309292559799</v>
      </c>
      <c r="L124" s="29">
        <f ca="1">E124*'GS&lt;50 PW'!$B$7</f>
        <v>10.217385273485252</v>
      </c>
      <c r="M124" s="29">
        <f ca="1">F124*'GS&lt;50 PW'!$B$8</f>
        <v>0</v>
      </c>
      <c r="N124" s="29">
        <f>G124*'GS&lt;50 PW'!$B$9</f>
        <v>-11.852256004459305</v>
      </c>
      <c r="O124" s="29">
        <f>H124*'GS&lt;50 PW'!$B$10</f>
        <v>41.024631731284188</v>
      </c>
      <c r="P124" s="44">
        <f>I124*'GS&lt;50 PW'!$B$11</f>
        <v>-1.9723066266223299</v>
      </c>
      <c r="Q124" s="44">
        <f>'Customer Count'!G39</f>
        <v>5500</v>
      </c>
      <c r="R124" s="29">
        <f t="shared" si="14"/>
        <v>31</v>
      </c>
      <c r="S124" s="28">
        <f t="shared" ca="1" si="10"/>
        <v>15034138.205095217</v>
      </c>
      <c r="U124" s="44">
        <f t="shared" ca="1" si="17"/>
        <v>-823763.75065118261</v>
      </c>
    </row>
    <row r="125" spans="1:23" x14ac:dyDescent="0.2">
      <c r="A125" s="45">
        <v>43922</v>
      </c>
      <c r="B125" s="29">
        <f t="shared" si="8"/>
        <v>2020</v>
      </c>
      <c r="C125" s="29">
        <f t="shared" si="9"/>
        <v>4</v>
      </c>
      <c r="D125" s="192">
        <f>'Monthly Data (to June 2020)'!J125</f>
        <v>11710017.454444034</v>
      </c>
      <c r="E125" s="46">
        <f t="shared" ca="1" si="13"/>
        <v>164.53999999999996</v>
      </c>
      <c r="F125" s="46">
        <f t="shared" ca="1" si="13"/>
        <v>0.16999999999999993</v>
      </c>
      <c r="G125" s="29">
        <f t="shared" si="15"/>
        <v>124</v>
      </c>
      <c r="H125" s="223">
        <f>'Economic (2020 Adj.)'!R137</f>
        <v>2450.8246431490684</v>
      </c>
      <c r="I125" s="44">
        <f t="shared" si="16"/>
        <v>1</v>
      </c>
      <c r="K125" s="29">
        <f>'GS&lt;50 PW'!$B$6</f>
        <v>50.759309292559799</v>
      </c>
      <c r="L125" s="29">
        <f ca="1">E125*'GS&lt;50 PW'!$B$7</f>
        <v>5.0529547440691998</v>
      </c>
      <c r="M125" s="29">
        <f ca="1">F125*'GS&lt;50 PW'!$B$8</f>
        <v>1.3395135197872927E-2</v>
      </c>
      <c r="N125" s="29">
        <f>G125*'GS&lt;50 PW'!$B$9</f>
        <v>-11.948615809373608</v>
      </c>
      <c r="O125" s="29">
        <f>H125*'GS&lt;50 PW'!$B$10</f>
        <v>31.15422400213529</v>
      </c>
      <c r="P125" s="44">
        <f>I125*'GS&lt;50 PW'!$B$11</f>
        <v>-1.9723066266223299</v>
      </c>
      <c r="Q125" s="44">
        <f>'Customer Count'!G40</f>
        <v>5502</v>
      </c>
      <c r="R125" s="29">
        <f t="shared" si="14"/>
        <v>30</v>
      </c>
      <c r="S125" s="28">
        <f t="shared" ca="1" si="10"/>
        <v>12059112.059408706</v>
      </c>
      <c r="U125" s="44">
        <f t="shared" ca="1" si="17"/>
        <v>-349094.60496467166</v>
      </c>
      <c r="V125" s="26"/>
    </row>
    <row r="126" spans="1:23" x14ac:dyDescent="0.2">
      <c r="A126" s="45">
        <v>43952</v>
      </c>
      <c r="B126" s="29">
        <f t="shared" si="8"/>
        <v>2020</v>
      </c>
      <c r="C126" s="29">
        <f t="shared" si="9"/>
        <v>5</v>
      </c>
      <c r="D126" s="192">
        <f>'Monthly Data (to June 2020)'!J126</f>
        <v>11990515.454444034</v>
      </c>
      <c r="E126" s="46">
        <f t="shared" ref="E126:F141" ca="1" si="18">E114</f>
        <v>35.92</v>
      </c>
      <c r="F126" s="46">
        <f t="shared" ca="1" si="18"/>
        <v>30.080000000000002</v>
      </c>
      <c r="G126" s="29">
        <f t="shared" si="15"/>
        <v>125</v>
      </c>
      <c r="H126" s="223">
        <f>'Economic (2020 Adj.)'!R138</f>
        <v>2463.3859406219817</v>
      </c>
      <c r="I126" s="44">
        <f t="shared" si="16"/>
        <v>1</v>
      </c>
      <c r="K126" s="29">
        <f>'GS&lt;50 PW'!$B$6</f>
        <v>50.759309292559799</v>
      </c>
      <c r="L126" s="29">
        <f ca="1">E126*'GS&lt;50 PW'!$B$7</f>
        <v>1.103088212027262</v>
      </c>
      <c r="M126" s="29">
        <f ca="1">F126*'GS&lt;50 PW'!$B$8</f>
        <v>2.3701509808942225</v>
      </c>
      <c r="N126" s="29">
        <f>G126*'GS&lt;50 PW'!$B$9</f>
        <v>-12.044975614287912</v>
      </c>
      <c r="O126" s="29">
        <f>H126*'GS&lt;50 PW'!$B$10</f>
        <v>31.31389983872463</v>
      </c>
      <c r="P126" s="44">
        <f>I126*'GS&lt;50 PW'!$B$11</f>
        <v>-1.9723066266223299</v>
      </c>
      <c r="Q126" s="44">
        <f>'Customer Count'!G41</f>
        <v>5501</v>
      </c>
      <c r="R126" s="29">
        <f t="shared" si="14"/>
        <v>31</v>
      </c>
      <c r="S126" s="28">
        <f t="shared" ca="1" si="10"/>
        <v>12197940.221350495</v>
      </c>
      <c r="U126" s="44">
        <f t="shared" ca="1" si="17"/>
        <v>-207424.76690646075</v>
      </c>
      <c r="V126" s="26"/>
    </row>
    <row r="127" spans="1:23" x14ac:dyDescent="0.2">
      <c r="A127" s="45">
        <v>43983</v>
      </c>
      <c r="B127" s="29">
        <f t="shared" si="8"/>
        <v>2020</v>
      </c>
      <c r="C127" s="29">
        <f t="shared" si="9"/>
        <v>6</v>
      </c>
      <c r="D127" s="192">
        <f>'Monthly Data (to June 2020)'!J127</f>
        <v>13734565.454444034</v>
      </c>
      <c r="E127" s="46">
        <f t="shared" ca="1" si="18"/>
        <v>0.37999999999999989</v>
      </c>
      <c r="F127" s="46">
        <f t="shared" ca="1" si="18"/>
        <v>94.58</v>
      </c>
      <c r="G127" s="29">
        <f t="shared" si="15"/>
        <v>126</v>
      </c>
      <c r="H127" s="223">
        <f>'Economic (2020 Adj.)'!R139</f>
        <v>2476.5969603779768</v>
      </c>
      <c r="I127" s="44">
        <f t="shared" si="16"/>
        <v>0</v>
      </c>
      <c r="K127" s="29">
        <f>'GS&lt;50 PW'!$B$6</f>
        <v>50.759309292559799</v>
      </c>
      <c r="L127" s="29">
        <f ca="1">E127*'GS&lt;50 PW'!$B$7</f>
        <v>1.1669641441268358E-2</v>
      </c>
      <c r="M127" s="29">
        <f ca="1">F127*'GS&lt;50 PW'!$B$8</f>
        <v>7.4524228647930704</v>
      </c>
      <c r="N127" s="29">
        <f>G127*'GS&lt;50 PW'!$B$9</f>
        <v>-12.141335419202214</v>
      </c>
      <c r="O127" s="29">
        <f>H127*'GS&lt;50 PW'!$B$10</f>
        <v>31.48183477030997</v>
      </c>
      <c r="P127" s="44">
        <f>I127*'GS&lt;50 PW'!$B$11</f>
        <v>0</v>
      </c>
      <c r="Q127" s="44">
        <f>'Customer Count'!G42</f>
        <v>5504</v>
      </c>
      <c r="R127" s="29">
        <f t="shared" si="14"/>
        <v>30</v>
      </c>
      <c r="S127" s="28">
        <f t="shared" ca="1" si="10"/>
        <v>12807351.357871801</v>
      </c>
      <c r="U127" s="44">
        <f ca="1">D127-S127</f>
        <v>927214.09657223336</v>
      </c>
      <c r="V127" s="26"/>
    </row>
    <row r="128" spans="1:23" x14ac:dyDescent="0.2">
      <c r="A128" s="45">
        <v>44013</v>
      </c>
      <c r="B128" s="29">
        <f t="shared" si="8"/>
        <v>2020</v>
      </c>
      <c r="C128" s="29">
        <f t="shared" si="9"/>
        <v>7</v>
      </c>
      <c r="D128" s="44"/>
      <c r="E128" s="46">
        <f t="shared" ca="1" si="18"/>
        <v>0</v>
      </c>
      <c r="F128" s="46">
        <f t="shared" ca="1" si="18"/>
        <v>206.28000000000003</v>
      </c>
      <c r="G128" s="29">
        <f t="shared" si="15"/>
        <v>127</v>
      </c>
      <c r="H128" s="223">
        <f>'Economic (2020 Adj.)'!R140</f>
        <v>2624.2882129140389</v>
      </c>
      <c r="I128" s="44">
        <f t="shared" si="16"/>
        <v>0</v>
      </c>
      <c r="K128" s="29">
        <f>'GS&lt;50 PW'!$B$6</f>
        <v>50.759309292559799</v>
      </c>
      <c r="L128" s="29">
        <f ca="1">E128*'GS&lt;50 PW'!$B$7</f>
        <v>0</v>
      </c>
      <c r="M128" s="29">
        <f ca="1">F128*'GS&lt;50 PW'!$B$8</f>
        <v>16.253814638924876</v>
      </c>
      <c r="N128" s="29">
        <f>G128*'GS&lt;50 PW'!$B$9</f>
        <v>-12.237695224116518</v>
      </c>
      <c r="O128" s="29">
        <f>H128*'GS&lt;50 PW'!$B$10</f>
        <v>33.359246268324092</v>
      </c>
      <c r="P128" s="44">
        <f>I128*'GS&lt;50 PW'!$B$11</f>
        <v>0</v>
      </c>
      <c r="Q128" s="44">
        <f>'Customer Count'!G43</f>
        <v>5501</v>
      </c>
      <c r="R128" s="29">
        <f t="shared" si="14"/>
        <v>31</v>
      </c>
      <c r="S128" s="28">
        <f t="shared" ca="1" si="10"/>
        <v>15029694.258279772</v>
      </c>
      <c r="V128" s="26"/>
    </row>
    <row r="129" spans="1:22" x14ac:dyDescent="0.2">
      <c r="A129" s="45">
        <v>44044</v>
      </c>
      <c r="B129" s="29">
        <f t="shared" si="8"/>
        <v>2020</v>
      </c>
      <c r="C129" s="29">
        <f t="shared" si="9"/>
        <v>8</v>
      </c>
      <c r="E129" s="46">
        <f t="shared" ca="1" si="18"/>
        <v>0</v>
      </c>
      <c r="F129" s="46">
        <f t="shared" ca="1" si="18"/>
        <v>177.64000000000001</v>
      </c>
      <c r="G129" s="29">
        <f t="shared" si="15"/>
        <v>128</v>
      </c>
      <c r="H129" s="223">
        <f>'Economic (2020 Adj.)'!R141</f>
        <v>2637.7385693029469</v>
      </c>
      <c r="I129" s="44">
        <f t="shared" si="16"/>
        <v>0</v>
      </c>
      <c r="K129" s="29">
        <f>'GS&lt;50 PW'!$B$6</f>
        <v>50.759309292559799</v>
      </c>
      <c r="L129" s="29">
        <f ca="1">E129*'GS&lt;50 PW'!$B$7</f>
        <v>0</v>
      </c>
      <c r="M129" s="29">
        <f ca="1">F129*'GS&lt;50 PW'!$B$8</f>
        <v>13.997128332647929</v>
      </c>
      <c r="N129" s="29">
        <f>G129*'GS&lt;50 PW'!$B$9</f>
        <v>-12.334055029030822</v>
      </c>
      <c r="O129" s="29">
        <f>H129*'GS&lt;50 PW'!$B$10</f>
        <v>33.53022358284553</v>
      </c>
      <c r="P129" s="44">
        <f>I129*'GS&lt;50 PW'!$B$11</f>
        <v>0</v>
      </c>
      <c r="Q129" s="44">
        <f>'Customer Count'!G44</f>
        <v>5505.879310032994</v>
      </c>
      <c r="R129" s="29">
        <f t="shared" si="14"/>
        <v>31</v>
      </c>
      <c r="S129" s="28">
        <f t="shared" ca="1" si="10"/>
        <v>14670584.956139306</v>
      </c>
      <c r="V129" s="26"/>
    </row>
    <row r="130" spans="1:22" x14ac:dyDescent="0.2">
      <c r="A130" s="45">
        <v>44075</v>
      </c>
      <c r="B130" s="29">
        <f t="shared" ref="B130:B145" si="19">YEAR(A130)</f>
        <v>2020</v>
      </c>
      <c r="C130" s="29">
        <f t="shared" ref="C130:C145" si="20">MONTH(A130)</f>
        <v>9</v>
      </c>
      <c r="E130" s="46">
        <f t="shared" ca="1" si="18"/>
        <v>0.49000000000000005</v>
      </c>
      <c r="F130" s="46">
        <f t="shared" ca="1" si="18"/>
        <v>85.65</v>
      </c>
      <c r="G130" s="29">
        <f t="shared" si="15"/>
        <v>129</v>
      </c>
      <c r="H130" s="223">
        <f>'Economic (2020 Adj.)'!R142</f>
        <v>2651.8846337809364</v>
      </c>
      <c r="I130" s="44">
        <f t="shared" si="16"/>
        <v>1</v>
      </c>
      <c r="K130" s="29">
        <f>'GS&lt;50 PW'!$B$6</f>
        <v>50.759309292559799</v>
      </c>
      <c r="L130" s="29">
        <f ca="1">E130*'GS&lt;50 PW'!$B$7</f>
        <v>1.5047695542688151E-2</v>
      </c>
      <c r="M130" s="29">
        <f ca="1">F130*'GS&lt;50 PW'!$B$8</f>
        <v>6.7487842923400985</v>
      </c>
      <c r="N130" s="29">
        <f>G130*'GS&lt;50 PW'!$B$9</f>
        <v>-12.430414833945125</v>
      </c>
      <c r="O130" s="29">
        <f>H130*'GS&lt;50 PW'!$B$10</f>
        <v>33.710044551566355</v>
      </c>
      <c r="P130" s="44">
        <f>I130*'GS&lt;50 PW'!$B$11</f>
        <v>-1.9723066266223299</v>
      </c>
      <c r="Q130" s="44">
        <f>'Customer Count'!G45</f>
        <v>5510.7629479457182</v>
      </c>
      <c r="R130" s="29">
        <f t="shared" si="14"/>
        <v>30</v>
      </c>
      <c r="S130" s="28">
        <f t="shared" ca="1" si="10"/>
        <v>12701834.289948102</v>
      </c>
      <c r="V130" s="26"/>
    </row>
    <row r="131" spans="1:22" x14ac:dyDescent="0.2">
      <c r="A131" s="45">
        <v>44105</v>
      </c>
      <c r="B131" s="29">
        <f t="shared" si="19"/>
        <v>2020</v>
      </c>
      <c r="C131" s="29">
        <f t="shared" si="20"/>
        <v>10</v>
      </c>
      <c r="E131" s="46">
        <f t="shared" ca="1" si="18"/>
        <v>53.33000000000002</v>
      </c>
      <c r="F131" s="46">
        <f t="shared" ca="1" si="18"/>
        <v>12.219999999999999</v>
      </c>
      <c r="G131" s="29">
        <f t="shared" si="15"/>
        <v>130</v>
      </c>
      <c r="H131" s="223">
        <f>'Economic (2020 Adj.)'!R143</f>
        <v>2753.5344074000554</v>
      </c>
      <c r="I131" s="44">
        <f t="shared" si="16"/>
        <v>1</v>
      </c>
      <c r="K131" s="29">
        <f>'GS&lt;50 PW'!$B$6</f>
        <v>50.759309292559799</v>
      </c>
      <c r="L131" s="29">
        <f ca="1">E131*'GS&lt;50 PW'!$B$7</f>
        <v>1.6377420475337947</v>
      </c>
      <c r="M131" s="29">
        <f ca="1">F131*'GS&lt;50 PW'!$B$8</f>
        <v>0.96287383598827769</v>
      </c>
      <c r="N131" s="29">
        <f>G131*'GS&lt;50 PW'!$B$9</f>
        <v>-12.526774638859429</v>
      </c>
      <c r="O131" s="29">
        <f>H131*'GS&lt;50 PW'!$B$10</f>
        <v>35.002189147039054</v>
      </c>
      <c r="P131" s="44">
        <f>I131*'GS&lt;50 PW'!$B$11</f>
        <v>-1.9723066266223299</v>
      </c>
      <c r="Q131" s="44">
        <f>'Customer Count'!G46</f>
        <v>5515.6509175769415</v>
      </c>
      <c r="R131" s="29">
        <f t="shared" si="14"/>
        <v>31</v>
      </c>
      <c r="S131" s="28">
        <f t="shared" ref="S131:S145" ca="1" si="21">SUM(K131:P131)*Q131*R131</f>
        <v>12629483.887840888</v>
      </c>
      <c r="V131" s="26"/>
    </row>
    <row r="132" spans="1:22" x14ac:dyDescent="0.2">
      <c r="A132" s="45">
        <v>44136</v>
      </c>
      <c r="B132" s="29">
        <f t="shared" si="19"/>
        <v>2020</v>
      </c>
      <c r="C132" s="29">
        <f t="shared" si="20"/>
        <v>11</v>
      </c>
      <c r="E132" s="46">
        <f t="shared" ca="1" si="18"/>
        <v>207.66000000000003</v>
      </c>
      <c r="F132" s="46">
        <f t="shared" ca="1" si="18"/>
        <v>1.0000000000000142E-2</v>
      </c>
      <c r="G132" s="29">
        <f t="shared" si="15"/>
        <v>131</v>
      </c>
      <c r="H132" s="223">
        <f>'Economic (2020 Adj.)'!R144</f>
        <v>2767.6471938411169</v>
      </c>
      <c r="I132" s="44">
        <f t="shared" si="16"/>
        <v>1</v>
      </c>
      <c r="K132" s="29">
        <f>'GS&lt;50 PW'!$B$6</f>
        <v>50.759309292559799</v>
      </c>
      <c r="L132" s="29">
        <f ca="1">E132*'GS&lt;50 PW'!$B$7</f>
        <v>6.3771519518257582</v>
      </c>
      <c r="M132" s="29">
        <f ca="1">F132*'GS&lt;50 PW'!$B$8</f>
        <v>7.8794912928665433E-4</v>
      </c>
      <c r="N132" s="29">
        <f>G132*'GS&lt;50 PW'!$B$9</f>
        <v>-12.623134443773731</v>
      </c>
      <c r="O132" s="29">
        <f>H132*'GS&lt;50 PW'!$B$10</f>
        <v>35.181587094300667</v>
      </c>
      <c r="P132" s="44">
        <f>I132*'GS&lt;50 PW'!$B$11</f>
        <v>-1.9723066266223299</v>
      </c>
      <c r="Q132" s="44">
        <f>'Customer Count'!G47</f>
        <v>5520.5432227688379</v>
      </c>
      <c r="R132" s="29">
        <f t="shared" si="14"/>
        <v>30</v>
      </c>
      <c r="S132" s="28">
        <f t="shared" ca="1" si="21"/>
        <v>12872260.881543268</v>
      </c>
      <c r="V132" s="26"/>
    </row>
    <row r="133" spans="1:22" x14ac:dyDescent="0.2">
      <c r="A133" s="45">
        <v>44166</v>
      </c>
      <c r="B133" s="29">
        <f t="shared" si="19"/>
        <v>2020</v>
      </c>
      <c r="C133" s="29">
        <f t="shared" si="20"/>
        <v>12</v>
      </c>
      <c r="E133" s="46">
        <f t="shared" ca="1" si="18"/>
        <v>351.65000000000003</v>
      </c>
      <c r="F133" s="46">
        <f t="shared" ca="1" si="18"/>
        <v>0</v>
      </c>
      <c r="G133" s="29">
        <f t="shared" si="15"/>
        <v>132</v>
      </c>
      <c r="H133" s="223">
        <f>'Economic (2020 Adj.)'!R145</f>
        <v>2782.4899519946475</v>
      </c>
      <c r="I133" s="44">
        <f t="shared" si="16"/>
        <v>0</v>
      </c>
      <c r="K133" s="29">
        <f>'GS&lt;50 PW'!$B$6</f>
        <v>50.759309292559799</v>
      </c>
      <c r="L133" s="29">
        <f ca="1">E133*'GS&lt;50 PW'!$B$7</f>
        <v>10.799024770584262</v>
      </c>
      <c r="M133" s="29">
        <f ca="1">F133*'GS&lt;50 PW'!$B$8</f>
        <v>0</v>
      </c>
      <c r="N133" s="29">
        <f>G133*'GS&lt;50 PW'!$B$9</f>
        <v>-12.719494248688035</v>
      </c>
      <c r="O133" s="29">
        <f>H133*'GS&lt;50 PW'!$B$10</f>
        <v>35.370264245730993</v>
      </c>
      <c r="P133" s="44">
        <f>I133*'GS&lt;50 PW'!$B$11</f>
        <v>0</v>
      </c>
      <c r="Q133" s="44">
        <f>'Customer Count'!G48</f>
        <v>5525.8852321860777</v>
      </c>
      <c r="R133" s="29">
        <f t="shared" si="14"/>
        <v>31</v>
      </c>
      <c r="S133" s="28">
        <f t="shared" ca="1" si="21"/>
        <v>14425225.180796051</v>
      </c>
      <c r="V133" s="26"/>
    </row>
    <row r="134" spans="1:22" x14ac:dyDescent="0.2">
      <c r="A134" s="45">
        <v>44197</v>
      </c>
      <c r="B134" s="29">
        <f t="shared" si="19"/>
        <v>2021</v>
      </c>
      <c r="C134" s="29">
        <f t="shared" si="20"/>
        <v>1</v>
      </c>
      <c r="E134" s="46">
        <f t="shared" ca="1" si="18"/>
        <v>477.14</v>
      </c>
      <c r="F134" s="46">
        <f t="shared" ca="1" si="18"/>
        <v>0</v>
      </c>
      <c r="G134" s="29">
        <f t="shared" si="15"/>
        <v>133</v>
      </c>
      <c r="H134" s="63">
        <f>Economic!F146</f>
        <v>3406.205865725</v>
      </c>
      <c r="I134" s="44">
        <f t="shared" si="16"/>
        <v>0</v>
      </c>
      <c r="K134" s="29">
        <f>'GS&lt;50 PW'!$B$6</f>
        <v>50.759309292559799</v>
      </c>
      <c r="L134" s="29">
        <f ca="1">E134*'GS&lt;50 PW'!$B$7</f>
        <v>14.652770308649437</v>
      </c>
      <c r="M134" s="29">
        <f ca="1">F134*'GS&lt;50 PW'!$B$8</f>
        <v>0</v>
      </c>
      <c r="N134" s="29">
        <f>G134*'GS&lt;50 PW'!$B$9</f>
        <v>-12.815854053602338</v>
      </c>
      <c r="O134" s="29">
        <f>H134*'GS&lt;50 PW'!$B$10</f>
        <v>43.298773265896742</v>
      </c>
      <c r="P134" s="44">
        <f>I134*'GS&lt;50 PW'!$B$11</f>
        <v>0</v>
      </c>
      <c r="Q134" s="44">
        <f>'Customer Count'!G49</f>
        <v>5537.3759381750942</v>
      </c>
      <c r="R134" s="29">
        <f t="shared" si="14"/>
        <v>31</v>
      </c>
      <c r="S134" s="28">
        <f t="shared" ca="1" si="21"/>
        <v>16461206.429657951</v>
      </c>
      <c r="V134" s="26"/>
    </row>
    <row r="135" spans="1:22" x14ac:dyDescent="0.2">
      <c r="A135" s="45">
        <v>44228</v>
      </c>
      <c r="B135" s="29">
        <f t="shared" si="19"/>
        <v>2021</v>
      </c>
      <c r="C135" s="29">
        <f t="shared" si="20"/>
        <v>2</v>
      </c>
      <c r="E135" s="46">
        <f t="shared" ca="1" si="18"/>
        <v>417.05</v>
      </c>
      <c r="F135" s="46">
        <f t="shared" ca="1" si="18"/>
        <v>0</v>
      </c>
      <c r="G135" s="29">
        <f t="shared" si="15"/>
        <v>134</v>
      </c>
      <c r="H135" s="63">
        <f>Economic!F147</f>
        <v>3423.6638120749999</v>
      </c>
      <c r="I135" s="44">
        <f t="shared" si="16"/>
        <v>0</v>
      </c>
      <c r="K135" s="29">
        <f>'GS&lt;50 PW'!$B$6</f>
        <v>50.759309292559799</v>
      </c>
      <c r="L135" s="29">
        <f ca="1">E135*'GS&lt;50 PW'!$B$7</f>
        <v>12.807431481792028</v>
      </c>
      <c r="M135" s="29">
        <f ca="1">F135*'GS&lt;50 PW'!$B$8</f>
        <v>0</v>
      </c>
      <c r="N135" s="29">
        <f>G135*'GS&lt;50 PW'!$B$9</f>
        <v>-12.91221385851664</v>
      </c>
      <c r="O135" s="29">
        <f>H135*'GS&lt;50 PW'!$B$10</f>
        <v>43.520693986632729</v>
      </c>
      <c r="P135" s="44">
        <f>I135*'GS&lt;50 PW'!$B$11</f>
        <v>0</v>
      </c>
      <c r="Q135" s="44">
        <f>'Customer Count'!G50</f>
        <v>5542.2875131562969</v>
      </c>
      <c r="R135" s="29">
        <f t="shared" si="14"/>
        <v>28</v>
      </c>
      <c r="S135" s="28">
        <f t="shared" ca="1" si="21"/>
        <v>14614492.223981546</v>
      </c>
      <c r="V135" s="26"/>
    </row>
    <row r="136" spans="1:22" x14ac:dyDescent="0.2">
      <c r="A136" s="45">
        <v>44256</v>
      </c>
      <c r="B136" s="29">
        <f t="shared" si="19"/>
        <v>2021</v>
      </c>
      <c r="C136" s="29">
        <f t="shared" si="20"/>
        <v>3</v>
      </c>
      <c r="E136" s="46">
        <f t="shared" ca="1" si="18"/>
        <v>332.70999999999992</v>
      </c>
      <c r="F136" s="46">
        <f t="shared" ca="1" si="18"/>
        <v>0</v>
      </c>
      <c r="G136" s="29">
        <f t="shared" si="15"/>
        <v>135</v>
      </c>
      <c r="H136" s="63">
        <f>Economic!F148</f>
        <v>3442.0247556499994</v>
      </c>
      <c r="I136" s="44">
        <f t="shared" si="16"/>
        <v>1</v>
      </c>
      <c r="K136" s="29">
        <f>'GS&lt;50 PW'!$B$6</f>
        <v>50.759309292559799</v>
      </c>
      <c r="L136" s="29">
        <f ca="1">E136*'GS&lt;50 PW'!$B$7</f>
        <v>10.217385273485252</v>
      </c>
      <c r="M136" s="29">
        <f ca="1">F136*'GS&lt;50 PW'!$B$8</f>
        <v>0</v>
      </c>
      <c r="N136" s="29">
        <f>G136*'GS&lt;50 PW'!$B$9</f>
        <v>-13.008573663430944</v>
      </c>
      <c r="O136" s="29">
        <f>H136*'GS&lt;50 PW'!$B$10</f>
        <v>43.754093365337816</v>
      </c>
      <c r="P136" s="44">
        <f>I136*'GS&lt;50 PW'!$B$11</f>
        <v>-1.9723066266223299</v>
      </c>
      <c r="Q136" s="44">
        <f>'Customer Count'!G51</f>
        <v>5547.2034446357875</v>
      </c>
      <c r="R136" s="29">
        <f t="shared" si="14"/>
        <v>31</v>
      </c>
      <c r="S136" s="28">
        <f t="shared" ca="1" si="21"/>
        <v>15433690.901535546</v>
      </c>
      <c r="V136" s="26"/>
    </row>
    <row r="137" spans="1:22" x14ac:dyDescent="0.2">
      <c r="A137" s="45">
        <v>44287</v>
      </c>
      <c r="B137" s="29">
        <f t="shared" si="19"/>
        <v>2021</v>
      </c>
      <c r="C137" s="29">
        <f t="shared" si="20"/>
        <v>4</v>
      </c>
      <c r="E137" s="46">
        <f t="shared" ca="1" si="18"/>
        <v>164.53999999999996</v>
      </c>
      <c r="F137" s="46">
        <f t="shared" ca="1" si="18"/>
        <v>0.16999999999999993</v>
      </c>
      <c r="G137" s="29">
        <f t="shared" si="15"/>
        <v>136</v>
      </c>
      <c r="H137" s="63">
        <f>Economic!F149</f>
        <v>3459.3823689750002</v>
      </c>
      <c r="I137" s="44">
        <f t="shared" si="16"/>
        <v>1</v>
      </c>
      <c r="K137" s="29">
        <f>'GS&lt;50 PW'!$B$6</f>
        <v>50.759309292559799</v>
      </c>
      <c r="L137" s="29">
        <f ca="1">E137*'GS&lt;50 PW'!$B$7</f>
        <v>5.0529547440691998</v>
      </c>
      <c r="M137" s="29">
        <f ca="1">F137*'GS&lt;50 PW'!$B$8</f>
        <v>1.3395135197872927E-2</v>
      </c>
      <c r="N137" s="29">
        <f>G137*'GS&lt;50 PW'!$B$9</f>
        <v>-13.104933468345248</v>
      </c>
      <c r="O137" s="29">
        <f>H137*'GS&lt;50 PW'!$B$10</f>
        <v>43.9747386796328</v>
      </c>
      <c r="P137" s="44">
        <f>I137*'GS&lt;50 PW'!$B$11</f>
        <v>-1.9723066266223299</v>
      </c>
      <c r="Q137" s="44">
        <f>'Customer Count'!G52</f>
        <v>5552.1237364777198</v>
      </c>
      <c r="R137" s="29">
        <f t="shared" si="14"/>
        <v>30</v>
      </c>
      <c r="S137" s="28">
        <f t="shared" ca="1" si="21"/>
        <v>14111803.656274987</v>
      </c>
    </row>
    <row r="138" spans="1:22" x14ac:dyDescent="0.2">
      <c r="A138" s="45">
        <v>44317</v>
      </c>
      <c r="B138" s="29">
        <f t="shared" si="19"/>
        <v>2021</v>
      </c>
      <c r="C138" s="29">
        <f t="shared" si="20"/>
        <v>5</v>
      </c>
      <c r="E138" s="46">
        <f t="shared" ca="1" si="18"/>
        <v>35.92</v>
      </c>
      <c r="F138" s="46">
        <f t="shared" ca="1" si="18"/>
        <v>30.080000000000002</v>
      </c>
      <c r="G138" s="29">
        <f t="shared" si="15"/>
        <v>137</v>
      </c>
      <c r="H138" s="63">
        <f>Economic!F150</f>
        <v>3473.2283264249995</v>
      </c>
      <c r="I138" s="44">
        <f t="shared" si="16"/>
        <v>1</v>
      </c>
      <c r="K138" s="29">
        <f>'GS&lt;50 PW'!$B$6</f>
        <v>50.759309292559799</v>
      </c>
      <c r="L138" s="29">
        <f ca="1">E138*'GS&lt;50 PW'!$B$7</f>
        <v>1.103088212027262</v>
      </c>
      <c r="M138" s="29">
        <f ca="1">F138*'GS&lt;50 PW'!$B$8</f>
        <v>2.3701509808942225</v>
      </c>
      <c r="N138" s="29">
        <f>G138*'GS&lt;50 PW'!$B$9</f>
        <v>-13.201293273259552</v>
      </c>
      <c r="O138" s="29">
        <f>H138*'GS&lt;50 PW'!$B$10</f>
        <v>44.150744768492366</v>
      </c>
      <c r="P138" s="44">
        <f>I138*'GS&lt;50 PW'!$B$11</f>
        <v>-1.9723066266223299</v>
      </c>
      <c r="Q138" s="44">
        <f>'Customer Count'!G53</f>
        <v>5557.0483925496737</v>
      </c>
      <c r="R138" s="29">
        <f t="shared" si="14"/>
        <v>31</v>
      </c>
      <c r="S138" s="28">
        <f t="shared" ca="1" si="21"/>
        <v>14334409.073635116</v>
      </c>
    </row>
    <row r="139" spans="1:22" x14ac:dyDescent="0.2">
      <c r="A139" s="45">
        <v>44348</v>
      </c>
      <c r="B139" s="29">
        <f t="shared" si="19"/>
        <v>2021</v>
      </c>
      <c r="C139" s="29">
        <f t="shared" si="20"/>
        <v>6</v>
      </c>
      <c r="E139" s="46">
        <f t="shared" ca="1" si="18"/>
        <v>0.37999999999999989</v>
      </c>
      <c r="F139" s="46">
        <f t="shared" ca="1" si="18"/>
        <v>94.58</v>
      </c>
      <c r="G139" s="29">
        <f t="shared" si="15"/>
        <v>138</v>
      </c>
      <c r="H139" s="63">
        <f>Economic!F151</f>
        <v>3483.9639601000003</v>
      </c>
      <c r="I139" s="44">
        <f t="shared" si="16"/>
        <v>0</v>
      </c>
      <c r="K139" s="29">
        <f>'GS&lt;50 PW'!$B$6</f>
        <v>50.759309292559799</v>
      </c>
      <c r="L139" s="29">
        <f ca="1">E139*'GS&lt;50 PW'!$B$7</f>
        <v>1.1669641441268358E-2</v>
      </c>
      <c r="M139" s="29">
        <f ca="1">F139*'GS&lt;50 PW'!$B$8</f>
        <v>7.4524228647930704</v>
      </c>
      <c r="N139" s="29">
        <f>G139*'GS&lt;50 PW'!$B$9</f>
        <v>-13.297653078173855</v>
      </c>
      <c r="O139" s="29">
        <f>H139*'GS&lt;50 PW'!$B$10</f>
        <v>44.287213257680598</v>
      </c>
      <c r="P139" s="44">
        <f>I139*'GS&lt;50 PW'!$B$11</f>
        <v>0</v>
      </c>
      <c r="Q139" s="44">
        <f>'Customer Count'!G54</f>
        <v>5561.9774167226606</v>
      </c>
      <c r="R139" s="29">
        <f t="shared" si="14"/>
        <v>30</v>
      </c>
      <c r="S139" s="28">
        <f t="shared" ca="1" si="21"/>
        <v>14886014.394067407</v>
      </c>
    </row>
    <row r="140" spans="1:22" x14ac:dyDescent="0.2">
      <c r="A140" s="45">
        <v>44378</v>
      </c>
      <c r="B140" s="29">
        <f t="shared" si="19"/>
        <v>2021</v>
      </c>
      <c r="C140" s="29">
        <f t="shared" si="20"/>
        <v>7</v>
      </c>
      <c r="E140" s="46">
        <f t="shared" ca="1" si="18"/>
        <v>0</v>
      </c>
      <c r="F140" s="46">
        <f t="shared" ca="1" si="18"/>
        <v>206.28000000000003</v>
      </c>
      <c r="G140" s="29">
        <f t="shared" si="15"/>
        <v>139</v>
      </c>
      <c r="H140" s="63">
        <f>Economic!F152</f>
        <v>3499.1142468749999</v>
      </c>
      <c r="I140" s="44">
        <f t="shared" si="16"/>
        <v>0</v>
      </c>
      <c r="K140" s="29">
        <f>'GS&lt;50 PW'!$B$6</f>
        <v>50.759309292559799</v>
      </c>
      <c r="L140" s="29">
        <f ca="1">E140*'GS&lt;50 PW'!$B$7</f>
        <v>0</v>
      </c>
      <c r="M140" s="29">
        <f ca="1">F140*'GS&lt;50 PW'!$B$8</f>
        <v>16.253814638924876</v>
      </c>
      <c r="N140" s="29">
        <f>G140*'GS&lt;50 PW'!$B$9</f>
        <v>-13.394012883088157</v>
      </c>
      <c r="O140" s="29">
        <f>H140*'GS&lt;50 PW'!$B$10</f>
        <v>44.47979963027332</v>
      </c>
      <c r="P140" s="44">
        <f>I140*'GS&lt;50 PW'!$B$11</f>
        <v>0</v>
      </c>
      <c r="Q140" s="44">
        <f>'Customer Count'!G55</f>
        <v>5566.9108128711241</v>
      </c>
      <c r="R140" s="29">
        <f t="shared" si="14"/>
        <v>31</v>
      </c>
      <c r="S140" s="28">
        <f t="shared" ca="1" si="21"/>
        <v>16929344.484226935</v>
      </c>
    </row>
    <row r="141" spans="1:22" x14ac:dyDescent="0.2">
      <c r="A141" s="45">
        <v>44409</v>
      </c>
      <c r="B141" s="29">
        <f t="shared" si="19"/>
        <v>2021</v>
      </c>
      <c r="C141" s="29">
        <f t="shared" si="20"/>
        <v>8</v>
      </c>
      <c r="E141" s="46">
        <f t="shared" ca="1" si="18"/>
        <v>0</v>
      </c>
      <c r="F141" s="46">
        <f t="shared" ca="1" si="18"/>
        <v>177.64000000000001</v>
      </c>
      <c r="G141" s="29">
        <f t="shared" si="15"/>
        <v>140</v>
      </c>
      <c r="H141" s="63">
        <f>Economic!F153</f>
        <v>3511.7562080249995</v>
      </c>
      <c r="I141" s="44">
        <f t="shared" si="16"/>
        <v>0</v>
      </c>
      <c r="K141" s="29">
        <f>'GS&lt;50 PW'!$B$6</f>
        <v>50.759309292559799</v>
      </c>
      <c r="L141" s="29">
        <f ca="1">E141*'GS&lt;50 PW'!$B$7</f>
        <v>0</v>
      </c>
      <c r="M141" s="29">
        <f ca="1">F141*'GS&lt;50 PW'!$B$8</f>
        <v>13.997128332647929</v>
      </c>
      <c r="N141" s="29">
        <f>G141*'GS&lt;50 PW'!$B$9</f>
        <v>-13.490372688002461</v>
      </c>
      <c r="O141" s="29">
        <f>H141*'GS&lt;50 PW'!$B$10</f>
        <v>44.640500841840755</v>
      </c>
      <c r="P141" s="44">
        <f>I141*'GS&lt;50 PW'!$B$11</f>
        <v>0</v>
      </c>
      <c r="Q141" s="44">
        <f>'Customer Count'!G56</f>
        <v>5571.848584872946</v>
      </c>
      <c r="R141" s="29">
        <f t="shared" si="14"/>
        <v>31</v>
      </c>
      <c r="S141" s="28">
        <f t="shared" ca="1" si="21"/>
        <v>16565682.74729605</v>
      </c>
    </row>
    <row r="142" spans="1:22" x14ac:dyDescent="0.2">
      <c r="A142" s="45">
        <v>44440</v>
      </c>
      <c r="B142" s="29">
        <f t="shared" si="19"/>
        <v>2021</v>
      </c>
      <c r="C142" s="29">
        <f t="shared" si="20"/>
        <v>9</v>
      </c>
      <c r="E142" s="46">
        <f t="shared" ref="E142:F145" ca="1" si="22">E130</f>
        <v>0.49000000000000005</v>
      </c>
      <c r="F142" s="46">
        <f t="shared" ca="1" si="22"/>
        <v>85.65</v>
      </c>
      <c r="G142" s="29">
        <f t="shared" si="15"/>
        <v>141</v>
      </c>
      <c r="H142" s="63">
        <f>Economic!F154</f>
        <v>3534.6321377249997</v>
      </c>
      <c r="I142" s="44">
        <f t="shared" si="16"/>
        <v>1</v>
      </c>
      <c r="K142" s="29">
        <f>'GS&lt;50 PW'!$B$6</f>
        <v>50.759309292559799</v>
      </c>
      <c r="L142" s="29">
        <f ca="1">E142*'GS&lt;50 PW'!$B$7</f>
        <v>1.5047695542688151E-2</v>
      </c>
      <c r="M142" s="29">
        <f ca="1">F142*'GS&lt;50 PW'!$B$8</f>
        <v>6.7487842923400985</v>
      </c>
      <c r="N142" s="29">
        <f>G142*'GS&lt;50 PW'!$B$9</f>
        <v>-13.586732492916765</v>
      </c>
      <c r="O142" s="29">
        <f>H142*'GS&lt;50 PW'!$B$10</f>
        <v>44.931293510391363</v>
      </c>
      <c r="P142" s="44">
        <f>I142*'GS&lt;50 PW'!$B$11</f>
        <v>-1.9723066266223299</v>
      </c>
      <c r="Q142" s="44">
        <f>'Customer Count'!G57</f>
        <v>5576.7907366094469</v>
      </c>
      <c r="R142" s="29">
        <f t="shared" si="14"/>
        <v>30</v>
      </c>
      <c r="S142" s="28">
        <f t="shared" ca="1" si="21"/>
        <v>14537923.129010696</v>
      </c>
    </row>
    <row r="143" spans="1:22" x14ac:dyDescent="0.2">
      <c r="A143" s="45">
        <v>44470</v>
      </c>
      <c r="B143" s="29">
        <f t="shared" si="19"/>
        <v>2021</v>
      </c>
      <c r="C143" s="29">
        <f t="shared" si="20"/>
        <v>10</v>
      </c>
      <c r="E143" s="46">
        <f t="shared" ca="1" si="22"/>
        <v>53.33000000000002</v>
      </c>
      <c r="F143" s="46">
        <f t="shared" ca="1" si="22"/>
        <v>12.219999999999999</v>
      </c>
      <c r="G143" s="29">
        <f t="shared" si="15"/>
        <v>142</v>
      </c>
      <c r="H143" s="63">
        <f>Economic!F155</f>
        <v>3537.2407963749997</v>
      </c>
      <c r="I143" s="44">
        <f t="shared" si="16"/>
        <v>1</v>
      </c>
      <c r="K143" s="29">
        <f>'GS&lt;50 PW'!$B$6</f>
        <v>50.759309292559799</v>
      </c>
      <c r="L143" s="29">
        <f ca="1">E143*'GS&lt;50 PW'!$B$7</f>
        <v>1.6377420475337947</v>
      </c>
      <c r="M143" s="29">
        <f ca="1">F143*'GS&lt;50 PW'!$B$8</f>
        <v>0.96287383598827769</v>
      </c>
      <c r="N143" s="29">
        <f>G143*'GS&lt;50 PW'!$B$9</f>
        <v>-13.683092297831067</v>
      </c>
      <c r="O143" s="29">
        <f>H143*'GS&lt;50 PW'!$B$10</f>
        <v>44.96445407785766</v>
      </c>
      <c r="P143" s="44">
        <f>I143*'GS&lt;50 PW'!$B$11</f>
        <v>-1.9723066266223299</v>
      </c>
      <c r="Q143" s="44">
        <f>'Customer Count'!G58</f>
        <v>5581.7372719653904</v>
      </c>
      <c r="R143" s="29">
        <f t="shared" si="14"/>
        <v>31</v>
      </c>
      <c r="S143" s="28">
        <f t="shared" ca="1" si="21"/>
        <v>14304532.390954461</v>
      </c>
    </row>
    <row r="144" spans="1:22" x14ac:dyDescent="0.2">
      <c r="A144" s="45">
        <v>44501</v>
      </c>
      <c r="B144" s="29">
        <f t="shared" si="19"/>
        <v>2021</v>
      </c>
      <c r="C144" s="29">
        <f t="shared" si="20"/>
        <v>11</v>
      </c>
      <c r="E144" s="46">
        <f t="shared" ca="1" si="22"/>
        <v>207.66000000000003</v>
      </c>
      <c r="F144" s="46">
        <f t="shared" ca="1" si="22"/>
        <v>1.0000000000000142E-2</v>
      </c>
      <c r="G144" s="29">
        <f t="shared" si="15"/>
        <v>143</v>
      </c>
      <c r="H144" s="63">
        <f>Economic!F156</f>
        <v>3543.4614439249999</v>
      </c>
      <c r="I144" s="44">
        <f t="shared" si="16"/>
        <v>1</v>
      </c>
      <c r="K144" s="29">
        <f>'GS&lt;50 PW'!$B$6</f>
        <v>50.759309292559799</v>
      </c>
      <c r="L144" s="29">
        <f ca="1">E144*'GS&lt;50 PW'!$B$7</f>
        <v>6.3771519518257582</v>
      </c>
      <c r="M144" s="29">
        <f ca="1">F144*'GS&lt;50 PW'!$B$8</f>
        <v>7.8794912928665433E-4</v>
      </c>
      <c r="N144" s="29">
        <f>G144*'GS&lt;50 PW'!$B$9</f>
        <v>-13.77945210274537</v>
      </c>
      <c r="O144" s="29">
        <f>H144*'GS&lt;50 PW'!$B$10</f>
        <v>45.043529277200371</v>
      </c>
      <c r="P144" s="44">
        <f>I144*'GS&lt;50 PW'!$B$11</f>
        <v>-1.9723066266223299</v>
      </c>
      <c r="Q144" s="44">
        <f>'Customer Count'!G59</f>
        <v>5586.6881948289856</v>
      </c>
      <c r="R144" s="29">
        <f t="shared" si="14"/>
        <v>30</v>
      </c>
      <c r="S144" s="28">
        <f t="shared" ca="1" si="21"/>
        <v>14485559.528388828</v>
      </c>
    </row>
    <row r="145" spans="1:19" x14ac:dyDescent="0.2">
      <c r="A145" s="45">
        <v>44531</v>
      </c>
      <c r="B145" s="29">
        <f t="shared" si="19"/>
        <v>2021</v>
      </c>
      <c r="C145" s="29">
        <f t="shared" si="20"/>
        <v>12</v>
      </c>
      <c r="E145" s="46">
        <f t="shared" ca="1" si="22"/>
        <v>351.65000000000003</v>
      </c>
      <c r="F145" s="46">
        <f t="shared" ca="1" si="22"/>
        <v>0</v>
      </c>
      <c r="G145" s="29">
        <f t="shared" si="15"/>
        <v>144</v>
      </c>
      <c r="H145" s="63">
        <f>Economic!F157</f>
        <v>3543.7624430000001</v>
      </c>
      <c r="I145" s="44">
        <f t="shared" si="16"/>
        <v>0</v>
      </c>
      <c r="K145" s="29">
        <f>'GS&lt;50 PW'!$B$6</f>
        <v>50.759309292559799</v>
      </c>
      <c r="L145" s="29">
        <f ca="1">E145*'GS&lt;50 PW'!$B$7</f>
        <v>10.799024770584262</v>
      </c>
      <c r="M145" s="29">
        <f ca="1">F145*'GS&lt;50 PW'!$B$8</f>
        <v>0</v>
      </c>
      <c r="N145" s="29">
        <f>G145*'GS&lt;50 PW'!$B$9</f>
        <v>-13.875811907659674</v>
      </c>
      <c r="O145" s="29">
        <f>H145*'GS&lt;50 PW'!$B$10</f>
        <v>45.047355496523402</v>
      </c>
      <c r="P145" s="44">
        <f>I145*'GS&lt;50 PW'!$B$11</f>
        <v>0</v>
      </c>
      <c r="Q145" s="44">
        <f>'Customer Count'!G60</f>
        <v>5591.6435090918903</v>
      </c>
      <c r="R145" s="29">
        <f t="shared" si="14"/>
        <v>31</v>
      </c>
      <c r="S145" s="28">
        <f t="shared" ca="1" si="21"/>
        <v>16073884.972623769</v>
      </c>
    </row>
    <row r="146" spans="1:19" x14ac:dyDescent="0.2">
      <c r="A146" s="45"/>
    </row>
    <row r="147" spans="1:19" x14ac:dyDescent="0.2">
      <c r="A147" s="45"/>
    </row>
    <row r="148" spans="1:19" x14ac:dyDescent="0.2">
      <c r="A148" s="45"/>
    </row>
    <row r="149" spans="1:19" x14ac:dyDescent="0.2">
      <c r="A149" s="45"/>
    </row>
    <row r="150" spans="1:19" x14ac:dyDescent="0.2">
      <c r="A150" s="45"/>
    </row>
    <row r="151" spans="1:19" x14ac:dyDescent="0.2">
      <c r="A151" s="45"/>
    </row>
    <row r="152" spans="1:19" x14ac:dyDescent="0.2">
      <c r="A152" s="45"/>
    </row>
    <row r="153" spans="1:19" x14ac:dyDescent="0.2">
      <c r="A153" s="45"/>
    </row>
    <row r="154" spans="1:19" x14ac:dyDescent="0.2">
      <c r="A154" s="45"/>
    </row>
    <row r="155" spans="1:19" x14ac:dyDescent="0.2">
      <c r="A155" s="45"/>
    </row>
    <row r="156" spans="1:19" x14ac:dyDescent="0.2">
      <c r="A156" s="45"/>
    </row>
    <row r="157" spans="1:19" x14ac:dyDescent="0.2">
      <c r="A157" s="45"/>
    </row>
    <row r="158" spans="1:19" x14ac:dyDescent="0.2">
      <c r="A158" s="45"/>
    </row>
    <row r="159" spans="1:19" x14ac:dyDescent="0.2">
      <c r="A159" s="45"/>
    </row>
    <row r="160" spans="1:19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9"/>
  <dimension ref="A1:X183"/>
  <sheetViews>
    <sheetView topLeftCell="A115" workbookViewId="0">
      <selection activeCell="H121" sqref="H121"/>
    </sheetView>
  </sheetViews>
  <sheetFormatPr defaultRowHeight="12.75" x14ac:dyDescent="0.2"/>
  <cols>
    <col min="1" max="3" width="9.33203125" style="29"/>
    <col min="4" max="4" width="17.5" style="29" customWidth="1"/>
    <col min="5" max="5" width="16.5" style="29" bestFit="1" customWidth="1"/>
    <col min="6" max="11" width="9.33203125" style="29"/>
    <col min="12" max="12" width="11.83203125" style="29" bestFit="1" customWidth="1"/>
    <col min="13" max="13" width="10.1640625" style="29" bestFit="1" customWidth="1"/>
    <col min="14" max="14" width="9.33203125" style="29"/>
    <col min="15" max="15" width="12.5" style="29" bestFit="1" customWidth="1"/>
    <col min="16" max="18" width="12.5" style="29" customWidth="1"/>
    <col min="19" max="19" width="9.33203125" style="29"/>
    <col min="20" max="20" width="14.1640625" style="29" bestFit="1" customWidth="1"/>
    <col min="21" max="21" width="9.33203125" style="29"/>
    <col min="22" max="22" width="13.83203125" style="29" bestFit="1" customWidth="1"/>
    <col min="23" max="23" width="12.5" style="29" bestFit="1" customWidth="1"/>
    <col min="24" max="16384" width="9.33203125" style="29"/>
  </cols>
  <sheetData>
    <row r="1" spans="1:20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Data'!M1</f>
        <v>GS_gt_50_NoCDM</v>
      </c>
      <c r="E1" s="44" t="str">
        <f>'Monthly Data'!BQ1</f>
        <v>AvgGSgt50MD</v>
      </c>
      <c r="F1" s="46" t="str">
        <f>'Monthly Data'!AJ1</f>
        <v>HDD14</v>
      </c>
      <c r="G1" s="46" t="str">
        <f>'Monthly Data'!AK1</f>
        <v>CDD14</v>
      </c>
      <c r="H1" s="46" t="str">
        <f>'Monthly Data'!V1</f>
        <v>GDP</v>
      </c>
      <c r="I1" s="46" t="str">
        <f>'Monthly Data'!BG1</f>
        <v>Trend</v>
      </c>
      <c r="J1" s="46" t="str">
        <f>'Monthly Data'!BC1</f>
        <v>Dec</v>
      </c>
      <c r="L1" s="29" t="s">
        <v>76</v>
      </c>
      <c r="M1" s="46" t="str">
        <f>F1</f>
        <v>HDD14</v>
      </c>
      <c r="N1" s="46" t="str">
        <f t="shared" ref="N1:O1" si="0">G1</f>
        <v>CDD14</v>
      </c>
      <c r="O1" s="46" t="str">
        <f t="shared" si="0"/>
        <v>GDP</v>
      </c>
      <c r="P1" s="46" t="str">
        <f t="shared" ref="P1" si="1">I1</f>
        <v>Trend</v>
      </c>
      <c r="Q1" s="46" t="str">
        <f t="shared" ref="Q1" si="2">J1</f>
        <v>Dec</v>
      </c>
      <c r="R1" s="46" t="str">
        <f>'Monthly Data'!O1</f>
        <v>GS_gt_50_Customers</v>
      </c>
      <c r="S1" s="46" t="str">
        <f>'Monthly Data'!BH1</f>
        <v>Month Days</v>
      </c>
      <c r="T1" s="29" t="s">
        <v>123</v>
      </c>
    </row>
    <row r="2" spans="1:20" x14ac:dyDescent="0.2">
      <c r="A2" s="45">
        <f>'Monthly Data'!A2</f>
        <v>40179</v>
      </c>
      <c r="B2" s="29">
        <f t="shared" ref="B2:B65" si="3">YEAR(A2)</f>
        <v>2010</v>
      </c>
      <c r="C2" s="29">
        <f t="shared" ref="C2:C65" si="4">MONTH(A2)</f>
        <v>1</v>
      </c>
      <c r="D2" s="44">
        <f>'Monthly Data'!M2</f>
        <v>77865432</v>
      </c>
      <c r="E2" s="44">
        <f>'Monthly Data'!BQ2</f>
        <v>2565.6671389502126</v>
      </c>
      <c r="F2" s="46">
        <f ca="1">Weather!AX61</f>
        <v>539.1400000000001</v>
      </c>
      <c r="G2" s="46">
        <f ca="1">Weather!AY61</f>
        <v>0</v>
      </c>
      <c r="H2" s="46">
        <f>'Monthly Data'!V2</f>
        <v>609770.30000000005</v>
      </c>
      <c r="I2" s="46">
        <f>'Monthly Data'!BG2</f>
        <v>1</v>
      </c>
      <c r="J2" s="46">
        <f>'Monthly Data'!BC2</f>
        <v>0</v>
      </c>
      <c r="L2" s="29">
        <f>'GS&gt;50 PW'!$B$6</f>
        <v>556.26088485683897</v>
      </c>
      <c r="M2" s="29">
        <f ca="1">F2*'GS&gt;50 PW'!$B$7</f>
        <v>245.42201004517693</v>
      </c>
      <c r="N2" s="29">
        <f ca="1">G2*'GS&gt;50 PW'!$B$8</f>
        <v>0</v>
      </c>
      <c r="O2" s="29">
        <f>H2*'GS&gt;50 PW'!$B$9</f>
        <v>1783.4683562761159</v>
      </c>
      <c r="P2" s="29">
        <f>I2*'GS&gt;50 PW'!$B$10</f>
        <v>-3.5783154252662701</v>
      </c>
      <c r="Q2" s="29">
        <f>J2*'GS&gt;50 PW'!$B$11</f>
        <v>0</v>
      </c>
      <c r="R2" s="46">
        <f>'Monthly Data'!O2</f>
        <v>979</v>
      </c>
      <c r="S2" s="46">
        <f>'Monthly Data'!BH2</f>
        <v>31</v>
      </c>
      <c r="T2" s="28">
        <f ca="1">SUM(L2:Q2)*R2*S2</f>
        <v>78348157.027163714</v>
      </c>
    </row>
    <row r="3" spans="1:20" x14ac:dyDescent="0.2">
      <c r="A3" s="45">
        <f>'Monthly Data'!A3</f>
        <v>40210</v>
      </c>
      <c r="B3" s="29">
        <f t="shared" si="3"/>
        <v>2010</v>
      </c>
      <c r="C3" s="29">
        <f t="shared" si="4"/>
        <v>2</v>
      </c>
      <c r="D3" s="44">
        <f>'Monthly Data'!M3</f>
        <v>70892677</v>
      </c>
      <c r="E3" s="44">
        <f>'Monthly Data'!BQ3</f>
        <v>2588.8357069821795</v>
      </c>
      <c r="F3" s="46">
        <f ca="1">Weather!AX62</f>
        <v>473.45</v>
      </c>
      <c r="G3" s="46">
        <f ca="1">Weather!AY62</f>
        <v>0</v>
      </c>
      <c r="H3" s="46">
        <f>'Monthly Data'!V3</f>
        <v>609770.30000000005</v>
      </c>
      <c r="I3" s="46">
        <f>'Monthly Data'!BG3</f>
        <v>2</v>
      </c>
      <c r="J3" s="46">
        <f>'Monthly Data'!BC3</f>
        <v>0</v>
      </c>
      <c r="L3" s="29">
        <f>'GS&gt;50 PW'!$B$6</f>
        <v>556.26088485683897</v>
      </c>
      <c r="M3" s="29">
        <f ca="1">F3*'GS&gt;50 PW'!$B$7</f>
        <v>215.51925410076973</v>
      </c>
      <c r="N3" s="29">
        <f ca="1">G3*'GS&gt;50 PW'!$B$8</f>
        <v>0</v>
      </c>
      <c r="O3" s="29">
        <f>H3*'GS&gt;50 PW'!$B$9</f>
        <v>1783.4683562761159</v>
      </c>
      <c r="P3" s="29">
        <f>I3*'GS&gt;50 PW'!$B$10</f>
        <v>-7.1566308505325402</v>
      </c>
      <c r="Q3" s="29">
        <f>J3*'GS&gt;50 PW'!$B$11</f>
        <v>0</v>
      </c>
      <c r="R3" s="46">
        <f>'Monthly Data'!O3</f>
        <v>978</v>
      </c>
      <c r="S3" s="46">
        <f>'Monthly Data'!BH3</f>
        <v>28</v>
      </c>
      <c r="T3" s="28">
        <f t="shared" ref="T3:T66" ca="1" si="5">SUM(L3:Q3)*R3*S3</f>
        <v>69776947.614269331</v>
      </c>
    </row>
    <row r="4" spans="1:20" x14ac:dyDescent="0.2">
      <c r="A4" s="45">
        <f>'Monthly Data'!A4</f>
        <v>40238</v>
      </c>
      <c r="B4" s="29">
        <f t="shared" si="3"/>
        <v>2010</v>
      </c>
      <c r="C4" s="29">
        <f t="shared" si="4"/>
        <v>3</v>
      </c>
      <c r="D4" s="44">
        <f>'Monthly Data'!M4</f>
        <v>76083324</v>
      </c>
      <c r="E4" s="44">
        <f>'Monthly Data'!BQ4</f>
        <v>2496.7454467889606</v>
      </c>
      <c r="F4" s="46">
        <f ca="1">Weather!AX63</f>
        <v>394.31999999999988</v>
      </c>
      <c r="G4" s="46">
        <f ca="1">Weather!AY63</f>
        <v>3.0000000000000072E-2</v>
      </c>
      <c r="H4" s="46">
        <f>'Monthly Data'!V4</f>
        <v>609770.30000000005</v>
      </c>
      <c r="I4" s="46">
        <f>'Monthly Data'!BG4</f>
        <v>3</v>
      </c>
      <c r="J4" s="46">
        <f>'Monthly Data'!BC4</f>
        <v>0</v>
      </c>
      <c r="L4" s="29">
        <f>'GS&gt;50 PW'!$B$6</f>
        <v>556.26088485683897</v>
      </c>
      <c r="M4" s="29">
        <f ca="1">F4*'GS&gt;50 PW'!$B$7</f>
        <v>179.49847349670608</v>
      </c>
      <c r="N4" s="29">
        <f ca="1">G4*'GS&gt;50 PW'!$B$8</f>
        <v>4.6437485801708811E-2</v>
      </c>
      <c r="O4" s="29">
        <f>H4*'GS&gt;50 PW'!$B$9</f>
        <v>1783.4683562761159</v>
      </c>
      <c r="P4" s="29">
        <f>I4*'GS&gt;50 PW'!$B$10</f>
        <v>-10.73494627579881</v>
      </c>
      <c r="Q4" s="29">
        <f>J4*'GS&gt;50 PW'!$B$11</f>
        <v>0</v>
      </c>
      <c r="R4" s="46">
        <f>'Monthly Data'!O4</f>
        <v>983</v>
      </c>
      <c r="S4" s="46">
        <f>'Monthly Data'!BH4</f>
        <v>31</v>
      </c>
      <c r="T4" s="28">
        <f t="shared" ca="1" si="5"/>
        <v>76442715.21955207</v>
      </c>
    </row>
    <row r="5" spans="1:20" x14ac:dyDescent="0.2">
      <c r="A5" s="45">
        <f>'Monthly Data'!A5</f>
        <v>40269</v>
      </c>
      <c r="B5" s="29">
        <f t="shared" si="3"/>
        <v>2010</v>
      </c>
      <c r="C5" s="29">
        <f t="shared" si="4"/>
        <v>4</v>
      </c>
      <c r="D5" s="44">
        <f>'Monthly Data'!M5</f>
        <v>70016664</v>
      </c>
      <c r="E5" s="44">
        <f>'Monthly Data'!BQ5</f>
        <v>2347.9766599597583</v>
      </c>
      <c r="F5" s="46">
        <f ca="1">Weather!AX64</f>
        <v>220.23999999999995</v>
      </c>
      <c r="G5" s="46">
        <f ca="1">Weather!AY64</f>
        <v>1.45</v>
      </c>
      <c r="H5" s="46">
        <f>'Monthly Data'!V5</f>
        <v>609770.30000000005</v>
      </c>
      <c r="I5" s="46">
        <f>'Monthly Data'!BG5</f>
        <v>4</v>
      </c>
      <c r="J5" s="46">
        <f>'Monthly Data'!BC5</f>
        <v>0</v>
      </c>
      <c r="L5" s="29">
        <f>'GS&gt;50 PW'!$B$6</f>
        <v>556.26088485683897</v>
      </c>
      <c r="M5" s="29">
        <f ca="1">F5*'GS&gt;50 PW'!$B$7</f>
        <v>100.25548742877498</v>
      </c>
      <c r="N5" s="29">
        <f ca="1">G5*'GS&gt;50 PW'!$B$8</f>
        <v>2.2444784804159204</v>
      </c>
      <c r="O5" s="29">
        <f>H5*'GS&gt;50 PW'!$B$9</f>
        <v>1783.4683562761159</v>
      </c>
      <c r="P5" s="29">
        <f>I5*'GS&gt;50 PW'!$B$10</f>
        <v>-14.31326170106508</v>
      </c>
      <c r="Q5" s="29">
        <f>J5*'GS&gt;50 PW'!$B$11</f>
        <v>0</v>
      </c>
      <c r="R5" s="46">
        <f>'Monthly Data'!O5</f>
        <v>994</v>
      </c>
      <c r="S5" s="46">
        <f>'Monthly Data'!BH5</f>
        <v>30</v>
      </c>
      <c r="T5" s="28">
        <f t="shared" ca="1" si="5"/>
        <v>72400453.490071014</v>
      </c>
    </row>
    <row r="6" spans="1:20" x14ac:dyDescent="0.2">
      <c r="A6" s="45">
        <f>'Monthly Data'!A6</f>
        <v>40299</v>
      </c>
      <c r="B6" s="29">
        <f t="shared" si="3"/>
        <v>2010</v>
      </c>
      <c r="C6" s="29">
        <f t="shared" si="4"/>
        <v>5</v>
      </c>
      <c r="D6" s="44">
        <f>'Monthly Data'!M6</f>
        <v>75214102</v>
      </c>
      <c r="E6" s="44">
        <f>'Monthly Data'!BQ6</f>
        <v>2436.005376344086</v>
      </c>
      <c r="F6" s="46">
        <f ca="1">Weather!AX65</f>
        <v>68.61</v>
      </c>
      <c r="G6" s="46">
        <f ca="1">Weather!AY65</f>
        <v>50.69</v>
      </c>
      <c r="H6" s="46">
        <f>'Monthly Data'!V6</f>
        <v>609770.30000000005</v>
      </c>
      <c r="I6" s="46">
        <f>'Monthly Data'!BG6</f>
        <v>5</v>
      </c>
      <c r="J6" s="46">
        <f>'Monthly Data'!BC6</f>
        <v>0</v>
      </c>
      <c r="L6" s="29">
        <f>'GS&gt;50 PW'!$B$6</f>
        <v>556.26088485683897</v>
      </c>
      <c r="M6" s="29">
        <f ca="1">F6*'GS&gt;50 PW'!$B$7</f>
        <v>31.231969635344413</v>
      </c>
      <c r="N6" s="29">
        <f ca="1">G6*'GS&gt;50 PW'!$B$8</f>
        <v>78.463871842953807</v>
      </c>
      <c r="O6" s="29">
        <f>H6*'GS&gt;50 PW'!$B$9</f>
        <v>1783.4683562761159</v>
      </c>
      <c r="P6" s="29">
        <f>I6*'GS&gt;50 PW'!$B$10</f>
        <v>-17.891577126331349</v>
      </c>
      <c r="Q6" s="29">
        <f>J6*'GS&gt;50 PW'!$B$11</f>
        <v>0</v>
      </c>
      <c r="R6" s="46">
        <f>'Monthly Data'!O6</f>
        <v>996</v>
      </c>
      <c r="S6" s="46">
        <f>'Monthly Data'!BH6</f>
        <v>31</v>
      </c>
      <c r="T6" s="28">
        <f t="shared" ca="1" si="5"/>
        <v>75076028.515352428</v>
      </c>
    </row>
    <row r="7" spans="1:20" x14ac:dyDescent="0.2">
      <c r="A7" s="45">
        <f>'Monthly Data'!A7</f>
        <v>40330</v>
      </c>
      <c r="B7" s="29">
        <f t="shared" si="3"/>
        <v>2010</v>
      </c>
      <c r="C7" s="29">
        <f t="shared" si="4"/>
        <v>6</v>
      </c>
      <c r="D7" s="44">
        <f>'Monthly Data'!M7</f>
        <v>78113215</v>
      </c>
      <c r="E7" s="44">
        <f>'Monthly Data'!BQ7</f>
        <v>2611.6086593112673</v>
      </c>
      <c r="F7" s="46">
        <f ca="1">Weather!AX66</f>
        <v>2.7299999999999995</v>
      </c>
      <c r="G7" s="46">
        <f ca="1">Weather!AY66</f>
        <v>145.17999999999998</v>
      </c>
      <c r="H7" s="46">
        <f>'Monthly Data'!V7</f>
        <v>609770.30000000005</v>
      </c>
      <c r="I7" s="46">
        <f>'Monthly Data'!BG7</f>
        <v>6</v>
      </c>
      <c r="J7" s="46">
        <f>'Monthly Data'!BC7</f>
        <v>0</v>
      </c>
      <c r="L7" s="29">
        <f>'GS&gt;50 PW'!$B$6</f>
        <v>556.26088485683897</v>
      </c>
      <c r="M7" s="29">
        <f ca="1">F7*'GS&gt;50 PW'!$B$7</f>
        <v>1.2427237589927158</v>
      </c>
      <c r="N7" s="29">
        <f ca="1">G7*'GS&gt;50 PW'!$B$8</f>
        <v>224.72647295640229</v>
      </c>
      <c r="O7" s="29">
        <f>H7*'GS&gt;50 PW'!$B$9</f>
        <v>1783.4683562761159</v>
      </c>
      <c r="P7" s="29">
        <f>I7*'GS&gt;50 PW'!$B$10</f>
        <v>-21.469892551597621</v>
      </c>
      <c r="Q7" s="29">
        <f>J7*'GS&gt;50 PW'!$B$11</f>
        <v>0</v>
      </c>
      <c r="R7" s="46">
        <f>'Monthly Data'!O7</f>
        <v>997</v>
      </c>
      <c r="S7" s="46">
        <f>'Monthly Data'!BH7</f>
        <v>30</v>
      </c>
      <c r="T7" s="28">
        <f t="shared" ca="1" si="5"/>
        <v>76097875.789825857</v>
      </c>
    </row>
    <row r="8" spans="1:20" x14ac:dyDescent="0.2">
      <c r="A8" s="45">
        <f>'Monthly Data'!A8</f>
        <v>40360</v>
      </c>
      <c r="B8" s="29">
        <f t="shared" si="3"/>
        <v>2010</v>
      </c>
      <c r="C8" s="29">
        <f t="shared" si="4"/>
        <v>7</v>
      </c>
      <c r="D8" s="44">
        <f>'Monthly Data'!M8</f>
        <v>83811408</v>
      </c>
      <c r="E8" s="44">
        <f>'Monthly Data'!BQ8</f>
        <v>2717.1797049764955</v>
      </c>
      <c r="F8" s="46">
        <f ca="1">Weather!AX67</f>
        <v>0</v>
      </c>
      <c r="G8" s="46">
        <f ca="1">Weather!AY67</f>
        <v>268.18999999999994</v>
      </c>
      <c r="H8" s="46">
        <f>'Monthly Data'!V8</f>
        <v>609770.30000000005</v>
      </c>
      <c r="I8" s="46">
        <f>'Monthly Data'!BG8</f>
        <v>7</v>
      </c>
      <c r="J8" s="46">
        <f>'Monthly Data'!BC8</f>
        <v>0</v>
      </c>
      <c r="L8" s="29">
        <f>'GS&gt;50 PW'!$B$6</f>
        <v>556.26088485683897</v>
      </c>
      <c r="M8" s="29">
        <f ca="1">F8*'GS&gt;50 PW'!$B$7</f>
        <v>0</v>
      </c>
      <c r="N8" s="29">
        <f ca="1">G8*'GS&gt;50 PW'!$B$8</f>
        <v>415.13564390534179</v>
      </c>
      <c r="O8" s="29">
        <f>H8*'GS&gt;50 PW'!$B$9</f>
        <v>1783.4683562761159</v>
      </c>
      <c r="P8" s="29">
        <f>I8*'GS&gt;50 PW'!$B$10</f>
        <v>-25.048207976863893</v>
      </c>
      <c r="Q8" s="29">
        <f>J8*'GS&gt;50 PW'!$B$11</f>
        <v>0</v>
      </c>
      <c r="R8" s="46">
        <f>'Monthly Data'!O8</f>
        <v>995</v>
      </c>
      <c r="S8" s="46">
        <f>'Monthly Data'!BH8</f>
        <v>31</v>
      </c>
      <c r="T8" s="28">
        <f t="shared" ca="1" si="5"/>
        <v>84201195.403959885</v>
      </c>
    </row>
    <row r="9" spans="1:20" x14ac:dyDescent="0.2">
      <c r="A9" s="45">
        <f>'Monthly Data'!A9</f>
        <v>40391</v>
      </c>
      <c r="B9" s="29">
        <f t="shared" si="3"/>
        <v>2010</v>
      </c>
      <c r="C9" s="29">
        <f t="shared" si="4"/>
        <v>8</v>
      </c>
      <c r="D9" s="44">
        <f>'Monthly Data'!M9</f>
        <v>83014987</v>
      </c>
      <c r="E9" s="44">
        <f>'Monthly Data'!BQ9</f>
        <v>2683.2693451418968</v>
      </c>
      <c r="F9" s="46">
        <f ca="1">Weather!AX68</f>
        <v>0</v>
      </c>
      <c r="G9" s="46">
        <f ca="1">Weather!AY68</f>
        <v>239.59000000000006</v>
      </c>
      <c r="H9" s="46">
        <f>'Monthly Data'!V9</f>
        <v>609770.30000000005</v>
      </c>
      <c r="I9" s="46">
        <f>'Monthly Data'!BG9</f>
        <v>8</v>
      </c>
      <c r="J9" s="46">
        <f>'Monthly Data'!BC9</f>
        <v>0</v>
      </c>
      <c r="L9" s="29">
        <f>'GS&gt;50 PW'!$B$6</f>
        <v>556.26088485683897</v>
      </c>
      <c r="M9" s="29">
        <f ca="1">F9*'GS&gt;50 PW'!$B$7</f>
        <v>0</v>
      </c>
      <c r="N9" s="29">
        <f ca="1">G9*'GS&gt;50 PW'!$B$8</f>
        <v>370.86524077437969</v>
      </c>
      <c r="O9" s="29">
        <f>H9*'GS&gt;50 PW'!$B$9</f>
        <v>1783.4683562761159</v>
      </c>
      <c r="P9" s="29">
        <f>I9*'GS&gt;50 PW'!$B$10</f>
        <v>-28.626523402130161</v>
      </c>
      <c r="Q9" s="29">
        <f>J9*'GS&gt;50 PW'!$B$11</f>
        <v>0</v>
      </c>
      <c r="R9" s="46">
        <f>'Monthly Data'!O9</f>
        <v>998</v>
      </c>
      <c r="S9" s="46">
        <f>'Monthly Data'!BH9</f>
        <v>31</v>
      </c>
      <c r="T9" s="28">
        <f t="shared" ca="1" si="5"/>
        <v>82974724.700234011</v>
      </c>
    </row>
    <row r="10" spans="1:20" x14ac:dyDescent="0.2">
      <c r="A10" s="45">
        <f>'Monthly Data'!A10</f>
        <v>40422</v>
      </c>
      <c r="B10" s="29">
        <f t="shared" si="3"/>
        <v>2010</v>
      </c>
      <c r="C10" s="29">
        <f t="shared" si="4"/>
        <v>9</v>
      </c>
      <c r="D10" s="44">
        <f>'Monthly Data'!M10</f>
        <v>73574953</v>
      </c>
      <c r="E10" s="44">
        <f>'Monthly Data'!BQ10</f>
        <v>2452.4984333333332</v>
      </c>
      <c r="F10" s="46">
        <f ca="1">Weather!AX69</f>
        <v>5.2099999999999991</v>
      </c>
      <c r="G10" s="46">
        <f ca="1">Weather!AY69</f>
        <v>132.95000000000002</v>
      </c>
      <c r="H10" s="46">
        <f>'Monthly Data'!V10</f>
        <v>609770.30000000005</v>
      </c>
      <c r="I10" s="46">
        <f>'Monthly Data'!BG10</f>
        <v>9</v>
      </c>
      <c r="J10" s="46">
        <f>'Monthly Data'!BC10</f>
        <v>0</v>
      </c>
      <c r="L10" s="29">
        <f>'GS&gt;50 PW'!$B$6</f>
        <v>556.26088485683897</v>
      </c>
      <c r="M10" s="29">
        <f ca="1">F10*'GS&gt;50 PW'!$B$7</f>
        <v>2.3716449759531315</v>
      </c>
      <c r="N10" s="29">
        <f ca="1">G10*'GS&gt;50 PW'!$B$8</f>
        <v>205.79545791123908</v>
      </c>
      <c r="O10" s="29">
        <f>H10*'GS&gt;50 PW'!$B$9</f>
        <v>1783.4683562761159</v>
      </c>
      <c r="P10" s="29">
        <f>I10*'GS&gt;50 PW'!$B$10</f>
        <v>-32.204838827396429</v>
      </c>
      <c r="Q10" s="29">
        <f>J10*'GS&gt;50 PW'!$B$11</f>
        <v>0</v>
      </c>
      <c r="R10" s="46">
        <f>'Monthly Data'!O10</f>
        <v>1000</v>
      </c>
      <c r="S10" s="46">
        <f>'Monthly Data'!BH10</f>
        <v>30</v>
      </c>
      <c r="T10" s="28">
        <f t="shared" ca="1" si="5"/>
        <v>75470745.155782506</v>
      </c>
    </row>
    <row r="11" spans="1:20" x14ac:dyDescent="0.2">
      <c r="A11" s="45">
        <f>'Monthly Data'!A11</f>
        <v>40452</v>
      </c>
      <c r="B11" s="29">
        <f t="shared" si="3"/>
        <v>2010</v>
      </c>
      <c r="C11" s="29">
        <f t="shared" si="4"/>
        <v>10</v>
      </c>
      <c r="D11" s="44">
        <f>'Monthly Data'!M11</f>
        <v>71065323</v>
      </c>
      <c r="E11" s="44">
        <f>'Monthly Data'!BQ11</f>
        <v>2278.757230808696</v>
      </c>
      <c r="F11" s="46">
        <f ca="1">Weather!AX70</f>
        <v>90.66</v>
      </c>
      <c r="G11" s="46">
        <f ca="1">Weather!AY70</f>
        <v>27.9</v>
      </c>
      <c r="H11" s="46">
        <f>'Monthly Data'!V11</f>
        <v>609770.30000000005</v>
      </c>
      <c r="I11" s="46">
        <f>'Monthly Data'!BG11</f>
        <v>10</v>
      </c>
      <c r="J11" s="46">
        <f>'Monthly Data'!BC11</f>
        <v>0</v>
      </c>
      <c r="L11" s="29">
        <f>'GS&gt;50 PW'!$B$6</f>
        <v>556.26088485683897</v>
      </c>
      <c r="M11" s="29">
        <f ca="1">F11*'GS&gt;50 PW'!$B$7</f>
        <v>41.269353842593269</v>
      </c>
      <c r="N11" s="29">
        <f ca="1">G11*'GS&gt;50 PW'!$B$8</f>
        <v>43.186861795589088</v>
      </c>
      <c r="O11" s="29">
        <f>H11*'GS&gt;50 PW'!$B$9</f>
        <v>1783.4683562761159</v>
      </c>
      <c r="P11" s="29">
        <f>I11*'GS&gt;50 PW'!$B$10</f>
        <v>-35.783154252662698</v>
      </c>
      <c r="Q11" s="29">
        <f>J11*'GS&gt;50 PW'!$B$11</f>
        <v>0</v>
      </c>
      <c r="R11" s="46">
        <f>'Monthly Data'!O11</f>
        <v>1006</v>
      </c>
      <c r="S11" s="46">
        <f>'Monthly Data'!BH11</f>
        <v>31</v>
      </c>
      <c r="T11" s="28">
        <f t="shared" ca="1" si="5"/>
        <v>74484714.206341133</v>
      </c>
    </row>
    <row r="12" spans="1:20" x14ac:dyDescent="0.2">
      <c r="A12" s="45">
        <f>'Monthly Data'!A12</f>
        <v>40483</v>
      </c>
      <c r="B12" s="29">
        <f t="shared" si="3"/>
        <v>2010</v>
      </c>
      <c r="C12" s="29">
        <f t="shared" si="4"/>
        <v>11</v>
      </c>
      <c r="D12" s="44">
        <f>'Monthly Data'!M12</f>
        <v>71655511</v>
      </c>
      <c r="E12" s="44">
        <f>'Monthly Data'!BQ12</f>
        <v>2371.9136378682551</v>
      </c>
      <c r="F12" s="46">
        <f ca="1">Weather!AX71</f>
        <v>264.88</v>
      </c>
      <c r="G12" s="46">
        <f ca="1">Weather!AY71</f>
        <v>0.69000000000000006</v>
      </c>
      <c r="H12" s="46">
        <f>'Monthly Data'!V12</f>
        <v>609770.30000000005</v>
      </c>
      <c r="I12" s="46">
        <f>'Monthly Data'!BG12</f>
        <v>11</v>
      </c>
      <c r="J12" s="46">
        <f>'Monthly Data'!BC12</f>
        <v>0</v>
      </c>
      <c r="L12" s="29">
        <f>'GS&gt;50 PW'!$B$6</f>
        <v>556.26088485683897</v>
      </c>
      <c r="M12" s="29">
        <f ca="1">F12*'GS&gt;50 PW'!$B$7</f>
        <v>120.5760693340625</v>
      </c>
      <c r="N12" s="29">
        <f ca="1">G12*'GS&gt;50 PW'!$B$8</f>
        <v>1.0680621734393003</v>
      </c>
      <c r="O12" s="29">
        <f>H12*'GS&gt;50 PW'!$B$9</f>
        <v>1783.4683562761159</v>
      </c>
      <c r="P12" s="29">
        <f>I12*'GS&gt;50 PW'!$B$10</f>
        <v>-39.361469677928973</v>
      </c>
      <c r="Q12" s="29">
        <f>J12*'GS&gt;50 PW'!$B$11</f>
        <v>0</v>
      </c>
      <c r="R12" s="46">
        <f>'Monthly Data'!O12</f>
        <v>1007</v>
      </c>
      <c r="S12" s="46">
        <f>'Monthly Data'!BH12</f>
        <v>30</v>
      </c>
      <c r="T12" s="28">
        <f t="shared" ca="1" si="5"/>
        <v>73168979.588497952</v>
      </c>
    </row>
    <row r="13" spans="1:20" x14ac:dyDescent="0.2">
      <c r="A13" s="45">
        <f>'Monthly Data'!A13</f>
        <v>40513</v>
      </c>
      <c r="B13" s="29">
        <f t="shared" si="3"/>
        <v>2010</v>
      </c>
      <c r="C13" s="29">
        <f t="shared" si="4"/>
        <v>12</v>
      </c>
      <c r="D13" s="44">
        <f>'Monthly Data'!M13</f>
        <v>74889412</v>
      </c>
      <c r="E13" s="44">
        <f>'Monthly Data'!BQ13</f>
        <v>2384.7852752921699</v>
      </c>
      <c r="F13" s="46">
        <f ca="1">Weather!AX72</f>
        <v>413.65</v>
      </c>
      <c r="G13" s="46">
        <f ca="1">Weather!AY72</f>
        <v>0</v>
      </c>
      <c r="H13" s="46">
        <f>'Monthly Data'!V13</f>
        <v>609770.30000000005</v>
      </c>
      <c r="I13" s="46">
        <f>'Monthly Data'!BG13</f>
        <v>12</v>
      </c>
      <c r="J13" s="46">
        <f>'Monthly Data'!BC13</f>
        <v>1</v>
      </c>
      <c r="L13" s="29">
        <f>'GS&gt;50 PW'!$B$6</f>
        <v>556.26088485683897</v>
      </c>
      <c r="M13" s="29">
        <f ca="1">F13*'GS&gt;50 PW'!$B$7</f>
        <v>188.29768604664358</v>
      </c>
      <c r="N13" s="29">
        <f ca="1">G13*'GS&gt;50 PW'!$B$8</f>
        <v>0</v>
      </c>
      <c r="O13" s="29">
        <f>H13*'GS&gt;50 PW'!$B$9</f>
        <v>1783.4683562761159</v>
      </c>
      <c r="P13" s="29">
        <f>I13*'GS&gt;50 PW'!$B$10</f>
        <v>-42.939785103195241</v>
      </c>
      <c r="Q13" s="29">
        <f>J13*'GS&gt;50 PW'!$B$11</f>
        <v>-107.242128303215</v>
      </c>
      <c r="R13" s="46">
        <f>'Monthly Data'!O13</f>
        <v>1013</v>
      </c>
      <c r="S13" s="46">
        <f>'Monthly Data'!BH13</f>
        <v>31</v>
      </c>
      <c r="T13" s="28">
        <f t="shared" ca="1" si="5"/>
        <v>74671466.967519417</v>
      </c>
    </row>
    <row r="14" spans="1:20" x14ac:dyDescent="0.2">
      <c r="A14" s="45">
        <f>'Monthly Data'!A14</f>
        <v>40544</v>
      </c>
      <c r="B14" s="29">
        <f t="shared" si="3"/>
        <v>2011</v>
      </c>
      <c r="C14" s="29">
        <f t="shared" si="4"/>
        <v>1</v>
      </c>
      <c r="D14" s="44">
        <f>'Monthly Data'!M14</f>
        <v>79499206.092769086</v>
      </c>
      <c r="E14" s="44">
        <f>'Monthly Data'!BQ14</f>
        <v>2511.7438972787304</v>
      </c>
      <c r="F14" s="46">
        <f t="shared" ref="F14:G29" ca="1" si="6">F2</f>
        <v>539.1400000000001</v>
      </c>
      <c r="G14" s="46">
        <f t="shared" ca="1" si="6"/>
        <v>0</v>
      </c>
      <c r="H14" s="46">
        <f>'Monthly Data'!V14</f>
        <v>625936.9</v>
      </c>
      <c r="I14" s="46">
        <f>'Monthly Data'!BG14</f>
        <v>13</v>
      </c>
      <c r="J14" s="46">
        <f>'Monthly Data'!BC14</f>
        <v>0</v>
      </c>
      <c r="L14" s="29">
        <f>'GS&gt;50 PW'!$B$6</f>
        <v>556.26088485683897</v>
      </c>
      <c r="M14" s="29">
        <f ca="1">F14*'GS&gt;50 PW'!$B$7</f>
        <v>245.42201004517693</v>
      </c>
      <c r="N14" s="29">
        <f ca="1">G14*'GS&gt;50 PW'!$B$8</f>
        <v>0</v>
      </c>
      <c r="O14" s="29">
        <f>H14*'GS&gt;50 PW'!$B$9</f>
        <v>1830.7527509548554</v>
      </c>
      <c r="P14" s="29">
        <f>I14*'GS&gt;50 PW'!$B$10</f>
        <v>-46.51810052846151</v>
      </c>
      <c r="Q14" s="29">
        <f>J14*'GS&gt;50 PW'!$B$11</f>
        <v>0</v>
      </c>
      <c r="R14" s="46">
        <f>'Monthly Data'!O14</f>
        <v>1021</v>
      </c>
      <c r="S14" s="46">
        <f>'Monthly Data'!BH14</f>
        <v>31</v>
      </c>
      <c r="T14" s="28">
        <f t="shared" ca="1" si="5"/>
        <v>81846876.227189496</v>
      </c>
    </row>
    <row r="15" spans="1:20" x14ac:dyDescent="0.2">
      <c r="A15" s="45">
        <f>'Monthly Data'!A15</f>
        <v>40575</v>
      </c>
      <c r="B15" s="29">
        <f t="shared" si="3"/>
        <v>2011</v>
      </c>
      <c r="C15" s="29">
        <f t="shared" si="4"/>
        <v>2</v>
      </c>
      <c r="D15" s="44">
        <f>'Monthly Data'!M15</f>
        <v>71789116.092769086</v>
      </c>
      <c r="E15" s="44">
        <f>'Monthly Data'!BQ15</f>
        <v>2624.2548652130827</v>
      </c>
      <c r="F15" s="46">
        <f t="shared" ca="1" si="6"/>
        <v>473.45</v>
      </c>
      <c r="G15" s="46">
        <f t="shared" ca="1" si="6"/>
        <v>0</v>
      </c>
      <c r="H15" s="46">
        <f>'Monthly Data'!V15</f>
        <v>625936.9</v>
      </c>
      <c r="I15" s="46">
        <f>'Monthly Data'!BG15</f>
        <v>14</v>
      </c>
      <c r="J15" s="46">
        <f>'Monthly Data'!BC15</f>
        <v>0</v>
      </c>
      <c r="L15" s="29">
        <f>'GS&gt;50 PW'!$B$6</f>
        <v>556.26088485683897</v>
      </c>
      <c r="M15" s="29">
        <f ca="1">F15*'GS&gt;50 PW'!$B$7</f>
        <v>215.51925410076973</v>
      </c>
      <c r="N15" s="29">
        <f ca="1">G15*'GS&gt;50 PW'!$B$8</f>
        <v>0</v>
      </c>
      <c r="O15" s="29">
        <f>H15*'GS&gt;50 PW'!$B$9</f>
        <v>1830.7527509548554</v>
      </c>
      <c r="P15" s="29">
        <f>I15*'GS&gt;50 PW'!$B$10</f>
        <v>-50.096415953727785</v>
      </c>
      <c r="Q15" s="29">
        <f>J15*'GS&gt;50 PW'!$B$11</f>
        <v>0</v>
      </c>
      <c r="R15" s="46">
        <f>'Monthly Data'!O15</f>
        <v>977</v>
      </c>
      <c r="S15" s="46">
        <f>'Monthly Data'!BH15</f>
        <v>28</v>
      </c>
      <c r="T15" s="28">
        <f t="shared" ca="1" si="5"/>
        <v>69824452.181615189</v>
      </c>
    </row>
    <row r="16" spans="1:20" x14ac:dyDescent="0.2">
      <c r="A16" s="45">
        <f>'Monthly Data'!A16</f>
        <v>40603</v>
      </c>
      <c r="B16" s="29">
        <f t="shared" si="3"/>
        <v>2011</v>
      </c>
      <c r="C16" s="29">
        <f t="shared" si="4"/>
        <v>3</v>
      </c>
      <c r="D16" s="44">
        <f>'Monthly Data'!M16</f>
        <v>79353259.092769086</v>
      </c>
      <c r="E16" s="44">
        <f>'Monthly Data'!BQ16</f>
        <v>2614.6910637177202</v>
      </c>
      <c r="F16" s="46">
        <f t="shared" ca="1" si="6"/>
        <v>394.31999999999988</v>
      </c>
      <c r="G16" s="46">
        <f t="shared" ca="1" si="6"/>
        <v>3.0000000000000072E-2</v>
      </c>
      <c r="H16" s="46">
        <f>'Monthly Data'!V16</f>
        <v>625936.9</v>
      </c>
      <c r="I16" s="46">
        <f>'Monthly Data'!BG16</f>
        <v>15</v>
      </c>
      <c r="J16" s="46">
        <f>'Monthly Data'!BC16</f>
        <v>0</v>
      </c>
      <c r="L16" s="29">
        <f>'GS&gt;50 PW'!$B$6</f>
        <v>556.26088485683897</v>
      </c>
      <c r="M16" s="29">
        <f ca="1">F16*'GS&gt;50 PW'!$B$7</f>
        <v>179.49847349670608</v>
      </c>
      <c r="N16" s="29">
        <f ca="1">G16*'GS&gt;50 PW'!$B$8</f>
        <v>4.6437485801708811E-2</v>
      </c>
      <c r="O16" s="29">
        <f>H16*'GS&gt;50 PW'!$B$9</f>
        <v>1830.7527509548554</v>
      </c>
      <c r="P16" s="29">
        <f>I16*'GS&gt;50 PW'!$B$10</f>
        <v>-53.674731378994053</v>
      </c>
      <c r="Q16" s="29">
        <f>J16*'GS&gt;50 PW'!$B$11</f>
        <v>0</v>
      </c>
      <c r="R16" s="46">
        <f>'Monthly Data'!O16</f>
        <v>979</v>
      </c>
      <c r="S16" s="46">
        <f>'Monthly Data'!BH16</f>
        <v>31</v>
      </c>
      <c r="T16" s="28">
        <f t="shared" ca="1" si="5"/>
        <v>76263510.91403614</v>
      </c>
    </row>
    <row r="17" spans="1:22" x14ac:dyDescent="0.2">
      <c r="A17" s="45">
        <f>'Monthly Data'!A17</f>
        <v>40634</v>
      </c>
      <c r="B17" s="29">
        <f t="shared" si="3"/>
        <v>2011</v>
      </c>
      <c r="C17" s="29">
        <f t="shared" si="4"/>
        <v>4</v>
      </c>
      <c r="D17" s="44">
        <f>'Monthly Data'!M17</f>
        <v>71579772.092769086</v>
      </c>
      <c r="E17" s="44">
        <f>'Monthly Data'!BQ17</f>
        <v>2434.6861256043908</v>
      </c>
      <c r="F17" s="46">
        <f t="shared" ca="1" si="6"/>
        <v>220.23999999999995</v>
      </c>
      <c r="G17" s="46">
        <f t="shared" ca="1" si="6"/>
        <v>1.45</v>
      </c>
      <c r="H17" s="46">
        <f>'Monthly Data'!V17</f>
        <v>625936.9</v>
      </c>
      <c r="I17" s="46">
        <f>'Monthly Data'!BG17</f>
        <v>16</v>
      </c>
      <c r="J17" s="46">
        <f>'Monthly Data'!BC17</f>
        <v>0</v>
      </c>
      <c r="L17" s="29">
        <f>'GS&gt;50 PW'!$B$6</f>
        <v>556.26088485683897</v>
      </c>
      <c r="M17" s="29">
        <f ca="1">F17*'GS&gt;50 PW'!$B$7</f>
        <v>100.25548742877498</v>
      </c>
      <c r="N17" s="29">
        <f ca="1">G17*'GS&gt;50 PW'!$B$8</f>
        <v>2.2444784804159204</v>
      </c>
      <c r="O17" s="29">
        <f>H17*'GS&gt;50 PW'!$B$9</f>
        <v>1830.7527509548554</v>
      </c>
      <c r="P17" s="29">
        <f>I17*'GS&gt;50 PW'!$B$10</f>
        <v>-57.253046804260322</v>
      </c>
      <c r="Q17" s="29">
        <f>J17*'GS&gt;50 PW'!$B$11</f>
        <v>0</v>
      </c>
      <c r="R17" s="46">
        <f>'Monthly Data'!O17</f>
        <v>980</v>
      </c>
      <c r="S17" s="46">
        <f>'Monthly Data'!BH17</f>
        <v>30</v>
      </c>
      <c r="T17" s="28">
        <f t="shared" ca="1" si="5"/>
        <v>71508460.314548761</v>
      </c>
    </row>
    <row r="18" spans="1:22" x14ac:dyDescent="0.2">
      <c r="A18" s="45">
        <f>'Monthly Data'!A18</f>
        <v>40664</v>
      </c>
      <c r="B18" s="29">
        <f t="shared" si="3"/>
        <v>2011</v>
      </c>
      <c r="C18" s="29">
        <f t="shared" si="4"/>
        <v>5</v>
      </c>
      <c r="D18" s="44">
        <f>'Monthly Data'!M18</f>
        <v>74262685.092769086</v>
      </c>
      <c r="E18" s="44">
        <f>'Monthly Data'!BQ18</f>
        <v>2439.4811475188585</v>
      </c>
      <c r="F18" s="46">
        <f t="shared" ca="1" si="6"/>
        <v>68.61</v>
      </c>
      <c r="G18" s="46">
        <f t="shared" ca="1" si="6"/>
        <v>50.69</v>
      </c>
      <c r="H18" s="46">
        <f>'Monthly Data'!V18</f>
        <v>625936.9</v>
      </c>
      <c r="I18" s="46">
        <f>'Monthly Data'!BG18</f>
        <v>17</v>
      </c>
      <c r="J18" s="46">
        <f>'Monthly Data'!BC18</f>
        <v>0</v>
      </c>
      <c r="L18" s="29">
        <f>'GS&gt;50 PW'!$B$6</f>
        <v>556.26088485683897</v>
      </c>
      <c r="M18" s="29">
        <f ca="1">F18*'GS&gt;50 PW'!$B$7</f>
        <v>31.231969635344413</v>
      </c>
      <c r="N18" s="29">
        <f ca="1">G18*'GS&gt;50 PW'!$B$8</f>
        <v>78.463871842953807</v>
      </c>
      <c r="O18" s="29">
        <f>H18*'GS&gt;50 PW'!$B$9</f>
        <v>1830.7527509548554</v>
      </c>
      <c r="P18" s="29">
        <f>I18*'GS&gt;50 PW'!$B$10</f>
        <v>-60.83136222952659</v>
      </c>
      <c r="Q18" s="29">
        <f>J18*'GS&gt;50 PW'!$B$11</f>
        <v>0</v>
      </c>
      <c r="R18" s="46">
        <f>'Monthly Data'!O18</f>
        <v>982</v>
      </c>
      <c r="S18" s="46">
        <f>'Monthly Data'!BH18</f>
        <v>31</v>
      </c>
      <c r="T18" s="28">
        <f t="shared" ca="1" si="5"/>
        <v>74153001.57867071</v>
      </c>
    </row>
    <row r="19" spans="1:22" x14ac:dyDescent="0.2">
      <c r="A19" s="45">
        <f>'Monthly Data'!A19</f>
        <v>40695</v>
      </c>
      <c r="B19" s="29">
        <f t="shared" si="3"/>
        <v>2011</v>
      </c>
      <c r="C19" s="29">
        <f t="shared" si="4"/>
        <v>6</v>
      </c>
      <c r="D19" s="44">
        <f>'Monthly Data'!M19</f>
        <v>77117693.092769086</v>
      </c>
      <c r="E19" s="44">
        <f>'Monthly Data'!BQ19</f>
        <v>2609.7358068618983</v>
      </c>
      <c r="F19" s="46">
        <f t="shared" ca="1" si="6"/>
        <v>2.7299999999999995</v>
      </c>
      <c r="G19" s="46">
        <f t="shared" ca="1" si="6"/>
        <v>145.17999999999998</v>
      </c>
      <c r="H19" s="46">
        <f>'Monthly Data'!V19</f>
        <v>625936.9</v>
      </c>
      <c r="I19" s="46">
        <f>'Monthly Data'!BG19</f>
        <v>18</v>
      </c>
      <c r="J19" s="46">
        <f>'Monthly Data'!BC19</f>
        <v>0</v>
      </c>
      <c r="L19" s="29">
        <f>'GS&gt;50 PW'!$B$6</f>
        <v>556.26088485683897</v>
      </c>
      <c r="M19" s="29">
        <f ca="1">F19*'GS&gt;50 PW'!$B$7</f>
        <v>1.2427237589927158</v>
      </c>
      <c r="N19" s="29">
        <f ca="1">G19*'GS&gt;50 PW'!$B$8</f>
        <v>224.72647295640229</v>
      </c>
      <c r="O19" s="29">
        <f>H19*'GS&gt;50 PW'!$B$9</f>
        <v>1830.7527509548554</v>
      </c>
      <c r="P19" s="29">
        <f>I19*'GS&gt;50 PW'!$B$10</f>
        <v>-64.409677654792858</v>
      </c>
      <c r="Q19" s="29">
        <f>J19*'GS&gt;50 PW'!$B$11</f>
        <v>0</v>
      </c>
      <c r="R19" s="46">
        <f>'Monthly Data'!O19</f>
        <v>985</v>
      </c>
      <c r="S19" s="46">
        <f>'Monthly Data'!BH19</f>
        <v>30</v>
      </c>
      <c r="T19" s="28">
        <f t="shared" ca="1" si="5"/>
        <v>75310336.726476356</v>
      </c>
    </row>
    <row r="20" spans="1:22" x14ac:dyDescent="0.2">
      <c r="A20" s="45">
        <f>'Monthly Data'!A20</f>
        <v>40725</v>
      </c>
      <c r="B20" s="29">
        <f t="shared" si="3"/>
        <v>2011</v>
      </c>
      <c r="C20" s="29">
        <f t="shared" si="4"/>
        <v>7</v>
      </c>
      <c r="D20" s="44">
        <f>'Monthly Data'!M20</f>
        <v>84651520.092769086</v>
      </c>
      <c r="E20" s="44">
        <f>'Monthly Data'!BQ20</f>
        <v>2777.9188164200796</v>
      </c>
      <c r="F20" s="46">
        <f t="shared" ca="1" si="6"/>
        <v>0</v>
      </c>
      <c r="G20" s="46">
        <f t="shared" ca="1" si="6"/>
        <v>268.18999999999994</v>
      </c>
      <c r="H20" s="46">
        <f>'Monthly Data'!V20</f>
        <v>625936.9</v>
      </c>
      <c r="I20" s="46">
        <f>'Monthly Data'!BG20</f>
        <v>19</v>
      </c>
      <c r="J20" s="46">
        <f>'Monthly Data'!BC20</f>
        <v>0</v>
      </c>
      <c r="L20" s="29">
        <f>'GS&gt;50 PW'!$B$6</f>
        <v>556.26088485683897</v>
      </c>
      <c r="M20" s="29">
        <f ca="1">F20*'GS&gt;50 PW'!$B$7</f>
        <v>0</v>
      </c>
      <c r="N20" s="29">
        <f ca="1">G20*'GS&gt;50 PW'!$B$8</f>
        <v>415.13564390534179</v>
      </c>
      <c r="O20" s="29">
        <f>H20*'GS&gt;50 PW'!$B$9</f>
        <v>1830.7527509548554</v>
      </c>
      <c r="P20" s="29">
        <f>I20*'GS&gt;50 PW'!$B$10</f>
        <v>-67.987993080059127</v>
      </c>
      <c r="Q20" s="29">
        <f>J20*'GS&gt;50 PW'!$B$11</f>
        <v>0</v>
      </c>
      <c r="R20" s="46">
        <f>'Monthly Data'!O20</f>
        <v>983</v>
      </c>
      <c r="S20" s="46">
        <f>'Monthly Data'!BH20</f>
        <v>31</v>
      </c>
      <c r="T20" s="28">
        <f t="shared" ca="1" si="5"/>
        <v>83318096.887688607</v>
      </c>
    </row>
    <row r="21" spans="1:22" x14ac:dyDescent="0.2">
      <c r="A21" s="45">
        <f>'Monthly Data'!A21</f>
        <v>40756</v>
      </c>
      <c r="B21" s="29">
        <f t="shared" si="3"/>
        <v>2011</v>
      </c>
      <c r="C21" s="29">
        <f t="shared" si="4"/>
        <v>8</v>
      </c>
      <c r="D21" s="44">
        <f>'Monthly Data'!M21</f>
        <v>82199049.092769086</v>
      </c>
      <c r="E21" s="44">
        <f>'Monthly Data'!BQ21</f>
        <v>2697.4386864689754</v>
      </c>
      <c r="F21" s="46">
        <f t="shared" ca="1" si="6"/>
        <v>0</v>
      </c>
      <c r="G21" s="46">
        <f t="shared" ca="1" si="6"/>
        <v>239.59000000000006</v>
      </c>
      <c r="H21" s="46">
        <f>'Monthly Data'!V21</f>
        <v>625936.9</v>
      </c>
      <c r="I21" s="46">
        <f>'Monthly Data'!BG21</f>
        <v>20</v>
      </c>
      <c r="J21" s="46">
        <f>'Monthly Data'!BC21</f>
        <v>0</v>
      </c>
      <c r="L21" s="29">
        <f>'GS&gt;50 PW'!$B$6</f>
        <v>556.26088485683897</v>
      </c>
      <c r="M21" s="29">
        <f ca="1">F21*'GS&gt;50 PW'!$B$7</f>
        <v>0</v>
      </c>
      <c r="N21" s="29">
        <f ca="1">G21*'GS&gt;50 PW'!$B$8</f>
        <v>370.86524077437969</v>
      </c>
      <c r="O21" s="29">
        <f>H21*'GS&gt;50 PW'!$B$9</f>
        <v>1830.7527509548554</v>
      </c>
      <c r="P21" s="29">
        <f>I21*'GS&gt;50 PW'!$B$10</f>
        <v>-71.566308505325395</v>
      </c>
      <c r="Q21" s="29">
        <f>J21*'GS&gt;50 PW'!$B$11</f>
        <v>0</v>
      </c>
      <c r="R21" s="46">
        <f>'Monthly Data'!O21</f>
        <v>983</v>
      </c>
      <c r="S21" s="46">
        <f>'Monthly Data'!BH21</f>
        <v>31</v>
      </c>
      <c r="T21" s="28">
        <f t="shared" ca="1" si="5"/>
        <v>81860002.887124658</v>
      </c>
    </row>
    <row r="22" spans="1:22" x14ac:dyDescent="0.2">
      <c r="A22" s="45">
        <f>'Monthly Data'!A22</f>
        <v>40787</v>
      </c>
      <c r="B22" s="29">
        <f t="shared" si="3"/>
        <v>2011</v>
      </c>
      <c r="C22" s="29">
        <f t="shared" si="4"/>
        <v>9</v>
      </c>
      <c r="D22" s="44">
        <f>'Monthly Data'!M22</f>
        <v>74484945.092769086</v>
      </c>
      <c r="E22" s="44">
        <f>'Monthly Data'!BQ22</f>
        <v>2523.2027470450234</v>
      </c>
      <c r="F22" s="46">
        <f t="shared" ca="1" si="6"/>
        <v>5.2099999999999991</v>
      </c>
      <c r="G22" s="46">
        <f t="shared" ca="1" si="6"/>
        <v>132.95000000000002</v>
      </c>
      <c r="H22" s="46">
        <f>'Monthly Data'!V22</f>
        <v>625936.9</v>
      </c>
      <c r="I22" s="46">
        <f>'Monthly Data'!BG22</f>
        <v>21</v>
      </c>
      <c r="J22" s="46">
        <f>'Monthly Data'!BC22</f>
        <v>0</v>
      </c>
      <c r="L22" s="29">
        <f>'GS&gt;50 PW'!$B$6</f>
        <v>556.26088485683897</v>
      </c>
      <c r="M22" s="29">
        <f ca="1">F22*'GS&gt;50 PW'!$B$7</f>
        <v>2.3716449759531315</v>
      </c>
      <c r="N22" s="29">
        <f ca="1">G22*'GS&gt;50 PW'!$B$8</f>
        <v>205.79545791123908</v>
      </c>
      <c r="O22" s="29">
        <f>H22*'GS&gt;50 PW'!$B$9</f>
        <v>1830.7527509548554</v>
      </c>
      <c r="P22" s="29">
        <f>I22*'GS&gt;50 PW'!$B$10</f>
        <v>-75.144623930591678</v>
      </c>
      <c r="Q22" s="29">
        <f>J22*'GS&gt;50 PW'!$B$11</f>
        <v>0</v>
      </c>
      <c r="R22" s="46">
        <f>'Monthly Data'!O22</f>
        <v>984</v>
      </c>
      <c r="S22" s="46">
        <f>'Monthly Data'!BH22</f>
        <v>30</v>
      </c>
      <c r="T22" s="28">
        <f t="shared" ca="1" si="5"/>
        <v>74391466.107960075</v>
      </c>
    </row>
    <row r="23" spans="1:22" x14ac:dyDescent="0.2">
      <c r="A23" s="45">
        <f>'Monthly Data'!A23</f>
        <v>40817</v>
      </c>
      <c r="B23" s="29">
        <f t="shared" si="3"/>
        <v>2011</v>
      </c>
      <c r="C23" s="29">
        <f t="shared" si="4"/>
        <v>10</v>
      </c>
      <c r="D23" s="44">
        <f>'Monthly Data'!M23</f>
        <v>72131128.092769086</v>
      </c>
      <c r="E23" s="44">
        <f>'Monthly Data'!BQ23</f>
        <v>2367.0504411370425</v>
      </c>
      <c r="F23" s="46">
        <f t="shared" ca="1" si="6"/>
        <v>90.66</v>
      </c>
      <c r="G23" s="46">
        <f t="shared" ca="1" si="6"/>
        <v>27.9</v>
      </c>
      <c r="H23" s="46">
        <f>'Monthly Data'!V23</f>
        <v>625936.9</v>
      </c>
      <c r="I23" s="46">
        <f>'Monthly Data'!BG23</f>
        <v>22</v>
      </c>
      <c r="J23" s="46">
        <f>'Monthly Data'!BC23</f>
        <v>0</v>
      </c>
      <c r="L23" s="29">
        <f>'GS&gt;50 PW'!$B$6</f>
        <v>556.26088485683897</v>
      </c>
      <c r="M23" s="29">
        <f ca="1">F23*'GS&gt;50 PW'!$B$7</f>
        <v>41.269353842593269</v>
      </c>
      <c r="N23" s="29">
        <f ca="1">G23*'GS&gt;50 PW'!$B$8</f>
        <v>43.186861795589088</v>
      </c>
      <c r="O23" s="29">
        <f>H23*'GS&gt;50 PW'!$B$9</f>
        <v>1830.7527509548554</v>
      </c>
      <c r="P23" s="29">
        <f>I23*'GS&gt;50 PW'!$B$10</f>
        <v>-78.722939355857946</v>
      </c>
      <c r="Q23" s="29">
        <f>J23*'GS&gt;50 PW'!$B$11</f>
        <v>0</v>
      </c>
      <c r="R23" s="46">
        <f>'Monthly Data'!O23</f>
        <v>983</v>
      </c>
      <c r="S23" s="46">
        <f>'Monthly Data'!BH23</f>
        <v>31</v>
      </c>
      <c r="T23" s="28">
        <f t="shared" ca="1" si="5"/>
        <v>72914176.652241051</v>
      </c>
    </row>
    <row r="24" spans="1:22" x14ac:dyDescent="0.2">
      <c r="A24" s="45">
        <f>'Monthly Data'!A24</f>
        <v>40848</v>
      </c>
      <c r="B24" s="29">
        <f t="shared" si="3"/>
        <v>2011</v>
      </c>
      <c r="C24" s="29">
        <f t="shared" si="4"/>
        <v>11</v>
      </c>
      <c r="D24" s="44">
        <f>'Monthly Data'!M24</f>
        <v>71065271.092769086</v>
      </c>
      <c r="E24" s="44">
        <f>'Monthly Data'!BQ24</f>
        <v>2390.3555698879613</v>
      </c>
      <c r="F24" s="46">
        <f t="shared" ca="1" si="6"/>
        <v>264.88</v>
      </c>
      <c r="G24" s="46">
        <f t="shared" ca="1" si="6"/>
        <v>0.69000000000000006</v>
      </c>
      <c r="H24" s="46">
        <f>'Monthly Data'!V24</f>
        <v>625936.9</v>
      </c>
      <c r="I24" s="46">
        <f>'Monthly Data'!BG24</f>
        <v>23</v>
      </c>
      <c r="J24" s="46">
        <f>'Monthly Data'!BC24</f>
        <v>0</v>
      </c>
      <c r="L24" s="29">
        <f>'GS&gt;50 PW'!$B$6</f>
        <v>556.26088485683897</v>
      </c>
      <c r="M24" s="29">
        <f ca="1">F24*'GS&gt;50 PW'!$B$7</f>
        <v>120.5760693340625</v>
      </c>
      <c r="N24" s="29">
        <f ca="1">G24*'GS&gt;50 PW'!$B$8</f>
        <v>1.0680621734393003</v>
      </c>
      <c r="O24" s="29">
        <f>H24*'GS&gt;50 PW'!$B$9</f>
        <v>1830.7527509548554</v>
      </c>
      <c r="P24" s="29">
        <f>I24*'GS&gt;50 PW'!$B$10</f>
        <v>-82.301254781124214</v>
      </c>
      <c r="Q24" s="29">
        <f>J24*'GS&gt;50 PW'!$B$11</f>
        <v>0</v>
      </c>
      <c r="R24" s="46">
        <f>'Monthly Data'!O24</f>
        <v>991</v>
      </c>
      <c r="S24" s="46">
        <f>'Monthly Data'!BH24</f>
        <v>30</v>
      </c>
      <c r="T24" s="28">
        <f t="shared" ca="1" si="5"/>
        <v>72135579.117756873</v>
      </c>
    </row>
    <row r="25" spans="1:22" x14ac:dyDescent="0.2">
      <c r="A25" s="45">
        <f>'Monthly Data'!A25</f>
        <v>40878</v>
      </c>
      <c r="B25" s="29">
        <f t="shared" si="3"/>
        <v>2011</v>
      </c>
      <c r="C25" s="29">
        <f t="shared" si="4"/>
        <v>12</v>
      </c>
      <c r="D25" s="44">
        <f>'Monthly Data'!M25</f>
        <v>72314878.092769086</v>
      </c>
      <c r="E25" s="44">
        <f>'Monthly Data'!BQ25</f>
        <v>2344.4603045151271</v>
      </c>
      <c r="F25" s="46">
        <f t="shared" ca="1" si="6"/>
        <v>413.65</v>
      </c>
      <c r="G25" s="46">
        <f t="shared" ca="1" si="6"/>
        <v>0</v>
      </c>
      <c r="H25" s="46">
        <f>'Monthly Data'!V25</f>
        <v>625936.9</v>
      </c>
      <c r="I25" s="46">
        <f>'Monthly Data'!BG25</f>
        <v>24</v>
      </c>
      <c r="J25" s="46">
        <f>'Monthly Data'!BC25</f>
        <v>1</v>
      </c>
      <c r="L25" s="29">
        <f>'GS&gt;50 PW'!$B$6</f>
        <v>556.26088485683897</v>
      </c>
      <c r="M25" s="29">
        <f ca="1">F25*'GS&gt;50 PW'!$B$7</f>
        <v>188.29768604664358</v>
      </c>
      <c r="N25" s="29">
        <f ca="1">G25*'GS&gt;50 PW'!$B$8</f>
        <v>0</v>
      </c>
      <c r="O25" s="29">
        <f>H25*'GS&gt;50 PW'!$B$9</f>
        <v>1830.7527509548554</v>
      </c>
      <c r="P25" s="29">
        <f>I25*'GS&gt;50 PW'!$B$10</f>
        <v>-85.879570206390483</v>
      </c>
      <c r="Q25" s="29">
        <f>J25*'GS&gt;50 PW'!$B$11</f>
        <v>-107.242128303215</v>
      </c>
      <c r="R25" s="46">
        <f>'Monthly Data'!O25</f>
        <v>995</v>
      </c>
      <c r="S25" s="46">
        <f>'Monthly Data'!BH25</f>
        <v>31</v>
      </c>
      <c r="T25" s="28">
        <f t="shared" ca="1" si="5"/>
        <v>73478638.932191655</v>
      </c>
    </row>
    <row r="26" spans="1:22" x14ac:dyDescent="0.2">
      <c r="A26" s="45">
        <f>'Monthly Data'!A26</f>
        <v>40909</v>
      </c>
      <c r="B26" s="29">
        <f t="shared" si="3"/>
        <v>2012</v>
      </c>
      <c r="C26" s="29">
        <f t="shared" si="4"/>
        <v>1</v>
      </c>
      <c r="D26" s="44">
        <f>'Monthly Data'!M26</f>
        <v>77861343.963004857</v>
      </c>
      <c r="E26" s="44">
        <f>'Monthly Data'!BQ26</f>
        <v>2521.7432297902856</v>
      </c>
      <c r="F26" s="46">
        <f t="shared" ca="1" si="6"/>
        <v>539.1400000000001</v>
      </c>
      <c r="G26" s="46">
        <f t="shared" ca="1" si="6"/>
        <v>0</v>
      </c>
      <c r="H26" s="46">
        <f>'Monthly Data'!V26</f>
        <v>634944.30000000005</v>
      </c>
      <c r="I26" s="46">
        <f>'Monthly Data'!BG26</f>
        <v>25</v>
      </c>
      <c r="J26" s="46">
        <f>'Monthly Data'!BC26</f>
        <v>0</v>
      </c>
      <c r="L26" s="29">
        <f>'GS&gt;50 PW'!$B$6</f>
        <v>556.26088485683897</v>
      </c>
      <c r="M26" s="29">
        <f ca="1">F26*'GS&gt;50 PW'!$B$7</f>
        <v>245.42201004517693</v>
      </c>
      <c r="N26" s="29">
        <f ca="1">G26*'GS&gt;50 PW'!$B$8</f>
        <v>0</v>
      </c>
      <c r="O26" s="29">
        <f>H26*'GS&gt;50 PW'!$B$9</f>
        <v>1857.0977744371758</v>
      </c>
      <c r="P26" s="29">
        <f>I26*'GS&gt;50 PW'!$B$10</f>
        <v>-89.457885631656751</v>
      </c>
      <c r="Q26" s="29">
        <f>J26*'GS&gt;50 PW'!$B$11</f>
        <v>0</v>
      </c>
      <c r="R26" s="46">
        <f>'Monthly Data'!O26</f>
        <v>996</v>
      </c>
      <c r="S26" s="46">
        <f>'Monthly Data'!BH26</f>
        <v>31</v>
      </c>
      <c r="T26" s="28">
        <f t="shared" ca="1" si="5"/>
        <v>79330410.269753844</v>
      </c>
    </row>
    <row r="27" spans="1:22" x14ac:dyDescent="0.2">
      <c r="A27" s="45">
        <f>'Monthly Data'!A27</f>
        <v>40940</v>
      </c>
      <c r="B27" s="29">
        <f t="shared" si="3"/>
        <v>2012</v>
      </c>
      <c r="C27" s="29">
        <f t="shared" si="4"/>
        <v>2</v>
      </c>
      <c r="D27" s="44">
        <f>'Monthly Data'!M27</f>
        <v>72912305.963004857</v>
      </c>
      <c r="E27" s="44">
        <f>'Monthly Data'!BQ27</f>
        <v>2526.8517055278066</v>
      </c>
      <c r="F27" s="46">
        <f t="shared" ca="1" si="6"/>
        <v>473.45</v>
      </c>
      <c r="G27" s="46">
        <f t="shared" ca="1" si="6"/>
        <v>0</v>
      </c>
      <c r="H27" s="46">
        <f>'Monthly Data'!V27</f>
        <v>634944.30000000005</v>
      </c>
      <c r="I27" s="46">
        <f>'Monthly Data'!BG27</f>
        <v>26</v>
      </c>
      <c r="J27" s="46">
        <f>'Monthly Data'!BC27</f>
        <v>0</v>
      </c>
      <c r="L27" s="29">
        <f>'GS&gt;50 PW'!$B$6</f>
        <v>556.26088485683897</v>
      </c>
      <c r="M27" s="29">
        <f ca="1">F27*'GS&gt;50 PW'!$B$7</f>
        <v>215.51925410076973</v>
      </c>
      <c r="N27" s="29">
        <f ca="1">G27*'GS&gt;50 PW'!$B$8</f>
        <v>0</v>
      </c>
      <c r="O27" s="29">
        <f>H27*'GS&gt;50 PW'!$B$9</f>
        <v>1857.0977744371758</v>
      </c>
      <c r="P27" s="29">
        <f>I27*'GS&gt;50 PW'!$B$10</f>
        <v>-93.036201056923019</v>
      </c>
      <c r="Q27" s="29">
        <f>J27*'GS&gt;50 PW'!$B$11</f>
        <v>0</v>
      </c>
      <c r="R27" s="46">
        <f>'Monthly Data'!O27</f>
        <v>995</v>
      </c>
      <c r="S27" s="46">
        <f>'Monthly Data'!BH27</f>
        <v>29</v>
      </c>
      <c r="T27" s="28">
        <f t="shared" ca="1" si="5"/>
        <v>73171712.609509006</v>
      </c>
    </row>
    <row r="28" spans="1:22" x14ac:dyDescent="0.2">
      <c r="A28" s="45">
        <f>'Monthly Data'!A28</f>
        <v>40969</v>
      </c>
      <c r="B28" s="29">
        <f t="shared" si="3"/>
        <v>2012</v>
      </c>
      <c r="C28" s="29">
        <f t="shared" si="4"/>
        <v>3</v>
      </c>
      <c r="D28" s="44">
        <f>'Monthly Data'!M28</f>
        <v>74889795.963004857</v>
      </c>
      <c r="E28" s="44">
        <f>'Monthly Data'!BQ28</f>
        <v>2425.5018772834842</v>
      </c>
      <c r="F28" s="46">
        <f t="shared" ca="1" si="6"/>
        <v>394.31999999999988</v>
      </c>
      <c r="G28" s="46">
        <f t="shared" ca="1" si="6"/>
        <v>3.0000000000000072E-2</v>
      </c>
      <c r="H28" s="46">
        <f>'Monthly Data'!V28</f>
        <v>634944.30000000005</v>
      </c>
      <c r="I28" s="46">
        <f>'Monthly Data'!BG28</f>
        <v>27</v>
      </c>
      <c r="J28" s="46">
        <f>'Monthly Data'!BC28</f>
        <v>0</v>
      </c>
      <c r="L28" s="29">
        <f>'GS&gt;50 PW'!$B$6</f>
        <v>556.26088485683897</v>
      </c>
      <c r="M28" s="29">
        <f ca="1">F28*'GS&gt;50 PW'!$B$7</f>
        <v>179.49847349670608</v>
      </c>
      <c r="N28" s="29">
        <f ca="1">G28*'GS&gt;50 PW'!$B$8</f>
        <v>4.6437485801708811E-2</v>
      </c>
      <c r="O28" s="29">
        <f>H28*'GS&gt;50 PW'!$B$9</f>
        <v>1857.0977744371758</v>
      </c>
      <c r="P28" s="29">
        <f>I28*'GS&gt;50 PW'!$B$10</f>
        <v>-96.614516482189288</v>
      </c>
      <c r="Q28" s="29">
        <f>J28*'GS&gt;50 PW'!$B$11</f>
        <v>0</v>
      </c>
      <c r="R28" s="46">
        <f>'Monthly Data'!O28</f>
        <v>996</v>
      </c>
      <c r="S28" s="46">
        <f>'Monthly Data'!BH28</f>
        <v>31</v>
      </c>
      <c r="T28" s="28">
        <f t="shared" ca="1" si="5"/>
        <v>77075420.824953824</v>
      </c>
    </row>
    <row r="29" spans="1:22" x14ac:dyDescent="0.2">
      <c r="A29" s="45">
        <f>'Monthly Data'!A29</f>
        <v>41000</v>
      </c>
      <c r="B29" s="29">
        <f t="shared" si="3"/>
        <v>2012</v>
      </c>
      <c r="C29" s="29">
        <f t="shared" si="4"/>
        <v>4</v>
      </c>
      <c r="D29" s="44">
        <f>'Monthly Data'!M29</f>
        <v>69901221.963004857</v>
      </c>
      <c r="E29" s="44">
        <f>'Monthly Data'!BQ29</f>
        <v>2339.3983254017689</v>
      </c>
      <c r="F29" s="46">
        <f t="shared" ca="1" si="6"/>
        <v>220.23999999999995</v>
      </c>
      <c r="G29" s="46">
        <f t="shared" ca="1" si="6"/>
        <v>1.45</v>
      </c>
      <c r="H29" s="46">
        <f>'Monthly Data'!V29</f>
        <v>634944.30000000005</v>
      </c>
      <c r="I29" s="46">
        <f>'Monthly Data'!BG29</f>
        <v>28</v>
      </c>
      <c r="J29" s="46">
        <f>'Monthly Data'!BC29</f>
        <v>0</v>
      </c>
      <c r="L29" s="29">
        <f>'GS&gt;50 PW'!$B$6</f>
        <v>556.26088485683897</v>
      </c>
      <c r="M29" s="29">
        <f ca="1">F29*'GS&gt;50 PW'!$B$7</f>
        <v>100.25548742877498</v>
      </c>
      <c r="N29" s="29">
        <f ca="1">G29*'GS&gt;50 PW'!$B$8</f>
        <v>2.2444784804159204</v>
      </c>
      <c r="O29" s="29">
        <f>H29*'GS&gt;50 PW'!$B$9</f>
        <v>1857.0977744371758</v>
      </c>
      <c r="P29" s="29">
        <f>I29*'GS&gt;50 PW'!$B$10</f>
        <v>-100.19283190745557</v>
      </c>
      <c r="Q29" s="29">
        <f>J29*'GS&gt;50 PW'!$B$11</f>
        <v>0</v>
      </c>
      <c r="R29" s="46">
        <f>'Monthly Data'!O29</f>
        <v>996</v>
      </c>
      <c r="S29" s="46">
        <f>'Monthly Data'!BH29</f>
        <v>30</v>
      </c>
      <c r="T29" s="28">
        <f t="shared" ca="1" si="5"/>
        <v>72180093.903677016</v>
      </c>
    </row>
    <row r="30" spans="1:22" x14ac:dyDescent="0.2">
      <c r="A30" s="45">
        <f>'Monthly Data'!A30</f>
        <v>41030</v>
      </c>
      <c r="B30" s="29">
        <f t="shared" si="3"/>
        <v>2012</v>
      </c>
      <c r="C30" s="29">
        <f t="shared" si="4"/>
        <v>5</v>
      </c>
      <c r="D30" s="44">
        <f>'Monthly Data'!M30</f>
        <v>75697992.963004857</v>
      </c>
      <c r="E30" s="44">
        <f>'Monthly Data'!BQ30</f>
        <v>2446.7642692806535</v>
      </c>
      <c r="F30" s="46">
        <f t="shared" ref="F30:G45" ca="1" si="7">F18</f>
        <v>68.61</v>
      </c>
      <c r="G30" s="46">
        <f t="shared" ca="1" si="7"/>
        <v>50.69</v>
      </c>
      <c r="H30" s="46">
        <f>'Monthly Data'!V30</f>
        <v>634944.30000000005</v>
      </c>
      <c r="I30" s="46">
        <f>'Monthly Data'!BG30</f>
        <v>29</v>
      </c>
      <c r="J30" s="46">
        <f>'Monthly Data'!BC30</f>
        <v>0</v>
      </c>
      <c r="L30" s="29">
        <f>'GS&gt;50 PW'!$B$6</f>
        <v>556.26088485683897</v>
      </c>
      <c r="M30" s="29">
        <f ca="1">F30*'GS&gt;50 PW'!$B$7</f>
        <v>31.231969635344413</v>
      </c>
      <c r="N30" s="29">
        <f ca="1">G30*'GS&gt;50 PW'!$B$8</f>
        <v>78.463871842953807</v>
      </c>
      <c r="O30" s="29">
        <f>H30*'GS&gt;50 PW'!$B$9</f>
        <v>1857.0977744371758</v>
      </c>
      <c r="P30" s="29">
        <f>I30*'GS&gt;50 PW'!$B$10</f>
        <v>-103.77114733272184</v>
      </c>
      <c r="Q30" s="29">
        <f>J30*'GS&gt;50 PW'!$B$11</f>
        <v>0</v>
      </c>
      <c r="R30" s="46">
        <f>'Monthly Data'!O30</f>
        <v>998</v>
      </c>
      <c r="S30" s="46">
        <f>'Monthly Data'!BH30</f>
        <v>31</v>
      </c>
      <c r="T30" s="28">
        <f t="shared" ca="1" si="5"/>
        <v>74847788.388714075</v>
      </c>
    </row>
    <row r="31" spans="1:22" x14ac:dyDescent="0.2">
      <c r="A31" s="45">
        <f>'Monthly Data'!A31</f>
        <v>41061</v>
      </c>
      <c r="B31" s="29">
        <f t="shared" si="3"/>
        <v>2012</v>
      </c>
      <c r="C31" s="29">
        <f t="shared" si="4"/>
        <v>6</v>
      </c>
      <c r="D31" s="44">
        <f>'Monthly Data'!M31</f>
        <v>78642737.963004857</v>
      </c>
      <c r="E31" s="44">
        <f>'Monthly Data'!BQ31</f>
        <v>2624.0486474142431</v>
      </c>
      <c r="F31" s="46">
        <f t="shared" ca="1" si="7"/>
        <v>2.7299999999999995</v>
      </c>
      <c r="G31" s="46">
        <f t="shared" ca="1" si="7"/>
        <v>145.17999999999998</v>
      </c>
      <c r="H31" s="46">
        <f>'Monthly Data'!V31</f>
        <v>634944.30000000005</v>
      </c>
      <c r="I31" s="46">
        <f>'Monthly Data'!BG31</f>
        <v>30</v>
      </c>
      <c r="J31" s="46">
        <f>'Monthly Data'!BC31</f>
        <v>0</v>
      </c>
      <c r="L31" s="29">
        <f>'GS&gt;50 PW'!$B$6</f>
        <v>556.26088485683897</v>
      </c>
      <c r="M31" s="29">
        <f ca="1">F31*'GS&gt;50 PW'!$B$7</f>
        <v>1.2427237589927158</v>
      </c>
      <c r="N31" s="29">
        <f ca="1">G31*'GS&gt;50 PW'!$B$8</f>
        <v>224.72647295640229</v>
      </c>
      <c r="O31" s="29">
        <f>H31*'GS&gt;50 PW'!$B$9</f>
        <v>1857.0977744371758</v>
      </c>
      <c r="P31" s="29">
        <f>I31*'GS&gt;50 PW'!$B$10</f>
        <v>-107.34946275798811</v>
      </c>
      <c r="Q31" s="29">
        <f>J31*'GS&gt;50 PW'!$B$11</f>
        <v>0</v>
      </c>
      <c r="R31" s="46">
        <f>'Monthly Data'!O31</f>
        <v>999</v>
      </c>
      <c r="S31" s="46">
        <f>'Monthly Data'!BH31</f>
        <v>30</v>
      </c>
      <c r="T31" s="28">
        <f t="shared" ca="1" si="5"/>
        <v>75883392.445745096</v>
      </c>
      <c r="V31" s="190"/>
    </row>
    <row r="32" spans="1:22" x14ac:dyDescent="0.2">
      <c r="A32" s="45">
        <f>'Monthly Data'!A32</f>
        <v>41091</v>
      </c>
      <c r="B32" s="29">
        <f t="shared" si="3"/>
        <v>2012</v>
      </c>
      <c r="C32" s="29">
        <f t="shared" si="4"/>
        <v>7</v>
      </c>
      <c r="D32" s="44">
        <f>'Monthly Data'!M32</f>
        <v>85309315.963004857</v>
      </c>
      <c r="E32" s="44">
        <f>'Monthly Data'!BQ32</f>
        <v>2751.9134181614472</v>
      </c>
      <c r="F32" s="46">
        <f t="shared" ca="1" si="7"/>
        <v>0</v>
      </c>
      <c r="G32" s="46">
        <f t="shared" ca="1" si="7"/>
        <v>268.18999999999994</v>
      </c>
      <c r="H32" s="46">
        <f>'Monthly Data'!V32</f>
        <v>634944.30000000005</v>
      </c>
      <c r="I32" s="46">
        <f>'Monthly Data'!BG32</f>
        <v>31</v>
      </c>
      <c r="J32" s="46">
        <f>'Monthly Data'!BC32</f>
        <v>0</v>
      </c>
      <c r="L32" s="29">
        <f>'GS&gt;50 PW'!$B$6</f>
        <v>556.26088485683897</v>
      </c>
      <c r="M32" s="29">
        <f ca="1">F32*'GS&gt;50 PW'!$B$7</f>
        <v>0</v>
      </c>
      <c r="N32" s="29">
        <f ca="1">G32*'GS&gt;50 PW'!$B$8</f>
        <v>415.13564390534179</v>
      </c>
      <c r="O32" s="29">
        <f>H32*'GS&gt;50 PW'!$B$9</f>
        <v>1857.0977744371758</v>
      </c>
      <c r="P32" s="29">
        <f>I32*'GS&gt;50 PW'!$B$10</f>
        <v>-110.92777818325438</v>
      </c>
      <c r="Q32" s="29">
        <f>J32*'GS&gt;50 PW'!$B$11</f>
        <v>0</v>
      </c>
      <c r="R32" s="46">
        <f>'Monthly Data'!O32</f>
        <v>1000</v>
      </c>
      <c r="S32" s="46">
        <f>'Monthly Data'!BH32</f>
        <v>31</v>
      </c>
      <c r="T32" s="28">
        <f t="shared" ca="1" si="5"/>
        <v>84244562.27549918</v>
      </c>
    </row>
    <row r="33" spans="1:20" x14ac:dyDescent="0.2">
      <c r="A33" s="45">
        <f>'Monthly Data'!A33</f>
        <v>41122</v>
      </c>
      <c r="B33" s="29">
        <f t="shared" si="3"/>
        <v>2012</v>
      </c>
      <c r="C33" s="29">
        <f t="shared" si="4"/>
        <v>8</v>
      </c>
      <c r="D33" s="44">
        <f>'Monthly Data'!M33</f>
        <v>82517115.963004857</v>
      </c>
      <c r="E33" s="44">
        <f>'Monthly Data'!BQ33</f>
        <v>2664.5069573768883</v>
      </c>
      <c r="F33" s="46">
        <f t="shared" ca="1" si="7"/>
        <v>0</v>
      </c>
      <c r="G33" s="46">
        <f t="shared" ca="1" si="7"/>
        <v>239.59000000000006</v>
      </c>
      <c r="H33" s="46">
        <f>'Monthly Data'!V33</f>
        <v>634944.30000000005</v>
      </c>
      <c r="I33" s="46">
        <f>'Monthly Data'!BG33</f>
        <v>32</v>
      </c>
      <c r="J33" s="46">
        <f>'Monthly Data'!BC33</f>
        <v>0</v>
      </c>
      <c r="L33" s="29">
        <f>'GS&gt;50 PW'!$B$6</f>
        <v>556.26088485683897</v>
      </c>
      <c r="M33" s="29">
        <f ca="1">F33*'GS&gt;50 PW'!$B$7</f>
        <v>0</v>
      </c>
      <c r="N33" s="29">
        <f ca="1">G33*'GS&gt;50 PW'!$B$8</f>
        <v>370.86524077437969</v>
      </c>
      <c r="O33" s="29">
        <f>H33*'GS&gt;50 PW'!$B$9</f>
        <v>1857.0977744371758</v>
      </c>
      <c r="P33" s="29">
        <f>I33*'GS&gt;50 PW'!$B$10</f>
        <v>-114.50609360852064</v>
      </c>
      <c r="Q33" s="29">
        <f>J33*'GS&gt;50 PW'!$B$11</f>
        <v>0</v>
      </c>
      <c r="R33" s="46">
        <f>'Monthly Data'!O33</f>
        <v>999</v>
      </c>
      <c r="S33" s="46">
        <f>'Monthly Data'!BH33</f>
        <v>31</v>
      </c>
      <c r="T33" s="28">
        <f t="shared" ca="1" si="5"/>
        <v>82678490.748255834</v>
      </c>
    </row>
    <row r="34" spans="1:20" x14ac:dyDescent="0.2">
      <c r="A34" s="45">
        <f>'Monthly Data'!A34</f>
        <v>41153</v>
      </c>
      <c r="B34" s="29">
        <f t="shared" si="3"/>
        <v>2012</v>
      </c>
      <c r="C34" s="29">
        <f t="shared" si="4"/>
        <v>9</v>
      </c>
      <c r="D34" s="44">
        <f>'Monthly Data'!M34</f>
        <v>74673729.963004857</v>
      </c>
      <c r="E34" s="44">
        <f>'Monthly Data'!BQ34</f>
        <v>2491.6159480482102</v>
      </c>
      <c r="F34" s="46">
        <f t="shared" ca="1" si="7"/>
        <v>5.2099999999999991</v>
      </c>
      <c r="G34" s="46">
        <f t="shared" ca="1" si="7"/>
        <v>132.95000000000002</v>
      </c>
      <c r="H34" s="46">
        <f>'Monthly Data'!V34</f>
        <v>634944.30000000005</v>
      </c>
      <c r="I34" s="46">
        <f>'Monthly Data'!BG34</f>
        <v>33</v>
      </c>
      <c r="J34" s="46">
        <f>'Monthly Data'!BC34</f>
        <v>0</v>
      </c>
      <c r="L34" s="29">
        <f>'GS&gt;50 PW'!$B$6</f>
        <v>556.26088485683897</v>
      </c>
      <c r="M34" s="29">
        <f ca="1">F34*'GS&gt;50 PW'!$B$7</f>
        <v>2.3716449759531315</v>
      </c>
      <c r="N34" s="29">
        <f ca="1">G34*'GS&gt;50 PW'!$B$8</f>
        <v>205.79545791123908</v>
      </c>
      <c r="O34" s="29">
        <f>H34*'GS&gt;50 PW'!$B$9</f>
        <v>1857.0977744371758</v>
      </c>
      <c r="P34" s="29">
        <f>I34*'GS&gt;50 PW'!$B$10</f>
        <v>-118.08440903378691</v>
      </c>
      <c r="Q34" s="29">
        <f>J34*'GS&gt;50 PW'!$B$11</f>
        <v>0</v>
      </c>
      <c r="R34" s="46">
        <f>'Monthly Data'!O34</f>
        <v>999</v>
      </c>
      <c r="S34" s="46">
        <f>'Monthly Data'!BH34</f>
        <v>30</v>
      </c>
      <c r="T34" s="28">
        <f t="shared" ca="1" si="5"/>
        <v>75028137.353828177</v>
      </c>
    </row>
    <row r="35" spans="1:20" x14ac:dyDescent="0.2">
      <c r="A35" s="45">
        <f>'Monthly Data'!A35</f>
        <v>41183</v>
      </c>
      <c r="B35" s="29">
        <f t="shared" si="3"/>
        <v>2012</v>
      </c>
      <c r="C35" s="29">
        <f t="shared" si="4"/>
        <v>10</v>
      </c>
      <c r="D35" s="44">
        <f>'Monthly Data'!M35</f>
        <v>73374496.963004857</v>
      </c>
      <c r="E35" s="44">
        <f>'Monthly Data'!BQ35</f>
        <v>2371.6625820351946</v>
      </c>
      <c r="F35" s="46">
        <f t="shared" ca="1" si="7"/>
        <v>90.66</v>
      </c>
      <c r="G35" s="46">
        <f t="shared" ca="1" si="7"/>
        <v>27.9</v>
      </c>
      <c r="H35" s="46">
        <f>'Monthly Data'!V35</f>
        <v>634944.30000000005</v>
      </c>
      <c r="I35" s="46">
        <f>'Monthly Data'!BG35</f>
        <v>34</v>
      </c>
      <c r="J35" s="46">
        <f>'Monthly Data'!BC35</f>
        <v>0</v>
      </c>
      <c r="L35" s="29">
        <f>'GS&gt;50 PW'!$B$6</f>
        <v>556.26088485683897</v>
      </c>
      <c r="M35" s="29">
        <f ca="1">F35*'GS&gt;50 PW'!$B$7</f>
        <v>41.269353842593269</v>
      </c>
      <c r="N35" s="29">
        <f ca="1">G35*'GS&gt;50 PW'!$B$8</f>
        <v>43.186861795589088</v>
      </c>
      <c r="O35" s="29">
        <f>H35*'GS&gt;50 PW'!$B$9</f>
        <v>1857.0977744371758</v>
      </c>
      <c r="P35" s="29">
        <f>I35*'GS&gt;50 PW'!$B$10</f>
        <v>-121.66272445905318</v>
      </c>
      <c r="Q35" s="29">
        <f>J35*'GS&gt;50 PW'!$B$11</f>
        <v>0</v>
      </c>
      <c r="R35" s="46">
        <f>'Monthly Data'!O35</f>
        <v>998</v>
      </c>
      <c r="S35" s="46">
        <f>'Monthly Data'!BH35</f>
        <v>31</v>
      </c>
      <c r="T35" s="28">
        <f t="shared" ca="1" si="5"/>
        <v>73513395.231338128</v>
      </c>
    </row>
    <row r="36" spans="1:20" x14ac:dyDescent="0.2">
      <c r="A36" s="45">
        <f>'Monthly Data'!A36</f>
        <v>41214</v>
      </c>
      <c r="B36" s="29">
        <f t="shared" si="3"/>
        <v>2012</v>
      </c>
      <c r="C36" s="29">
        <f t="shared" si="4"/>
        <v>11</v>
      </c>
      <c r="D36" s="44">
        <f>'Monthly Data'!M36</f>
        <v>72808754.963004857</v>
      </c>
      <c r="E36" s="44">
        <f>'Monthly Data'!BQ36</f>
        <v>2426.9584987668286</v>
      </c>
      <c r="F36" s="46">
        <f t="shared" ca="1" si="7"/>
        <v>264.88</v>
      </c>
      <c r="G36" s="46">
        <f t="shared" ca="1" si="7"/>
        <v>0.69000000000000006</v>
      </c>
      <c r="H36" s="46">
        <f>'Monthly Data'!V36</f>
        <v>634944.30000000005</v>
      </c>
      <c r="I36" s="46">
        <f>'Monthly Data'!BG36</f>
        <v>35</v>
      </c>
      <c r="J36" s="46">
        <f>'Monthly Data'!BC36</f>
        <v>0</v>
      </c>
      <c r="L36" s="29">
        <f>'GS&gt;50 PW'!$B$6</f>
        <v>556.26088485683897</v>
      </c>
      <c r="M36" s="29">
        <f ca="1">F36*'GS&gt;50 PW'!$B$7</f>
        <v>120.5760693340625</v>
      </c>
      <c r="N36" s="29">
        <f ca="1">G36*'GS&gt;50 PW'!$B$8</f>
        <v>1.0680621734393003</v>
      </c>
      <c r="O36" s="29">
        <f>H36*'GS&gt;50 PW'!$B$9</f>
        <v>1857.0977744371758</v>
      </c>
      <c r="P36" s="29">
        <f>I36*'GS&gt;50 PW'!$B$10</f>
        <v>-125.24103988431945</v>
      </c>
      <c r="Q36" s="29">
        <f>J36*'GS&gt;50 PW'!$B$11</f>
        <v>0</v>
      </c>
      <c r="R36" s="46">
        <f>'Monthly Data'!O36</f>
        <v>1000</v>
      </c>
      <c r="S36" s="46">
        <f>'Monthly Data'!BH36</f>
        <v>30</v>
      </c>
      <c r="T36" s="28">
        <f t="shared" ca="1" si="5"/>
        <v>72292852.527515903</v>
      </c>
    </row>
    <row r="37" spans="1:20" x14ac:dyDescent="0.2">
      <c r="A37" s="45">
        <f>'Monthly Data'!A37</f>
        <v>41244</v>
      </c>
      <c r="B37" s="29">
        <f t="shared" si="3"/>
        <v>2012</v>
      </c>
      <c r="C37" s="29">
        <f t="shared" si="4"/>
        <v>12</v>
      </c>
      <c r="D37" s="44">
        <f>'Monthly Data'!M37</f>
        <v>72687620.963004857</v>
      </c>
      <c r="E37" s="44">
        <f>'Monthly Data'!BQ37</f>
        <v>2335.4202854069163</v>
      </c>
      <c r="F37" s="46">
        <f t="shared" ca="1" si="7"/>
        <v>413.65</v>
      </c>
      <c r="G37" s="46">
        <f t="shared" ca="1" si="7"/>
        <v>0</v>
      </c>
      <c r="H37" s="46">
        <f>'Monthly Data'!V37</f>
        <v>634944.30000000005</v>
      </c>
      <c r="I37" s="46">
        <f>'Monthly Data'!BG37</f>
        <v>36</v>
      </c>
      <c r="J37" s="46">
        <f>'Monthly Data'!BC37</f>
        <v>1</v>
      </c>
      <c r="L37" s="29">
        <f>'GS&gt;50 PW'!$B$6</f>
        <v>556.26088485683897</v>
      </c>
      <c r="M37" s="29">
        <f ca="1">F37*'GS&gt;50 PW'!$B$7</f>
        <v>188.29768604664358</v>
      </c>
      <c r="N37" s="29">
        <f ca="1">G37*'GS&gt;50 PW'!$B$8</f>
        <v>0</v>
      </c>
      <c r="O37" s="29">
        <f>H37*'GS&gt;50 PW'!$B$9</f>
        <v>1857.0977744371758</v>
      </c>
      <c r="P37" s="29">
        <f>I37*'GS&gt;50 PW'!$B$10</f>
        <v>-128.81935530958572</v>
      </c>
      <c r="Q37" s="29">
        <f>J37*'GS&gt;50 PW'!$B$11</f>
        <v>-107.242128303215</v>
      </c>
      <c r="R37" s="46">
        <f>'Monthly Data'!O37</f>
        <v>1004</v>
      </c>
      <c r="S37" s="46">
        <f>'Monthly Data'!BH37</f>
        <v>31</v>
      </c>
      <c r="T37" s="28">
        <f t="shared" ca="1" si="5"/>
        <v>73626774.47641784</v>
      </c>
    </row>
    <row r="38" spans="1:20" x14ac:dyDescent="0.2">
      <c r="A38" s="45">
        <f>'Monthly Data'!A38</f>
        <v>41275</v>
      </c>
      <c r="B38" s="29">
        <f t="shared" si="3"/>
        <v>2013</v>
      </c>
      <c r="C38" s="29">
        <f t="shared" si="4"/>
        <v>1</v>
      </c>
      <c r="D38" s="44">
        <f>'Monthly Data'!M38</f>
        <v>79277065.894941643</v>
      </c>
      <c r="E38" s="44">
        <f>'Monthly Data'!BQ38</f>
        <v>2554.7699363520883</v>
      </c>
      <c r="F38" s="46">
        <f t="shared" ca="1" si="7"/>
        <v>539.1400000000001</v>
      </c>
      <c r="G38" s="46">
        <f t="shared" ca="1" si="7"/>
        <v>0</v>
      </c>
      <c r="H38" s="46">
        <f>'Monthly Data'!V38</f>
        <v>643937</v>
      </c>
      <c r="I38" s="46">
        <f>'Monthly Data'!BG38</f>
        <v>37</v>
      </c>
      <c r="J38" s="46">
        <f>'Monthly Data'!BC38</f>
        <v>0</v>
      </c>
      <c r="L38" s="29">
        <f>'GS&gt;50 PW'!$B$6</f>
        <v>556.26088485683897</v>
      </c>
      <c r="M38" s="29">
        <f ca="1">F38*'GS&gt;50 PW'!$B$7</f>
        <v>245.42201004517693</v>
      </c>
      <c r="N38" s="29">
        <f ca="1">G38*'GS&gt;50 PW'!$B$8</f>
        <v>0</v>
      </c>
      <c r="O38" s="29">
        <f>H38*'GS&gt;50 PW'!$B$9</f>
        <v>1883.399803065799</v>
      </c>
      <c r="P38" s="29">
        <f>I38*'GS&gt;50 PW'!$B$10</f>
        <v>-132.397670734852</v>
      </c>
      <c r="Q38" s="29">
        <f>J38*'GS&gt;50 PW'!$B$11</f>
        <v>0</v>
      </c>
      <c r="R38" s="46">
        <f>'Monthly Data'!O38</f>
        <v>1001</v>
      </c>
      <c r="S38" s="46">
        <f>'Monthly Data'!BH38</f>
        <v>31</v>
      </c>
      <c r="T38" s="28">
        <f t="shared" ca="1" si="5"/>
        <v>79212369.08006607</v>
      </c>
    </row>
    <row r="39" spans="1:20" x14ac:dyDescent="0.2">
      <c r="A39" s="45">
        <f>'Monthly Data'!A39</f>
        <v>41306</v>
      </c>
      <c r="B39" s="29">
        <f t="shared" si="3"/>
        <v>2013</v>
      </c>
      <c r="C39" s="29">
        <f t="shared" si="4"/>
        <v>2</v>
      </c>
      <c r="D39" s="44">
        <f>'Monthly Data'!M39</f>
        <v>72766224.894941643</v>
      </c>
      <c r="E39" s="44">
        <f>'Monthly Data'!BQ39</f>
        <v>2593.6065331815525</v>
      </c>
      <c r="F39" s="46">
        <f t="shared" ca="1" si="7"/>
        <v>473.45</v>
      </c>
      <c r="G39" s="46">
        <f t="shared" ca="1" si="7"/>
        <v>0</v>
      </c>
      <c r="H39" s="46">
        <f>'Monthly Data'!V39</f>
        <v>643937</v>
      </c>
      <c r="I39" s="46">
        <f>'Monthly Data'!BG39</f>
        <v>38</v>
      </c>
      <c r="J39" s="46">
        <f>'Monthly Data'!BC39</f>
        <v>0</v>
      </c>
      <c r="L39" s="29">
        <f>'GS&gt;50 PW'!$B$6</f>
        <v>556.26088485683897</v>
      </c>
      <c r="M39" s="29">
        <f ca="1">F39*'GS&gt;50 PW'!$B$7</f>
        <v>215.51925410076973</v>
      </c>
      <c r="N39" s="29">
        <f ca="1">G39*'GS&gt;50 PW'!$B$8</f>
        <v>0</v>
      </c>
      <c r="O39" s="29">
        <f>H39*'GS&gt;50 PW'!$B$9</f>
        <v>1883.399803065799</v>
      </c>
      <c r="P39" s="29">
        <f>I39*'GS&gt;50 PW'!$B$10</f>
        <v>-135.97598616011825</v>
      </c>
      <c r="Q39" s="29">
        <f>J39*'GS&gt;50 PW'!$B$11</f>
        <v>0</v>
      </c>
      <c r="R39" s="46">
        <f>'Monthly Data'!O39</f>
        <v>1002</v>
      </c>
      <c r="S39" s="46">
        <f>'Monthly Data'!BH39</f>
        <v>28</v>
      </c>
      <c r="T39" s="28">
        <f t="shared" ca="1" si="5"/>
        <v>70678786.185700446</v>
      </c>
    </row>
    <row r="40" spans="1:20" x14ac:dyDescent="0.2">
      <c r="A40" s="45">
        <f>'Monthly Data'!A40</f>
        <v>41334</v>
      </c>
      <c r="B40" s="29">
        <f t="shared" si="3"/>
        <v>2013</v>
      </c>
      <c r="C40" s="29">
        <f t="shared" si="4"/>
        <v>3</v>
      </c>
      <c r="D40" s="44">
        <f>'Monthly Data'!M40</f>
        <v>76895003.894941643</v>
      </c>
      <c r="E40" s="44">
        <f>'Monthly Data'!BQ40</f>
        <v>2470.6015902500208</v>
      </c>
      <c r="F40" s="46">
        <f t="shared" ca="1" si="7"/>
        <v>394.31999999999988</v>
      </c>
      <c r="G40" s="46">
        <f t="shared" ca="1" si="7"/>
        <v>3.0000000000000072E-2</v>
      </c>
      <c r="H40" s="46">
        <f>'Monthly Data'!V40</f>
        <v>643937</v>
      </c>
      <c r="I40" s="46">
        <f>'Monthly Data'!BG40</f>
        <v>39</v>
      </c>
      <c r="J40" s="46">
        <f>'Monthly Data'!BC40</f>
        <v>0</v>
      </c>
      <c r="L40" s="29">
        <f>'GS&gt;50 PW'!$B$6</f>
        <v>556.26088485683897</v>
      </c>
      <c r="M40" s="29">
        <f ca="1">F40*'GS&gt;50 PW'!$B$7</f>
        <v>179.49847349670608</v>
      </c>
      <c r="N40" s="29">
        <f ca="1">G40*'GS&gt;50 PW'!$B$8</f>
        <v>4.6437485801708811E-2</v>
      </c>
      <c r="O40" s="29">
        <f>H40*'GS&gt;50 PW'!$B$9</f>
        <v>1883.399803065799</v>
      </c>
      <c r="P40" s="29">
        <f>I40*'GS&gt;50 PW'!$B$10</f>
        <v>-139.55430158538454</v>
      </c>
      <c r="Q40" s="29">
        <f>J40*'GS&gt;50 PW'!$B$11</f>
        <v>0</v>
      </c>
      <c r="R40" s="46">
        <f>'Monthly Data'!O40</f>
        <v>1004</v>
      </c>
      <c r="S40" s="46">
        <f>'Monthly Data'!BH40</f>
        <v>31</v>
      </c>
      <c r="T40" s="28">
        <f t="shared" ca="1" si="5"/>
        <v>77176666.977780268</v>
      </c>
    </row>
    <row r="41" spans="1:20" x14ac:dyDescent="0.2">
      <c r="A41" s="45">
        <f>'Monthly Data'!A41</f>
        <v>41365</v>
      </c>
      <c r="B41" s="29">
        <f t="shared" si="3"/>
        <v>2013</v>
      </c>
      <c r="C41" s="29">
        <f t="shared" si="4"/>
        <v>4</v>
      </c>
      <c r="D41" s="44">
        <f>'Monthly Data'!M41</f>
        <v>72485963.894941643</v>
      </c>
      <c r="E41" s="44">
        <f>'Monthly Data'!BQ41</f>
        <v>2401.7880680895178</v>
      </c>
      <c r="F41" s="46">
        <f t="shared" ca="1" si="7"/>
        <v>220.23999999999995</v>
      </c>
      <c r="G41" s="46">
        <f t="shared" ca="1" si="7"/>
        <v>1.45</v>
      </c>
      <c r="H41" s="46">
        <f>'Monthly Data'!V41</f>
        <v>643937</v>
      </c>
      <c r="I41" s="46">
        <f>'Monthly Data'!BG41</f>
        <v>40</v>
      </c>
      <c r="J41" s="46">
        <f>'Monthly Data'!BC41</f>
        <v>0</v>
      </c>
      <c r="L41" s="29">
        <f>'GS&gt;50 PW'!$B$6</f>
        <v>556.26088485683897</v>
      </c>
      <c r="M41" s="29">
        <f ca="1">F41*'GS&gt;50 PW'!$B$7</f>
        <v>100.25548742877498</v>
      </c>
      <c r="N41" s="29">
        <f ca="1">G41*'GS&gt;50 PW'!$B$8</f>
        <v>2.2444784804159204</v>
      </c>
      <c r="O41" s="29">
        <f>H41*'GS&gt;50 PW'!$B$9</f>
        <v>1883.399803065799</v>
      </c>
      <c r="P41" s="29">
        <f>I41*'GS&gt;50 PW'!$B$10</f>
        <v>-143.13261701065079</v>
      </c>
      <c r="Q41" s="29">
        <f>J41*'GS&gt;50 PW'!$B$11</f>
        <v>0</v>
      </c>
      <c r="R41" s="46">
        <f>'Monthly Data'!O41</f>
        <v>1006</v>
      </c>
      <c r="S41" s="46">
        <f>'Monthly Data'!BH41</f>
        <v>30</v>
      </c>
      <c r="T41" s="28">
        <f t="shared" ca="1" si="5"/>
        <v>72402666.151263148</v>
      </c>
    </row>
    <row r="42" spans="1:20" x14ac:dyDescent="0.2">
      <c r="A42" s="45">
        <f>'Monthly Data'!A42</f>
        <v>41395</v>
      </c>
      <c r="B42" s="29">
        <f t="shared" si="3"/>
        <v>2013</v>
      </c>
      <c r="C42" s="29">
        <f t="shared" si="4"/>
        <v>5</v>
      </c>
      <c r="D42" s="44">
        <f>'Monthly Data'!M42</f>
        <v>74512872.894941643</v>
      </c>
      <c r="E42" s="44">
        <f>'Monthly Data'!BQ42</f>
        <v>2389.3052297486579</v>
      </c>
      <c r="F42" s="46">
        <f t="shared" ca="1" si="7"/>
        <v>68.61</v>
      </c>
      <c r="G42" s="46">
        <f t="shared" ca="1" si="7"/>
        <v>50.69</v>
      </c>
      <c r="H42" s="46">
        <f>'Monthly Data'!V42</f>
        <v>643937</v>
      </c>
      <c r="I42" s="46">
        <f>'Monthly Data'!BG42</f>
        <v>41</v>
      </c>
      <c r="J42" s="46">
        <f>'Monthly Data'!BC42</f>
        <v>0</v>
      </c>
      <c r="L42" s="29">
        <f>'GS&gt;50 PW'!$B$6</f>
        <v>556.26088485683897</v>
      </c>
      <c r="M42" s="29">
        <f ca="1">F42*'GS&gt;50 PW'!$B$7</f>
        <v>31.231969635344413</v>
      </c>
      <c r="N42" s="29">
        <f ca="1">G42*'GS&gt;50 PW'!$B$8</f>
        <v>78.463871842953807</v>
      </c>
      <c r="O42" s="29">
        <f>H42*'GS&gt;50 PW'!$B$9</f>
        <v>1883.399803065799</v>
      </c>
      <c r="P42" s="29">
        <f>I42*'GS&gt;50 PW'!$B$10</f>
        <v>-146.71093243591707</v>
      </c>
      <c r="Q42" s="29">
        <f>J42*'GS&gt;50 PW'!$B$11</f>
        <v>0</v>
      </c>
      <c r="R42" s="46">
        <f>'Monthly Data'!O42</f>
        <v>1006</v>
      </c>
      <c r="S42" s="46">
        <f>'Monthly Data'!BH42</f>
        <v>31</v>
      </c>
      <c r="T42" s="28">
        <f t="shared" ca="1" si="5"/>
        <v>74928905.586951092</v>
      </c>
    </row>
    <row r="43" spans="1:20" x14ac:dyDescent="0.2">
      <c r="A43" s="45">
        <f>'Monthly Data'!A43</f>
        <v>41426</v>
      </c>
      <c r="B43" s="29">
        <f t="shared" si="3"/>
        <v>2013</v>
      </c>
      <c r="C43" s="29">
        <f t="shared" si="4"/>
        <v>6</v>
      </c>
      <c r="D43" s="44">
        <f>'Monthly Data'!M43</f>
        <v>76269513.894941643</v>
      </c>
      <c r="E43" s="44">
        <f>'Monthly Data'!BQ43</f>
        <v>2529.6687859018789</v>
      </c>
      <c r="F43" s="46">
        <f t="shared" ca="1" si="7"/>
        <v>2.7299999999999995</v>
      </c>
      <c r="G43" s="46">
        <f t="shared" ca="1" si="7"/>
        <v>145.17999999999998</v>
      </c>
      <c r="H43" s="46">
        <f>'Monthly Data'!V43</f>
        <v>643937</v>
      </c>
      <c r="I43" s="46">
        <f>'Monthly Data'!BG43</f>
        <v>42</v>
      </c>
      <c r="J43" s="46">
        <f>'Monthly Data'!BC43</f>
        <v>0</v>
      </c>
      <c r="L43" s="29">
        <f>'GS&gt;50 PW'!$B$6</f>
        <v>556.26088485683897</v>
      </c>
      <c r="M43" s="29">
        <f ca="1">F43*'GS&gt;50 PW'!$B$7</f>
        <v>1.2427237589927158</v>
      </c>
      <c r="N43" s="29">
        <f ca="1">G43*'GS&gt;50 PW'!$B$8</f>
        <v>224.72647295640229</v>
      </c>
      <c r="O43" s="29">
        <f>H43*'GS&gt;50 PW'!$B$9</f>
        <v>1883.399803065799</v>
      </c>
      <c r="P43" s="29">
        <f>I43*'GS&gt;50 PW'!$B$10</f>
        <v>-150.28924786118336</v>
      </c>
      <c r="Q43" s="29">
        <f>J43*'GS&gt;50 PW'!$B$11</f>
        <v>0</v>
      </c>
      <c r="R43" s="46">
        <f>'Monthly Data'!O43</f>
        <v>1005</v>
      </c>
      <c r="S43" s="46">
        <f>'Monthly Data'!BH43</f>
        <v>30</v>
      </c>
      <c r="T43" s="28">
        <f t="shared" ca="1" si="5"/>
        <v>75837520.198822021</v>
      </c>
    </row>
    <row r="44" spans="1:20" x14ac:dyDescent="0.2">
      <c r="A44" s="45">
        <f>'Monthly Data'!A44</f>
        <v>41456</v>
      </c>
      <c r="B44" s="29">
        <f t="shared" si="3"/>
        <v>2013</v>
      </c>
      <c r="C44" s="29">
        <f t="shared" si="4"/>
        <v>7</v>
      </c>
      <c r="D44" s="44">
        <f>'Monthly Data'!M44</f>
        <v>83459194.894941643</v>
      </c>
      <c r="E44" s="44">
        <f>'Monthly Data'!BQ44</f>
        <v>2673.5174710876013</v>
      </c>
      <c r="F44" s="46">
        <f t="shared" ca="1" si="7"/>
        <v>0</v>
      </c>
      <c r="G44" s="46">
        <f t="shared" ca="1" si="7"/>
        <v>268.18999999999994</v>
      </c>
      <c r="H44" s="46">
        <f>'Monthly Data'!V44</f>
        <v>643937</v>
      </c>
      <c r="I44" s="46">
        <f>'Monthly Data'!BG44</f>
        <v>43</v>
      </c>
      <c r="J44" s="46">
        <f>'Monthly Data'!BC44</f>
        <v>0</v>
      </c>
      <c r="L44" s="29">
        <f>'GS&gt;50 PW'!$B$6</f>
        <v>556.26088485683897</v>
      </c>
      <c r="M44" s="29">
        <f ca="1">F44*'GS&gt;50 PW'!$B$7</f>
        <v>0</v>
      </c>
      <c r="N44" s="29">
        <f ca="1">G44*'GS&gt;50 PW'!$B$8</f>
        <v>415.13564390534179</v>
      </c>
      <c r="O44" s="29">
        <f>H44*'GS&gt;50 PW'!$B$9</f>
        <v>1883.399803065799</v>
      </c>
      <c r="P44" s="29">
        <f>I44*'GS&gt;50 PW'!$B$10</f>
        <v>-153.86756328644961</v>
      </c>
      <c r="Q44" s="29">
        <f>J44*'GS&gt;50 PW'!$B$11</f>
        <v>0</v>
      </c>
      <c r="R44" s="46">
        <f>'Monthly Data'!O44</f>
        <v>1007</v>
      </c>
      <c r="S44" s="46">
        <f>'Monthly Data'!BH44</f>
        <v>31</v>
      </c>
      <c r="T44" s="28">
        <f t="shared" ca="1" si="5"/>
        <v>84314893.367560953</v>
      </c>
    </row>
    <row r="45" spans="1:20" x14ac:dyDescent="0.2">
      <c r="A45" s="45">
        <f>'Monthly Data'!A45</f>
        <v>41487</v>
      </c>
      <c r="B45" s="29">
        <f t="shared" si="3"/>
        <v>2013</v>
      </c>
      <c r="C45" s="29">
        <f t="shared" si="4"/>
        <v>8</v>
      </c>
      <c r="D45" s="44">
        <f>'Monthly Data'!M45</f>
        <v>80843786.894941643</v>
      </c>
      <c r="E45" s="44">
        <f>'Monthly Data'!BQ45</f>
        <v>2587.1667593107286</v>
      </c>
      <c r="F45" s="46">
        <f t="shared" ca="1" si="7"/>
        <v>0</v>
      </c>
      <c r="G45" s="46">
        <f t="shared" ca="1" si="7"/>
        <v>239.59000000000006</v>
      </c>
      <c r="H45" s="46">
        <f>'Monthly Data'!V45</f>
        <v>643937</v>
      </c>
      <c r="I45" s="46">
        <f>'Monthly Data'!BG45</f>
        <v>44</v>
      </c>
      <c r="J45" s="46">
        <f>'Monthly Data'!BC45</f>
        <v>0</v>
      </c>
      <c r="L45" s="29">
        <f>'GS&gt;50 PW'!$B$6</f>
        <v>556.26088485683897</v>
      </c>
      <c r="M45" s="29">
        <f ca="1">F45*'GS&gt;50 PW'!$B$7</f>
        <v>0</v>
      </c>
      <c r="N45" s="29">
        <f ca="1">G45*'GS&gt;50 PW'!$B$8</f>
        <v>370.86524077437969</v>
      </c>
      <c r="O45" s="29">
        <f>H45*'GS&gt;50 PW'!$B$9</f>
        <v>1883.399803065799</v>
      </c>
      <c r="P45" s="29">
        <f>I45*'GS&gt;50 PW'!$B$10</f>
        <v>-157.44587871171589</v>
      </c>
      <c r="Q45" s="29">
        <f>J45*'GS&gt;50 PW'!$B$11</f>
        <v>0</v>
      </c>
      <c r="R45" s="46">
        <f>'Monthly Data'!O45</f>
        <v>1008</v>
      </c>
      <c r="S45" s="46">
        <f>'Monthly Data'!BH45</f>
        <v>31</v>
      </c>
      <c r="T45" s="28">
        <f t="shared" ca="1" si="5"/>
        <v>82903445.401940718</v>
      </c>
    </row>
    <row r="46" spans="1:20" x14ac:dyDescent="0.2">
      <c r="A46" s="45">
        <f>'Monthly Data'!A46</f>
        <v>41518</v>
      </c>
      <c r="B46" s="29">
        <f t="shared" si="3"/>
        <v>2013</v>
      </c>
      <c r="C46" s="29">
        <f t="shared" si="4"/>
        <v>9</v>
      </c>
      <c r="D46" s="44">
        <f>'Monthly Data'!M46</f>
        <v>74048827.894941643</v>
      </c>
      <c r="E46" s="44">
        <f>'Monthly Data'!BQ46</f>
        <v>2446.2777632950661</v>
      </c>
      <c r="F46" s="46">
        <f t="shared" ref="F46:G61" ca="1" si="8">F34</f>
        <v>5.2099999999999991</v>
      </c>
      <c r="G46" s="46">
        <f t="shared" ca="1" si="8"/>
        <v>132.95000000000002</v>
      </c>
      <c r="H46" s="46">
        <f>'Monthly Data'!V46</f>
        <v>643937</v>
      </c>
      <c r="I46" s="46">
        <f>'Monthly Data'!BG46</f>
        <v>45</v>
      </c>
      <c r="J46" s="46">
        <f>'Monthly Data'!BC46</f>
        <v>0</v>
      </c>
      <c r="L46" s="29">
        <f>'GS&gt;50 PW'!$B$6</f>
        <v>556.26088485683897</v>
      </c>
      <c r="M46" s="29">
        <f ca="1">F46*'GS&gt;50 PW'!$B$7</f>
        <v>2.3716449759531315</v>
      </c>
      <c r="N46" s="29">
        <f ca="1">G46*'GS&gt;50 PW'!$B$8</f>
        <v>205.79545791123908</v>
      </c>
      <c r="O46" s="29">
        <f>H46*'GS&gt;50 PW'!$B$9</f>
        <v>1883.399803065799</v>
      </c>
      <c r="P46" s="29">
        <f>I46*'GS&gt;50 PW'!$B$10</f>
        <v>-161.02419413698215</v>
      </c>
      <c r="Q46" s="29">
        <f>J46*'GS&gt;50 PW'!$B$11</f>
        <v>0</v>
      </c>
      <c r="R46" s="46">
        <f>'Monthly Data'!O46</f>
        <v>1009</v>
      </c>
      <c r="S46" s="46">
        <f>'Monthly Data'!BH46</f>
        <v>30</v>
      </c>
      <c r="T46" s="28">
        <f t="shared" ca="1" si="5"/>
        <v>75275544.871287107</v>
      </c>
    </row>
    <row r="47" spans="1:20" x14ac:dyDescent="0.2">
      <c r="A47" s="45">
        <f>'Monthly Data'!A47</f>
        <v>41548</v>
      </c>
      <c r="B47" s="29">
        <f t="shared" si="3"/>
        <v>2013</v>
      </c>
      <c r="C47" s="29">
        <f t="shared" si="4"/>
        <v>10</v>
      </c>
      <c r="D47" s="44">
        <f>'Monthly Data'!M47</f>
        <v>74442701.894941643</v>
      </c>
      <c r="E47" s="44">
        <f>'Monthly Data'!BQ47</f>
        <v>2370.5601979091693</v>
      </c>
      <c r="F47" s="46">
        <f t="shared" ca="1" si="8"/>
        <v>90.66</v>
      </c>
      <c r="G47" s="46">
        <f t="shared" ca="1" si="8"/>
        <v>27.9</v>
      </c>
      <c r="H47" s="46">
        <f>'Monthly Data'!V47</f>
        <v>643937</v>
      </c>
      <c r="I47" s="46">
        <f>'Monthly Data'!BG47</f>
        <v>46</v>
      </c>
      <c r="J47" s="46">
        <f>'Monthly Data'!BC47</f>
        <v>0</v>
      </c>
      <c r="L47" s="29">
        <f>'GS&gt;50 PW'!$B$6</f>
        <v>556.26088485683897</v>
      </c>
      <c r="M47" s="29">
        <f ca="1">F47*'GS&gt;50 PW'!$B$7</f>
        <v>41.269353842593269</v>
      </c>
      <c r="N47" s="29">
        <f ca="1">G47*'GS&gt;50 PW'!$B$8</f>
        <v>43.186861795589088</v>
      </c>
      <c r="O47" s="29">
        <f>H47*'GS&gt;50 PW'!$B$9</f>
        <v>1883.399803065799</v>
      </c>
      <c r="P47" s="29">
        <f>I47*'GS&gt;50 PW'!$B$10</f>
        <v>-164.60250956224843</v>
      </c>
      <c r="Q47" s="29">
        <f>J47*'GS&gt;50 PW'!$B$11</f>
        <v>0</v>
      </c>
      <c r="R47" s="46">
        <f>'Monthly Data'!O47</f>
        <v>1013</v>
      </c>
      <c r="S47" s="46">
        <f>'Monthly Data'!BH47</f>
        <v>31</v>
      </c>
      <c r="T47" s="28">
        <f t="shared" ca="1" si="5"/>
        <v>74095830.514737159</v>
      </c>
    </row>
    <row r="48" spans="1:20" x14ac:dyDescent="0.2">
      <c r="A48" s="45">
        <f>'Monthly Data'!A48</f>
        <v>41579</v>
      </c>
      <c r="B48" s="29">
        <f t="shared" si="3"/>
        <v>2013</v>
      </c>
      <c r="C48" s="29">
        <f t="shared" si="4"/>
        <v>11</v>
      </c>
      <c r="D48" s="44">
        <f>'Monthly Data'!M48</f>
        <v>73596562.894941643</v>
      </c>
      <c r="E48" s="44">
        <f>'Monthly Data'!BQ48</f>
        <v>2419.3478926673783</v>
      </c>
      <c r="F48" s="46">
        <f t="shared" ca="1" si="8"/>
        <v>264.88</v>
      </c>
      <c r="G48" s="46">
        <f t="shared" ca="1" si="8"/>
        <v>0.69000000000000006</v>
      </c>
      <c r="H48" s="46">
        <f>'Monthly Data'!V48</f>
        <v>643937</v>
      </c>
      <c r="I48" s="46">
        <f>'Monthly Data'!BG48</f>
        <v>47</v>
      </c>
      <c r="J48" s="46">
        <f>'Monthly Data'!BC48</f>
        <v>0</v>
      </c>
      <c r="L48" s="29">
        <f>'GS&gt;50 PW'!$B$6</f>
        <v>556.26088485683897</v>
      </c>
      <c r="M48" s="29">
        <f ca="1">F48*'GS&gt;50 PW'!$B$7</f>
        <v>120.5760693340625</v>
      </c>
      <c r="N48" s="29">
        <f ca="1">G48*'GS&gt;50 PW'!$B$8</f>
        <v>1.0680621734393003</v>
      </c>
      <c r="O48" s="29">
        <f>H48*'GS&gt;50 PW'!$B$9</f>
        <v>1883.399803065799</v>
      </c>
      <c r="P48" s="29">
        <f>I48*'GS&gt;50 PW'!$B$10</f>
        <v>-168.18082498751468</v>
      </c>
      <c r="Q48" s="29">
        <f>J48*'GS&gt;50 PW'!$B$11</f>
        <v>0</v>
      </c>
      <c r="R48" s="46">
        <f>'Monthly Data'!O48</f>
        <v>1014</v>
      </c>
      <c r="S48" s="46">
        <f>'Monthly Data'!BH48</f>
        <v>30</v>
      </c>
      <c r="T48" s="28">
        <f t="shared" ca="1" si="5"/>
        <v>72798831.910944656</v>
      </c>
    </row>
    <row r="49" spans="1:20" x14ac:dyDescent="0.2">
      <c r="A49" s="45">
        <f>'Monthly Data'!A49</f>
        <v>41609</v>
      </c>
      <c r="B49" s="29">
        <f t="shared" si="3"/>
        <v>2013</v>
      </c>
      <c r="C49" s="29">
        <f t="shared" si="4"/>
        <v>12</v>
      </c>
      <c r="D49" s="44">
        <f>'Monthly Data'!M49</f>
        <v>76011256.894941643</v>
      </c>
      <c r="E49" s="44">
        <f>'Monthly Data'!BQ49</f>
        <v>2415.7399299202812</v>
      </c>
      <c r="F49" s="46">
        <f t="shared" ca="1" si="8"/>
        <v>413.65</v>
      </c>
      <c r="G49" s="46">
        <f t="shared" ca="1" si="8"/>
        <v>0</v>
      </c>
      <c r="H49" s="46">
        <f>'Monthly Data'!V49</f>
        <v>643937</v>
      </c>
      <c r="I49" s="46">
        <f>'Monthly Data'!BG49</f>
        <v>48</v>
      </c>
      <c r="J49" s="46">
        <f>'Monthly Data'!BC49</f>
        <v>1</v>
      </c>
      <c r="L49" s="29">
        <f>'GS&gt;50 PW'!$B$6</f>
        <v>556.26088485683897</v>
      </c>
      <c r="M49" s="29">
        <f ca="1">F49*'GS&gt;50 PW'!$B$7</f>
        <v>188.29768604664358</v>
      </c>
      <c r="N49" s="29">
        <f ca="1">G49*'GS&gt;50 PW'!$B$8</f>
        <v>0</v>
      </c>
      <c r="O49" s="29">
        <f>H49*'GS&gt;50 PW'!$B$9</f>
        <v>1883.399803065799</v>
      </c>
      <c r="P49" s="29">
        <f>I49*'GS&gt;50 PW'!$B$10</f>
        <v>-171.75914041278097</v>
      </c>
      <c r="Q49" s="29">
        <f>J49*'GS&gt;50 PW'!$B$11</f>
        <v>-107.242128303215</v>
      </c>
      <c r="R49" s="46">
        <f>'Monthly Data'!O49</f>
        <v>1015</v>
      </c>
      <c r="S49" s="46">
        <f>'Monthly Data'!BH49</f>
        <v>31</v>
      </c>
      <c r="T49" s="28">
        <f t="shared" ca="1" si="5"/>
        <v>73909935.316794619</v>
      </c>
    </row>
    <row r="50" spans="1:20" x14ac:dyDescent="0.2">
      <c r="A50" s="45">
        <f>'Monthly Data'!A50</f>
        <v>41640</v>
      </c>
      <c r="B50" s="29">
        <f t="shared" si="3"/>
        <v>2014</v>
      </c>
      <c r="C50" s="29">
        <f t="shared" si="4"/>
        <v>1</v>
      </c>
      <c r="D50" s="44">
        <f>'Monthly Data'!M50</f>
        <v>82552599.294809774</v>
      </c>
      <c r="E50" s="44">
        <f>'Monthly Data'!BQ50</f>
        <v>2610.77164120208</v>
      </c>
      <c r="F50" s="46">
        <f t="shared" ca="1" si="8"/>
        <v>539.1400000000001</v>
      </c>
      <c r="G50" s="46">
        <f t="shared" ca="1" si="8"/>
        <v>0</v>
      </c>
      <c r="H50" s="46">
        <f>'Monthly Data'!V50</f>
        <v>659861.19999999995</v>
      </c>
      <c r="I50" s="46">
        <f>'Monthly Data'!BG50</f>
        <v>49</v>
      </c>
      <c r="J50" s="46">
        <f>'Monthly Data'!BC50</f>
        <v>0</v>
      </c>
      <c r="L50" s="29">
        <f>'GS&gt;50 PW'!$B$6</f>
        <v>556.26088485683897</v>
      </c>
      <c r="M50" s="29">
        <f ca="1">F50*'GS&gt;50 PW'!$B$7</f>
        <v>245.42201004517693</v>
      </c>
      <c r="N50" s="29">
        <f ca="1">G50*'GS&gt;50 PW'!$B$8</f>
        <v>0</v>
      </c>
      <c r="O50" s="29">
        <f>H50*'GS&gt;50 PW'!$B$9</f>
        <v>1929.9752213815354</v>
      </c>
      <c r="P50" s="29">
        <f>I50*'GS&gt;50 PW'!$B$10</f>
        <v>-175.33745583804725</v>
      </c>
      <c r="Q50" s="29">
        <f>J50*'GS&gt;50 PW'!$B$11</f>
        <v>0</v>
      </c>
      <c r="R50" s="46">
        <f>'Monthly Data'!O50</f>
        <v>1020</v>
      </c>
      <c r="S50" s="46">
        <f>'Monthly Data'!BH50</f>
        <v>31</v>
      </c>
      <c r="T50" s="28">
        <f t="shared" ca="1" si="5"/>
        <v>80830859.28328684</v>
      </c>
    </row>
    <row r="51" spans="1:20" x14ac:dyDescent="0.2">
      <c r="A51" s="45">
        <f>'Monthly Data'!A51</f>
        <v>41671</v>
      </c>
      <c r="B51" s="29">
        <f t="shared" si="3"/>
        <v>2014</v>
      </c>
      <c r="C51" s="29">
        <f t="shared" si="4"/>
        <v>2</v>
      </c>
      <c r="D51" s="44">
        <f>'Monthly Data'!M51</f>
        <v>74935797.294809774</v>
      </c>
      <c r="E51" s="44">
        <f>'Monthly Data'!BQ51</f>
        <v>2623.8024262888575</v>
      </c>
      <c r="F51" s="46">
        <f t="shared" ca="1" si="8"/>
        <v>473.45</v>
      </c>
      <c r="G51" s="46">
        <f t="shared" ca="1" si="8"/>
        <v>0</v>
      </c>
      <c r="H51" s="46">
        <f>'Monthly Data'!V51</f>
        <v>659861.19999999995</v>
      </c>
      <c r="I51" s="46">
        <f>'Monthly Data'!BG51</f>
        <v>50</v>
      </c>
      <c r="J51" s="46">
        <f>'Monthly Data'!BC51</f>
        <v>0</v>
      </c>
      <c r="L51" s="29">
        <f>'GS&gt;50 PW'!$B$6</f>
        <v>556.26088485683897</v>
      </c>
      <c r="M51" s="29">
        <f ca="1">F51*'GS&gt;50 PW'!$B$7</f>
        <v>215.51925410076973</v>
      </c>
      <c r="N51" s="29">
        <f ca="1">G51*'GS&gt;50 PW'!$B$8</f>
        <v>0</v>
      </c>
      <c r="O51" s="29">
        <f>H51*'GS&gt;50 PW'!$B$9</f>
        <v>1929.9752213815354</v>
      </c>
      <c r="P51" s="29">
        <f>I51*'GS&gt;50 PW'!$B$10</f>
        <v>-178.9157712633135</v>
      </c>
      <c r="Q51" s="29">
        <f>J51*'GS&gt;50 PW'!$B$11</f>
        <v>0</v>
      </c>
      <c r="R51" s="46">
        <f>'Monthly Data'!O51</f>
        <v>1020</v>
      </c>
      <c r="S51" s="46">
        <f>'Monthly Data'!BH51</f>
        <v>28</v>
      </c>
      <c r="T51" s="28">
        <f t="shared" ca="1" si="5"/>
        <v>72052298.664005712</v>
      </c>
    </row>
    <row r="52" spans="1:20" x14ac:dyDescent="0.2">
      <c r="A52" s="45">
        <f>'Monthly Data'!A52</f>
        <v>41699</v>
      </c>
      <c r="B52" s="29">
        <f t="shared" si="3"/>
        <v>2014</v>
      </c>
      <c r="C52" s="29">
        <f t="shared" si="4"/>
        <v>3</v>
      </c>
      <c r="D52" s="44">
        <f>'Monthly Data'!M52</f>
        <v>79784798.294809774</v>
      </c>
      <c r="E52" s="44">
        <f>'Monthly Data'!BQ52</f>
        <v>2523.2384027454073</v>
      </c>
      <c r="F52" s="46">
        <f t="shared" ca="1" si="8"/>
        <v>394.31999999999988</v>
      </c>
      <c r="G52" s="46">
        <f t="shared" ca="1" si="8"/>
        <v>3.0000000000000072E-2</v>
      </c>
      <c r="H52" s="46">
        <f>'Monthly Data'!V52</f>
        <v>659861.19999999995</v>
      </c>
      <c r="I52" s="46">
        <f>'Monthly Data'!BG52</f>
        <v>51</v>
      </c>
      <c r="J52" s="46">
        <f>'Monthly Data'!BC52</f>
        <v>0</v>
      </c>
      <c r="L52" s="29">
        <f>'GS&gt;50 PW'!$B$6</f>
        <v>556.26088485683897</v>
      </c>
      <c r="M52" s="29">
        <f ca="1">F52*'GS&gt;50 PW'!$B$7</f>
        <v>179.49847349670608</v>
      </c>
      <c r="N52" s="29">
        <f ca="1">G52*'GS&gt;50 PW'!$B$8</f>
        <v>4.6437485801708811E-2</v>
      </c>
      <c r="O52" s="29">
        <f>H52*'GS&gt;50 PW'!$B$9</f>
        <v>1929.9752213815354</v>
      </c>
      <c r="P52" s="29">
        <f>I52*'GS&gt;50 PW'!$B$10</f>
        <v>-182.49408668857978</v>
      </c>
      <c r="Q52" s="29">
        <f>J52*'GS&gt;50 PW'!$B$11</f>
        <v>0</v>
      </c>
      <c r="R52" s="46">
        <f>'Monthly Data'!O52</f>
        <v>1020</v>
      </c>
      <c r="S52" s="46">
        <f>'Monthly Data'!BH52</f>
        <v>31</v>
      </c>
      <c r="T52" s="28">
        <f t="shared" ca="1" si="5"/>
        <v>78521532.743431389</v>
      </c>
    </row>
    <row r="53" spans="1:20" x14ac:dyDescent="0.2">
      <c r="A53" s="45">
        <f>'Monthly Data'!A53</f>
        <v>41730</v>
      </c>
      <c r="B53" s="29">
        <f t="shared" si="3"/>
        <v>2014</v>
      </c>
      <c r="C53" s="29">
        <f t="shared" si="4"/>
        <v>4</v>
      </c>
      <c r="D53" s="44">
        <f>'Monthly Data'!M53</f>
        <v>72659808.294809774</v>
      </c>
      <c r="E53" s="44">
        <f>'Monthly Data'!BQ53</f>
        <v>2376.8337682306105</v>
      </c>
      <c r="F53" s="46">
        <f t="shared" ca="1" si="8"/>
        <v>220.23999999999995</v>
      </c>
      <c r="G53" s="46">
        <f t="shared" ca="1" si="8"/>
        <v>1.45</v>
      </c>
      <c r="H53" s="46">
        <f>'Monthly Data'!V53</f>
        <v>659861.19999999995</v>
      </c>
      <c r="I53" s="46">
        <f>'Monthly Data'!BG53</f>
        <v>52</v>
      </c>
      <c r="J53" s="46">
        <f>'Monthly Data'!BC53</f>
        <v>0</v>
      </c>
      <c r="L53" s="29">
        <f>'GS&gt;50 PW'!$B$6</f>
        <v>556.26088485683897</v>
      </c>
      <c r="M53" s="29">
        <f ca="1">F53*'GS&gt;50 PW'!$B$7</f>
        <v>100.25548742877498</v>
      </c>
      <c r="N53" s="29">
        <f ca="1">G53*'GS&gt;50 PW'!$B$8</f>
        <v>2.2444784804159204</v>
      </c>
      <c r="O53" s="29">
        <f>H53*'GS&gt;50 PW'!$B$9</f>
        <v>1929.9752213815354</v>
      </c>
      <c r="P53" s="29">
        <f>I53*'GS&gt;50 PW'!$B$10</f>
        <v>-186.07240211384604</v>
      </c>
      <c r="Q53" s="29">
        <f>J53*'GS&gt;50 PW'!$B$11</f>
        <v>0</v>
      </c>
      <c r="R53" s="46">
        <f>'Monthly Data'!O53</f>
        <v>1019</v>
      </c>
      <c r="S53" s="46">
        <f>'Monthly Data'!BH53</f>
        <v>30</v>
      </c>
      <c r="T53" s="28">
        <f t="shared" ca="1" si="5"/>
        <v>73449428.392930791</v>
      </c>
    </row>
    <row r="54" spans="1:20" x14ac:dyDescent="0.2">
      <c r="A54" s="45">
        <f>'Monthly Data'!A54</f>
        <v>41760</v>
      </c>
      <c r="B54" s="29">
        <f t="shared" si="3"/>
        <v>2014</v>
      </c>
      <c r="C54" s="29">
        <f t="shared" si="4"/>
        <v>5</v>
      </c>
      <c r="D54" s="44">
        <f>'Monthly Data'!M54</f>
        <v>73690526.294809774</v>
      </c>
      <c r="E54" s="44">
        <f>'Monthly Data'!BQ54</f>
        <v>2337.3783200053849</v>
      </c>
      <c r="F54" s="46">
        <f t="shared" ca="1" si="8"/>
        <v>68.61</v>
      </c>
      <c r="G54" s="46">
        <f t="shared" ca="1" si="8"/>
        <v>50.69</v>
      </c>
      <c r="H54" s="46">
        <f>'Monthly Data'!V54</f>
        <v>659861.19999999995</v>
      </c>
      <c r="I54" s="46">
        <f>'Monthly Data'!BG54</f>
        <v>53</v>
      </c>
      <c r="J54" s="46">
        <f>'Monthly Data'!BC54</f>
        <v>0</v>
      </c>
      <c r="L54" s="29">
        <f>'GS&gt;50 PW'!$B$6</f>
        <v>556.26088485683897</v>
      </c>
      <c r="M54" s="29">
        <f ca="1">F54*'GS&gt;50 PW'!$B$7</f>
        <v>31.231969635344413</v>
      </c>
      <c r="N54" s="29">
        <f ca="1">G54*'GS&gt;50 PW'!$B$8</f>
        <v>78.463871842953807</v>
      </c>
      <c r="O54" s="29">
        <f>H54*'GS&gt;50 PW'!$B$9</f>
        <v>1929.9752213815354</v>
      </c>
      <c r="P54" s="29">
        <f>I54*'GS&gt;50 PW'!$B$10</f>
        <v>-189.65071753911232</v>
      </c>
      <c r="Q54" s="29">
        <f>J54*'GS&gt;50 PW'!$B$11</f>
        <v>0</v>
      </c>
      <c r="R54" s="46">
        <f>'Monthly Data'!O54</f>
        <v>1017</v>
      </c>
      <c r="S54" s="46">
        <f>'Monthly Data'!BH54</f>
        <v>31</v>
      </c>
      <c r="T54" s="28">
        <f t="shared" ca="1" si="5"/>
        <v>75862828.343807951</v>
      </c>
    </row>
    <row r="55" spans="1:20" x14ac:dyDescent="0.2">
      <c r="A55" s="45">
        <f>'Monthly Data'!A55</f>
        <v>41791</v>
      </c>
      <c r="B55" s="29">
        <f t="shared" si="3"/>
        <v>2014</v>
      </c>
      <c r="C55" s="29">
        <f t="shared" si="4"/>
        <v>6</v>
      </c>
      <c r="D55" s="44">
        <f>'Monthly Data'!M55</f>
        <v>77041220.294809774</v>
      </c>
      <c r="E55" s="44">
        <f>'Monthly Data'!BQ55</f>
        <v>2526.3558056996158</v>
      </c>
      <c r="F55" s="46">
        <f t="shared" ca="1" si="8"/>
        <v>2.7299999999999995</v>
      </c>
      <c r="G55" s="46">
        <f t="shared" ca="1" si="8"/>
        <v>145.17999999999998</v>
      </c>
      <c r="H55" s="46">
        <f>'Monthly Data'!V55</f>
        <v>659861.19999999995</v>
      </c>
      <c r="I55" s="46">
        <f>'Monthly Data'!BG55</f>
        <v>54</v>
      </c>
      <c r="J55" s="46">
        <f>'Monthly Data'!BC55</f>
        <v>0</v>
      </c>
      <c r="L55" s="29">
        <f>'GS&gt;50 PW'!$B$6</f>
        <v>556.26088485683897</v>
      </c>
      <c r="M55" s="29">
        <f ca="1">F55*'GS&gt;50 PW'!$B$7</f>
        <v>1.2427237589927158</v>
      </c>
      <c r="N55" s="29">
        <f ca="1">G55*'GS&gt;50 PW'!$B$8</f>
        <v>224.72647295640229</v>
      </c>
      <c r="O55" s="29">
        <f>H55*'GS&gt;50 PW'!$B$9</f>
        <v>1929.9752213815354</v>
      </c>
      <c r="P55" s="29">
        <f>I55*'GS&gt;50 PW'!$B$10</f>
        <v>-193.22903296437858</v>
      </c>
      <c r="Q55" s="29">
        <f>J55*'GS&gt;50 PW'!$B$11</f>
        <v>0</v>
      </c>
      <c r="R55" s="46">
        <f>'Monthly Data'!O55</f>
        <v>1016.5</v>
      </c>
      <c r="S55" s="46">
        <f>'Monthly Data'!BH55</f>
        <v>30</v>
      </c>
      <c r="T55" s="28">
        <f t="shared" ca="1" si="5"/>
        <v>76816181.35332647</v>
      </c>
    </row>
    <row r="56" spans="1:20" x14ac:dyDescent="0.2">
      <c r="A56" s="45">
        <f>'Monthly Data'!A56</f>
        <v>41821</v>
      </c>
      <c r="B56" s="29">
        <f t="shared" si="3"/>
        <v>2014</v>
      </c>
      <c r="C56" s="29">
        <f t="shared" si="4"/>
        <v>7</v>
      </c>
      <c r="D56" s="44">
        <f>'Monthly Data'!M56</f>
        <v>81112465.294809774</v>
      </c>
      <c r="E56" s="44">
        <f>'Monthly Data'!BQ56</f>
        <v>2575.3259237620578</v>
      </c>
      <c r="F56" s="46">
        <f t="shared" ca="1" si="8"/>
        <v>0</v>
      </c>
      <c r="G56" s="46">
        <f t="shared" ca="1" si="8"/>
        <v>268.18999999999994</v>
      </c>
      <c r="H56" s="46">
        <f>'Monthly Data'!V56</f>
        <v>659861.19999999995</v>
      </c>
      <c r="I56" s="46">
        <f>'Monthly Data'!BG56</f>
        <v>55</v>
      </c>
      <c r="J56" s="46">
        <f>'Monthly Data'!BC56</f>
        <v>0</v>
      </c>
      <c r="L56" s="29">
        <f>'GS&gt;50 PW'!$B$6</f>
        <v>556.26088485683897</v>
      </c>
      <c r="M56" s="29">
        <f ca="1">F56*'GS&gt;50 PW'!$B$7</f>
        <v>0</v>
      </c>
      <c r="N56" s="29">
        <f ca="1">G56*'GS&gt;50 PW'!$B$8</f>
        <v>415.13564390534179</v>
      </c>
      <c r="O56" s="29">
        <f>H56*'GS&gt;50 PW'!$B$9</f>
        <v>1929.9752213815354</v>
      </c>
      <c r="P56" s="29">
        <f>I56*'GS&gt;50 PW'!$B$10</f>
        <v>-196.80734838964486</v>
      </c>
      <c r="Q56" s="29">
        <f>J56*'GS&gt;50 PW'!$B$11</f>
        <v>0</v>
      </c>
      <c r="R56" s="46">
        <f>'Monthly Data'!O56</f>
        <v>1016</v>
      </c>
      <c r="S56" s="46">
        <f>'Monthly Data'!BH56</f>
        <v>31</v>
      </c>
      <c r="T56" s="28">
        <f t="shared" ca="1" si="5"/>
        <v>85182960.397646248</v>
      </c>
    </row>
    <row r="57" spans="1:20" x14ac:dyDescent="0.2">
      <c r="A57" s="45">
        <f>'Monthly Data'!A57</f>
        <v>41852</v>
      </c>
      <c r="B57" s="29">
        <f t="shared" si="3"/>
        <v>2014</v>
      </c>
      <c r="C57" s="29">
        <f t="shared" si="4"/>
        <v>8</v>
      </c>
      <c r="D57" s="44">
        <f>'Monthly Data'!M57</f>
        <v>79689322.294809774</v>
      </c>
      <c r="E57" s="44">
        <f>'Monthly Data'!BQ57</f>
        <v>2530.1410431422969</v>
      </c>
      <c r="F57" s="46">
        <f t="shared" ca="1" si="8"/>
        <v>0</v>
      </c>
      <c r="G57" s="46">
        <f t="shared" ca="1" si="8"/>
        <v>239.59000000000006</v>
      </c>
      <c r="H57" s="46">
        <f>'Monthly Data'!V57</f>
        <v>659861.19999999995</v>
      </c>
      <c r="I57" s="46">
        <f>'Monthly Data'!BG57</f>
        <v>56</v>
      </c>
      <c r="J57" s="46">
        <f>'Monthly Data'!BC57</f>
        <v>0</v>
      </c>
      <c r="L57" s="29">
        <f>'GS&gt;50 PW'!$B$6</f>
        <v>556.26088485683897</v>
      </c>
      <c r="M57" s="29">
        <f ca="1">F57*'GS&gt;50 PW'!$B$7</f>
        <v>0</v>
      </c>
      <c r="N57" s="29">
        <f ca="1">G57*'GS&gt;50 PW'!$B$8</f>
        <v>370.86524077437969</v>
      </c>
      <c r="O57" s="29">
        <f>H57*'GS&gt;50 PW'!$B$9</f>
        <v>1929.9752213815354</v>
      </c>
      <c r="P57" s="29">
        <f>I57*'GS&gt;50 PW'!$B$10</f>
        <v>-200.38566381491114</v>
      </c>
      <c r="Q57" s="29">
        <f>J57*'GS&gt;50 PW'!$B$11</f>
        <v>0</v>
      </c>
      <c r="R57" s="46">
        <f>'Monthly Data'!O57</f>
        <v>1016</v>
      </c>
      <c r="S57" s="46">
        <f>'Monthly Data'!BH57</f>
        <v>31</v>
      </c>
      <c r="T57" s="28">
        <f t="shared" ca="1" si="5"/>
        <v>83675917.157999262</v>
      </c>
    </row>
    <row r="58" spans="1:20" x14ac:dyDescent="0.2">
      <c r="A58" s="45">
        <f>'Monthly Data'!A58</f>
        <v>41883</v>
      </c>
      <c r="B58" s="29">
        <f t="shared" si="3"/>
        <v>2014</v>
      </c>
      <c r="C58" s="29">
        <f t="shared" si="4"/>
        <v>9</v>
      </c>
      <c r="D58" s="44">
        <f>'Monthly Data'!M58</f>
        <v>76306860.294809774</v>
      </c>
      <c r="E58" s="44">
        <f>'Monthly Data'!BQ58</f>
        <v>2481.5239120263341</v>
      </c>
      <c r="F58" s="46">
        <f t="shared" ca="1" si="8"/>
        <v>5.2099999999999991</v>
      </c>
      <c r="G58" s="46">
        <f t="shared" ca="1" si="8"/>
        <v>132.95000000000002</v>
      </c>
      <c r="H58" s="46">
        <f>'Monthly Data'!V58</f>
        <v>659861.19999999995</v>
      </c>
      <c r="I58" s="46">
        <f>'Monthly Data'!BG58</f>
        <v>57</v>
      </c>
      <c r="J58" s="46">
        <f>'Monthly Data'!BC58</f>
        <v>0</v>
      </c>
      <c r="L58" s="29">
        <f>'GS&gt;50 PW'!$B$6</f>
        <v>556.26088485683897</v>
      </c>
      <c r="M58" s="29">
        <f ca="1">F58*'GS&gt;50 PW'!$B$7</f>
        <v>2.3716449759531315</v>
      </c>
      <c r="N58" s="29">
        <f ca="1">G58*'GS&gt;50 PW'!$B$8</f>
        <v>205.79545791123908</v>
      </c>
      <c r="O58" s="29">
        <f>H58*'GS&gt;50 PW'!$B$9</f>
        <v>1929.9752213815354</v>
      </c>
      <c r="P58" s="29">
        <f>I58*'GS&gt;50 PW'!$B$10</f>
        <v>-203.96397924017739</v>
      </c>
      <c r="Q58" s="29">
        <f>J58*'GS&gt;50 PW'!$B$11</f>
        <v>0</v>
      </c>
      <c r="R58" s="46">
        <f>'Monthly Data'!O58</f>
        <v>1025</v>
      </c>
      <c r="S58" s="46">
        <f>'Monthly Data'!BH58</f>
        <v>30</v>
      </c>
      <c r="T58" s="28">
        <f t="shared" ca="1" si="5"/>
        <v>76581006.318975732</v>
      </c>
    </row>
    <row r="59" spans="1:20" x14ac:dyDescent="0.2">
      <c r="A59" s="45">
        <f>'Monthly Data'!A59</f>
        <v>41913</v>
      </c>
      <c r="B59" s="29">
        <f t="shared" si="3"/>
        <v>2014</v>
      </c>
      <c r="C59" s="29">
        <f t="shared" si="4"/>
        <v>10</v>
      </c>
      <c r="D59" s="44">
        <f>'Monthly Data'!M59</f>
        <v>74592542.294809774</v>
      </c>
      <c r="E59" s="44">
        <f>'Monthly Data'!BQ59</f>
        <v>2340.6722196187329</v>
      </c>
      <c r="F59" s="46">
        <f t="shared" ca="1" si="8"/>
        <v>90.66</v>
      </c>
      <c r="G59" s="46">
        <f t="shared" ca="1" si="8"/>
        <v>27.9</v>
      </c>
      <c r="H59" s="46">
        <f>'Monthly Data'!V59</f>
        <v>659861.19999999995</v>
      </c>
      <c r="I59" s="46">
        <f>'Monthly Data'!BG59</f>
        <v>58</v>
      </c>
      <c r="J59" s="46">
        <f>'Monthly Data'!BC59</f>
        <v>0</v>
      </c>
      <c r="L59" s="29">
        <f>'GS&gt;50 PW'!$B$6</f>
        <v>556.26088485683897</v>
      </c>
      <c r="M59" s="29">
        <f ca="1">F59*'GS&gt;50 PW'!$B$7</f>
        <v>41.269353842593269</v>
      </c>
      <c r="N59" s="29">
        <f ca="1">G59*'GS&gt;50 PW'!$B$8</f>
        <v>43.186861795589088</v>
      </c>
      <c r="O59" s="29">
        <f>H59*'GS&gt;50 PW'!$B$9</f>
        <v>1929.9752213815354</v>
      </c>
      <c r="P59" s="29">
        <f>I59*'GS&gt;50 PW'!$B$10</f>
        <v>-207.54229466544368</v>
      </c>
      <c r="Q59" s="29">
        <f>J59*'GS&gt;50 PW'!$B$11</f>
        <v>0</v>
      </c>
      <c r="R59" s="46">
        <f>'Monthly Data'!O59</f>
        <v>1028</v>
      </c>
      <c r="S59" s="46">
        <f>'Monthly Data'!BH59</f>
        <v>31</v>
      </c>
      <c r="T59" s="28">
        <f t="shared" ca="1" si="5"/>
        <v>75308865.067163751</v>
      </c>
    </row>
    <row r="60" spans="1:20" x14ac:dyDescent="0.2">
      <c r="A60" s="45">
        <f>'Monthly Data'!A60</f>
        <v>41944</v>
      </c>
      <c r="B60" s="29">
        <f t="shared" si="3"/>
        <v>2014</v>
      </c>
      <c r="C60" s="29">
        <f t="shared" si="4"/>
        <v>11</v>
      </c>
      <c r="D60" s="44">
        <f>'Monthly Data'!M60</f>
        <v>74134367.294809774</v>
      </c>
      <c r="E60" s="44">
        <f>'Monthly Data'!BQ60</f>
        <v>2401.5020179724579</v>
      </c>
      <c r="F60" s="46">
        <f t="shared" ca="1" si="8"/>
        <v>264.88</v>
      </c>
      <c r="G60" s="46">
        <f t="shared" ca="1" si="8"/>
        <v>0.69000000000000006</v>
      </c>
      <c r="H60" s="46">
        <f>'Monthly Data'!V60</f>
        <v>659861.19999999995</v>
      </c>
      <c r="I60" s="46">
        <f>'Monthly Data'!BG60</f>
        <v>59</v>
      </c>
      <c r="J60" s="46">
        <f>'Monthly Data'!BC60</f>
        <v>0</v>
      </c>
      <c r="L60" s="29">
        <f>'GS&gt;50 PW'!$B$6</f>
        <v>556.26088485683897</v>
      </c>
      <c r="M60" s="29">
        <f ca="1">F60*'GS&gt;50 PW'!$B$7</f>
        <v>120.5760693340625</v>
      </c>
      <c r="N60" s="29">
        <f ca="1">G60*'GS&gt;50 PW'!$B$8</f>
        <v>1.0680621734393003</v>
      </c>
      <c r="O60" s="29">
        <f>H60*'GS&gt;50 PW'!$B$9</f>
        <v>1929.9752213815354</v>
      </c>
      <c r="P60" s="29">
        <f>I60*'GS&gt;50 PW'!$B$10</f>
        <v>-211.12061009070993</v>
      </c>
      <c r="Q60" s="29">
        <f>J60*'GS&gt;50 PW'!$B$11</f>
        <v>0</v>
      </c>
      <c r="R60" s="46">
        <f>'Monthly Data'!O60</f>
        <v>1029</v>
      </c>
      <c r="S60" s="46">
        <f>'Monthly Data'!BH60</f>
        <v>30</v>
      </c>
      <c r="T60" s="28">
        <f t="shared" ca="1" si="5"/>
        <v>73987969.705714986</v>
      </c>
    </row>
    <row r="61" spans="1:20" x14ac:dyDescent="0.2">
      <c r="A61" s="45">
        <f>'Monthly Data'!A61</f>
        <v>41974</v>
      </c>
      <c r="B61" s="29">
        <f t="shared" si="3"/>
        <v>2014</v>
      </c>
      <c r="C61" s="29">
        <f t="shared" si="4"/>
        <v>12</v>
      </c>
      <c r="D61" s="44">
        <f>'Monthly Data'!M61</f>
        <v>75324781.294809774</v>
      </c>
      <c r="E61" s="44">
        <f>'Monthly Data'!BQ61</f>
        <v>2363.6494695245942</v>
      </c>
      <c r="F61" s="46">
        <f t="shared" ca="1" si="8"/>
        <v>413.65</v>
      </c>
      <c r="G61" s="46">
        <f t="shared" ca="1" si="8"/>
        <v>0</v>
      </c>
      <c r="H61" s="46">
        <f>'Monthly Data'!V61</f>
        <v>659861.19999999995</v>
      </c>
      <c r="I61" s="46">
        <f>'Monthly Data'!BG61</f>
        <v>60</v>
      </c>
      <c r="J61" s="46">
        <f>'Monthly Data'!BC61</f>
        <v>1</v>
      </c>
      <c r="L61" s="29">
        <f>'GS&gt;50 PW'!$B$6</f>
        <v>556.26088485683897</v>
      </c>
      <c r="M61" s="29">
        <f ca="1">F61*'GS&gt;50 PW'!$B$7</f>
        <v>188.29768604664358</v>
      </c>
      <c r="N61" s="29">
        <f ca="1">G61*'GS&gt;50 PW'!$B$8</f>
        <v>0</v>
      </c>
      <c r="O61" s="29">
        <f>H61*'GS&gt;50 PW'!$B$9</f>
        <v>1929.9752213815354</v>
      </c>
      <c r="P61" s="29">
        <f>I61*'GS&gt;50 PW'!$B$10</f>
        <v>-214.69892551597621</v>
      </c>
      <c r="Q61" s="29">
        <f>J61*'GS&gt;50 PW'!$B$11</f>
        <v>-107.242128303215</v>
      </c>
      <c r="R61" s="46">
        <f>'Monthly Data'!O61</f>
        <v>1028</v>
      </c>
      <c r="S61" s="46">
        <f>'Monthly Data'!BH61</f>
        <v>31</v>
      </c>
      <c r="T61" s="28">
        <f t="shared" ca="1" si="5"/>
        <v>74972425.389428988</v>
      </c>
    </row>
    <row r="62" spans="1:20" x14ac:dyDescent="0.2">
      <c r="A62" s="45">
        <f>'Monthly Data'!A62</f>
        <v>42005</v>
      </c>
      <c r="B62" s="29">
        <f t="shared" si="3"/>
        <v>2015</v>
      </c>
      <c r="C62" s="29">
        <f t="shared" si="4"/>
        <v>1</v>
      </c>
      <c r="D62" s="44">
        <f>'Monthly Data'!M62</f>
        <v>81657018.901304796</v>
      </c>
      <c r="E62" s="44">
        <f>'Monthly Data'!BQ62</f>
        <v>2562.3515407714572</v>
      </c>
      <c r="F62" s="46">
        <f t="shared" ref="F62:G77" ca="1" si="9">F50</f>
        <v>539.1400000000001</v>
      </c>
      <c r="G62" s="46">
        <f t="shared" ca="1" si="9"/>
        <v>0</v>
      </c>
      <c r="H62" s="46">
        <f>'Monthly Data'!V62</f>
        <v>677384</v>
      </c>
      <c r="I62" s="46">
        <f>'Monthly Data'!BG62</f>
        <v>61</v>
      </c>
      <c r="J62" s="46">
        <f>'Monthly Data'!BC62</f>
        <v>0</v>
      </c>
      <c r="L62" s="29">
        <f>'GS&gt;50 PW'!$B$6</f>
        <v>556.26088485683897</v>
      </c>
      <c r="M62" s="29">
        <f ca="1">F62*'GS&gt;50 PW'!$B$7</f>
        <v>245.42201004517693</v>
      </c>
      <c r="N62" s="29">
        <f ca="1">G62*'GS&gt;50 PW'!$B$8</f>
        <v>0</v>
      </c>
      <c r="O62" s="29">
        <f>H62*'GS&gt;50 PW'!$B$9</f>
        <v>1981.2262569163183</v>
      </c>
      <c r="P62" s="29">
        <f>I62*'GS&gt;50 PW'!$B$10</f>
        <v>-218.27724094124247</v>
      </c>
      <c r="Q62" s="29">
        <f>J62*'GS&gt;50 PW'!$B$11</f>
        <v>0</v>
      </c>
      <c r="R62" s="46">
        <f>'Monthly Data'!O62</f>
        <v>1028</v>
      </c>
      <c r="S62" s="46">
        <f>'Monthly Data'!BH62</f>
        <v>31</v>
      </c>
      <c r="T62" s="28">
        <f t="shared" ca="1" si="5"/>
        <v>81729689.735831156</v>
      </c>
    </row>
    <row r="63" spans="1:20" x14ac:dyDescent="0.2">
      <c r="A63" s="45">
        <f>'Monthly Data'!A63</f>
        <v>42036</v>
      </c>
      <c r="B63" s="29">
        <f t="shared" si="3"/>
        <v>2015</v>
      </c>
      <c r="C63" s="29">
        <f t="shared" si="4"/>
        <v>2</v>
      </c>
      <c r="D63" s="44">
        <f>'Monthly Data'!M63</f>
        <v>76315766.901304796</v>
      </c>
      <c r="E63" s="44">
        <f>'Monthly Data'!BQ63</f>
        <v>2653.9075984596188</v>
      </c>
      <c r="F63" s="46">
        <f t="shared" ca="1" si="9"/>
        <v>473.45</v>
      </c>
      <c r="G63" s="46">
        <f t="shared" ca="1" si="9"/>
        <v>0</v>
      </c>
      <c r="H63" s="46">
        <f>'Monthly Data'!V63</f>
        <v>677384</v>
      </c>
      <c r="I63" s="46">
        <f>'Monthly Data'!BG63</f>
        <v>62</v>
      </c>
      <c r="J63" s="46">
        <f>'Monthly Data'!BC63</f>
        <v>0</v>
      </c>
      <c r="L63" s="29">
        <f>'GS&gt;50 PW'!$B$6</f>
        <v>556.26088485683897</v>
      </c>
      <c r="M63" s="29">
        <f ca="1">F63*'GS&gt;50 PW'!$B$7</f>
        <v>215.51925410076973</v>
      </c>
      <c r="N63" s="29">
        <f ca="1">G63*'GS&gt;50 PW'!$B$8</f>
        <v>0</v>
      </c>
      <c r="O63" s="29">
        <f>H63*'GS&gt;50 PW'!$B$9</f>
        <v>1981.2262569163183</v>
      </c>
      <c r="P63" s="29">
        <f>I63*'GS&gt;50 PW'!$B$10</f>
        <v>-221.85555636650875</v>
      </c>
      <c r="Q63" s="29">
        <f>J63*'GS&gt;50 PW'!$B$11</f>
        <v>0</v>
      </c>
      <c r="R63" s="46">
        <f>'Monthly Data'!O63</f>
        <v>1027</v>
      </c>
      <c r="S63" s="46">
        <f>'Monthly Data'!BH63</f>
        <v>28</v>
      </c>
      <c r="T63" s="28">
        <f t="shared" ca="1" si="5"/>
        <v>72785773.540875316</v>
      </c>
    </row>
    <row r="64" spans="1:20" x14ac:dyDescent="0.2">
      <c r="A64" s="45">
        <f>'Monthly Data'!A64</f>
        <v>42064</v>
      </c>
      <c r="B64" s="29">
        <f t="shared" si="3"/>
        <v>2015</v>
      </c>
      <c r="C64" s="29">
        <f t="shared" si="4"/>
        <v>3</v>
      </c>
      <c r="D64" s="44">
        <f>'Monthly Data'!M64</f>
        <v>79384809.901304796</v>
      </c>
      <c r="E64" s="44">
        <f>'Monthly Data'!BQ64</f>
        <v>2486.2139023271156</v>
      </c>
      <c r="F64" s="46">
        <f t="shared" ca="1" si="9"/>
        <v>394.31999999999988</v>
      </c>
      <c r="G64" s="46">
        <f t="shared" ca="1" si="9"/>
        <v>3.0000000000000072E-2</v>
      </c>
      <c r="H64" s="46">
        <f>'Monthly Data'!V64</f>
        <v>677384</v>
      </c>
      <c r="I64" s="46">
        <f>'Monthly Data'!BG64</f>
        <v>63</v>
      </c>
      <c r="J64" s="46">
        <f>'Monthly Data'!BC64</f>
        <v>0</v>
      </c>
      <c r="L64" s="29">
        <f>'GS&gt;50 PW'!$B$6</f>
        <v>556.26088485683897</v>
      </c>
      <c r="M64" s="29">
        <f ca="1">F64*'GS&gt;50 PW'!$B$7</f>
        <v>179.49847349670608</v>
      </c>
      <c r="N64" s="29">
        <f ca="1">G64*'GS&gt;50 PW'!$B$8</f>
        <v>4.6437485801708811E-2</v>
      </c>
      <c r="O64" s="29">
        <f>H64*'GS&gt;50 PW'!$B$9</f>
        <v>1981.2262569163183</v>
      </c>
      <c r="P64" s="29">
        <f>I64*'GS&gt;50 PW'!$B$10</f>
        <v>-225.433871791775</v>
      </c>
      <c r="Q64" s="29">
        <f>J64*'GS&gt;50 PW'!$B$11</f>
        <v>0</v>
      </c>
      <c r="R64" s="46">
        <f>'Monthly Data'!O64</f>
        <v>1030</v>
      </c>
      <c r="S64" s="46">
        <f>'Monthly Data'!BH64</f>
        <v>31</v>
      </c>
      <c r="T64" s="28">
        <f t="shared" ca="1" si="5"/>
        <v>79556729.918177009</v>
      </c>
    </row>
    <row r="65" spans="1:20" x14ac:dyDescent="0.2">
      <c r="A65" s="45">
        <f>'Monthly Data'!A65</f>
        <v>42095</v>
      </c>
      <c r="B65" s="29">
        <f t="shared" si="3"/>
        <v>2015</v>
      </c>
      <c r="C65" s="29">
        <f t="shared" si="4"/>
        <v>4</v>
      </c>
      <c r="D65" s="44">
        <f>'Monthly Data'!M65</f>
        <v>71921603.901304796</v>
      </c>
      <c r="E65" s="44">
        <f>'Monthly Data'!BQ65</f>
        <v>2332.0883236480154</v>
      </c>
      <c r="F65" s="46">
        <f t="shared" ca="1" si="9"/>
        <v>220.23999999999995</v>
      </c>
      <c r="G65" s="46">
        <f t="shared" ca="1" si="9"/>
        <v>1.45</v>
      </c>
      <c r="H65" s="46">
        <f>'Monthly Data'!V65</f>
        <v>677384</v>
      </c>
      <c r="I65" s="46">
        <f>'Monthly Data'!BG65</f>
        <v>64</v>
      </c>
      <c r="J65" s="46">
        <f>'Monthly Data'!BC65</f>
        <v>0</v>
      </c>
      <c r="L65" s="29">
        <f>'GS&gt;50 PW'!$B$6</f>
        <v>556.26088485683897</v>
      </c>
      <c r="M65" s="29">
        <f ca="1">F65*'GS&gt;50 PW'!$B$7</f>
        <v>100.25548742877498</v>
      </c>
      <c r="N65" s="29">
        <f ca="1">G65*'GS&gt;50 PW'!$B$8</f>
        <v>2.2444784804159204</v>
      </c>
      <c r="O65" s="29">
        <f>H65*'GS&gt;50 PW'!$B$9</f>
        <v>1981.2262569163183</v>
      </c>
      <c r="P65" s="29">
        <f>I65*'GS&gt;50 PW'!$B$10</f>
        <v>-229.01218721704129</v>
      </c>
      <c r="Q65" s="29">
        <f>J65*'GS&gt;50 PW'!$B$11</f>
        <v>0</v>
      </c>
      <c r="R65" s="46">
        <f>'Monthly Data'!O65</f>
        <v>1028</v>
      </c>
      <c r="S65" s="46">
        <f>'Monthly Data'!BH65</f>
        <v>30</v>
      </c>
      <c r="T65" s="28">
        <f t="shared" ca="1" si="5"/>
        <v>74354466.547150061</v>
      </c>
    </row>
    <row r="66" spans="1:20" x14ac:dyDescent="0.2">
      <c r="A66" s="45">
        <f>'Monthly Data'!A66</f>
        <v>42125</v>
      </c>
      <c r="B66" s="29">
        <f t="shared" ref="B66:B129" si="10">YEAR(A66)</f>
        <v>2015</v>
      </c>
      <c r="C66" s="29">
        <f t="shared" ref="C66:C129" si="11">MONTH(A66)</f>
        <v>5</v>
      </c>
      <c r="D66" s="44">
        <f>'Monthly Data'!M66</f>
        <v>75614661.901304796</v>
      </c>
      <c r="E66" s="44">
        <f>'Monthly Data'!BQ66</f>
        <v>2372.7457606785742</v>
      </c>
      <c r="F66" s="46">
        <f t="shared" ca="1" si="9"/>
        <v>68.61</v>
      </c>
      <c r="G66" s="46">
        <f t="shared" ca="1" si="9"/>
        <v>50.69</v>
      </c>
      <c r="H66" s="46">
        <f>'Monthly Data'!V66</f>
        <v>677384</v>
      </c>
      <c r="I66" s="46">
        <f>'Monthly Data'!BG66</f>
        <v>65</v>
      </c>
      <c r="J66" s="46">
        <f>'Monthly Data'!BC66</f>
        <v>0</v>
      </c>
      <c r="L66" s="29">
        <f>'GS&gt;50 PW'!$B$6</f>
        <v>556.26088485683897</v>
      </c>
      <c r="M66" s="29">
        <f ca="1">F66*'GS&gt;50 PW'!$B$7</f>
        <v>31.231969635344413</v>
      </c>
      <c r="N66" s="29">
        <f ca="1">G66*'GS&gt;50 PW'!$B$8</f>
        <v>78.463871842953807</v>
      </c>
      <c r="O66" s="29">
        <f>H66*'GS&gt;50 PW'!$B$9</f>
        <v>1981.2262569163183</v>
      </c>
      <c r="P66" s="29">
        <f>I66*'GS&gt;50 PW'!$B$10</f>
        <v>-232.59050264230757</v>
      </c>
      <c r="Q66" s="29">
        <f>J66*'GS&gt;50 PW'!$B$11</f>
        <v>0</v>
      </c>
      <c r="R66" s="46">
        <f>'Monthly Data'!O66</f>
        <v>1028</v>
      </c>
      <c r="S66" s="46">
        <f>'Monthly Data'!BH66</f>
        <v>31</v>
      </c>
      <c r="T66" s="28">
        <f t="shared" ca="1" si="5"/>
        <v>76948233.172052339</v>
      </c>
    </row>
    <row r="67" spans="1:20" x14ac:dyDescent="0.2">
      <c r="A67" s="45">
        <f>'Monthly Data'!A67</f>
        <v>42156</v>
      </c>
      <c r="B67" s="29">
        <f t="shared" si="10"/>
        <v>2015</v>
      </c>
      <c r="C67" s="29">
        <f t="shared" si="11"/>
        <v>6</v>
      </c>
      <c r="D67" s="44">
        <f>'Monthly Data'!M67</f>
        <v>77512457.901304796</v>
      </c>
      <c r="E67" s="44">
        <f>'Monthly Data'!BQ67</f>
        <v>2515.8214184130088</v>
      </c>
      <c r="F67" s="46">
        <f t="shared" ca="1" si="9"/>
        <v>2.7299999999999995</v>
      </c>
      <c r="G67" s="46">
        <f t="shared" ca="1" si="9"/>
        <v>145.17999999999998</v>
      </c>
      <c r="H67" s="46">
        <f>'Monthly Data'!V67</f>
        <v>677384</v>
      </c>
      <c r="I67" s="46">
        <f>'Monthly Data'!BG67</f>
        <v>66</v>
      </c>
      <c r="J67" s="46">
        <f>'Monthly Data'!BC67</f>
        <v>0</v>
      </c>
      <c r="L67" s="29">
        <f>'GS&gt;50 PW'!$B$6</f>
        <v>556.26088485683897</v>
      </c>
      <c r="M67" s="29">
        <f ca="1">F67*'GS&gt;50 PW'!$B$7</f>
        <v>1.2427237589927158</v>
      </c>
      <c r="N67" s="29">
        <f ca="1">G67*'GS&gt;50 PW'!$B$8</f>
        <v>224.72647295640229</v>
      </c>
      <c r="O67" s="29">
        <f>H67*'GS&gt;50 PW'!$B$9</f>
        <v>1981.2262569163183</v>
      </c>
      <c r="P67" s="29">
        <f>I67*'GS&gt;50 PW'!$B$10</f>
        <v>-236.16881806757382</v>
      </c>
      <c r="Q67" s="29">
        <f>J67*'GS&gt;50 PW'!$B$11</f>
        <v>0</v>
      </c>
      <c r="R67" s="46">
        <f>'Monthly Data'!O67</f>
        <v>1027</v>
      </c>
      <c r="S67" s="46">
        <f>'Monthly Data'!BH67</f>
        <v>30</v>
      </c>
      <c r="T67" s="28">
        <f t="shared" ref="T67:T130" ca="1" si="12">SUM(L67:Q67)*R67*S67</f>
        <v>77865728.504170358</v>
      </c>
    </row>
    <row r="68" spans="1:20" x14ac:dyDescent="0.2">
      <c r="A68" s="45">
        <f>'Monthly Data'!A68</f>
        <v>42186</v>
      </c>
      <c r="B68" s="29">
        <f t="shared" si="10"/>
        <v>2015</v>
      </c>
      <c r="C68" s="29">
        <f t="shared" si="11"/>
        <v>7</v>
      </c>
      <c r="D68" s="44">
        <f>'Monthly Data'!M68</f>
        <v>84109914.901304796</v>
      </c>
      <c r="E68" s="44">
        <f>'Monthly Data'!BQ68</f>
        <v>2641.8919779283474</v>
      </c>
      <c r="F68" s="46">
        <f t="shared" ca="1" si="9"/>
        <v>0</v>
      </c>
      <c r="G68" s="46">
        <f t="shared" ca="1" si="9"/>
        <v>268.18999999999994</v>
      </c>
      <c r="H68" s="46">
        <f>'Monthly Data'!V68</f>
        <v>677384</v>
      </c>
      <c r="I68" s="46">
        <f>'Monthly Data'!BG68</f>
        <v>67</v>
      </c>
      <c r="J68" s="46">
        <f>'Monthly Data'!BC68</f>
        <v>0</v>
      </c>
      <c r="L68" s="29">
        <f>'GS&gt;50 PW'!$B$6</f>
        <v>556.26088485683897</v>
      </c>
      <c r="M68" s="29">
        <f ca="1">F68*'GS&gt;50 PW'!$B$7</f>
        <v>0</v>
      </c>
      <c r="N68" s="29">
        <f ca="1">G68*'GS&gt;50 PW'!$B$8</f>
        <v>415.13564390534179</v>
      </c>
      <c r="O68" s="29">
        <f>H68*'GS&gt;50 PW'!$B$9</f>
        <v>1981.2262569163183</v>
      </c>
      <c r="P68" s="29">
        <f>I68*'GS&gt;50 PW'!$B$10</f>
        <v>-239.74713349284011</v>
      </c>
      <c r="Q68" s="29">
        <f>J68*'GS&gt;50 PW'!$B$11</f>
        <v>0</v>
      </c>
      <c r="R68" s="46">
        <f>'Monthly Data'!O68</f>
        <v>1027</v>
      </c>
      <c r="S68" s="46">
        <f>'Monthly Data'!BH68</f>
        <v>31</v>
      </c>
      <c r="T68" s="28">
        <f t="shared" ca="1" si="12"/>
        <v>86369822.138634816</v>
      </c>
    </row>
    <row r="69" spans="1:20" x14ac:dyDescent="0.2">
      <c r="A69" s="45">
        <f>'Monthly Data'!A69</f>
        <v>42217</v>
      </c>
      <c r="B69" s="29">
        <f t="shared" si="10"/>
        <v>2015</v>
      </c>
      <c r="C69" s="29">
        <f t="shared" si="11"/>
        <v>8</v>
      </c>
      <c r="D69" s="44">
        <f>'Monthly Data'!M69</f>
        <v>82970684.901304796</v>
      </c>
      <c r="E69" s="44">
        <f>'Monthly Data'!BQ69</f>
        <v>2601.0434465439293</v>
      </c>
      <c r="F69" s="46">
        <f t="shared" ca="1" si="9"/>
        <v>0</v>
      </c>
      <c r="G69" s="46">
        <f t="shared" ca="1" si="9"/>
        <v>239.59000000000006</v>
      </c>
      <c r="H69" s="46">
        <f>'Monthly Data'!V69</f>
        <v>677384</v>
      </c>
      <c r="I69" s="46">
        <f>'Monthly Data'!BG69</f>
        <v>68</v>
      </c>
      <c r="J69" s="46">
        <f>'Monthly Data'!BC69</f>
        <v>0</v>
      </c>
      <c r="L69" s="29">
        <f>'GS&gt;50 PW'!$B$6</f>
        <v>556.26088485683897</v>
      </c>
      <c r="M69" s="29">
        <f ca="1">F69*'GS&gt;50 PW'!$B$7</f>
        <v>0</v>
      </c>
      <c r="N69" s="29">
        <f ca="1">G69*'GS&gt;50 PW'!$B$8</f>
        <v>370.86524077437969</v>
      </c>
      <c r="O69" s="29">
        <f>H69*'GS&gt;50 PW'!$B$9</f>
        <v>1981.2262569163183</v>
      </c>
      <c r="P69" s="29">
        <f>I69*'GS&gt;50 PW'!$B$10</f>
        <v>-243.32544891810636</v>
      </c>
      <c r="Q69" s="29">
        <f>J69*'GS&gt;50 PW'!$B$11</f>
        <v>0</v>
      </c>
      <c r="R69" s="46">
        <f>'Monthly Data'!O69</f>
        <v>1029</v>
      </c>
      <c r="S69" s="46">
        <f>'Monthly Data'!BH69</f>
        <v>31</v>
      </c>
      <c r="T69" s="28">
        <f t="shared" ca="1" si="12"/>
        <v>85011694.15584521</v>
      </c>
    </row>
    <row r="70" spans="1:20" x14ac:dyDescent="0.2">
      <c r="A70" s="45">
        <f>'Monthly Data'!A70</f>
        <v>42248</v>
      </c>
      <c r="B70" s="29">
        <f t="shared" si="10"/>
        <v>2015</v>
      </c>
      <c r="C70" s="29">
        <f t="shared" si="11"/>
        <v>9</v>
      </c>
      <c r="D70" s="44">
        <f>'Monthly Data'!M70</f>
        <v>80471106.901304796</v>
      </c>
      <c r="E70" s="44">
        <f>'Monthly Data'!BQ70</f>
        <v>2609.3095622991177</v>
      </c>
      <c r="F70" s="46">
        <f t="shared" ca="1" si="9"/>
        <v>5.2099999999999991</v>
      </c>
      <c r="G70" s="46">
        <f t="shared" ca="1" si="9"/>
        <v>132.95000000000002</v>
      </c>
      <c r="H70" s="46">
        <f>'Monthly Data'!V70</f>
        <v>677384</v>
      </c>
      <c r="I70" s="46">
        <f>'Monthly Data'!BG70</f>
        <v>69</v>
      </c>
      <c r="J70" s="46">
        <f>'Monthly Data'!BC70</f>
        <v>0</v>
      </c>
      <c r="L70" s="29">
        <f>'GS&gt;50 PW'!$B$6</f>
        <v>556.26088485683897</v>
      </c>
      <c r="M70" s="29">
        <f ca="1">F70*'GS&gt;50 PW'!$B$7</f>
        <v>2.3716449759531315</v>
      </c>
      <c r="N70" s="29">
        <f ca="1">G70*'GS&gt;50 PW'!$B$8</f>
        <v>205.79545791123908</v>
      </c>
      <c r="O70" s="29">
        <f>H70*'GS&gt;50 PW'!$B$9</f>
        <v>1981.2262569163183</v>
      </c>
      <c r="P70" s="29">
        <f>I70*'GS&gt;50 PW'!$B$10</f>
        <v>-246.90376434337264</v>
      </c>
      <c r="Q70" s="29">
        <f>J70*'GS&gt;50 PW'!$B$11</f>
        <v>0</v>
      </c>
      <c r="R70" s="46">
        <f>'Monthly Data'!O70</f>
        <v>1028</v>
      </c>
      <c r="S70" s="46">
        <f>'Monthly Data'!BH70</f>
        <v>30</v>
      </c>
      <c r="T70" s="28">
        <f t="shared" ca="1" si="12"/>
        <v>77061464.812975556</v>
      </c>
    </row>
    <row r="71" spans="1:20" x14ac:dyDescent="0.2">
      <c r="A71" s="45">
        <f>'Monthly Data'!A71</f>
        <v>42278</v>
      </c>
      <c r="B71" s="29">
        <f t="shared" si="10"/>
        <v>2015</v>
      </c>
      <c r="C71" s="29">
        <f t="shared" si="11"/>
        <v>10</v>
      </c>
      <c r="D71" s="44">
        <f>'Monthly Data'!M71</f>
        <v>74766344.901304796</v>
      </c>
      <c r="E71" s="44">
        <f>'Monthly Data'!BQ71</f>
        <v>2355.2906029896926</v>
      </c>
      <c r="F71" s="46">
        <f t="shared" ca="1" si="9"/>
        <v>90.66</v>
      </c>
      <c r="G71" s="46">
        <f t="shared" ca="1" si="9"/>
        <v>27.9</v>
      </c>
      <c r="H71" s="46">
        <f>'Monthly Data'!V71</f>
        <v>677384</v>
      </c>
      <c r="I71" s="46">
        <f>'Monthly Data'!BG71</f>
        <v>70</v>
      </c>
      <c r="J71" s="46">
        <f>'Monthly Data'!BC71</f>
        <v>0</v>
      </c>
      <c r="L71" s="29">
        <f>'GS&gt;50 PW'!$B$6</f>
        <v>556.26088485683897</v>
      </c>
      <c r="M71" s="29">
        <f ca="1">F71*'GS&gt;50 PW'!$B$7</f>
        <v>41.269353842593269</v>
      </c>
      <c r="N71" s="29">
        <f ca="1">G71*'GS&gt;50 PW'!$B$8</f>
        <v>43.186861795589088</v>
      </c>
      <c r="O71" s="29">
        <f>H71*'GS&gt;50 PW'!$B$9</f>
        <v>1981.2262569163183</v>
      </c>
      <c r="P71" s="29">
        <f>I71*'GS&gt;50 PW'!$B$10</f>
        <v>-250.4820797686389</v>
      </c>
      <c r="Q71" s="29">
        <f>J71*'GS&gt;50 PW'!$B$11</f>
        <v>0</v>
      </c>
      <c r="R71" s="46">
        <f>'Monthly Data'!O71</f>
        <v>1024</v>
      </c>
      <c r="S71" s="46">
        <f>'Monthly Data'!BH71</f>
        <v>31</v>
      </c>
      <c r="T71" s="28">
        <f t="shared" ca="1" si="12"/>
        <v>75279666.797489896</v>
      </c>
    </row>
    <row r="72" spans="1:20" x14ac:dyDescent="0.2">
      <c r="A72" s="45">
        <f>'Monthly Data'!A72</f>
        <v>42309</v>
      </c>
      <c r="B72" s="29">
        <f t="shared" si="10"/>
        <v>2015</v>
      </c>
      <c r="C72" s="29">
        <f t="shared" si="11"/>
        <v>11</v>
      </c>
      <c r="D72" s="44">
        <f>'Monthly Data'!M72</f>
        <v>73580200.901304796</v>
      </c>
      <c r="E72" s="44">
        <f>'Monthly Data'!BQ72</f>
        <v>2388.1921746609801</v>
      </c>
      <c r="F72" s="46">
        <f t="shared" ca="1" si="9"/>
        <v>264.88</v>
      </c>
      <c r="G72" s="46">
        <f t="shared" ca="1" si="9"/>
        <v>0.69000000000000006</v>
      </c>
      <c r="H72" s="46">
        <f>'Monthly Data'!V72</f>
        <v>677384</v>
      </c>
      <c r="I72" s="46">
        <f>'Monthly Data'!BG72</f>
        <v>71</v>
      </c>
      <c r="J72" s="46">
        <f>'Monthly Data'!BC72</f>
        <v>0</v>
      </c>
      <c r="L72" s="29">
        <f>'GS&gt;50 PW'!$B$6</f>
        <v>556.26088485683897</v>
      </c>
      <c r="M72" s="29">
        <f ca="1">F72*'GS&gt;50 PW'!$B$7</f>
        <v>120.5760693340625</v>
      </c>
      <c r="N72" s="29">
        <f ca="1">G72*'GS&gt;50 PW'!$B$8</f>
        <v>1.0680621734393003</v>
      </c>
      <c r="O72" s="29">
        <f>H72*'GS&gt;50 PW'!$B$9</f>
        <v>1981.2262569163183</v>
      </c>
      <c r="P72" s="29">
        <f>I72*'GS&gt;50 PW'!$B$10</f>
        <v>-254.06039519390518</v>
      </c>
      <c r="Q72" s="29">
        <f>J72*'GS&gt;50 PW'!$B$11</f>
        <v>0</v>
      </c>
      <c r="R72" s="46">
        <f>'Monthly Data'!O72</f>
        <v>1027</v>
      </c>
      <c r="S72" s="46">
        <f>'Monthly Data'!BH72</f>
        <v>30</v>
      </c>
      <c r="T72" s="28">
        <f t="shared" ca="1" si="12"/>
        <v>74100233.753852889</v>
      </c>
    </row>
    <row r="73" spans="1:20" x14ac:dyDescent="0.2">
      <c r="A73" s="45">
        <f>'Monthly Data'!A73</f>
        <v>42339</v>
      </c>
      <c r="B73" s="29">
        <f t="shared" si="10"/>
        <v>2015</v>
      </c>
      <c r="C73" s="29">
        <f t="shared" si="11"/>
        <v>12</v>
      </c>
      <c r="D73" s="44">
        <f>'Monthly Data'!M73</f>
        <v>74354600.901304796</v>
      </c>
      <c r="E73" s="44">
        <f>'Monthly Data'!BQ73</f>
        <v>2330.9383021820372</v>
      </c>
      <c r="F73" s="46">
        <f t="shared" ca="1" si="9"/>
        <v>413.65</v>
      </c>
      <c r="G73" s="46">
        <f t="shared" ca="1" si="9"/>
        <v>0</v>
      </c>
      <c r="H73" s="46">
        <f>'Monthly Data'!V73</f>
        <v>677384</v>
      </c>
      <c r="I73" s="46">
        <f>'Monthly Data'!BG73</f>
        <v>72</v>
      </c>
      <c r="J73" s="46">
        <f>'Monthly Data'!BC73</f>
        <v>1</v>
      </c>
      <c r="L73" s="29">
        <f>'GS&gt;50 PW'!$B$6</f>
        <v>556.26088485683897</v>
      </c>
      <c r="M73" s="29">
        <f ca="1">F73*'GS&gt;50 PW'!$B$7</f>
        <v>188.29768604664358</v>
      </c>
      <c r="N73" s="29">
        <f ca="1">G73*'GS&gt;50 PW'!$B$8</f>
        <v>0</v>
      </c>
      <c r="O73" s="29">
        <f>H73*'GS&gt;50 PW'!$B$9</f>
        <v>1981.2262569163183</v>
      </c>
      <c r="P73" s="29">
        <f>I73*'GS&gt;50 PW'!$B$10</f>
        <v>-257.63871061917143</v>
      </c>
      <c r="Q73" s="29">
        <f>J73*'GS&gt;50 PW'!$B$11</f>
        <v>-107.242128303215</v>
      </c>
      <c r="R73" s="46">
        <f>'Monthly Data'!O73</f>
        <v>1029</v>
      </c>
      <c r="S73" s="46">
        <f>'Monthly Data'!BH73</f>
        <v>31</v>
      </c>
      <c r="T73" s="28">
        <f t="shared" ca="1" si="12"/>
        <v>75310476.341838628</v>
      </c>
    </row>
    <row r="74" spans="1:20" x14ac:dyDescent="0.2">
      <c r="A74" s="45">
        <f>'Monthly Data'!A74</f>
        <v>42370</v>
      </c>
      <c r="B74" s="29">
        <f t="shared" si="10"/>
        <v>2016</v>
      </c>
      <c r="C74" s="29">
        <f t="shared" si="11"/>
        <v>1</v>
      </c>
      <c r="D74" s="44">
        <f>'Monthly Data'!M74</f>
        <v>80877446.451951042</v>
      </c>
      <c r="E74" s="44">
        <f>'Monthly Data'!BQ74</f>
        <v>2530.5042536826459</v>
      </c>
      <c r="F74" s="46">
        <f t="shared" ca="1" si="9"/>
        <v>539.1400000000001</v>
      </c>
      <c r="G74" s="46">
        <f t="shared" ca="1" si="9"/>
        <v>0</v>
      </c>
      <c r="H74" s="46">
        <f>'Monthly Data'!V74</f>
        <v>692620.80000000005</v>
      </c>
      <c r="I74" s="46">
        <f>'Monthly Data'!BG74</f>
        <v>73</v>
      </c>
      <c r="J74" s="46">
        <f>'Monthly Data'!BC74</f>
        <v>0</v>
      </c>
      <c r="L74" s="29">
        <f>'GS&gt;50 PW'!$B$6</f>
        <v>556.26088485683897</v>
      </c>
      <c r="M74" s="29">
        <f ca="1">F74*'GS&gt;50 PW'!$B$7</f>
        <v>245.42201004517693</v>
      </c>
      <c r="N74" s="29">
        <f ca="1">G74*'GS&gt;50 PW'!$B$8</f>
        <v>0</v>
      </c>
      <c r="O74" s="29">
        <f>H74*'GS&gt;50 PW'!$B$9</f>
        <v>2025.7911539782249</v>
      </c>
      <c r="P74" s="29">
        <f>I74*'GS&gt;50 PW'!$B$10</f>
        <v>-261.21702604443772</v>
      </c>
      <c r="Q74" s="29">
        <f>J74*'GS&gt;50 PW'!$B$11</f>
        <v>0</v>
      </c>
      <c r="R74" s="46">
        <f>'Monthly Data'!O74</f>
        <v>1031</v>
      </c>
      <c r="S74" s="46">
        <f>'Monthly Data'!BH74</f>
        <v>31</v>
      </c>
      <c r="T74" s="28">
        <f t="shared" ca="1" si="12"/>
        <v>82020140.706855103</v>
      </c>
    </row>
    <row r="75" spans="1:20" x14ac:dyDescent="0.2">
      <c r="A75" s="45">
        <f>'Monthly Data'!A75</f>
        <v>42401</v>
      </c>
      <c r="B75" s="29">
        <f t="shared" si="10"/>
        <v>2016</v>
      </c>
      <c r="C75" s="29">
        <f t="shared" si="11"/>
        <v>2</v>
      </c>
      <c r="D75" s="44">
        <f>'Monthly Data'!M75</f>
        <v>76696727.451951042</v>
      </c>
      <c r="E75" s="44">
        <f>'Monthly Data'!BQ75</f>
        <v>2560.2272407768146</v>
      </c>
      <c r="F75" s="46">
        <f t="shared" ca="1" si="9"/>
        <v>473.45</v>
      </c>
      <c r="G75" s="46">
        <f t="shared" ca="1" si="9"/>
        <v>0</v>
      </c>
      <c r="H75" s="46">
        <f>'Monthly Data'!V75</f>
        <v>692620.80000000005</v>
      </c>
      <c r="I75" s="46">
        <f>'Monthly Data'!BG75</f>
        <v>74</v>
      </c>
      <c r="J75" s="46">
        <f>'Monthly Data'!BC75</f>
        <v>0</v>
      </c>
      <c r="L75" s="29">
        <f>'GS&gt;50 PW'!$B$6</f>
        <v>556.26088485683897</v>
      </c>
      <c r="M75" s="29">
        <f ca="1">F75*'GS&gt;50 PW'!$B$7</f>
        <v>215.51925410076973</v>
      </c>
      <c r="N75" s="29">
        <f ca="1">G75*'GS&gt;50 PW'!$B$8</f>
        <v>0</v>
      </c>
      <c r="O75" s="29">
        <f>H75*'GS&gt;50 PW'!$B$9</f>
        <v>2025.7911539782249</v>
      </c>
      <c r="P75" s="29">
        <f>I75*'GS&gt;50 PW'!$B$10</f>
        <v>-264.795341469704</v>
      </c>
      <c r="Q75" s="29">
        <f>J75*'GS&gt;50 PW'!$B$11</f>
        <v>0</v>
      </c>
      <c r="R75" s="46">
        <f>'Monthly Data'!O75</f>
        <v>1033</v>
      </c>
      <c r="S75" s="46">
        <f>'Monthly Data'!BH75</f>
        <v>29</v>
      </c>
      <c r="T75" s="28">
        <f t="shared" ca="1" si="12"/>
        <v>75874369.178070828</v>
      </c>
    </row>
    <row r="76" spans="1:20" x14ac:dyDescent="0.2">
      <c r="A76" s="45">
        <f>'Monthly Data'!A76</f>
        <v>42430</v>
      </c>
      <c r="B76" s="29">
        <f t="shared" si="10"/>
        <v>2016</v>
      </c>
      <c r="C76" s="29">
        <f t="shared" si="11"/>
        <v>3</v>
      </c>
      <c r="D76" s="44">
        <f>'Monthly Data'!M76</f>
        <v>79053293.451951042</v>
      </c>
      <c r="E76" s="44">
        <f>'Monthly Data'!BQ76</f>
        <v>2466.2536173941176</v>
      </c>
      <c r="F76" s="46">
        <f t="shared" ca="1" si="9"/>
        <v>394.31999999999988</v>
      </c>
      <c r="G76" s="46">
        <f t="shared" ca="1" si="9"/>
        <v>3.0000000000000072E-2</v>
      </c>
      <c r="H76" s="46">
        <f>'Monthly Data'!V76</f>
        <v>692620.80000000005</v>
      </c>
      <c r="I76" s="46">
        <f>'Monthly Data'!BG76</f>
        <v>75</v>
      </c>
      <c r="J76" s="46">
        <f>'Monthly Data'!BC76</f>
        <v>0</v>
      </c>
      <c r="L76" s="29">
        <f>'GS&gt;50 PW'!$B$6</f>
        <v>556.26088485683897</v>
      </c>
      <c r="M76" s="29">
        <f ca="1">F76*'GS&gt;50 PW'!$B$7</f>
        <v>179.49847349670608</v>
      </c>
      <c r="N76" s="29">
        <f ca="1">G76*'GS&gt;50 PW'!$B$8</f>
        <v>4.6437485801708811E-2</v>
      </c>
      <c r="O76" s="29">
        <f>H76*'GS&gt;50 PW'!$B$9</f>
        <v>2025.7911539782249</v>
      </c>
      <c r="P76" s="29">
        <f>I76*'GS&gt;50 PW'!$B$10</f>
        <v>-268.37365689497028</v>
      </c>
      <c r="Q76" s="29">
        <f>J76*'GS&gt;50 PW'!$B$11</f>
        <v>0</v>
      </c>
      <c r="R76" s="46">
        <f>'Monthly Data'!O76</f>
        <v>1034</v>
      </c>
      <c r="S76" s="46">
        <f>'Monthly Data'!BH76</f>
        <v>31</v>
      </c>
      <c r="T76" s="28">
        <f t="shared" ca="1" si="12"/>
        <v>79917779.431341067</v>
      </c>
    </row>
    <row r="77" spans="1:20" x14ac:dyDescent="0.2">
      <c r="A77" s="45">
        <f>'Monthly Data'!A77</f>
        <v>42461</v>
      </c>
      <c r="B77" s="29">
        <f t="shared" si="10"/>
        <v>2016</v>
      </c>
      <c r="C77" s="29">
        <f t="shared" si="11"/>
        <v>4</v>
      </c>
      <c r="D77" s="44">
        <f>'Monthly Data'!M77</f>
        <v>75326609.451951042</v>
      </c>
      <c r="E77" s="44">
        <f>'Monthly Data'!BQ77</f>
        <v>2425.9777601272481</v>
      </c>
      <c r="F77" s="46">
        <f t="shared" ca="1" si="9"/>
        <v>220.23999999999995</v>
      </c>
      <c r="G77" s="46">
        <f t="shared" ca="1" si="9"/>
        <v>1.45</v>
      </c>
      <c r="H77" s="46">
        <f>'Monthly Data'!V77</f>
        <v>692620.80000000005</v>
      </c>
      <c r="I77" s="46">
        <f>'Monthly Data'!BG77</f>
        <v>76</v>
      </c>
      <c r="J77" s="46">
        <f>'Monthly Data'!BC77</f>
        <v>0</v>
      </c>
      <c r="L77" s="29">
        <f>'GS&gt;50 PW'!$B$6</f>
        <v>556.26088485683897</v>
      </c>
      <c r="M77" s="29">
        <f ca="1">F77*'GS&gt;50 PW'!$B$7</f>
        <v>100.25548742877498</v>
      </c>
      <c r="N77" s="29">
        <f ca="1">G77*'GS&gt;50 PW'!$B$8</f>
        <v>2.2444784804159204</v>
      </c>
      <c r="O77" s="29">
        <f>H77*'GS&gt;50 PW'!$B$9</f>
        <v>2025.7911539782249</v>
      </c>
      <c r="P77" s="29">
        <f>I77*'GS&gt;50 PW'!$B$10</f>
        <v>-271.95197232023651</v>
      </c>
      <c r="Q77" s="29">
        <f>J77*'GS&gt;50 PW'!$B$11</f>
        <v>0</v>
      </c>
      <c r="R77" s="46">
        <f>'Monthly Data'!O77</f>
        <v>1035</v>
      </c>
      <c r="S77" s="46">
        <f>'Monthly Data'!BH77</f>
        <v>30</v>
      </c>
      <c r="T77" s="28">
        <f t="shared" ca="1" si="12"/>
        <v>74911231.006765753</v>
      </c>
    </row>
    <row r="78" spans="1:20" x14ac:dyDescent="0.2">
      <c r="A78" s="45">
        <f>'Monthly Data'!A78</f>
        <v>42491</v>
      </c>
      <c r="B78" s="29">
        <f t="shared" si="10"/>
        <v>2016</v>
      </c>
      <c r="C78" s="29">
        <f t="shared" si="11"/>
        <v>5</v>
      </c>
      <c r="D78" s="44">
        <f>'Monthly Data'!M78</f>
        <v>77298721.451951042</v>
      </c>
      <c r="E78" s="44">
        <f>'Monthly Data'!BQ78</f>
        <v>2409.1856460012791</v>
      </c>
      <c r="F78" s="46">
        <f t="shared" ref="F78:G93" ca="1" si="13">F66</f>
        <v>68.61</v>
      </c>
      <c r="G78" s="46">
        <f t="shared" ca="1" si="13"/>
        <v>50.69</v>
      </c>
      <c r="H78" s="46">
        <f>'Monthly Data'!V78</f>
        <v>692620.80000000005</v>
      </c>
      <c r="I78" s="46">
        <f>'Monthly Data'!BG78</f>
        <v>77</v>
      </c>
      <c r="J78" s="46">
        <f>'Monthly Data'!BC78</f>
        <v>0</v>
      </c>
      <c r="L78" s="29">
        <f>'GS&gt;50 PW'!$B$6</f>
        <v>556.26088485683897</v>
      </c>
      <c r="M78" s="29">
        <f ca="1">F78*'GS&gt;50 PW'!$B$7</f>
        <v>31.231969635344413</v>
      </c>
      <c r="N78" s="29">
        <f ca="1">G78*'GS&gt;50 PW'!$B$8</f>
        <v>78.463871842953807</v>
      </c>
      <c r="O78" s="29">
        <f>H78*'GS&gt;50 PW'!$B$9</f>
        <v>2025.7911539782249</v>
      </c>
      <c r="P78" s="29">
        <f>I78*'GS&gt;50 PW'!$B$10</f>
        <v>-275.53028774550279</v>
      </c>
      <c r="Q78" s="29">
        <f>J78*'GS&gt;50 PW'!$B$11</f>
        <v>0</v>
      </c>
      <c r="R78" s="46">
        <f>'Monthly Data'!O78</f>
        <v>1035</v>
      </c>
      <c r="S78" s="46">
        <f>'Monthly Data'!BH78</f>
        <v>31</v>
      </c>
      <c r="T78" s="28">
        <f t="shared" ca="1" si="12"/>
        <v>77524341.457539767</v>
      </c>
    </row>
    <row r="79" spans="1:20" x14ac:dyDescent="0.2">
      <c r="A79" s="45">
        <f>'Monthly Data'!A79</f>
        <v>42522</v>
      </c>
      <c r="B79" s="29">
        <f t="shared" si="10"/>
        <v>2016</v>
      </c>
      <c r="C79" s="29">
        <f t="shared" si="11"/>
        <v>6</v>
      </c>
      <c r="D79" s="44">
        <f>'Monthly Data'!M79</f>
        <v>80715843.451951042</v>
      </c>
      <c r="E79" s="44">
        <f>'Monthly Data'!BQ79</f>
        <v>2604.5770716989691</v>
      </c>
      <c r="F79" s="46">
        <f t="shared" ca="1" si="13"/>
        <v>2.7299999999999995</v>
      </c>
      <c r="G79" s="46">
        <f t="shared" ca="1" si="13"/>
        <v>145.17999999999998</v>
      </c>
      <c r="H79" s="46">
        <f>'Monthly Data'!V79</f>
        <v>692620.80000000005</v>
      </c>
      <c r="I79" s="46">
        <f>'Monthly Data'!BG79</f>
        <v>78</v>
      </c>
      <c r="J79" s="46">
        <f>'Monthly Data'!BC79</f>
        <v>0</v>
      </c>
      <c r="L79" s="29">
        <f>'GS&gt;50 PW'!$B$6</f>
        <v>556.26088485683897</v>
      </c>
      <c r="M79" s="29">
        <f ca="1">F79*'GS&gt;50 PW'!$B$7</f>
        <v>1.2427237589927158</v>
      </c>
      <c r="N79" s="29">
        <f ca="1">G79*'GS&gt;50 PW'!$B$8</f>
        <v>224.72647295640229</v>
      </c>
      <c r="O79" s="29">
        <f>H79*'GS&gt;50 PW'!$B$9</f>
        <v>2025.7911539782249</v>
      </c>
      <c r="P79" s="29">
        <f>I79*'GS&gt;50 PW'!$B$10</f>
        <v>-279.10860317076907</v>
      </c>
      <c r="Q79" s="29">
        <f>J79*'GS&gt;50 PW'!$B$11</f>
        <v>0</v>
      </c>
      <c r="R79" s="46">
        <f>'Monthly Data'!O79</f>
        <v>1033</v>
      </c>
      <c r="S79" s="46">
        <f>'Monthly Data'!BH79</f>
        <v>30</v>
      </c>
      <c r="T79" s="28">
        <f t="shared" ca="1" si="12"/>
        <v>78371002.477446586</v>
      </c>
    </row>
    <row r="80" spans="1:20" x14ac:dyDescent="0.2">
      <c r="A80" s="45">
        <f>'Monthly Data'!A80</f>
        <v>42552</v>
      </c>
      <c r="B80" s="29">
        <f t="shared" si="10"/>
        <v>2016</v>
      </c>
      <c r="C80" s="29">
        <f t="shared" si="11"/>
        <v>7</v>
      </c>
      <c r="D80" s="44">
        <f>'Monthly Data'!M80</f>
        <v>86828378.451951042</v>
      </c>
      <c r="E80" s="44">
        <f>'Monthly Data'!BQ80</f>
        <v>2708.8157001295017</v>
      </c>
      <c r="F80" s="46">
        <f t="shared" ca="1" si="13"/>
        <v>0</v>
      </c>
      <c r="G80" s="46">
        <f t="shared" ca="1" si="13"/>
        <v>268.18999999999994</v>
      </c>
      <c r="H80" s="46">
        <f>'Monthly Data'!V80</f>
        <v>692620.80000000005</v>
      </c>
      <c r="I80" s="46">
        <f>'Monthly Data'!BG80</f>
        <v>79</v>
      </c>
      <c r="J80" s="46">
        <f>'Monthly Data'!BC80</f>
        <v>0</v>
      </c>
      <c r="L80" s="29">
        <f>'GS&gt;50 PW'!$B$6</f>
        <v>556.26088485683897</v>
      </c>
      <c r="M80" s="29">
        <f ca="1">F80*'GS&gt;50 PW'!$B$7</f>
        <v>0</v>
      </c>
      <c r="N80" s="29">
        <f ca="1">G80*'GS&gt;50 PW'!$B$8</f>
        <v>415.13564390534179</v>
      </c>
      <c r="O80" s="29">
        <f>H80*'GS&gt;50 PW'!$B$9</f>
        <v>2025.7911539782249</v>
      </c>
      <c r="P80" s="29">
        <f>I80*'GS&gt;50 PW'!$B$10</f>
        <v>-282.68691859603535</v>
      </c>
      <c r="Q80" s="29">
        <f>J80*'GS&gt;50 PW'!$B$11</f>
        <v>0</v>
      </c>
      <c r="R80" s="46">
        <f>'Monthly Data'!O80</f>
        <v>1034</v>
      </c>
      <c r="S80" s="46">
        <f>'Monthly Data'!BH80</f>
        <v>31</v>
      </c>
      <c r="T80" s="28">
        <f t="shared" ca="1" si="12"/>
        <v>87010607.49388364</v>
      </c>
    </row>
    <row r="81" spans="1:20" x14ac:dyDescent="0.2">
      <c r="A81" s="45">
        <f>'Monthly Data'!A81</f>
        <v>42583</v>
      </c>
      <c r="B81" s="29">
        <f t="shared" si="10"/>
        <v>2016</v>
      </c>
      <c r="C81" s="29">
        <f t="shared" si="11"/>
        <v>8</v>
      </c>
      <c r="D81" s="44">
        <f>'Monthly Data'!M81</f>
        <v>89984192.451951042</v>
      </c>
      <c r="E81" s="44">
        <f>'Monthly Data'!BQ81</f>
        <v>2807.2687481110329</v>
      </c>
      <c r="F81" s="46">
        <f t="shared" ca="1" si="13"/>
        <v>0</v>
      </c>
      <c r="G81" s="46">
        <f t="shared" ca="1" si="13"/>
        <v>239.59000000000006</v>
      </c>
      <c r="H81" s="46">
        <f>'Monthly Data'!V81</f>
        <v>692620.80000000005</v>
      </c>
      <c r="I81" s="46">
        <f>'Monthly Data'!BG81</f>
        <v>80</v>
      </c>
      <c r="J81" s="46">
        <f>'Monthly Data'!BC81</f>
        <v>0</v>
      </c>
      <c r="L81" s="29">
        <f>'GS&gt;50 PW'!$B$6</f>
        <v>556.26088485683897</v>
      </c>
      <c r="M81" s="29">
        <f ca="1">F81*'GS&gt;50 PW'!$B$7</f>
        <v>0</v>
      </c>
      <c r="N81" s="29">
        <f ca="1">G81*'GS&gt;50 PW'!$B$8</f>
        <v>370.86524077437969</v>
      </c>
      <c r="O81" s="29">
        <f>H81*'GS&gt;50 PW'!$B$9</f>
        <v>2025.7911539782249</v>
      </c>
      <c r="P81" s="29">
        <f>I81*'GS&gt;50 PW'!$B$10</f>
        <v>-286.26523402130158</v>
      </c>
      <c r="Q81" s="29">
        <f>J81*'GS&gt;50 PW'!$B$11</f>
        <v>0</v>
      </c>
      <c r="R81" s="46">
        <f>'Monthly Data'!O81</f>
        <v>1034</v>
      </c>
      <c r="S81" s="46">
        <f>'Monthly Data'!BH81</f>
        <v>31</v>
      </c>
      <c r="T81" s="28">
        <f t="shared" ca="1" si="12"/>
        <v>85476864.669282302</v>
      </c>
    </row>
    <row r="82" spans="1:20" x14ac:dyDescent="0.2">
      <c r="A82" s="45">
        <f>'Monthly Data'!A82</f>
        <v>42614</v>
      </c>
      <c r="B82" s="29">
        <f t="shared" si="10"/>
        <v>2016</v>
      </c>
      <c r="C82" s="29">
        <f t="shared" si="11"/>
        <v>9</v>
      </c>
      <c r="D82" s="44">
        <f>'Monthly Data'!M82</f>
        <v>80657191.451951042</v>
      </c>
      <c r="E82" s="44">
        <f>'Monthly Data'!BQ82</f>
        <v>2602.6844611794463</v>
      </c>
      <c r="F82" s="46">
        <f t="shared" ca="1" si="13"/>
        <v>5.2099999999999991</v>
      </c>
      <c r="G82" s="46">
        <f t="shared" ca="1" si="13"/>
        <v>132.95000000000002</v>
      </c>
      <c r="H82" s="46">
        <f>'Monthly Data'!V82</f>
        <v>692620.80000000005</v>
      </c>
      <c r="I82" s="46">
        <f>'Monthly Data'!BG82</f>
        <v>81</v>
      </c>
      <c r="J82" s="46">
        <f>'Monthly Data'!BC82</f>
        <v>0</v>
      </c>
      <c r="L82" s="29">
        <f>'GS&gt;50 PW'!$B$6</f>
        <v>556.26088485683897</v>
      </c>
      <c r="M82" s="29">
        <f ca="1">F82*'GS&gt;50 PW'!$B$7</f>
        <v>2.3716449759531315</v>
      </c>
      <c r="N82" s="29">
        <f ca="1">G82*'GS&gt;50 PW'!$B$8</f>
        <v>205.79545791123908</v>
      </c>
      <c r="O82" s="29">
        <f>H82*'GS&gt;50 PW'!$B$9</f>
        <v>2025.7911539782249</v>
      </c>
      <c r="P82" s="29">
        <f>I82*'GS&gt;50 PW'!$B$10</f>
        <v>-289.84354944656786</v>
      </c>
      <c r="Q82" s="29">
        <f>J82*'GS&gt;50 PW'!$B$11</f>
        <v>0</v>
      </c>
      <c r="R82" s="46">
        <f>'Monthly Data'!O82</f>
        <v>1033</v>
      </c>
      <c r="S82" s="46">
        <f>'Monthly Data'!BH82</f>
        <v>30</v>
      </c>
      <c r="T82" s="28">
        <f t="shared" ca="1" si="12"/>
        <v>77486639.604623571</v>
      </c>
    </row>
    <row r="83" spans="1:20" x14ac:dyDescent="0.2">
      <c r="A83" s="45">
        <f>'Monthly Data'!A83</f>
        <v>42644</v>
      </c>
      <c r="B83" s="29">
        <f t="shared" si="10"/>
        <v>2016</v>
      </c>
      <c r="C83" s="29">
        <f t="shared" si="11"/>
        <v>10</v>
      </c>
      <c r="D83" s="44">
        <f>'Monthly Data'!M83</f>
        <v>75966711.451951042</v>
      </c>
      <c r="E83" s="44">
        <f>'Monthly Data'!BQ83</f>
        <v>2365.3852114818483</v>
      </c>
      <c r="F83" s="46">
        <f t="shared" ca="1" si="13"/>
        <v>90.66</v>
      </c>
      <c r="G83" s="46">
        <f t="shared" ca="1" si="13"/>
        <v>27.9</v>
      </c>
      <c r="H83" s="46">
        <f>'Monthly Data'!V83</f>
        <v>692620.80000000005</v>
      </c>
      <c r="I83" s="46">
        <f>'Monthly Data'!BG83</f>
        <v>82</v>
      </c>
      <c r="J83" s="46">
        <f>'Monthly Data'!BC83</f>
        <v>0</v>
      </c>
      <c r="L83" s="29">
        <f>'GS&gt;50 PW'!$B$6</f>
        <v>556.26088485683897</v>
      </c>
      <c r="M83" s="29">
        <f ca="1">F83*'GS&gt;50 PW'!$B$7</f>
        <v>41.269353842593269</v>
      </c>
      <c r="N83" s="29">
        <f ca="1">G83*'GS&gt;50 PW'!$B$8</f>
        <v>43.186861795589088</v>
      </c>
      <c r="O83" s="29">
        <f>H83*'GS&gt;50 PW'!$B$9</f>
        <v>2025.7911539782249</v>
      </c>
      <c r="P83" s="29">
        <f>I83*'GS&gt;50 PW'!$B$10</f>
        <v>-293.42186487183415</v>
      </c>
      <c r="Q83" s="29">
        <f>J83*'GS&gt;50 PW'!$B$11</f>
        <v>0</v>
      </c>
      <c r="R83" s="46">
        <f>'Monthly Data'!O83</f>
        <v>1036</v>
      </c>
      <c r="S83" s="46">
        <f>'Monthly Data'!BH83</f>
        <v>31</v>
      </c>
      <c r="T83" s="28">
        <f t="shared" ca="1" si="12"/>
        <v>76214042.488438949</v>
      </c>
    </row>
    <row r="84" spans="1:20" x14ac:dyDescent="0.2">
      <c r="A84" s="45">
        <f>'Monthly Data'!A84</f>
        <v>42675</v>
      </c>
      <c r="B84" s="29">
        <f t="shared" si="10"/>
        <v>2016</v>
      </c>
      <c r="C84" s="29">
        <f t="shared" si="11"/>
        <v>11</v>
      </c>
      <c r="D84" s="44">
        <f>'Monthly Data'!M84</f>
        <v>74431571.451951042</v>
      </c>
      <c r="E84" s="44">
        <f>'Monthly Data'!BQ84</f>
        <v>2394.8382063047311</v>
      </c>
      <c r="F84" s="46">
        <f t="shared" ca="1" si="13"/>
        <v>264.88</v>
      </c>
      <c r="G84" s="46">
        <f t="shared" ca="1" si="13"/>
        <v>0.69000000000000006</v>
      </c>
      <c r="H84" s="46">
        <f>'Monthly Data'!V84</f>
        <v>692620.80000000005</v>
      </c>
      <c r="I84" s="46">
        <f>'Monthly Data'!BG84</f>
        <v>83</v>
      </c>
      <c r="J84" s="46">
        <f>'Monthly Data'!BC84</f>
        <v>0</v>
      </c>
      <c r="L84" s="29">
        <f>'GS&gt;50 PW'!$B$6</f>
        <v>556.26088485683897</v>
      </c>
      <c r="M84" s="29">
        <f ca="1">F84*'GS&gt;50 PW'!$B$7</f>
        <v>120.5760693340625</v>
      </c>
      <c r="N84" s="29">
        <f ca="1">G84*'GS&gt;50 PW'!$B$8</f>
        <v>1.0680621734393003</v>
      </c>
      <c r="O84" s="29">
        <f>H84*'GS&gt;50 PW'!$B$9</f>
        <v>2025.7911539782249</v>
      </c>
      <c r="P84" s="29">
        <f>I84*'GS&gt;50 PW'!$B$10</f>
        <v>-297.00018029710043</v>
      </c>
      <c r="Q84" s="29">
        <f>J84*'GS&gt;50 PW'!$B$11</f>
        <v>0</v>
      </c>
      <c r="R84" s="46">
        <f>'Monthly Data'!O84</f>
        <v>1036</v>
      </c>
      <c r="S84" s="46">
        <f>'Monthly Data'!BH84</f>
        <v>30</v>
      </c>
      <c r="T84" s="28">
        <f t="shared" ca="1" si="12"/>
        <v>74800111.370613068</v>
      </c>
    </row>
    <row r="85" spans="1:20" x14ac:dyDescent="0.2">
      <c r="A85" s="45">
        <f>'Monthly Data'!A85</f>
        <v>42705</v>
      </c>
      <c r="B85" s="29">
        <f t="shared" si="10"/>
        <v>2016</v>
      </c>
      <c r="C85" s="29">
        <f t="shared" si="11"/>
        <v>12</v>
      </c>
      <c r="D85" s="44">
        <f>'Monthly Data'!M85</f>
        <v>76796818.451951042</v>
      </c>
      <c r="E85" s="44">
        <f>'Monthly Data'!BQ85</f>
        <v>2391.2323593209317</v>
      </c>
      <c r="F85" s="46">
        <f t="shared" ca="1" si="13"/>
        <v>413.65</v>
      </c>
      <c r="G85" s="46">
        <f t="shared" ca="1" si="13"/>
        <v>0</v>
      </c>
      <c r="H85" s="46">
        <f>'Monthly Data'!V85</f>
        <v>692620.80000000005</v>
      </c>
      <c r="I85" s="46">
        <f>'Monthly Data'!BG85</f>
        <v>84</v>
      </c>
      <c r="J85" s="46">
        <f>'Monthly Data'!BC85</f>
        <v>1</v>
      </c>
      <c r="L85" s="29">
        <f>'GS&gt;50 PW'!$B$6</f>
        <v>556.26088485683897</v>
      </c>
      <c r="M85" s="29">
        <f ca="1">F85*'GS&gt;50 PW'!$B$7</f>
        <v>188.29768604664358</v>
      </c>
      <c r="N85" s="29">
        <f ca="1">G85*'GS&gt;50 PW'!$B$8</f>
        <v>0</v>
      </c>
      <c r="O85" s="29">
        <f>H85*'GS&gt;50 PW'!$B$9</f>
        <v>2025.7911539782249</v>
      </c>
      <c r="P85" s="29">
        <f>I85*'GS&gt;50 PW'!$B$10</f>
        <v>-300.57849572236671</v>
      </c>
      <c r="Q85" s="29">
        <f>J85*'GS&gt;50 PW'!$B$11</f>
        <v>-107.242128303215</v>
      </c>
      <c r="R85" s="46">
        <f>'Monthly Data'!O85</f>
        <v>1036</v>
      </c>
      <c r="S85" s="46">
        <f>'Monthly Data'!BH85</f>
        <v>31</v>
      </c>
      <c r="T85" s="28">
        <f t="shared" ca="1" si="12"/>
        <v>75874984.603095338</v>
      </c>
    </row>
    <row r="86" spans="1:20" x14ac:dyDescent="0.2">
      <c r="A86" s="45">
        <f>'Monthly Data'!A86</f>
        <v>42736</v>
      </c>
      <c r="B86" s="29">
        <f t="shared" si="10"/>
        <v>2017</v>
      </c>
      <c r="C86" s="29">
        <f t="shared" si="11"/>
        <v>1</v>
      </c>
      <c r="D86" s="44">
        <f>'Monthly Data'!M86</f>
        <v>79778744.666458026</v>
      </c>
      <c r="E86" s="44">
        <f>'Monthly Data'!BQ86</f>
        <v>2486.4810555230802</v>
      </c>
      <c r="F86" s="46">
        <f t="shared" ca="1" si="13"/>
        <v>539.1400000000001</v>
      </c>
      <c r="G86" s="46">
        <f t="shared" ca="1" si="13"/>
        <v>0</v>
      </c>
      <c r="H86" s="46">
        <f>'Monthly Data'!V86</f>
        <v>713254.1</v>
      </c>
      <c r="I86" s="46">
        <f>'Monthly Data'!BG86</f>
        <v>85</v>
      </c>
      <c r="J86" s="46">
        <f>'Monthly Data'!BC86</f>
        <v>0</v>
      </c>
      <c r="L86" s="29">
        <f>'GS&gt;50 PW'!$B$6</f>
        <v>556.26088485683897</v>
      </c>
      <c r="M86" s="29">
        <f ca="1">F86*'GS&gt;50 PW'!$B$7</f>
        <v>245.42201004517693</v>
      </c>
      <c r="N86" s="29">
        <f ca="1">G86*'GS&gt;50 PW'!$B$8</f>
        <v>0</v>
      </c>
      <c r="O86" s="29">
        <f>H86*'GS&gt;50 PW'!$B$9</f>
        <v>2086.1398420588871</v>
      </c>
      <c r="P86" s="29">
        <f>I86*'GS&gt;50 PW'!$B$10</f>
        <v>-304.15681114763294</v>
      </c>
      <c r="Q86" s="29">
        <f>J86*'GS&gt;50 PW'!$B$11</f>
        <v>0</v>
      </c>
      <c r="R86" s="46">
        <f>'Monthly Data'!O86</f>
        <v>1035</v>
      </c>
      <c r="S86" s="46">
        <f>'Monthly Data'!BH86</f>
        <v>31</v>
      </c>
      <c r="T86" s="28">
        <f t="shared" ca="1" si="12"/>
        <v>82896921.229718775</v>
      </c>
    </row>
    <row r="87" spans="1:20" x14ac:dyDescent="0.2">
      <c r="A87" s="45">
        <f>'Monthly Data'!A87</f>
        <v>42767</v>
      </c>
      <c r="B87" s="29">
        <f t="shared" si="10"/>
        <v>2017</v>
      </c>
      <c r="C87" s="29">
        <f t="shared" si="11"/>
        <v>2</v>
      </c>
      <c r="D87" s="44">
        <f>'Monthly Data'!M87</f>
        <v>71619045.666458026</v>
      </c>
      <c r="E87" s="44">
        <f>'Monthly Data'!BQ87</f>
        <v>2560.3834429593176</v>
      </c>
      <c r="F87" s="46">
        <f t="shared" ca="1" si="13"/>
        <v>473.45</v>
      </c>
      <c r="G87" s="46">
        <f t="shared" ca="1" si="13"/>
        <v>0</v>
      </c>
      <c r="H87" s="46">
        <f>'Monthly Data'!V87</f>
        <v>713254.1</v>
      </c>
      <c r="I87" s="46">
        <f>'Monthly Data'!BG87</f>
        <v>86</v>
      </c>
      <c r="J87" s="46">
        <f>'Monthly Data'!BC87</f>
        <v>0</v>
      </c>
      <c r="L87" s="29">
        <f>'GS&gt;50 PW'!$B$6</f>
        <v>556.26088485683897</v>
      </c>
      <c r="M87" s="29">
        <f ca="1">F87*'GS&gt;50 PW'!$B$7</f>
        <v>215.51925410076973</v>
      </c>
      <c r="N87" s="29">
        <f ca="1">G87*'GS&gt;50 PW'!$B$8</f>
        <v>0</v>
      </c>
      <c r="O87" s="29">
        <f>H87*'GS&gt;50 PW'!$B$9</f>
        <v>2086.1398420588871</v>
      </c>
      <c r="P87" s="29">
        <f>I87*'GS&gt;50 PW'!$B$10</f>
        <v>-307.73512657289922</v>
      </c>
      <c r="Q87" s="29">
        <f>J87*'GS&gt;50 PW'!$B$11</f>
        <v>0</v>
      </c>
      <c r="R87" s="46">
        <f>'Monthly Data'!O87</f>
        <v>999</v>
      </c>
      <c r="S87" s="46">
        <f>'Monthly Data'!BH87</f>
        <v>28</v>
      </c>
      <c r="T87" s="28">
        <f t="shared" ca="1" si="12"/>
        <v>71333770.748496264</v>
      </c>
    </row>
    <row r="88" spans="1:20" x14ac:dyDescent="0.2">
      <c r="A88" s="45">
        <f>'Monthly Data'!A88</f>
        <v>42795</v>
      </c>
      <c r="B88" s="29">
        <f t="shared" si="10"/>
        <v>2017</v>
      </c>
      <c r="C88" s="29">
        <f t="shared" si="11"/>
        <v>3</v>
      </c>
      <c r="D88" s="44">
        <f>'Monthly Data'!M88</f>
        <v>78853175.666458026</v>
      </c>
      <c r="E88" s="44">
        <f>'Monthly Data'!BQ88</f>
        <v>2543.6508279502591</v>
      </c>
      <c r="F88" s="46">
        <f t="shared" ca="1" si="13"/>
        <v>394.31999999999988</v>
      </c>
      <c r="G88" s="46">
        <f t="shared" ca="1" si="13"/>
        <v>3.0000000000000072E-2</v>
      </c>
      <c r="H88" s="46">
        <f>'Monthly Data'!V88</f>
        <v>713254.1</v>
      </c>
      <c r="I88" s="46">
        <f>'Monthly Data'!BG88</f>
        <v>87</v>
      </c>
      <c r="J88" s="46">
        <f>'Monthly Data'!BC88</f>
        <v>0</v>
      </c>
      <c r="L88" s="29">
        <f>'GS&gt;50 PW'!$B$6</f>
        <v>556.26088485683897</v>
      </c>
      <c r="M88" s="29">
        <f ca="1">F88*'GS&gt;50 PW'!$B$7</f>
        <v>179.49847349670608</v>
      </c>
      <c r="N88" s="29">
        <f ca="1">G88*'GS&gt;50 PW'!$B$8</f>
        <v>4.6437485801708811E-2</v>
      </c>
      <c r="O88" s="29">
        <f>H88*'GS&gt;50 PW'!$B$9</f>
        <v>2086.1398420588871</v>
      </c>
      <c r="P88" s="29">
        <f>I88*'GS&gt;50 PW'!$B$10</f>
        <v>-311.3134419981655</v>
      </c>
      <c r="Q88" s="29">
        <f>J88*'GS&gt;50 PW'!$B$11</f>
        <v>0</v>
      </c>
      <c r="R88" s="46">
        <f>'Monthly Data'!O88</f>
        <v>1000</v>
      </c>
      <c r="S88" s="46">
        <f>'Monthly Data'!BH88</f>
        <v>31</v>
      </c>
      <c r="T88" s="28">
        <f t="shared" ca="1" si="12"/>
        <v>77829598.072902113</v>
      </c>
    </row>
    <row r="89" spans="1:20" x14ac:dyDescent="0.2">
      <c r="A89" s="45">
        <f>'Monthly Data'!A89</f>
        <v>42826</v>
      </c>
      <c r="B89" s="29">
        <f t="shared" si="10"/>
        <v>2017</v>
      </c>
      <c r="C89" s="29">
        <f t="shared" si="11"/>
        <v>4</v>
      </c>
      <c r="D89" s="44">
        <f>'Monthly Data'!M89</f>
        <v>71496185.666458026</v>
      </c>
      <c r="E89" s="44">
        <f>'Monthly Data'!BQ89</f>
        <v>2383.2061888819344</v>
      </c>
      <c r="F89" s="46">
        <f t="shared" ca="1" si="13"/>
        <v>220.23999999999995</v>
      </c>
      <c r="G89" s="46">
        <f t="shared" ca="1" si="13"/>
        <v>1.45</v>
      </c>
      <c r="H89" s="46">
        <f>'Monthly Data'!V89</f>
        <v>713254.1</v>
      </c>
      <c r="I89" s="46">
        <f>'Monthly Data'!BG89</f>
        <v>88</v>
      </c>
      <c r="J89" s="46">
        <f>'Monthly Data'!BC89</f>
        <v>0</v>
      </c>
      <c r="L89" s="29">
        <f>'GS&gt;50 PW'!$B$6</f>
        <v>556.26088485683897</v>
      </c>
      <c r="M89" s="29">
        <f ca="1">F89*'GS&gt;50 PW'!$B$7</f>
        <v>100.25548742877498</v>
      </c>
      <c r="N89" s="29">
        <f ca="1">G89*'GS&gt;50 PW'!$B$8</f>
        <v>2.2444784804159204</v>
      </c>
      <c r="O89" s="29">
        <f>H89*'GS&gt;50 PW'!$B$9</f>
        <v>2086.1398420588871</v>
      </c>
      <c r="P89" s="29">
        <f>I89*'GS&gt;50 PW'!$B$10</f>
        <v>-314.89175742343178</v>
      </c>
      <c r="Q89" s="29">
        <f>J89*'GS&gt;50 PW'!$B$11</f>
        <v>0</v>
      </c>
      <c r="R89" s="46">
        <f>'Monthly Data'!O89</f>
        <v>1000</v>
      </c>
      <c r="S89" s="46">
        <f>'Monthly Data'!BH89</f>
        <v>30</v>
      </c>
      <c r="T89" s="28">
        <f t="shared" ca="1" si="12"/>
        <v>72900268.062044546</v>
      </c>
    </row>
    <row r="90" spans="1:20" x14ac:dyDescent="0.2">
      <c r="A90" s="45">
        <f>'Monthly Data'!A90</f>
        <v>42856</v>
      </c>
      <c r="B90" s="29">
        <f t="shared" si="10"/>
        <v>2017</v>
      </c>
      <c r="C90" s="29">
        <f t="shared" si="11"/>
        <v>5</v>
      </c>
      <c r="D90" s="44">
        <f>'Monthly Data'!M90</f>
        <v>75455637.666458026</v>
      </c>
      <c r="E90" s="44">
        <f>'Monthly Data'!BQ90</f>
        <v>2441.3769588267392</v>
      </c>
      <c r="F90" s="46">
        <f t="shared" ca="1" si="13"/>
        <v>68.61</v>
      </c>
      <c r="G90" s="46">
        <f t="shared" ca="1" si="13"/>
        <v>50.69</v>
      </c>
      <c r="H90" s="46">
        <f>'Monthly Data'!V90</f>
        <v>713254.1</v>
      </c>
      <c r="I90" s="46">
        <f>'Monthly Data'!BG90</f>
        <v>89</v>
      </c>
      <c r="J90" s="46">
        <f>'Monthly Data'!BC90</f>
        <v>0</v>
      </c>
      <c r="L90" s="29">
        <f>'GS&gt;50 PW'!$B$6</f>
        <v>556.26088485683897</v>
      </c>
      <c r="M90" s="29">
        <f ca="1">F90*'GS&gt;50 PW'!$B$7</f>
        <v>31.231969635344413</v>
      </c>
      <c r="N90" s="29">
        <f ca="1">G90*'GS&gt;50 PW'!$B$8</f>
        <v>78.463871842953807</v>
      </c>
      <c r="O90" s="29">
        <f>H90*'GS&gt;50 PW'!$B$9</f>
        <v>2086.1398420588871</v>
      </c>
      <c r="P90" s="29">
        <f>I90*'GS&gt;50 PW'!$B$10</f>
        <v>-318.47007284869807</v>
      </c>
      <c r="Q90" s="29">
        <f>J90*'GS&gt;50 PW'!$B$11</f>
        <v>0</v>
      </c>
      <c r="R90" s="46">
        <f>'Monthly Data'!O90</f>
        <v>997</v>
      </c>
      <c r="S90" s="46">
        <f>'Monthly Data'!BH90</f>
        <v>31</v>
      </c>
      <c r="T90" s="28">
        <f t="shared" ca="1" si="12"/>
        <v>75216094.097819388</v>
      </c>
    </row>
    <row r="91" spans="1:20" x14ac:dyDescent="0.2">
      <c r="A91" s="45">
        <f>'Monthly Data'!A91</f>
        <v>42887</v>
      </c>
      <c r="B91" s="29">
        <f t="shared" si="10"/>
        <v>2017</v>
      </c>
      <c r="C91" s="29">
        <f t="shared" si="11"/>
        <v>6</v>
      </c>
      <c r="D91" s="44">
        <f>'Monthly Data'!M91</f>
        <v>78632788.666458026</v>
      </c>
      <c r="E91" s="44">
        <f>'Monthly Data'!BQ91</f>
        <v>2618.4744810675334</v>
      </c>
      <c r="F91" s="46">
        <f t="shared" ca="1" si="13"/>
        <v>2.7299999999999995</v>
      </c>
      <c r="G91" s="46">
        <f t="shared" ca="1" si="13"/>
        <v>145.17999999999998</v>
      </c>
      <c r="H91" s="46">
        <f>'Monthly Data'!V91</f>
        <v>713254.1</v>
      </c>
      <c r="I91" s="46">
        <f>'Monthly Data'!BG91</f>
        <v>90</v>
      </c>
      <c r="J91" s="46">
        <f>'Monthly Data'!BC91</f>
        <v>0</v>
      </c>
      <c r="L91" s="29">
        <f>'GS&gt;50 PW'!$B$6</f>
        <v>556.26088485683897</v>
      </c>
      <c r="M91" s="29">
        <f ca="1">F91*'GS&gt;50 PW'!$B$7</f>
        <v>1.2427237589927158</v>
      </c>
      <c r="N91" s="29">
        <f ca="1">G91*'GS&gt;50 PW'!$B$8</f>
        <v>224.72647295640229</v>
      </c>
      <c r="O91" s="29">
        <f>H91*'GS&gt;50 PW'!$B$9</f>
        <v>2086.1398420588871</v>
      </c>
      <c r="P91" s="29">
        <f>I91*'GS&gt;50 PW'!$B$10</f>
        <v>-322.04838827396429</v>
      </c>
      <c r="Q91" s="29">
        <f>J91*'GS&gt;50 PW'!$B$11</f>
        <v>0</v>
      </c>
      <c r="R91" s="46">
        <f>'Monthly Data'!O91</f>
        <v>1001</v>
      </c>
      <c r="S91" s="46">
        <f>'Monthly Data'!BH91</f>
        <v>30</v>
      </c>
      <c r="T91" s="28">
        <f t="shared" ca="1" si="12"/>
        <v>76466035.706775427</v>
      </c>
    </row>
    <row r="92" spans="1:20" x14ac:dyDescent="0.2">
      <c r="A92" s="45">
        <f>'Monthly Data'!A92</f>
        <v>42917</v>
      </c>
      <c r="B92" s="29">
        <f t="shared" si="10"/>
        <v>2017</v>
      </c>
      <c r="C92" s="29">
        <f t="shared" si="11"/>
        <v>7</v>
      </c>
      <c r="D92" s="44">
        <f>'Monthly Data'!M92</f>
        <v>82422181.666458026</v>
      </c>
      <c r="E92" s="44">
        <f>'Monthly Data'!BQ92</f>
        <v>2656.1239298268833</v>
      </c>
      <c r="F92" s="46">
        <f t="shared" ca="1" si="13"/>
        <v>0</v>
      </c>
      <c r="G92" s="46">
        <f t="shared" ca="1" si="13"/>
        <v>268.18999999999994</v>
      </c>
      <c r="H92" s="46">
        <f>'Monthly Data'!V92</f>
        <v>713254.1</v>
      </c>
      <c r="I92" s="46">
        <f>'Monthly Data'!BG92</f>
        <v>91</v>
      </c>
      <c r="J92" s="46">
        <f>'Monthly Data'!BC92</f>
        <v>0</v>
      </c>
      <c r="L92" s="29">
        <f>'GS&gt;50 PW'!$B$6</f>
        <v>556.26088485683897</v>
      </c>
      <c r="M92" s="29">
        <f ca="1">F92*'GS&gt;50 PW'!$B$7</f>
        <v>0</v>
      </c>
      <c r="N92" s="29">
        <f ca="1">G92*'GS&gt;50 PW'!$B$8</f>
        <v>415.13564390534179</v>
      </c>
      <c r="O92" s="29">
        <f>H92*'GS&gt;50 PW'!$B$9</f>
        <v>2086.1398420588871</v>
      </c>
      <c r="P92" s="29">
        <f>I92*'GS&gt;50 PW'!$B$10</f>
        <v>-325.62670369923057</v>
      </c>
      <c r="Q92" s="29">
        <f>J92*'GS&gt;50 PW'!$B$11</f>
        <v>0</v>
      </c>
      <c r="R92" s="46">
        <f>'Monthly Data'!O92</f>
        <v>1001</v>
      </c>
      <c r="S92" s="46">
        <f>'Monthly Data'!BH92</f>
        <v>31</v>
      </c>
      <c r="T92" s="28">
        <f t="shared" ca="1" si="12"/>
        <v>84773888.880457744</v>
      </c>
    </row>
    <row r="93" spans="1:20" x14ac:dyDescent="0.2">
      <c r="A93" s="45">
        <f>'Monthly Data'!A93</f>
        <v>42948</v>
      </c>
      <c r="B93" s="29">
        <f t="shared" si="10"/>
        <v>2017</v>
      </c>
      <c r="C93" s="29">
        <f t="shared" si="11"/>
        <v>8</v>
      </c>
      <c r="D93" s="44">
        <f>'Monthly Data'!M93</f>
        <v>82320840.666458026</v>
      </c>
      <c r="E93" s="44">
        <f>'Monthly Data'!BQ93</f>
        <v>2650.2105681043727</v>
      </c>
      <c r="F93" s="46">
        <f t="shared" ca="1" si="13"/>
        <v>0</v>
      </c>
      <c r="G93" s="46">
        <f t="shared" ca="1" si="13"/>
        <v>239.59000000000006</v>
      </c>
      <c r="H93" s="46">
        <f>'Monthly Data'!V93</f>
        <v>713254.1</v>
      </c>
      <c r="I93" s="46">
        <f>'Monthly Data'!BG93</f>
        <v>92</v>
      </c>
      <c r="J93" s="46">
        <f>'Monthly Data'!BC93</f>
        <v>0</v>
      </c>
      <c r="L93" s="29">
        <f>'GS&gt;50 PW'!$B$6</f>
        <v>556.26088485683897</v>
      </c>
      <c r="M93" s="29">
        <f ca="1">F93*'GS&gt;50 PW'!$B$7</f>
        <v>0</v>
      </c>
      <c r="N93" s="29">
        <f ca="1">G93*'GS&gt;50 PW'!$B$8</f>
        <v>370.86524077437969</v>
      </c>
      <c r="O93" s="29">
        <f>H93*'GS&gt;50 PW'!$B$9</f>
        <v>2086.1398420588871</v>
      </c>
      <c r="P93" s="29">
        <f>I93*'GS&gt;50 PW'!$B$10</f>
        <v>-329.20501912449686</v>
      </c>
      <c r="Q93" s="29">
        <f>J93*'GS&gt;50 PW'!$B$11</f>
        <v>0</v>
      </c>
      <c r="R93" s="46">
        <f>'Monthly Data'!O93</f>
        <v>1002</v>
      </c>
      <c r="S93" s="46">
        <f>'Monthly Data'!BH93</f>
        <v>31</v>
      </c>
      <c r="T93" s="28">
        <f t="shared" ca="1" si="12"/>
        <v>83372301.184344947</v>
      </c>
    </row>
    <row r="94" spans="1:20" x14ac:dyDescent="0.2">
      <c r="A94" s="45">
        <f>'Monthly Data'!A94</f>
        <v>42979</v>
      </c>
      <c r="B94" s="29">
        <f t="shared" si="10"/>
        <v>2017</v>
      </c>
      <c r="C94" s="29">
        <f t="shared" si="11"/>
        <v>9</v>
      </c>
      <c r="D94" s="44">
        <f>'Monthly Data'!M94</f>
        <v>78267352.666458026</v>
      </c>
      <c r="E94" s="44">
        <f>'Monthly Data'!BQ94</f>
        <v>2606.3054500985022</v>
      </c>
      <c r="F94" s="46">
        <f t="shared" ref="F94:G109" ca="1" si="14">F82</f>
        <v>5.2099999999999991</v>
      </c>
      <c r="G94" s="46">
        <f t="shared" ca="1" si="14"/>
        <v>132.95000000000002</v>
      </c>
      <c r="H94" s="46">
        <f>'Monthly Data'!V94</f>
        <v>713254.1</v>
      </c>
      <c r="I94" s="46">
        <f>'Monthly Data'!BG94</f>
        <v>93</v>
      </c>
      <c r="J94" s="46">
        <f>'Monthly Data'!BC94</f>
        <v>0</v>
      </c>
      <c r="L94" s="29">
        <f>'GS&gt;50 PW'!$B$6</f>
        <v>556.26088485683897</v>
      </c>
      <c r="M94" s="29">
        <f ca="1">F94*'GS&gt;50 PW'!$B$7</f>
        <v>2.3716449759531315</v>
      </c>
      <c r="N94" s="29">
        <f ca="1">G94*'GS&gt;50 PW'!$B$8</f>
        <v>205.79545791123908</v>
      </c>
      <c r="O94" s="29">
        <f>H94*'GS&gt;50 PW'!$B$9</f>
        <v>2086.1398420588871</v>
      </c>
      <c r="P94" s="29">
        <f>I94*'GS&gt;50 PW'!$B$10</f>
        <v>-332.78333454976314</v>
      </c>
      <c r="Q94" s="29">
        <f>J94*'GS&gt;50 PW'!$B$11</f>
        <v>0</v>
      </c>
      <c r="R94" s="46">
        <f>'Monthly Data'!O94</f>
        <v>1001</v>
      </c>
      <c r="S94" s="46">
        <f>'Monthly Data'!BH94</f>
        <v>30</v>
      </c>
      <c r="T94" s="28">
        <f t="shared" ca="1" si="12"/>
        <v>75609068.39245224</v>
      </c>
    </row>
    <row r="95" spans="1:20" x14ac:dyDescent="0.2">
      <c r="A95" s="45">
        <f>'Monthly Data'!A95</f>
        <v>43009</v>
      </c>
      <c r="B95" s="29">
        <f t="shared" si="10"/>
        <v>2017</v>
      </c>
      <c r="C95" s="29">
        <f t="shared" si="11"/>
        <v>10</v>
      </c>
      <c r="D95" s="44">
        <f>'Monthly Data'!M95</f>
        <v>76411605.666458026</v>
      </c>
      <c r="E95" s="44">
        <f>'Monthly Data'!BQ95</f>
        <v>2459.9705642411313</v>
      </c>
      <c r="F95" s="46">
        <f t="shared" ca="1" si="14"/>
        <v>90.66</v>
      </c>
      <c r="G95" s="46">
        <f t="shared" ca="1" si="14"/>
        <v>27.9</v>
      </c>
      <c r="H95" s="46">
        <f>'Monthly Data'!V95</f>
        <v>713254.1</v>
      </c>
      <c r="I95" s="46">
        <f>'Monthly Data'!BG95</f>
        <v>94</v>
      </c>
      <c r="J95" s="46">
        <f>'Monthly Data'!BC95</f>
        <v>0</v>
      </c>
      <c r="L95" s="29">
        <f>'GS&gt;50 PW'!$B$6</f>
        <v>556.26088485683897</v>
      </c>
      <c r="M95" s="29">
        <f ca="1">F95*'GS&gt;50 PW'!$B$7</f>
        <v>41.269353842593269</v>
      </c>
      <c r="N95" s="29">
        <f ca="1">G95*'GS&gt;50 PW'!$B$8</f>
        <v>43.186861795589088</v>
      </c>
      <c r="O95" s="29">
        <f>H95*'GS&gt;50 PW'!$B$9</f>
        <v>2086.1398420588871</v>
      </c>
      <c r="P95" s="29">
        <f>I95*'GS&gt;50 PW'!$B$10</f>
        <v>-336.36164997502937</v>
      </c>
      <c r="Q95" s="29">
        <f>J95*'GS&gt;50 PW'!$B$11</f>
        <v>0</v>
      </c>
      <c r="R95" s="46">
        <f>'Monthly Data'!O95</f>
        <v>1002</v>
      </c>
      <c r="S95" s="46">
        <f>'Monthly Data'!BH95</f>
        <v>31</v>
      </c>
      <c r="T95" s="28">
        <f t="shared" ca="1" si="12"/>
        <v>74253564.778085142</v>
      </c>
    </row>
    <row r="96" spans="1:20" x14ac:dyDescent="0.2">
      <c r="A96" s="45">
        <f>'Monthly Data'!A96</f>
        <v>43040</v>
      </c>
      <c r="B96" s="29">
        <f t="shared" si="10"/>
        <v>2017</v>
      </c>
      <c r="C96" s="29">
        <f t="shared" si="11"/>
        <v>11</v>
      </c>
      <c r="D96" s="44">
        <f>'Monthly Data'!M96</f>
        <v>74842943.666458026</v>
      </c>
      <c r="E96" s="44">
        <f>'Monthly Data'!BQ96</f>
        <v>2487.3028802412105</v>
      </c>
      <c r="F96" s="46">
        <f t="shared" ca="1" si="14"/>
        <v>264.88</v>
      </c>
      <c r="G96" s="46">
        <f t="shared" ca="1" si="14"/>
        <v>0.69000000000000006</v>
      </c>
      <c r="H96" s="46">
        <f>'Monthly Data'!V96</f>
        <v>713254.1</v>
      </c>
      <c r="I96" s="46">
        <f>'Monthly Data'!BG96</f>
        <v>95</v>
      </c>
      <c r="J96" s="46">
        <f>'Monthly Data'!BC96</f>
        <v>0</v>
      </c>
      <c r="L96" s="29">
        <f>'GS&gt;50 PW'!$B$6</f>
        <v>556.26088485683897</v>
      </c>
      <c r="M96" s="29">
        <f ca="1">F96*'GS&gt;50 PW'!$B$7</f>
        <v>120.5760693340625</v>
      </c>
      <c r="N96" s="29">
        <f ca="1">G96*'GS&gt;50 PW'!$B$8</f>
        <v>1.0680621734393003</v>
      </c>
      <c r="O96" s="29">
        <f>H96*'GS&gt;50 PW'!$B$9</f>
        <v>2086.1398420588871</v>
      </c>
      <c r="P96" s="29">
        <f>I96*'GS&gt;50 PW'!$B$10</f>
        <v>-339.93996540029565</v>
      </c>
      <c r="Q96" s="29">
        <f>J96*'GS&gt;50 PW'!$B$11</f>
        <v>0</v>
      </c>
      <c r="R96" s="46">
        <f>'Monthly Data'!O96</f>
        <v>1003</v>
      </c>
      <c r="S96" s="46">
        <f>'Monthly Data'!BH96</f>
        <v>30</v>
      </c>
      <c r="T96" s="28">
        <f t="shared" ca="1" si="12"/>
        <v>72941316.231060043</v>
      </c>
    </row>
    <row r="97" spans="1:24" x14ac:dyDescent="0.2">
      <c r="A97" s="45">
        <f>'Monthly Data'!A97</f>
        <v>43070</v>
      </c>
      <c r="B97" s="29">
        <f t="shared" si="10"/>
        <v>2017</v>
      </c>
      <c r="C97" s="29">
        <f t="shared" si="11"/>
        <v>12</v>
      </c>
      <c r="D97" s="44">
        <f>'Monthly Data'!M97</f>
        <v>76074354.666458026</v>
      </c>
      <c r="E97" s="44">
        <f>'Monthly Data'!BQ97</f>
        <v>2446.6714265737637</v>
      </c>
      <c r="F97" s="46">
        <f t="shared" ca="1" si="14"/>
        <v>413.65</v>
      </c>
      <c r="G97" s="46">
        <f t="shared" ca="1" si="14"/>
        <v>0</v>
      </c>
      <c r="H97" s="46">
        <f>'Monthly Data'!V97</f>
        <v>713254.1</v>
      </c>
      <c r="I97" s="46">
        <f>'Monthly Data'!BG97</f>
        <v>96</v>
      </c>
      <c r="J97" s="46">
        <f>'Monthly Data'!BC97</f>
        <v>1</v>
      </c>
      <c r="L97" s="29">
        <f>'GS&gt;50 PW'!$B$6</f>
        <v>556.26088485683897</v>
      </c>
      <c r="M97" s="29">
        <f ca="1">F97*'GS&gt;50 PW'!$B$7</f>
        <v>188.29768604664358</v>
      </c>
      <c r="N97" s="29">
        <f ca="1">G97*'GS&gt;50 PW'!$B$8</f>
        <v>0</v>
      </c>
      <c r="O97" s="29">
        <f>H97*'GS&gt;50 PW'!$B$9</f>
        <v>2086.1398420588871</v>
      </c>
      <c r="P97" s="29">
        <f>I97*'GS&gt;50 PW'!$B$10</f>
        <v>-343.51828082556193</v>
      </c>
      <c r="Q97" s="29">
        <f>J97*'GS&gt;50 PW'!$B$11</f>
        <v>-107.242128303215</v>
      </c>
      <c r="R97" s="46">
        <f>'Monthly Data'!O97</f>
        <v>1003</v>
      </c>
      <c r="S97" s="46">
        <f>'Monthly Data'!BH97</f>
        <v>31</v>
      </c>
      <c r="T97" s="28">
        <f t="shared" ca="1" si="12"/>
        <v>73999412.353197917</v>
      </c>
    </row>
    <row r="98" spans="1:24" x14ac:dyDescent="0.2">
      <c r="A98" s="45">
        <f>'Monthly Data'!A98</f>
        <v>43101</v>
      </c>
      <c r="B98" s="29">
        <f t="shared" si="10"/>
        <v>2018</v>
      </c>
      <c r="C98" s="29">
        <f t="shared" si="11"/>
        <v>1</v>
      </c>
      <c r="D98" s="44">
        <f>'Monthly Data'!M98</f>
        <v>81501426.656842589</v>
      </c>
      <c r="E98" s="44">
        <f>'Monthly Data'!BQ98</f>
        <v>2623.8306180169525</v>
      </c>
      <c r="F98" s="46">
        <f t="shared" ca="1" si="14"/>
        <v>539.1400000000001</v>
      </c>
      <c r="G98" s="46">
        <f t="shared" ca="1" si="14"/>
        <v>0</v>
      </c>
      <c r="H98" s="46">
        <f>'Monthly Data'!V98</f>
        <v>730276.2</v>
      </c>
      <c r="I98" s="46">
        <f>'Monthly Data'!BG98</f>
        <v>97</v>
      </c>
      <c r="J98" s="46">
        <f>'Monthly Data'!BC98</f>
        <v>0</v>
      </c>
      <c r="L98" s="29">
        <f>'GS&gt;50 PW'!$B$6</f>
        <v>556.26088485683897</v>
      </c>
      <c r="M98" s="29">
        <f ca="1">F98*'GS&gt;50 PW'!$B$7</f>
        <v>245.42201004517693</v>
      </c>
      <c r="N98" s="29">
        <f ca="1">G98*'GS&gt;50 PW'!$B$8</f>
        <v>0</v>
      </c>
      <c r="O98" s="29">
        <f>H98*'GS&gt;50 PW'!$B$9</f>
        <v>2135.9264202299914</v>
      </c>
      <c r="P98" s="29">
        <f>I98*'GS&gt;50 PW'!$B$10</f>
        <v>-347.09659625082821</v>
      </c>
      <c r="Q98" s="29">
        <f>J98*'GS&gt;50 PW'!$B$11</f>
        <v>0</v>
      </c>
      <c r="R98" s="46">
        <f>'Monthly Data'!O98</f>
        <v>1002</v>
      </c>
      <c r="S98" s="46">
        <f>'Monthly Data'!BH98</f>
        <v>31</v>
      </c>
      <c r="T98" s="28">
        <f t="shared" ca="1" si="12"/>
        <v>80466506.073887184</v>
      </c>
    </row>
    <row r="99" spans="1:24" x14ac:dyDescent="0.2">
      <c r="A99" s="45">
        <f>'Monthly Data'!A99</f>
        <v>43132</v>
      </c>
      <c r="B99" s="29">
        <f t="shared" si="10"/>
        <v>2018</v>
      </c>
      <c r="C99" s="29">
        <f t="shared" si="11"/>
        <v>2</v>
      </c>
      <c r="D99" s="44">
        <f>'Monthly Data'!M99</f>
        <v>72389848.656842589</v>
      </c>
      <c r="E99" s="44">
        <f>'Monthly Data'!BQ99</f>
        <v>2575.0515316179067</v>
      </c>
      <c r="F99" s="46">
        <f t="shared" ca="1" si="14"/>
        <v>473.45</v>
      </c>
      <c r="G99" s="46">
        <f t="shared" ca="1" si="14"/>
        <v>0</v>
      </c>
      <c r="H99" s="46">
        <f>'Monthly Data'!V99</f>
        <v>730276.2</v>
      </c>
      <c r="I99" s="46">
        <f>'Monthly Data'!BG99</f>
        <v>98</v>
      </c>
      <c r="J99" s="46">
        <f>'Monthly Data'!BC99</f>
        <v>0</v>
      </c>
      <c r="L99" s="29">
        <f>'GS&gt;50 PW'!$B$6</f>
        <v>556.26088485683897</v>
      </c>
      <c r="M99" s="29">
        <f ca="1">F99*'GS&gt;50 PW'!$B$7</f>
        <v>215.51925410076973</v>
      </c>
      <c r="N99" s="29">
        <f ca="1">G99*'GS&gt;50 PW'!$B$8</f>
        <v>0</v>
      </c>
      <c r="O99" s="29">
        <f>H99*'GS&gt;50 PW'!$B$9</f>
        <v>2135.9264202299914</v>
      </c>
      <c r="P99" s="29">
        <f>I99*'GS&gt;50 PW'!$B$10</f>
        <v>-350.6749116760945</v>
      </c>
      <c r="Q99" s="29">
        <f>J99*'GS&gt;50 PW'!$B$11</f>
        <v>0</v>
      </c>
      <c r="R99" s="46">
        <f>'Monthly Data'!O99</f>
        <v>1004</v>
      </c>
      <c r="S99" s="46">
        <f>'Monthly Data'!BH99</f>
        <v>28</v>
      </c>
      <c r="T99" s="28">
        <f t="shared" ca="1" si="12"/>
        <v>71883273.674843445</v>
      </c>
    </row>
    <row r="100" spans="1:24" x14ac:dyDescent="0.2">
      <c r="A100" s="45">
        <f>'Monthly Data'!A100</f>
        <v>43160</v>
      </c>
      <c r="B100" s="29">
        <f t="shared" si="10"/>
        <v>2018</v>
      </c>
      <c r="C100" s="29">
        <f t="shared" si="11"/>
        <v>3</v>
      </c>
      <c r="D100" s="44">
        <f>'Monthly Data'!M100</f>
        <v>77808315.656842589</v>
      </c>
      <c r="E100" s="44">
        <f>'Monthly Data'!BQ100</f>
        <v>2490.0254626485721</v>
      </c>
      <c r="F100" s="46">
        <f t="shared" ca="1" si="14"/>
        <v>394.31999999999988</v>
      </c>
      <c r="G100" s="46">
        <f t="shared" ca="1" si="14"/>
        <v>3.0000000000000072E-2</v>
      </c>
      <c r="H100" s="46">
        <f>'Monthly Data'!V100</f>
        <v>730276.2</v>
      </c>
      <c r="I100" s="46">
        <f>'Monthly Data'!BG100</f>
        <v>99</v>
      </c>
      <c r="J100" s="46">
        <f>'Monthly Data'!BC100</f>
        <v>0</v>
      </c>
      <c r="L100" s="29">
        <f>'GS&gt;50 PW'!$B$6</f>
        <v>556.26088485683897</v>
      </c>
      <c r="M100" s="29">
        <f ca="1">F100*'GS&gt;50 PW'!$B$7</f>
        <v>179.49847349670608</v>
      </c>
      <c r="N100" s="29">
        <f ca="1">G100*'GS&gt;50 PW'!$B$8</f>
        <v>4.6437485801708811E-2</v>
      </c>
      <c r="O100" s="29">
        <f>H100*'GS&gt;50 PW'!$B$9</f>
        <v>2135.9264202299914</v>
      </c>
      <c r="P100" s="29">
        <f>I100*'GS&gt;50 PW'!$B$10</f>
        <v>-354.25322710136072</v>
      </c>
      <c r="Q100" s="29">
        <f>J100*'GS&gt;50 PW'!$B$11</f>
        <v>0</v>
      </c>
      <c r="R100" s="46">
        <f>'Monthly Data'!O100</f>
        <v>1008</v>
      </c>
      <c r="S100" s="46">
        <f>'Monthly Data'!BH100</f>
        <v>31</v>
      </c>
      <c r="T100" s="28">
        <f t="shared" ca="1" si="12"/>
        <v>78666183.447271362</v>
      </c>
    </row>
    <row r="101" spans="1:24" x14ac:dyDescent="0.2">
      <c r="A101" s="45">
        <f>'Monthly Data'!A101</f>
        <v>43191</v>
      </c>
      <c r="B101" s="29">
        <f t="shared" si="10"/>
        <v>2018</v>
      </c>
      <c r="C101" s="29">
        <f t="shared" si="11"/>
        <v>4</v>
      </c>
      <c r="D101" s="44">
        <f>'Monthly Data'!M101</f>
        <v>74246303.656842589</v>
      </c>
      <c r="E101" s="44">
        <f>'Monthly Data'!BQ101</f>
        <v>2460.1160920093635</v>
      </c>
      <c r="F101" s="46">
        <f t="shared" ca="1" si="14"/>
        <v>220.23999999999995</v>
      </c>
      <c r="G101" s="46">
        <f t="shared" ca="1" si="14"/>
        <v>1.45</v>
      </c>
      <c r="H101" s="46">
        <f>'Monthly Data'!V101</f>
        <v>730276.2</v>
      </c>
      <c r="I101" s="46">
        <f>'Monthly Data'!BG101</f>
        <v>100</v>
      </c>
      <c r="J101" s="46">
        <f>'Monthly Data'!BC101</f>
        <v>0</v>
      </c>
      <c r="L101" s="29">
        <f>'GS&gt;50 PW'!$B$6</f>
        <v>556.26088485683897</v>
      </c>
      <c r="M101" s="29">
        <f ca="1">F101*'GS&gt;50 PW'!$B$7</f>
        <v>100.25548742877498</v>
      </c>
      <c r="N101" s="29">
        <f ca="1">G101*'GS&gt;50 PW'!$B$8</f>
        <v>2.2444784804159204</v>
      </c>
      <c r="O101" s="29">
        <f>H101*'GS&gt;50 PW'!$B$9</f>
        <v>2135.9264202299914</v>
      </c>
      <c r="P101" s="29">
        <f>I101*'GS&gt;50 PW'!$B$10</f>
        <v>-357.831542526627</v>
      </c>
      <c r="Q101" s="29">
        <f>J101*'GS&gt;50 PW'!$B$11</f>
        <v>0</v>
      </c>
      <c r="R101" s="46">
        <f>'Monthly Data'!O101</f>
        <v>1006</v>
      </c>
      <c r="S101" s="46">
        <f>'Monthly Data'!BH101</f>
        <v>30</v>
      </c>
      <c r="T101" s="28">
        <f t="shared" ca="1" si="12"/>
        <v>73544305.885206312</v>
      </c>
    </row>
    <row r="102" spans="1:24" x14ac:dyDescent="0.2">
      <c r="A102" s="45">
        <f>'Monthly Data'!A102</f>
        <v>43221</v>
      </c>
      <c r="B102" s="29">
        <f t="shared" si="10"/>
        <v>2018</v>
      </c>
      <c r="C102" s="29">
        <f t="shared" si="11"/>
        <v>5</v>
      </c>
      <c r="D102" s="44">
        <f>'Monthly Data'!M102</f>
        <v>76803143.656842589</v>
      </c>
      <c r="E102" s="44">
        <f>'Monthly Data'!BQ102</f>
        <v>2457.8578999245578</v>
      </c>
      <c r="F102" s="46">
        <f t="shared" ca="1" si="14"/>
        <v>68.61</v>
      </c>
      <c r="G102" s="46">
        <f t="shared" ca="1" si="14"/>
        <v>50.69</v>
      </c>
      <c r="H102" s="46">
        <f>'Monthly Data'!V102</f>
        <v>730276.2</v>
      </c>
      <c r="I102" s="46">
        <f>'Monthly Data'!BG102</f>
        <v>101</v>
      </c>
      <c r="J102" s="46">
        <f>'Monthly Data'!BC102</f>
        <v>0</v>
      </c>
      <c r="L102" s="29">
        <f>'GS&gt;50 PW'!$B$6</f>
        <v>556.26088485683897</v>
      </c>
      <c r="M102" s="29">
        <f ca="1">F102*'GS&gt;50 PW'!$B$7</f>
        <v>31.231969635344413</v>
      </c>
      <c r="N102" s="29">
        <f ca="1">G102*'GS&gt;50 PW'!$B$8</f>
        <v>78.463871842953807</v>
      </c>
      <c r="O102" s="29">
        <f>H102*'GS&gt;50 PW'!$B$9</f>
        <v>2135.9264202299914</v>
      </c>
      <c r="P102" s="29">
        <f>I102*'GS&gt;50 PW'!$B$10</f>
        <v>-361.40985795189329</v>
      </c>
      <c r="Q102" s="29">
        <f>J102*'GS&gt;50 PW'!$B$11</f>
        <v>0</v>
      </c>
      <c r="R102" s="46">
        <f>'Monthly Data'!O102</f>
        <v>1008</v>
      </c>
      <c r="S102" s="46">
        <f>'Monthly Data'!BH102</f>
        <v>31</v>
      </c>
      <c r="T102" s="28">
        <f t="shared" ca="1" si="12"/>
        <v>76259909.322586387</v>
      </c>
    </row>
    <row r="103" spans="1:24" x14ac:dyDescent="0.2">
      <c r="A103" s="45">
        <f>'Monthly Data'!A103</f>
        <v>43252</v>
      </c>
      <c r="B103" s="29">
        <f t="shared" si="10"/>
        <v>2018</v>
      </c>
      <c r="C103" s="29">
        <f t="shared" si="11"/>
        <v>6</v>
      </c>
      <c r="D103" s="44">
        <f>'Monthly Data'!M103</f>
        <v>78416513.656842589</v>
      </c>
      <c r="E103" s="44">
        <f>'Monthly Data'!BQ103</f>
        <v>2694.7255552179581</v>
      </c>
      <c r="F103" s="46">
        <f t="shared" ca="1" si="14"/>
        <v>2.7299999999999995</v>
      </c>
      <c r="G103" s="46">
        <f t="shared" ca="1" si="14"/>
        <v>145.17999999999998</v>
      </c>
      <c r="H103" s="46">
        <f>'Monthly Data'!V103</f>
        <v>730276.2</v>
      </c>
      <c r="I103" s="46">
        <f>'Monthly Data'!BG103</f>
        <v>102</v>
      </c>
      <c r="J103" s="46">
        <f>'Monthly Data'!BC103</f>
        <v>0</v>
      </c>
      <c r="L103" s="29">
        <f>'GS&gt;50 PW'!$B$6</f>
        <v>556.26088485683897</v>
      </c>
      <c r="M103" s="29">
        <f ca="1">F103*'GS&gt;50 PW'!$B$7</f>
        <v>1.2427237589927158</v>
      </c>
      <c r="N103" s="29">
        <f ca="1">G103*'GS&gt;50 PW'!$B$8</f>
        <v>224.72647295640229</v>
      </c>
      <c r="O103" s="29">
        <f>H103*'GS&gt;50 PW'!$B$9</f>
        <v>2135.9264202299914</v>
      </c>
      <c r="P103" s="29">
        <f>I103*'GS&gt;50 PW'!$B$10</f>
        <v>-364.98817337715957</v>
      </c>
      <c r="Q103" s="29">
        <f>J103*'GS&gt;50 PW'!$B$11</f>
        <v>0</v>
      </c>
      <c r="R103" s="46">
        <f>'Monthly Data'!O103</f>
        <v>970</v>
      </c>
      <c r="S103" s="46">
        <f>'Monthly Data'!BH103</f>
        <v>30</v>
      </c>
      <c r="T103" s="28">
        <f t="shared" ca="1" si="12"/>
        <v>74297198.357169434</v>
      </c>
    </row>
    <row r="104" spans="1:24" x14ac:dyDescent="0.2">
      <c r="A104" s="45">
        <f>'Monthly Data'!A104</f>
        <v>43282</v>
      </c>
      <c r="B104" s="29">
        <f t="shared" si="10"/>
        <v>2018</v>
      </c>
      <c r="C104" s="29">
        <f t="shared" si="11"/>
        <v>7</v>
      </c>
      <c r="D104" s="44">
        <f>'Monthly Data'!M104</f>
        <v>83770689.656842589</v>
      </c>
      <c r="E104" s="44">
        <f>'Monthly Data'!BQ104</f>
        <v>2785.8559912485066</v>
      </c>
      <c r="F104" s="46">
        <f t="shared" ca="1" si="14"/>
        <v>0</v>
      </c>
      <c r="G104" s="46">
        <f t="shared" ca="1" si="14"/>
        <v>268.18999999999994</v>
      </c>
      <c r="H104" s="46">
        <f>'Monthly Data'!V104</f>
        <v>730276.2</v>
      </c>
      <c r="I104" s="46">
        <f>'Monthly Data'!BG104</f>
        <v>103</v>
      </c>
      <c r="J104" s="46">
        <f>'Monthly Data'!BC104</f>
        <v>0</v>
      </c>
      <c r="L104" s="29">
        <f>'GS&gt;50 PW'!$B$6</f>
        <v>556.26088485683897</v>
      </c>
      <c r="M104" s="29">
        <f ca="1">F104*'GS&gt;50 PW'!$B$7</f>
        <v>0</v>
      </c>
      <c r="N104" s="29">
        <f ca="1">G104*'GS&gt;50 PW'!$B$8</f>
        <v>415.13564390534179</v>
      </c>
      <c r="O104" s="29">
        <f>H104*'GS&gt;50 PW'!$B$9</f>
        <v>2135.9264202299914</v>
      </c>
      <c r="P104" s="29">
        <f>I104*'GS&gt;50 PW'!$B$10</f>
        <v>-368.56648880242579</v>
      </c>
      <c r="Q104" s="29">
        <f>J104*'GS&gt;50 PW'!$B$11</f>
        <v>0</v>
      </c>
      <c r="R104" s="46">
        <f>'Monthly Data'!O104</f>
        <v>970</v>
      </c>
      <c r="S104" s="46">
        <f>'Monthly Data'!BH104</f>
        <v>31</v>
      </c>
      <c r="T104" s="28">
        <f t="shared" ca="1" si="12"/>
        <v>82354406.757905677</v>
      </c>
    </row>
    <row r="105" spans="1:24" x14ac:dyDescent="0.2">
      <c r="A105" s="45">
        <f>'Monthly Data'!A105</f>
        <v>43313</v>
      </c>
      <c r="B105" s="29">
        <f t="shared" si="10"/>
        <v>2018</v>
      </c>
      <c r="C105" s="29">
        <f t="shared" si="11"/>
        <v>8</v>
      </c>
      <c r="D105" s="44">
        <f>'Monthly Data'!M105</f>
        <v>83927361.656842589</v>
      </c>
      <c r="E105" s="44">
        <f>'Monthly Data'!BQ105</f>
        <v>2791.0662340153835</v>
      </c>
      <c r="F105" s="46">
        <f t="shared" ca="1" si="14"/>
        <v>0</v>
      </c>
      <c r="G105" s="46">
        <f t="shared" ca="1" si="14"/>
        <v>239.59000000000006</v>
      </c>
      <c r="H105" s="46">
        <f>'Monthly Data'!V105</f>
        <v>730276.2</v>
      </c>
      <c r="I105" s="46">
        <f>'Monthly Data'!BG105</f>
        <v>104</v>
      </c>
      <c r="J105" s="46">
        <f>'Monthly Data'!BC105</f>
        <v>0</v>
      </c>
      <c r="L105" s="29">
        <f>'GS&gt;50 PW'!$B$6</f>
        <v>556.26088485683897</v>
      </c>
      <c r="M105" s="29">
        <f ca="1">F105*'GS&gt;50 PW'!$B$7</f>
        <v>0</v>
      </c>
      <c r="N105" s="29">
        <f ca="1">G105*'GS&gt;50 PW'!$B$8</f>
        <v>370.86524077437969</v>
      </c>
      <c r="O105" s="29">
        <f>H105*'GS&gt;50 PW'!$B$9</f>
        <v>2135.9264202299914</v>
      </c>
      <c r="P105" s="29">
        <f>I105*'GS&gt;50 PW'!$B$10</f>
        <v>-372.14480422769208</v>
      </c>
      <c r="Q105" s="29">
        <f>J105*'GS&gt;50 PW'!$B$11</f>
        <v>0</v>
      </c>
      <c r="R105" s="46">
        <f>'Monthly Data'!O105</f>
        <v>970</v>
      </c>
      <c r="S105" s="46">
        <f>'Monthly Data'!BH105</f>
        <v>31</v>
      </c>
      <c r="T105" s="28">
        <f t="shared" ca="1" si="12"/>
        <v>80915595.790919885</v>
      </c>
    </row>
    <row r="106" spans="1:24" x14ac:dyDescent="0.2">
      <c r="A106" s="45">
        <f>'Monthly Data'!A106</f>
        <v>43344</v>
      </c>
      <c r="B106" s="29">
        <f t="shared" si="10"/>
        <v>2018</v>
      </c>
      <c r="C106" s="29">
        <f t="shared" si="11"/>
        <v>9</v>
      </c>
      <c r="D106" s="44">
        <f>'Monthly Data'!M106</f>
        <v>76396317.656842589</v>
      </c>
      <c r="E106" s="44">
        <f>'Monthly Data'!BQ106</f>
        <v>2614.5214803847566</v>
      </c>
      <c r="F106" s="46">
        <f t="shared" ca="1" si="14"/>
        <v>5.2099999999999991</v>
      </c>
      <c r="G106" s="46">
        <f t="shared" ca="1" si="14"/>
        <v>132.95000000000002</v>
      </c>
      <c r="H106" s="46">
        <f>'Monthly Data'!V106</f>
        <v>730276.2</v>
      </c>
      <c r="I106" s="46">
        <f>'Monthly Data'!BG106</f>
        <v>105</v>
      </c>
      <c r="J106" s="46">
        <f>'Monthly Data'!BC106</f>
        <v>0</v>
      </c>
      <c r="L106" s="29">
        <f>'GS&gt;50 PW'!$B$6</f>
        <v>556.26088485683897</v>
      </c>
      <c r="M106" s="29">
        <f ca="1">F106*'GS&gt;50 PW'!$B$7</f>
        <v>2.3716449759531315</v>
      </c>
      <c r="N106" s="29">
        <f ca="1">G106*'GS&gt;50 PW'!$B$8</f>
        <v>205.79545791123908</v>
      </c>
      <c r="O106" s="29">
        <f>H106*'GS&gt;50 PW'!$B$9</f>
        <v>2135.9264202299914</v>
      </c>
      <c r="P106" s="29">
        <f>I106*'GS&gt;50 PW'!$B$10</f>
        <v>-375.72311965295836</v>
      </c>
      <c r="Q106" s="29">
        <f>J106*'GS&gt;50 PW'!$B$11</f>
        <v>0</v>
      </c>
      <c r="R106" s="46">
        <f>'Monthly Data'!O106</f>
        <v>974</v>
      </c>
      <c r="S106" s="46">
        <f>'Monthly Data'!BH106</f>
        <v>30</v>
      </c>
      <c r="T106" s="28">
        <f t="shared" ca="1" si="12"/>
        <v>73769726.244741499</v>
      </c>
    </row>
    <row r="107" spans="1:24" x14ac:dyDescent="0.2">
      <c r="A107" s="45">
        <v>43374</v>
      </c>
      <c r="B107" s="29">
        <f t="shared" si="10"/>
        <v>2018</v>
      </c>
      <c r="C107" s="29">
        <f t="shared" si="11"/>
        <v>10</v>
      </c>
      <c r="D107" s="44">
        <f>'Monthly Data'!M107</f>
        <v>72584854.656842589</v>
      </c>
      <c r="E107" s="44">
        <f>'Monthly Data'!BQ107</f>
        <v>2408.8960127718901</v>
      </c>
      <c r="F107" s="46">
        <f t="shared" ca="1" si="14"/>
        <v>90.66</v>
      </c>
      <c r="G107" s="46">
        <f t="shared" ca="1" si="14"/>
        <v>27.9</v>
      </c>
      <c r="H107" s="46">
        <f>'Monthly Data'!V107</f>
        <v>730276.2</v>
      </c>
      <c r="I107" s="46">
        <f>'Monthly Data'!BG107</f>
        <v>106</v>
      </c>
      <c r="J107" s="46">
        <f>'Monthly Data'!BC107</f>
        <v>0</v>
      </c>
      <c r="L107" s="29">
        <f>'GS&gt;50 PW'!$B$6</f>
        <v>556.26088485683897</v>
      </c>
      <c r="M107" s="29">
        <f ca="1">F107*'GS&gt;50 PW'!$B$7</f>
        <v>41.269353842593269</v>
      </c>
      <c r="N107" s="29">
        <f ca="1">G107*'GS&gt;50 PW'!$B$8</f>
        <v>43.186861795589088</v>
      </c>
      <c r="O107" s="29">
        <f>H107*'GS&gt;50 PW'!$B$9</f>
        <v>2135.9264202299914</v>
      </c>
      <c r="P107" s="29">
        <f>I107*'GS&gt;50 PW'!$B$10</f>
        <v>-379.30143507822464</v>
      </c>
      <c r="Q107" s="29">
        <f>J107*'GS&gt;50 PW'!$B$11</f>
        <v>0</v>
      </c>
      <c r="R107" s="46">
        <f>'Monthly Data'!O107</f>
        <v>972</v>
      </c>
      <c r="S107" s="46">
        <f>'Monthly Data'!BH107</f>
        <v>31</v>
      </c>
      <c r="T107" s="28">
        <f t="shared" ca="1" si="12"/>
        <v>72236711.724709019</v>
      </c>
    </row>
    <row r="108" spans="1:24" x14ac:dyDescent="0.2">
      <c r="A108" s="45">
        <v>43405</v>
      </c>
      <c r="B108" s="29">
        <f t="shared" si="10"/>
        <v>2018</v>
      </c>
      <c r="C108" s="29">
        <f t="shared" si="11"/>
        <v>11</v>
      </c>
      <c r="D108" s="44">
        <f>'Monthly Data'!M108</f>
        <v>72301301.656842589</v>
      </c>
      <c r="E108" s="44">
        <f>'Monthly Data'!BQ108</f>
        <v>2479.468506750432</v>
      </c>
      <c r="F108" s="46">
        <f t="shared" ca="1" si="14"/>
        <v>264.88</v>
      </c>
      <c r="G108" s="46">
        <f t="shared" ca="1" si="14"/>
        <v>0.69000000000000006</v>
      </c>
      <c r="H108" s="46">
        <f>'Monthly Data'!V108</f>
        <v>730276.2</v>
      </c>
      <c r="I108" s="46">
        <f>'Monthly Data'!BG108</f>
        <v>107</v>
      </c>
      <c r="J108" s="46">
        <f>'Monthly Data'!BC108</f>
        <v>0</v>
      </c>
      <c r="L108" s="29">
        <f>'GS&gt;50 PW'!$B$6</f>
        <v>556.26088485683897</v>
      </c>
      <c r="M108" s="29">
        <f ca="1">F108*'GS&gt;50 PW'!$B$7</f>
        <v>120.5760693340625</v>
      </c>
      <c r="N108" s="29">
        <f ca="1">G108*'GS&gt;50 PW'!$B$8</f>
        <v>1.0680621734393003</v>
      </c>
      <c r="O108" s="29">
        <f>H108*'GS&gt;50 PW'!$B$9</f>
        <v>2135.9264202299914</v>
      </c>
      <c r="P108" s="29">
        <f>I108*'GS&gt;50 PW'!$B$10</f>
        <v>-382.87975050349092</v>
      </c>
      <c r="Q108" s="29">
        <f>J108*'GS&gt;50 PW'!$B$11</f>
        <v>0</v>
      </c>
      <c r="R108" s="46">
        <f>'Monthly Data'!O108</f>
        <v>972</v>
      </c>
      <c r="S108" s="46">
        <f>'Monthly Data'!BH108</f>
        <v>30</v>
      </c>
      <c r="T108" s="28">
        <f t="shared" ca="1" si="12"/>
        <v>70886551.166408941</v>
      </c>
    </row>
    <row r="109" spans="1:24" x14ac:dyDescent="0.2">
      <c r="A109" s="45">
        <v>43435</v>
      </c>
      <c r="B109" s="29">
        <f t="shared" si="10"/>
        <v>2018</v>
      </c>
      <c r="C109" s="29">
        <f t="shared" si="11"/>
        <v>12</v>
      </c>
      <c r="D109" s="44">
        <f>'Monthly Data'!M109</f>
        <v>71622528.656842589</v>
      </c>
      <c r="E109" s="44">
        <f>'Monthly Data'!BQ109</f>
        <v>2372.0781829781608</v>
      </c>
      <c r="F109" s="46">
        <f t="shared" ca="1" si="14"/>
        <v>413.65</v>
      </c>
      <c r="G109" s="46">
        <f t="shared" ca="1" si="14"/>
        <v>0</v>
      </c>
      <c r="H109" s="46">
        <f>'Monthly Data'!V109</f>
        <v>730276.2</v>
      </c>
      <c r="I109" s="46">
        <f>'Monthly Data'!BG109</f>
        <v>108</v>
      </c>
      <c r="J109" s="46">
        <f>'Monthly Data'!BC109</f>
        <v>1</v>
      </c>
      <c r="L109" s="29">
        <f>'GS&gt;50 PW'!$B$6</f>
        <v>556.26088485683897</v>
      </c>
      <c r="M109" s="29">
        <f ca="1">F109*'GS&gt;50 PW'!$B$7</f>
        <v>188.29768604664358</v>
      </c>
      <c r="N109" s="29">
        <f ca="1">G109*'GS&gt;50 PW'!$B$8</f>
        <v>0</v>
      </c>
      <c r="O109" s="29">
        <f>H109*'GS&gt;50 PW'!$B$9</f>
        <v>2135.9264202299914</v>
      </c>
      <c r="P109" s="29">
        <f>I109*'GS&gt;50 PW'!$B$10</f>
        <v>-386.45806592875715</v>
      </c>
      <c r="Q109" s="29">
        <f>J109*'GS&gt;50 PW'!$B$11</f>
        <v>-107.242128303215</v>
      </c>
      <c r="R109" s="46">
        <f>'Monthly Data'!O109</f>
        <v>974</v>
      </c>
      <c r="S109" s="46">
        <f>'Monthly Data'!BH109</f>
        <v>31</v>
      </c>
      <c r="T109" s="28">
        <f t="shared" ca="1" si="12"/>
        <v>72066580.157643944</v>
      </c>
    </row>
    <row r="110" spans="1:24" x14ac:dyDescent="0.2">
      <c r="A110" s="45">
        <v>43466</v>
      </c>
      <c r="B110" s="29">
        <f t="shared" si="10"/>
        <v>2019</v>
      </c>
      <c r="C110" s="29">
        <f t="shared" si="11"/>
        <v>1</v>
      </c>
      <c r="D110" s="44">
        <f>'Monthly Data'!M110</f>
        <v>78801666.567807063</v>
      </c>
      <c r="E110" s="44">
        <f>'Monthly Data'!BQ110</f>
        <v>2609.8452198386121</v>
      </c>
      <c r="F110" s="46">
        <f t="shared" ref="F110:G125" ca="1" si="15">F98</f>
        <v>539.1400000000001</v>
      </c>
      <c r="G110" s="46">
        <f t="shared" ca="1" si="15"/>
        <v>0</v>
      </c>
      <c r="H110" s="46">
        <f>'Monthly Data'!V110</f>
        <v>744439.6</v>
      </c>
      <c r="I110" s="46">
        <f>'Monthly Data'!BG110</f>
        <v>109</v>
      </c>
      <c r="J110" s="46">
        <f>'Monthly Data'!BC110</f>
        <v>0</v>
      </c>
      <c r="L110" s="29">
        <f>'GS&gt;50 PW'!$B$6</f>
        <v>556.26088485683897</v>
      </c>
      <c r="M110" s="29">
        <f ca="1">F110*'GS&gt;50 PW'!$B$7</f>
        <v>245.42201004517693</v>
      </c>
      <c r="N110" s="29">
        <f ca="1">G110*'GS&gt;50 PW'!$B$8</f>
        <v>0</v>
      </c>
      <c r="O110" s="29">
        <f>H110*'GS&gt;50 PW'!$B$9</f>
        <v>2177.3518155260253</v>
      </c>
      <c r="P110" s="29">
        <f>I110*'GS&gt;50 PW'!$B$10</f>
        <v>-390.03638135402343</v>
      </c>
      <c r="Q110" s="29">
        <f>J110*'GS&gt;50 PW'!$B$11</f>
        <v>0</v>
      </c>
      <c r="R110" s="46">
        <f>'Monthly Data'!O110</f>
        <v>974</v>
      </c>
      <c r="S110" s="46">
        <f>'Monthly Data'!BH110</f>
        <v>31</v>
      </c>
      <c r="T110" s="28">
        <f t="shared" ca="1" si="12"/>
        <v>78172215.548060894</v>
      </c>
    </row>
    <row r="111" spans="1:24" x14ac:dyDescent="0.2">
      <c r="A111" s="45">
        <v>43497</v>
      </c>
      <c r="B111" s="29">
        <f t="shared" si="10"/>
        <v>2019</v>
      </c>
      <c r="C111" s="29">
        <f t="shared" si="11"/>
        <v>2</v>
      </c>
      <c r="D111" s="44">
        <f>'Monthly Data'!M111</f>
        <v>71331586.567807063</v>
      </c>
      <c r="E111" s="44">
        <f>'Monthly Data'!BQ111</f>
        <v>2620.9430690699241</v>
      </c>
      <c r="F111" s="46">
        <f t="shared" ca="1" si="15"/>
        <v>473.45</v>
      </c>
      <c r="G111" s="46">
        <f t="shared" ca="1" si="15"/>
        <v>0</v>
      </c>
      <c r="H111" s="46">
        <f>'Monthly Data'!V111</f>
        <v>744439.6</v>
      </c>
      <c r="I111" s="46">
        <f>'Monthly Data'!BG111</f>
        <v>110</v>
      </c>
      <c r="J111" s="46">
        <f>'Monthly Data'!BC111</f>
        <v>0</v>
      </c>
      <c r="L111" s="29">
        <f>'GS&gt;50 PW'!$B$6</f>
        <v>556.26088485683897</v>
      </c>
      <c r="M111" s="29">
        <f ca="1">F111*'GS&gt;50 PW'!$B$7</f>
        <v>215.51925410076973</v>
      </c>
      <c r="N111" s="29">
        <f ca="1">G111*'GS&gt;50 PW'!$B$8</f>
        <v>0</v>
      </c>
      <c r="O111" s="29">
        <f>H111*'GS&gt;50 PW'!$B$9</f>
        <v>2177.3518155260253</v>
      </c>
      <c r="P111" s="29">
        <f>I111*'GS&gt;50 PW'!$B$10</f>
        <v>-393.61469677928972</v>
      </c>
      <c r="Q111" s="29">
        <f>J111*'GS&gt;50 PW'!$B$11</f>
        <v>0</v>
      </c>
      <c r="R111" s="46">
        <f>'Monthly Data'!O111</f>
        <v>972</v>
      </c>
      <c r="S111" s="46">
        <f>'Monthly Data'!BH111</f>
        <v>28</v>
      </c>
      <c r="T111" s="28">
        <f t="shared" ca="1" si="12"/>
        <v>69550957.685681432</v>
      </c>
    </row>
    <row r="112" spans="1:24" x14ac:dyDescent="0.2">
      <c r="A112" s="45">
        <v>43525</v>
      </c>
      <c r="B112" s="29">
        <f t="shared" si="10"/>
        <v>2019</v>
      </c>
      <c r="C112" s="29">
        <f t="shared" si="11"/>
        <v>3</v>
      </c>
      <c r="D112" s="44">
        <f>'Monthly Data'!M112</f>
        <v>76137811.567807063</v>
      </c>
      <c r="E112" s="44">
        <f>'Monthly Data'!BQ112</f>
        <v>2526.8090922543165</v>
      </c>
      <c r="F112" s="46">
        <f t="shared" ca="1" si="15"/>
        <v>394.31999999999988</v>
      </c>
      <c r="G112" s="46">
        <f t="shared" ca="1" si="15"/>
        <v>3.0000000000000072E-2</v>
      </c>
      <c r="H112" s="46">
        <f>'Monthly Data'!V112</f>
        <v>744439.6</v>
      </c>
      <c r="I112" s="46">
        <f>'Monthly Data'!BG112</f>
        <v>111</v>
      </c>
      <c r="J112" s="46">
        <f>'Monthly Data'!BC112</f>
        <v>0</v>
      </c>
      <c r="L112" s="29">
        <f>'GS&gt;50 PW'!$B$6</f>
        <v>556.26088485683897</v>
      </c>
      <c r="M112" s="29">
        <f ca="1">F112*'GS&gt;50 PW'!$B$7</f>
        <v>179.49847349670608</v>
      </c>
      <c r="N112" s="29">
        <f ca="1">G112*'GS&gt;50 PW'!$B$8</f>
        <v>4.6437485801708811E-2</v>
      </c>
      <c r="O112" s="29">
        <f>H112*'GS&gt;50 PW'!$B$9</f>
        <v>2177.3518155260253</v>
      </c>
      <c r="P112" s="29">
        <f>I112*'GS&gt;50 PW'!$B$10</f>
        <v>-397.193012204556</v>
      </c>
      <c r="Q112" s="29">
        <f>J112*'GS&gt;50 PW'!$B$11</f>
        <v>0</v>
      </c>
      <c r="R112" s="46">
        <f>'Monthly Data'!O112</f>
        <v>972</v>
      </c>
      <c r="S112" s="46">
        <f>'Monthly Data'!BH112</f>
        <v>31</v>
      </c>
      <c r="T112" s="28">
        <f t="shared" ca="1" si="12"/>
        <v>75811045.301913694</v>
      </c>
      <c r="W112" s="26"/>
      <c r="X112" s="47"/>
    </row>
    <row r="113" spans="1:24" x14ac:dyDescent="0.2">
      <c r="A113" s="45">
        <v>43556</v>
      </c>
      <c r="B113" s="29">
        <f t="shared" si="10"/>
        <v>2019</v>
      </c>
      <c r="C113" s="29">
        <f t="shared" si="11"/>
        <v>4</v>
      </c>
      <c r="D113" s="44">
        <f>'Monthly Data'!M113</f>
        <v>69883776.567807063</v>
      </c>
      <c r="E113" s="44">
        <f>'Monthly Data'!BQ113</f>
        <v>2394.0999166771862</v>
      </c>
      <c r="F113" s="46">
        <f t="shared" ca="1" si="15"/>
        <v>220.23999999999995</v>
      </c>
      <c r="G113" s="46">
        <f t="shared" ca="1" si="15"/>
        <v>1.45</v>
      </c>
      <c r="H113" s="46">
        <f>'Monthly Data'!V113</f>
        <v>744439.6</v>
      </c>
      <c r="I113" s="46">
        <f>'Monthly Data'!BG113</f>
        <v>112</v>
      </c>
      <c r="J113" s="46">
        <f>'Monthly Data'!BC113</f>
        <v>0</v>
      </c>
      <c r="L113" s="29">
        <f>'GS&gt;50 PW'!$B$6</f>
        <v>556.26088485683897</v>
      </c>
      <c r="M113" s="29">
        <f ca="1">F113*'GS&gt;50 PW'!$B$7</f>
        <v>100.25548742877498</v>
      </c>
      <c r="N113" s="29">
        <f ca="1">G113*'GS&gt;50 PW'!$B$8</f>
        <v>2.2444784804159204</v>
      </c>
      <c r="O113" s="29">
        <f>H113*'GS&gt;50 PW'!$B$9</f>
        <v>2177.3518155260253</v>
      </c>
      <c r="P113" s="29">
        <f>I113*'GS&gt;50 PW'!$B$10</f>
        <v>-400.77132762982228</v>
      </c>
      <c r="Q113" s="29">
        <f>J113*'GS&gt;50 PW'!$B$11</f>
        <v>0</v>
      </c>
      <c r="R113" s="46">
        <f>'Monthly Data'!O113</f>
        <v>973</v>
      </c>
      <c r="S113" s="46">
        <f>'Monthly Data'!BH113</f>
        <v>30</v>
      </c>
      <c r="T113" s="28">
        <f t="shared" ca="1" si="12"/>
        <v>71087613.67555058</v>
      </c>
      <c r="W113" s="26"/>
      <c r="X113" s="47"/>
    </row>
    <row r="114" spans="1:24" x14ac:dyDescent="0.2">
      <c r="A114" s="45">
        <v>43586</v>
      </c>
      <c r="B114" s="29">
        <f t="shared" si="10"/>
        <v>2019</v>
      </c>
      <c r="C114" s="29">
        <f t="shared" si="11"/>
        <v>5</v>
      </c>
      <c r="D114" s="44">
        <f>'Monthly Data'!M114</f>
        <v>70924333.567807063</v>
      </c>
      <c r="E114" s="44">
        <f>'Monthly Data'!BQ114</f>
        <v>2341.74178914409</v>
      </c>
      <c r="F114" s="46">
        <f t="shared" ca="1" si="15"/>
        <v>68.61</v>
      </c>
      <c r="G114" s="46">
        <f t="shared" ca="1" si="15"/>
        <v>50.69</v>
      </c>
      <c r="H114" s="46">
        <f>'Monthly Data'!V114</f>
        <v>744439.6</v>
      </c>
      <c r="I114" s="46">
        <f>'Monthly Data'!BG114</f>
        <v>113</v>
      </c>
      <c r="J114" s="46">
        <f>'Monthly Data'!BC114</f>
        <v>0</v>
      </c>
      <c r="L114" s="29">
        <f>'GS&gt;50 PW'!$B$6</f>
        <v>556.26088485683897</v>
      </c>
      <c r="M114" s="29">
        <f ca="1">F114*'GS&gt;50 PW'!$B$7</f>
        <v>31.231969635344413</v>
      </c>
      <c r="N114" s="29">
        <f ca="1">G114*'GS&gt;50 PW'!$B$8</f>
        <v>78.463871842953807</v>
      </c>
      <c r="O114" s="29">
        <f>H114*'GS&gt;50 PW'!$B$9</f>
        <v>2177.3518155260253</v>
      </c>
      <c r="P114" s="29">
        <f>I114*'GS&gt;50 PW'!$B$10</f>
        <v>-404.34964305508851</v>
      </c>
      <c r="Q114" s="29">
        <f>J114*'GS&gt;50 PW'!$B$11</f>
        <v>0</v>
      </c>
      <c r="R114" s="46">
        <f>'Monthly Data'!O114</f>
        <v>977</v>
      </c>
      <c r="S114" s="46">
        <f>'Monthly Data'!BH114</f>
        <v>31</v>
      </c>
      <c r="T114" s="28">
        <f t="shared" ca="1" si="12"/>
        <v>73868748.168139562</v>
      </c>
      <c r="W114" s="26"/>
      <c r="X114" s="47"/>
    </row>
    <row r="115" spans="1:24" x14ac:dyDescent="0.2">
      <c r="A115" s="45">
        <v>43617</v>
      </c>
      <c r="B115" s="29">
        <f t="shared" si="10"/>
        <v>2019</v>
      </c>
      <c r="C115" s="29">
        <f t="shared" si="11"/>
        <v>6</v>
      </c>
      <c r="D115" s="44">
        <f>'Monthly Data'!M115</f>
        <v>71942833.567807063</v>
      </c>
      <c r="E115" s="44">
        <f>'Monthly Data'!BQ115</f>
        <v>2442.051377047083</v>
      </c>
      <c r="F115" s="46">
        <f t="shared" ca="1" si="15"/>
        <v>2.7299999999999995</v>
      </c>
      <c r="G115" s="46">
        <f t="shared" ca="1" si="15"/>
        <v>145.17999999999998</v>
      </c>
      <c r="H115" s="46">
        <f>'Monthly Data'!V115</f>
        <v>744439.6</v>
      </c>
      <c r="I115" s="46">
        <f>'Monthly Data'!BG115</f>
        <v>114</v>
      </c>
      <c r="J115" s="46">
        <f>'Monthly Data'!BC115</f>
        <v>0</v>
      </c>
      <c r="L115" s="29">
        <f>'GS&gt;50 PW'!$B$6</f>
        <v>556.26088485683897</v>
      </c>
      <c r="M115" s="29">
        <f ca="1">F115*'GS&gt;50 PW'!$B$7</f>
        <v>1.2427237589927158</v>
      </c>
      <c r="N115" s="29">
        <f ca="1">G115*'GS&gt;50 PW'!$B$8</f>
        <v>224.72647295640229</v>
      </c>
      <c r="O115" s="29">
        <f>H115*'GS&gt;50 PW'!$B$9</f>
        <v>2177.3518155260253</v>
      </c>
      <c r="P115" s="29">
        <f>I115*'GS&gt;50 PW'!$B$10</f>
        <v>-407.92795848035479</v>
      </c>
      <c r="Q115" s="29">
        <f>J115*'GS&gt;50 PW'!$B$11</f>
        <v>0</v>
      </c>
      <c r="R115" s="46">
        <f>'Monthly Data'!O115</f>
        <v>982</v>
      </c>
      <c r="S115" s="46">
        <f>'Monthly Data'!BH115</f>
        <v>30</v>
      </c>
      <c r="T115" s="28">
        <f t="shared" ca="1" si="12"/>
        <v>75171725.03168346</v>
      </c>
      <c r="W115" s="26"/>
      <c r="X115" s="47"/>
    </row>
    <row r="116" spans="1:24" x14ac:dyDescent="0.2">
      <c r="A116" s="45">
        <v>43647</v>
      </c>
      <c r="B116" s="29">
        <f t="shared" si="10"/>
        <v>2019</v>
      </c>
      <c r="C116" s="29">
        <f t="shared" si="11"/>
        <v>7</v>
      </c>
      <c r="D116" s="44">
        <f>'Monthly Data'!M116</f>
        <v>83258537.567807063</v>
      </c>
      <c r="E116" s="44">
        <f>'Monthly Data'!BQ116</f>
        <v>2734.9890798175898</v>
      </c>
      <c r="F116" s="46">
        <f t="shared" ca="1" si="15"/>
        <v>0</v>
      </c>
      <c r="G116" s="46">
        <f t="shared" ca="1" si="15"/>
        <v>268.18999999999994</v>
      </c>
      <c r="H116" s="46">
        <f>'Monthly Data'!V116</f>
        <v>744439.6</v>
      </c>
      <c r="I116" s="46">
        <f>'Monthly Data'!BG116</f>
        <v>115</v>
      </c>
      <c r="J116" s="46">
        <f>'Monthly Data'!BC116</f>
        <v>0</v>
      </c>
      <c r="L116" s="29">
        <f>'GS&gt;50 PW'!$B$6</f>
        <v>556.26088485683897</v>
      </c>
      <c r="M116" s="29">
        <f ca="1">F116*'GS&gt;50 PW'!$B$7</f>
        <v>0</v>
      </c>
      <c r="N116" s="29">
        <f ca="1">G116*'GS&gt;50 PW'!$B$8</f>
        <v>415.13564390534179</v>
      </c>
      <c r="O116" s="29">
        <f>H116*'GS&gt;50 PW'!$B$9</f>
        <v>2177.3518155260253</v>
      </c>
      <c r="P116" s="29">
        <f>I116*'GS&gt;50 PW'!$B$10</f>
        <v>-411.50627390562107</v>
      </c>
      <c r="Q116" s="29">
        <f>J116*'GS&gt;50 PW'!$B$11</f>
        <v>0</v>
      </c>
      <c r="R116" s="46">
        <f>'Monthly Data'!O116</f>
        <v>982</v>
      </c>
      <c r="S116" s="46">
        <f>'Monthly Data'!BH116</f>
        <v>31</v>
      </c>
      <c r="T116" s="28">
        <f t="shared" ca="1" si="12"/>
        <v>83327123.106586665</v>
      </c>
      <c r="W116" s="26"/>
      <c r="X116" s="47"/>
    </row>
    <row r="117" spans="1:24" x14ac:dyDescent="0.2">
      <c r="A117" s="45">
        <v>43678</v>
      </c>
      <c r="B117" s="29">
        <f t="shared" si="10"/>
        <v>2019</v>
      </c>
      <c r="C117" s="29">
        <f t="shared" si="11"/>
        <v>8</v>
      </c>
      <c r="D117" s="44">
        <f>'Monthly Data'!M117</f>
        <v>79859842.567807063</v>
      </c>
      <c r="E117" s="44">
        <f>'Monthly Data'!BQ117</f>
        <v>2620.6754362158981</v>
      </c>
      <c r="F117" s="46">
        <f t="shared" ca="1" si="15"/>
        <v>0</v>
      </c>
      <c r="G117" s="46">
        <f t="shared" ca="1" si="15"/>
        <v>239.59000000000006</v>
      </c>
      <c r="H117" s="46">
        <f>'Monthly Data'!V117</f>
        <v>744439.6</v>
      </c>
      <c r="I117" s="46">
        <f>'Monthly Data'!BG117</f>
        <v>116</v>
      </c>
      <c r="J117" s="46">
        <f>'Monthly Data'!BC117</f>
        <v>0</v>
      </c>
      <c r="L117" s="29">
        <f>'GS&gt;50 PW'!$B$6</f>
        <v>556.26088485683897</v>
      </c>
      <c r="M117" s="29">
        <f ca="1">F117*'GS&gt;50 PW'!$B$7</f>
        <v>0</v>
      </c>
      <c r="N117" s="29">
        <f ca="1">G117*'GS&gt;50 PW'!$B$8</f>
        <v>370.86524077437969</v>
      </c>
      <c r="O117" s="29">
        <f>H117*'GS&gt;50 PW'!$B$9</f>
        <v>2177.3518155260253</v>
      </c>
      <c r="P117" s="29">
        <f>I117*'GS&gt;50 PW'!$B$10</f>
        <v>-415.08458933088735</v>
      </c>
      <c r="Q117" s="29">
        <f>J117*'GS&gt;50 PW'!$B$11</f>
        <v>0</v>
      </c>
      <c r="R117" s="46">
        <f>'Monthly Data'!O117</f>
        <v>983</v>
      </c>
      <c r="S117" s="46">
        <f>'Monthly Data'!BH117</f>
        <v>31</v>
      </c>
      <c r="T117" s="28">
        <f t="shared" ca="1" si="12"/>
        <v>81953883.610204577</v>
      </c>
      <c r="W117" s="26"/>
      <c r="X117" s="47"/>
    </row>
    <row r="118" spans="1:24" x14ac:dyDescent="0.2">
      <c r="A118" s="45">
        <v>43709</v>
      </c>
      <c r="B118" s="29">
        <f t="shared" si="10"/>
        <v>2019</v>
      </c>
      <c r="C118" s="29">
        <f t="shared" si="11"/>
        <v>9</v>
      </c>
      <c r="D118" s="44">
        <f>'Monthly Data'!M118</f>
        <v>73220953.567807063</v>
      </c>
      <c r="E118" s="44">
        <f>'Monthly Data'!BQ118</f>
        <v>2487.9698799798525</v>
      </c>
      <c r="F118" s="46">
        <f t="shared" ca="1" si="15"/>
        <v>5.2099999999999991</v>
      </c>
      <c r="G118" s="46">
        <f t="shared" ca="1" si="15"/>
        <v>132.95000000000002</v>
      </c>
      <c r="H118" s="46">
        <f>'Monthly Data'!V118</f>
        <v>744439.6</v>
      </c>
      <c r="I118" s="46">
        <f>'Monthly Data'!BG118</f>
        <v>117</v>
      </c>
      <c r="J118" s="46">
        <f>'Monthly Data'!BC118</f>
        <v>0</v>
      </c>
      <c r="L118" s="29">
        <f>'GS&gt;50 PW'!$B$6</f>
        <v>556.26088485683897</v>
      </c>
      <c r="M118" s="29">
        <f ca="1">F118*'GS&gt;50 PW'!$B$7</f>
        <v>2.3716449759531315</v>
      </c>
      <c r="N118" s="29">
        <f ca="1">G118*'GS&gt;50 PW'!$B$8</f>
        <v>205.79545791123908</v>
      </c>
      <c r="O118" s="29">
        <f>H118*'GS&gt;50 PW'!$B$9</f>
        <v>2177.3518155260253</v>
      </c>
      <c r="P118" s="29">
        <f>I118*'GS&gt;50 PW'!$B$10</f>
        <v>-418.66290475615358</v>
      </c>
      <c r="Q118" s="29">
        <f>J118*'GS&gt;50 PW'!$B$11</f>
        <v>0</v>
      </c>
      <c r="R118" s="46">
        <f>'Monthly Data'!O118</f>
        <v>981</v>
      </c>
      <c r="S118" s="46">
        <f>'Monthly Data'!BH118</f>
        <v>30</v>
      </c>
      <c r="T118" s="28">
        <f t="shared" ca="1" si="12"/>
        <v>74255330.323264152</v>
      </c>
      <c r="W118" s="26"/>
      <c r="X118" s="47"/>
    </row>
    <row r="119" spans="1:24" x14ac:dyDescent="0.2">
      <c r="A119" s="45">
        <v>43739</v>
      </c>
      <c r="B119" s="29">
        <f t="shared" si="10"/>
        <v>2019</v>
      </c>
      <c r="C119" s="29">
        <f t="shared" si="11"/>
        <v>10</v>
      </c>
      <c r="D119" s="44">
        <f>'Monthly Data'!M119</f>
        <v>71051748.567807063</v>
      </c>
      <c r="E119" s="44">
        <f>'Monthly Data'!BQ119</f>
        <v>2338.7672339633664</v>
      </c>
      <c r="F119" s="46">
        <f t="shared" ca="1" si="15"/>
        <v>90.66</v>
      </c>
      <c r="G119" s="46">
        <f t="shared" ca="1" si="15"/>
        <v>27.9</v>
      </c>
      <c r="H119" s="46">
        <f>'Monthly Data'!V119</f>
        <v>744439.6</v>
      </c>
      <c r="I119" s="46">
        <f>'Monthly Data'!BG119</f>
        <v>118</v>
      </c>
      <c r="J119" s="46">
        <f>'Monthly Data'!BC119</f>
        <v>0</v>
      </c>
      <c r="L119" s="29">
        <f>'GS&gt;50 PW'!$B$6</f>
        <v>556.26088485683897</v>
      </c>
      <c r="M119" s="29">
        <f ca="1">F119*'GS&gt;50 PW'!$B$7</f>
        <v>41.269353842593269</v>
      </c>
      <c r="N119" s="29">
        <f ca="1">G119*'GS&gt;50 PW'!$B$8</f>
        <v>43.186861795589088</v>
      </c>
      <c r="O119" s="29">
        <f>H119*'GS&gt;50 PW'!$B$9</f>
        <v>2177.3518155260253</v>
      </c>
      <c r="P119" s="29">
        <f>I119*'GS&gt;50 PW'!$B$10</f>
        <v>-422.24122018141986</v>
      </c>
      <c r="Q119" s="29">
        <f>J119*'GS&gt;50 PW'!$B$11</f>
        <v>0</v>
      </c>
      <c r="R119" s="46">
        <f>'Monthly Data'!O119</f>
        <v>980</v>
      </c>
      <c r="S119" s="46">
        <f>'Monthly Data'!BH119</f>
        <v>31</v>
      </c>
      <c r="T119" s="28">
        <f t="shared" ca="1" si="12"/>
        <v>72785245.399607867</v>
      </c>
      <c r="W119" s="26"/>
      <c r="X119" s="47"/>
    </row>
    <row r="120" spans="1:24" x14ac:dyDescent="0.2">
      <c r="A120" s="45">
        <v>43770</v>
      </c>
      <c r="B120" s="29">
        <f t="shared" si="10"/>
        <v>2019</v>
      </c>
      <c r="C120" s="29">
        <f t="shared" si="11"/>
        <v>11</v>
      </c>
      <c r="D120" s="44">
        <f>'Monthly Data'!M120</f>
        <v>71481685.567807063</v>
      </c>
      <c r="E120" s="44">
        <f>'Monthly Data'!BQ120</f>
        <v>2336.0027963335642</v>
      </c>
      <c r="F120" s="46">
        <f t="shared" ca="1" si="15"/>
        <v>264.88</v>
      </c>
      <c r="G120" s="46">
        <f t="shared" ca="1" si="15"/>
        <v>0.69000000000000006</v>
      </c>
      <c r="H120" s="46">
        <f>'Monthly Data'!V120</f>
        <v>744439.6</v>
      </c>
      <c r="I120" s="46">
        <f>'Monthly Data'!BG120</f>
        <v>119</v>
      </c>
      <c r="J120" s="46">
        <f>'Monthly Data'!BC120</f>
        <v>0</v>
      </c>
      <c r="L120" s="29">
        <f>'GS&gt;50 PW'!$B$6</f>
        <v>556.26088485683897</v>
      </c>
      <c r="M120" s="29">
        <f ca="1">F120*'GS&gt;50 PW'!$B$7</f>
        <v>120.5760693340625</v>
      </c>
      <c r="N120" s="29">
        <f ca="1">G120*'GS&gt;50 PW'!$B$8</f>
        <v>1.0680621734393003</v>
      </c>
      <c r="O120" s="29">
        <f>H120*'GS&gt;50 PW'!$B$9</f>
        <v>2177.3518155260253</v>
      </c>
      <c r="P120" s="29">
        <f>I120*'GS&gt;50 PW'!$B$10</f>
        <v>-425.81953560668615</v>
      </c>
      <c r="Q120" s="29">
        <f>J120*'GS&gt;50 PW'!$B$11</f>
        <v>0</v>
      </c>
      <c r="R120" s="46">
        <f>'Monthly Data'!O120</f>
        <v>1020</v>
      </c>
      <c r="S120" s="46">
        <f>'Monthly Data'!BH120</f>
        <v>30</v>
      </c>
      <c r="T120" s="28">
        <f t="shared" ca="1" si="12"/>
        <v>74340781.266280591</v>
      </c>
      <c r="W120" s="26"/>
      <c r="X120" s="47"/>
    </row>
    <row r="121" spans="1:24" x14ac:dyDescent="0.2">
      <c r="A121" s="45">
        <v>43800</v>
      </c>
      <c r="B121" s="29">
        <f t="shared" si="10"/>
        <v>2019</v>
      </c>
      <c r="C121" s="29">
        <f t="shared" si="11"/>
        <v>12</v>
      </c>
      <c r="D121" s="44">
        <f>'Monthly Data'!M121</f>
        <v>72324333.567807063</v>
      </c>
      <c r="E121" s="44">
        <f>'Monthly Data'!BQ121</f>
        <v>2282.8209572567093</v>
      </c>
      <c r="F121" s="46">
        <f t="shared" ca="1" si="15"/>
        <v>413.65</v>
      </c>
      <c r="G121" s="46">
        <f t="shared" ca="1" si="15"/>
        <v>0</v>
      </c>
      <c r="H121" s="46">
        <f>'Monthly Data'!V121</f>
        <v>744439.6</v>
      </c>
      <c r="I121" s="46">
        <f>'Monthly Data'!BG121</f>
        <v>120</v>
      </c>
      <c r="J121" s="46">
        <f>'Monthly Data'!BC121</f>
        <v>1</v>
      </c>
      <c r="L121" s="29">
        <f>'GS&gt;50 PW'!$B$6</f>
        <v>556.26088485683897</v>
      </c>
      <c r="M121" s="29">
        <f ca="1">F121*'GS&gt;50 PW'!$B$7</f>
        <v>188.29768604664358</v>
      </c>
      <c r="N121" s="29">
        <f ca="1">G121*'GS&gt;50 PW'!$B$8</f>
        <v>0</v>
      </c>
      <c r="O121" s="29">
        <f>H121*'GS&gt;50 PW'!$B$9</f>
        <v>2177.3518155260253</v>
      </c>
      <c r="P121" s="29">
        <f>I121*'GS&gt;50 PW'!$B$10</f>
        <v>-429.39785103195243</v>
      </c>
      <c r="Q121" s="29">
        <f>J121*'GS&gt;50 PW'!$B$11</f>
        <v>-107.242128303215</v>
      </c>
      <c r="R121" s="46">
        <f>'Monthly Data'!O121</f>
        <v>1022</v>
      </c>
      <c r="S121" s="46">
        <f>'Monthly Data'!BH121</f>
        <v>31</v>
      </c>
      <c r="T121" s="28">
        <f t="shared" ca="1" si="12"/>
        <v>75570137.037562892</v>
      </c>
      <c r="V121" s="44"/>
      <c r="W121" s="26"/>
      <c r="X121" s="47"/>
    </row>
    <row r="122" spans="1:24" x14ac:dyDescent="0.2">
      <c r="A122" s="45">
        <v>43831</v>
      </c>
      <c r="B122" s="29">
        <f t="shared" si="10"/>
        <v>2020</v>
      </c>
      <c r="C122" s="29">
        <f t="shared" si="11"/>
        <v>1</v>
      </c>
      <c r="D122" s="192">
        <f>'Monthly Data (to June 2020)'!M122</f>
        <v>75739921.554761291</v>
      </c>
      <c r="E122" s="44"/>
      <c r="F122" s="46">
        <f t="shared" ca="1" si="15"/>
        <v>539.1400000000001</v>
      </c>
      <c r="G122" s="46">
        <f t="shared" ca="1" si="15"/>
        <v>0</v>
      </c>
      <c r="H122" s="224">
        <f>'Economic (2020 Adj.)'!K134</f>
        <v>744439.6</v>
      </c>
      <c r="I122" s="46">
        <f>I121+1</f>
        <v>121</v>
      </c>
      <c r="J122" s="46">
        <f>J110</f>
        <v>0</v>
      </c>
      <c r="L122" s="29">
        <f>'GS&gt;50 PW'!$B$6</f>
        <v>556.26088485683897</v>
      </c>
      <c r="M122" s="29">
        <f ca="1">F122*'GS&gt;50 PW'!$B$7</f>
        <v>245.42201004517693</v>
      </c>
      <c r="N122" s="29">
        <f ca="1">G122*'GS&gt;50 PW'!$B$8</f>
        <v>0</v>
      </c>
      <c r="O122" s="29">
        <f>H122*'GS&gt;50 PW'!$B$9</f>
        <v>2177.3518155260253</v>
      </c>
      <c r="P122" s="29">
        <f>I122*'GS&gt;50 PW'!$B$10</f>
        <v>-432.97616645721871</v>
      </c>
      <c r="Q122" s="29">
        <f>J122*'GS&gt;50 PW'!$B$11</f>
        <v>0</v>
      </c>
      <c r="R122" s="164">
        <f>'Customer Count'!K37</f>
        <v>1006</v>
      </c>
      <c r="S122" s="46">
        <f>S74</f>
        <v>31</v>
      </c>
      <c r="T122" s="28">
        <f t="shared" ca="1" si="12"/>
        <v>79401381.752274066</v>
      </c>
      <c r="V122" s="44">
        <f t="shared" ref="V122:V126" ca="1" si="16">D122-T122</f>
        <v>-3661460.1975127757</v>
      </c>
      <c r="W122" s="26"/>
      <c r="X122" s="47"/>
    </row>
    <row r="123" spans="1:24" x14ac:dyDescent="0.2">
      <c r="A123" s="45">
        <v>43862</v>
      </c>
      <c r="B123" s="29">
        <f t="shared" si="10"/>
        <v>2020</v>
      </c>
      <c r="C123" s="29">
        <f t="shared" si="11"/>
        <v>2</v>
      </c>
      <c r="D123" s="192">
        <f>'Monthly Data (to June 2020)'!M123</f>
        <v>70677174.554761291</v>
      </c>
      <c r="E123" s="44"/>
      <c r="F123" s="46">
        <f t="shared" ca="1" si="15"/>
        <v>473.45</v>
      </c>
      <c r="G123" s="46">
        <f t="shared" ca="1" si="15"/>
        <v>0</v>
      </c>
      <c r="H123" s="224">
        <f>'Economic (2020 Adj.)'!K135</f>
        <v>744439.6</v>
      </c>
      <c r="I123" s="46">
        <f t="shared" ref="I123:I145" si="17">I122+1</f>
        <v>122</v>
      </c>
      <c r="J123" s="46">
        <f t="shared" ref="J123:J145" si="18">J111</f>
        <v>0</v>
      </c>
      <c r="L123" s="29">
        <f>'GS&gt;50 PW'!$B$6</f>
        <v>556.26088485683897</v>
      </c>
      <c r="M123" s="29">
        <f ca="1">F123*'GS&gt;50 PW'!$B$7</f>
        <v>215.51925410076973</v>
      </c>
      <c r="N123" s="29">
        <f ca="1">G123*'GS&gt;50 PW'!$B$8</f>
        <v>0</v>
      </c>
      <c r="O123" s="29">
        <f>H123*'GS&gt;50 PW'!$B$9</f>
        <v>2177.3518155260253</v>
      </c>
      <c r="P123" s="29">
        <f>I123*'GS&gt;50 PW'!$B$10</f>
        <v>-436.55448188248494</v>
      </c>
      <c r="Q123" s="29">
        <f>J123*'GS&gt;50 PW'!$B$11</f>
        <v>0</v>
      </c>
      <c r="R123" s="164">
        <f>'Customer Count'!K38</f>
        <v>1006</v>
      </c>
      <c r="S123" s="46">
        <f t="shared" ref="S123:S145" si="19">S75</f>
        <v>29</v>
      </c>
      <c r="T123" s="28">
        <f t="shared" ca="1" si="12"/>
        <v>73301935.185665935</v>
      </c>
      <c r="V123" s="44">
        <f t="shared" ca="1" si="16"/>
        <v>-2624760.6309046447</v>
      </c>
      <c r="W123" s="26"/>
      <c r="X123" s="47"/>
    </row>
    <row r="124" spans="1:24" x14ac:dyDescent="0.2">
      <c r="A124" s="45">
        <v>43891</v>
      </c>
      <c r="B124" s="29">
        <f t="shared" si="10"/>
        <v>2020</v>
      </c>
      <c r="C124" s="29">
        <f t="shared" si="11"/>
        <v>3</v>
      </c>
      <c r="D124" s="192">
        <f>'Monthly Data (to June 2020)'!M124</f>
        <v>70423460.554761291</v>
      </c>
      <c r="E124" s="44"/>
      <c r="F124" s="46">
        <f t="shared" ca="1" si="15"/>
        <v>394.31999999999988</v>
      </c>
      <c r="G124" s="46">
        <f t="shared" ca="1" si="15"/>
        <v>3.0000000000000072E-2</v>
      </c>
      <c r="H124" s="224">
        <f>'Economic (2020 Adj.)'!K136</f>
        <v>678238.01268124976</v>
      </c>
      <c r="I124" s="46">
        <f t="shared" si="17"/>
        <v>123</v>
      </c>
      <c r="J124" s="46">
        <f t="shared" si="18"/>
        <v>0</v>
      </c>
      <c r="L124" s="29">
        <f>'GS&gt;50 PW'!$B$6</f>
        <v>556.26088485683897</v>
      </c>
      <c r="M124" s="29">
        <f ca="1">F124*'GS&gt;50 PW'!$B$7</f>
        <v>179.49847349670608</v>
      </c>
      <c r="N124" s="29">
        <f ca="1">G124*'GS&gt;50 PW'!$B$8</f>
        <v>4.6437485801708811E-2</v>
      </c>
      <c r="O124" s="29">
        <f>H124*'GS&gt;50 PW'!$B$9</f>
        <v>1983.7240902690864</v>
      </c>
      <c r="P124" s="29">
        <f>I124*'GS&gt;50 PW'!$B$10</f>
        <v>-440.13279730775122</v>
      </c>
      <c r="Q124" s="29">
        <f>J124*'GS&gt;50 PW'!$B$11</f>
        <v>0</v>
      </c>
      <c r="R124" s="164">
        <f>'Customer Count'!K39</f>
        <v>1008</v>
      </c>
      <c r="S124" s="46">
        <f t="shared" si="19"/>
        <v>31</v>
      </c>
      <c r="T124" s="28">
        <f t="shared" ca="1" si="12"/>
        <v>71226600.230843708</v>
      </c>
      <c r="V124" s="44">
        <f t="shared" ca="1" si="16"/>
        <v>-803139.67608241737</v>
      </c>
    </row>
    <row r="125" spans="1:24" x14ac:dyDescent="0.2">
      <c r="A125" s="45">
        <v>43922</v>
      </c>
      <c r="B125" s="29">
        <f t="shared" si="10"/>
        <v>2020</v>
      </c>
      <c r="C125" s="29">
        <f t="shared" si="11"/>
        <v>4</v>
      </c>
      <c r="D125" s="192">
        <f>'Monthly Data (to June 2020)'!M125</f>
        <v>60626134.554761283</v>
      </c>
      <c r="E125" s="44"/>
      <c r="F125" s="46">
        <f t="shared" ca="1" si="15"/>
        <v>220.23999999999995</v>
      </c>
      <c r="G125" s="46">
        <f t="shared" ca="1" si="15"/>
        <v>1.45</v>
      </c>
      <c r="H125" s="224">
        <f>'Economic (2020 Adj.)'!K137</f>
        <v>599261.12867187464</v>
      </c>
      <c r="I125" s="46">
        <f t="shared" si="17"/>
        <v>124</v>
      </c>
      <c r="J125" s="46">
        <f t="shared" si="18"/>
        <v>0</v>
      </c>
      <c r="L125" s="29">
        <f>'GS&gt;50 PW'!$B$6</f>
        <v>556.26088485683897</v>
      </c>
      <c r="M125" s="29">
        <f ca="1">F125*'GS&gt;50 PW'!$B$7</f>
        <v>100.25548742877498</v>
      </c>
      <c r="N125" s="29">
        <f ca="1">G125*'GS&gt;50 PW'!$B$8</f>
        <v>2.2444784804159204</v>
      </c>
      <c r="O125" s="29">
        <f>H125*'GS&gt;50 PW'!$B$9</f>
        <v>1752.7309220088257</v>
      </c>
      <c r="P125" s="29">
        <f>I125*'GS&gt;50 PW'!$B$10</f>
        <v>-443.7111127330175</v>
      </c>
      <c r="Q125" s="29">
        <f>J125*'GS&gt;50 PW'!$B$11</f>
        <v>0</v>
      </c>
      <c r="R125" s="164">
        <f>'Customer Count'!K40</f>
        <v>1008</v>
      </c>
      <c r="S125" s="46">
        <f t="shared" si="19"/>
        <v>30</v>
      </c>
      <c r="T125" s="28">
        <f t="shared" ca="1" si="12"/>
        <v>59505687.159665175</v>
      </c>
      <c r="V125" s="44">
        <f t="shared" ca="1" si="16"/>
        <v>1120447.3950961083</v>
      </c>
      <c r="W125" s="26"/>
    </row>
    <row r="126" spans="1:24" x14ac:dyDescent="0.2">
      <c r="A126" s="45">
        <v>43952</v>
      </c>
      <c r="B126" s="29">
        <f t="shared" si="10"/>
        <v>2020</v>
      </c>
      <c r="C126" s="29">
        <f t="shared" si="11"/>
        <v>5</v>
      </c>
      <c r="D126" s="192">
        <f>'Monthly Data (to June 2020)'!M126</f>
        <v>63498080.554761283</v>
      </c>
      <c r="E126" s="44"/>
      <c r="F126" s="46">
        <f t="shared" ref="F126:G141" ca="1" si="20">F114</f>
        <v>68.61</v>
      </c>
      <c r="G126" s="46">
        <f t="shared" ca="1" si="20"/>
        <v>50.69</v>
      </c>
      <c r="H126" s="224">
        <f>'Economic (2020 Adj.)'!K138</f>
        <v>599261.12867187464</v>
      </c>
      <c r="I126" s="46">
        <f t="shared" si="17"/>
        <v>125</v>
      </c>
      <c r="J126" s="46">
        <f t="shared" si="18"/>
        <v>0</v>
      </c>
      <c r="L126" s="29">
        <f>'GS&gt;50 PW'!$B$6</f>
        <v>556.26088485683897</v>
      </c>
      <c r="M126" s="29">
        <f ca="1">F126*'GS&gt;50 PW'!$B$7</f>
        <v>31.231969635344413</v>
      </c>
      <c r="N126" s="29">
        <f ca="1">G126*'GS&gt;50 PW'!$B$8</f>
        <v>78.463871842953807</v>
      </c>
      <c r="O126" s="29">
        <f>H126*'GS&gt;50 PW'!$B$9</f>
        <v>1752.7309220088257</v>
      </c>
      <c r="P126" s="29">
        <f>I126*'GS&gt;50 PW'!$B$10</f>
        <v>-447.28942815828378</v>
      </c>
      <c r="Q126" s="29">
        <f>J126*'GS&gt;50 PW'!$B$11</f>
        <v>0</v>
      </c>
      <c r="R126" s="164">
        <f>'Customer Count'!K41</f>
        <v>1006</v>
      </c>
      <c r="S126" s="46">
        <f t="shared" si="19"/>
        <v>31</v>
      </c>
      <c r="T126" s="28">
        <f t="shared" ca="1" si="12"/>
        <v>61480024.894710585</v>
      </c>
      <c r="V126" s="44">
        <f t="shared" ca="1" si="16"/>
        <v>2018055.6600506976</v>
      </c>
      <c r="W126" s="26"/>
    </row>
    <row r="127" spans="1:24" x14ac:dyDescent="0.2">
      <c r="A127" s="45">
        <v>43983</v>
      </c>
      <c r="B127" s="29">
        <f t="shared" si="10"/>
        <v>2020</v>
      </c>
      <c r="C127" s="29">
        <f t="shared" si="11"/>
        <v>6</v>
      </c>
      <c r="D127" s="192">
        <f>'Monthly Data (to June 2020)'!M127</f>
        <v>69985308.554761291</v>
      </c>
      <c r="E127" s="44"/>
      <c r="F127" s="46">
        <f t="shared" ca="1" si="20"/>
        <v>2.7299999999999995</v>
      </c>
      <c r="G127" s="46">
        <f t="shared" ca="1" si="20"/>
        <v>145.17999999999998</v>
      </c>
      <c r="H127" s="224">
        <f>'Economic (2020 Adj.)'!K139</f>
        <v>599261.12867187464</v>
      </c>
      <c r="I127" s="46">
        <f t="shared" si="17"/>
        <v>126</v>
      </c>
      <c r="J127" s="46">
        <f t="shared" si="18"/>
        <v>0</v>
      </c>
      <c r="L127" s="29">
        <f>'GS&gt;50 PW'!$B$6</f>
        <v>556.26088485683897</v>
      </c>
      <c r="M127" s="29">
        <f ca="1">F127*'GS&gt;50 PW'!$B$7</f>
        <v>1.2427237589927158</v>
      </c>
      <c r="N127" s="29">
        <f ca="1">G127*'GS&gt;50 PW'!$B$8</f>
        <v>224.72647295640229</v>
      </c>
      <c r="O127" s="29">
        <f>H127*'GS&gt;50 PW'!$B$9</f>
        <v>1752.7309220088257</v>
      </c>
      <c r="P127" s="29">
        <f>I127*'GS&gt;50 PW'!$B$10</f>
        <v>-450.86774358355001</v>
      </c>
      <c r="Q127" s="29">
        <f>J127*'GS&gt;50 PW'!$B$11</f>
        <v>0</v>
      </c>
      <c r="R127" s="164">
        <f>'Customer Count'!K42</f>
        <v>1005</v>
      </c>
      <c r="S127" s="46">
        <f t="shared" si="19"/>
        <v>30</v>
      </c>
      <c r="T127" s="28">
        <f t="shared" ca="1" si="12"/>
        <v>62835411.78892491</v>
      </c>
      <c r="V127" s="44">
        <f ca="1">D127-T127</f>
        <v>7149896.7658363804</v>
      </c>
      <c r="W127" s="26"/>
    </row>
    <row r="128" spans="1:24" x14ac:dyDescent="0.2">
      <c r="A128" s="45">
        <v>44013</v>
      </c>
      <c r="B128" s="29">
        <f t="shared" si="10"/>
        <v>2020</v>
      </c>
      <c r="C128" s="29">
        <f t="shared" si="11"/>
        <v>7</v>
      </c>
      <c r="E128" s="44"/>
      <c r="F128" s="46">
        <f t="shared" ca="1" si="20"/>
        <v>0</v>
      </c>
      <c r="G128" s="46">
        <f t="shared" ca="1" si="20"/>
        <v>268.18999999999994</v>
      </c>
      <c r="H128" s="224">
        <f>'Economic (2020 Adj.)'!K140</f>
        <v>615006.43952241109</v>
      </c>
      <c r="I128" s="46">
        <f t="shared" si="17"/>
        <v>127</v>
      </c>
      <c r="J128" s="46">
        <f t="shared" si="18"/>
        <v>0</v>
      </c>
      <c r="L128" s="29">
        <f>'GS&gt;50 PW'!$B$6</f>
        <v>556.26088485683897</v>
      </c>
      <c r="M128" s="29">
        <f ca="1">F128*'GS&gt;50 PW'!$B$7</f>
        <v>0</v>
      </c>
      <c r="N128" s="29">
        <f ca="1">G128*'GS&gt;50 PW'!$B$8</f>
        <v>415.13564390534179</v>
      </c>
      <c r="O128" s="29">
        <f>H128*'GS&gt;50 PW'!$B$9</f>
        <v>1798.7831217661158</v>
      </c>
      <c r="P128" s="29">
        <f>I128*'GS&gt;50 PW'!$B$10</f>
        <v>-454.44605900881629</v>
      </c>
      <c r="Q128" s="29">
        <f>J128*'GS&gt;50 PW'!$B$11</f>
        <v>0</v>
      </c>
      <c r="R128" s="164">
        <f>'Customer Count'!K43</f>
        <v>1004</v>
      </c>
      <c r="S128" s="46">
        <f t="shared" si="19"/>
        <v>31</v>
      </c>
      <c r="T128" s="28">
        <f t="shared" ca="1" si="12"/>
        <v>72074892.302452296</v>
      </c>
      <c r="V128" s="44"/>
      <c r="W128" s="26"/>
    </row>
    <row r="129" spans="1:23" x14ac:dyDescent="0.2">
      <c r="A129" s="45">
        <v>44044</v>
      </c>
      <c r="B129" s="29">
        <f t="shared" si="10"/>
        <v>2020</v>
      </c>
      <c r="C129" s="29">
        <f t="shared" si="11"/>
        <v>8</v>
      </c>
      <c r="E129" s="44"/>
      <c r="F129" s="46">
        <f t="shared" ca="1" si="20"/>
        <v>0</v>
      </c>
      <c r="G129" s="46">
        <f t="shared" ca="1" si="20"/>
        <v>239.59000000000006</v>
      </c>
      <c r="H129" s="224">
        <f>'Economic (2020 Adj.)'!K141</f>
        <v>615006.43952241109</v>
      </c>
      <c r="I129" s="46">
        <f t="shared" si="17"/>
        <v>128</v>
      </c>
      <c r="J129" s="46">
        <f t="shared" si="18"/>
        <v>0</v>
      </c>
      <c r="L129" s="29">
        <f>'GS&gt;50 PW'!$B$6</f>
        <v>556.26088485683897</v>
      </c>
      <c r="M129" s="29">
        <f ca="1">F129*'GS&gt;50 PW'!$B$7</f>
        <v>0</v>
      </c>
      <c r="N129" s="29">
        <f ca="1">G129*'GS&gt;50 PW'!$B$8</f>
        <v>370.86524077437969</v>
      </c>
      <c r="O129" s="29">
        <f>H129*'GS&gt;50 PW'!$B$9</f>
        <v>1798.7831217661158</v>
      </c>
      <c r="P129" s="29">
        <f>I129*'GS&gt;50 PW'!$B$10</f>
        <v>-458.02437443408257</v>
      </c>
      <c r="Q129" s="29">
        <f>J129*'GS&gt;50 PW'!$B$11</f>
        <v>0</v>
      </c>
      <c r="R129" s="164">
        <f>'Customer Count'!K44</f>
        <v>1003.8998587704867</v>
      </c>
      <c r="S129" s="46">
        <f t="shared" si="19"/>
        <v>31</v>
      </c>
      <c r="T129" s="28">
        <f t="shared" ca="1" si="12"/>
        <v>70578608.413941488</v>
      </c>
      <c r="W129" s="26"/>
    </row>
    <row r="130" spans="1:23" x14ac:dyDescent="0.2">
      <c r="A130" s="45">
        <v>44075</v>
      </c>
      <c r="B130" s="29">
        <f t="shared" ref="B130:B145" si="21">YEAR(A130)</f>
        <v>2020</v>
      </c>
      <c r="C130" s="29">
        <f t="shared" ref="C130:C145" si="22">MONTH(A130)</f>
        <v>9</v>
      </c>
      <c r="E130" s="44"/>
      <c r="F130" s="46">
        <f t="shared" ca="1" si="20"/>
        <v>5.2099999999999991</v>
      </c>
      <c r="G130" s="46">
        <f t="shared" ca="1" si="20"/>
        <v>132.95000000000002</v>
      </c>
      <c r="H130" s="224">
        <f>'Economic (2020 Adj.)'!K142</f>
        <v>615006.43952241109</v>
      </c>
      <c r="I130" s="46">
        <f t="shared" si="17"/>
        <v>129</v>
      </c>
      <c r="J130" s="46">
        <f t="shared" si="18"/>
        <v>0</v>
      </c>
      <c r="L130" s="29">
        <f>'GS&gt;50 PW'!$B$6</f>
        <v>556.26088485683897</v>
      </c>
      <c r="M130" s="29">
        <f ca="1">F130*'GS&gt;50 PW'!$B$7</f>
        <v>2.3716449759531315</v>
      </c>
      <c r="N130" s="29">
        <f ca="1">G130*'GS&gt;50 PW'!$B$8</f>
        <v>205.79545791123908</v>
      </c>
      <c r="O130" s="29">
        <f>H130*'GS&gt;50 PW'!$B$9</f>
        <v>1798.7831217661158</v>
      </c>
      <c r="P130" s="29">
        <f>I130*'GS&gt;50 PW'!$B$10</f>
        <v>-461.60268985934886</v>
      </c>
      <c r="Q130" s="29">
        <f>J130*'GS&gt;50 PW'!$B$11</f>
        <v>0</v>
      </c>
      <c r="R130" s="164">
        <f>'Customer Count'!K45</f>
        <v>1003.7997275292861</v>
      </c>
      <c r="S130" s="46">
        <f t="shared" si="19"/>
        <v>30</v>
      </c>
      <c r="T130" s="28">
        <f t="shared" ca="1" si="12"/>
        <v>63287818.770561732</v>
      </c>
      <c r="W130" s="26"/>
    </row>
    <row r="131" spans="1:23" x14ac:dyDescent="0.2">
      <c r="A131" s="45">
        <v>44105</v>
      </c>
      <c r="B131" s="29">
        <f t="shared" si="21"/>
        <v>2020</v>
      </c>
      <c r="C131" s="29">
        <f t="shared" si="22"/>
        <v>10</v>
      </c>
      <c r="E131" s="44"/>
      <c r="F131" s="46">
        <f t="shared" ca="1" si="20"/>
        <v>90.66</v>
      </c>
      <c r="G131" s="46">
        <f t="shared" ca="1" si="20"/>
        <v>27.9</v>
      </c>
      <c r="H131" s="224">
        <f>'Economic (2020 Adj.)'!K143</f>
        <v>635199.15095339692</v>
      </c>
      <c r="I131" s="46">
        <f t="shared" si="17"/>
        <v>130</v>
      </c>
      <c r="J131" s="46">
        <f t="shared" si="18"/>
        <v>0</v>
      </c>
      <c r="L131" s="29">
        <f>'GS&gt;50 PW'!$B$6</f>
        <v>556.26088485683897</v>
      </c>
      <c r="M131" s="29">
        <f ca="1">F131*'GS&gt;50 PW'!$B$7</f>
        <v>41.269353842593269</v>
      </c>
      <c r="N131" s="29">
        <f ca="1">G131*'GS&gt;50 PW'!$B$8</f>
        <v>43.186861795589088</v>
      </c>
      <c r="O131" s="29">
        <f>H131*'GS&gt;50 PW'!$B$9</f>
        <v>1857.8431675974366</v>
      </c>
      <c r="P131" s="29">
        <f>I131*'GS&gt;50 PW'!$B$10</f>
        <v>-465.18100528461514</v>
      </c>
      <c r="Q131" s="29">
        <f>J131*'GS&gt;50 PW'!$B$11</f>
        <v>0</v>
      </c>
      <c r="R131" s="164">
        <f>'Customer Count'!K46</f>
        <v>1003.6996062754017</v>
      </c>
      <c r="S131" s="46">
        <f t="shared" si="19"/>
        <v>31</v>
      </c>
      <c r="T131" s="28">
        <f t="shared" ref="T131:T145" ca="1" si="23">SUM(L131:Q131)*R131*S131</f>
        <v>63267960.930152752</v>
      </c>
      <c r="W131" s="26"/>
    </row>
    <row r="132" spans="1:23" x14ac:dyDescent="0.2">
      <c r="A132" s="45">
        <v>44136</v>
      </c>
      <c r="B132" s="29">
        <f t="shared" si="21"/>
        <v>2020</v>
      </c>
      <c r="C132" s="29">
        <f t="shared" si="22"/>
        <v>11</v>
      </c>
      <c r="E132" s="44"/>
      <c r="F132" s="46">
        <f t="shared" ca="1" si="20"/>
        <v>264.88</v>
      </c>
      <c r="G132" s="46">
        <f t="shared" ca="1" si="20"/>
        <v>0.69000000000000006</v>
      </c>
      <c r="H132" s="224">
        <f>'Economic (2020 Adj.)'!K144</f>
        <v>635199.15095339692</v>
      </c>
      <c r="I132" s="46">
        <f t="shared" si="17"/>
        <v>131</v>
      </c>
      <c r="J132" s="46">
        <f t="shared" si="18"/>
        <v>0</v>
      </c>
      <c r="L132" s="29">
        <f>'GS&gt;50 PW'!$B$6</f>
        <v>556.26088485683897</v>
      </c>
      <c r="M132" s="29">
        <f ca="1">F132*'GS&gt;50 PW'!$B$7</f>
        <v>120.5760693340625</v>
      </c>
      <c r="N132" s="29">
        <f ca="1">G132*'GS&gt;50 PW'!$B$8</f>
        <v>1.0680621734393003</v>
      </c>
      <c r="O132" s="29">
        <f>H132*'GS&gt;50 PW'!$B$9</f>
        <v>1857.8431675974366</v>
      </c>
      <c r="P132" s="29">
        <f>I132*'GS&gt;50 PW'!$B$10</f>
        <v>-468.75932070988137</v>
      </c>
      <c r="Q132" s="29">
        <f>J132*'GS&gt;50 PW'!$B$11</f>
        <v>0</v>
      </c>
      <c r="R132" s="164">
        <f>'Customer Count'!K47</f>
        <v>1003.5994950078376</v>
      </c>
      <c r="S132" s="46">
        <f t="shared" si="19"/>
        <v>30</v>
      </c>
      <c r="T132" s="28">
        <f t="shared" ca="1" si="23"/>
        <v>62232869.380392827</v>
      </c>
      <c r="W132" s="26"/>
    </row>
    <row r="133" spans="1:23" x14ac:dyDescent="0.2">
      <c r="A133" s="45">
        <v>44166</v>
      </c>
      <c r="B133" s="29">
        <f t="shared" si="21"/>
        <v>2020</v>
      </c>
      <c r="C133" s="29">
        <f t="shared" si="22"/>
        <v>12</v>
      </c>
      <c r="E133" s="44"/>
      <c r="F133" s="46">
        <f t="shared" ca="1" si="20"/>
        <v>413.65</v>
      </c>
      <c r="G133" s="46">
        <f t="shared" ca="1" si="20"/>
        <v>0</v>
      </c>
      <c r="H133" s="224">
        <f>'Economic (2020 Adj.)'!K145</f>
        <v>635199.15095339692</v>
      </c>
      <c r="I133" s="46">
        <f t="shared" si="17"/>
        <v>132</v>
      </c>
      <c r="J133" s="46">
        <f t="shared" si="18"/>
        <v>1</v>
      </c>
      <c r="L133" s="29">
        <f>'GS&gt;50 PW'!$B$6</f>
        <v>556.26088485683897</v>
      </c>
      <c r="M133" s="29">
        <f ca="1">F133*'GS&gt;50 PW'!$B$7</f>
        <v>188.29768604664358</v>
      </c>
      <c r="N133" s="29">
        <f ca="1">G133*'GS&gt;50 PW'!$B$8</f>
        <v>0</v>
      </c>
      <c r="O133" s="29">
        <f>H133*'GS&gt;50 PW'!$B$9</f>
        <v>1857.8431675974366</v>
      </c>
      <c r="P133" s="29">
        <f>I133*'GS&gt;50 PW'!$B$10</f>
        <v>-472.33763613514765</v>
      </c>
      <c r="Q133" s="29">
        <f>J133*'GS&gt;50 PW'!$B$11</f>
        <v>-107.242128303215</v>
      </c>
      <c r="R133" s="164">
        <f>'Customer Count'!K48</f>
        <v>1003.4993937255977</v>
      </c>
      <c r="S133" s="46">
        <f t="shared" si="19"/>
        <v>31</v>
      </c>
      <c r="T133" s="28">
        <f t="shared" ca="1" si="23"/>
        <v>62926919.362184368</v>
      </c>
      <c r="W133" s="26"/>
    </row>
    <row r="134" spans="1:23" x14ac:dyDescent="0.2">
      <c r="A134" s="45">
        <v>44197</v>
      </c>
      <c r="B134" s="29">
        <f t="shared" si="21"/>
        <v>2021</v>
      </c>
      <c r="C134" s="29">
        <f t="shared" si="22"/>
        <v>1</v>
      </c>
      <c r="E134" s="44"/>
      <c r="F134" s="46">
        <f t="shared" ca="1" si="20"/>
        <v>539.1400000000001</v>
      </c>
      <c r="G134" s="46">
        <f t="shared" ca="1" si="20"/>
        <v>0</v>
      </c>
      <c r="H134" s="29">
        <f>Economic!C146</f>
        <v>735028.76679660007</v>
      </c>
      <c r="I134" s="46">
        <f t="shared" si="17"/>
        <v>133</v>
      </c>
      <c r="J134" s="46">
        <f t="shared" si="18"/>
        <v>0</v>
      </c>
      <c r="L134" s="29">
        <f>'GS&gt;50 PW'!$B$6</f>
        <v>556.26088485683897</v>
      </c>
      <c r="M134" s="29">
        <f ca="1">F134*'GS&gt;50 PW'!$B$7</f>
        <v>245.42201004517693</v>
      </c>
      <c r="N134" s="29">
        <f ca="1">G134*'GS&gt;50 PW'!$B$8</f>
        <v>0</v>
      </c>
      <c r="O134" s="29">
        <f>H134*'GS&gt;50 PW'!$B$9</f>
        <v>2149.8268225500533</v>
      </c>
      <c r="P134" s="29">
        <f>I134*'GS&gt;50 PW'!$B$10</f>
        <v>-475.91595156041393</v>
      </c>
      <c r="Q134" s="29">
        <f>J134*'GS&gt;50 PW'!$B$11</f>
        <v>0</v>
      </c>
      <c r="R134" s="164">
        <f>'Customer Count'!K49</f>
        <v>1004.4695414818561</v>
      </c>
      <c r="S134" s="46">
        <f t="shared" si="19"/>
        <v>31</v>
      </c>
      <c r="T134" s="28">
        <f t="shared" ca="1" si="23"/>
        <v>77086414.582536519</v>
      </c>
      <c r="W134" s="26"/>
    </row>
    <row r="135" spans="1:23" x14ac:dyDescent="0.2">
      <c r="A135" s="45">
        <v>44228</v>
      </c>
      <c r="B135" s="29">
        <f t="shared" si="21"/>
        <v>2021</v>
      </c>
      <c r="C135" s="29">
        <f t="shared" si="22"/>
        <v>2</v>
      </c>
      <c r="E135" s="44"/>
      <c r="F135" s="46">
        <f t="shared" ca="1" si="20"/>
        <v>473.45</v>
      </c>
      <c r="G135" s="46">
        <f t="shared" ca="1" si="20"/>
        <v>0</v>
      </c>
      <c r="H135" s="29">
        <f>Economic!C147</f>
        <v>735028.76679660007</v>
      </c>
      <c r="I135" s="46">
        <f t="shared" si="17"/>
        <v>134</v>
      </c>
      <c r="J135" s="46">
        <f t="shared" si="18"/>
        <v>0</v>
      </c>
      <c r="L135" s="29">
        <f>'GS&gt;50 PW'!$B$6</f>
        <v>556.26088485683897</v>
      </c>
      <c r="M135" s="29">
        <f ca="1">F135*'GS&gt;50 PW'!$B$7</f>
        <v>215.51925410076973</v>
      </c>
      <c r="N135" s="29">
        <f ca="1">G135*'GS&gt;50 PW'!$B$8</f>
        <v>0</v>
      </c>
      <c r="O135" s="29">
        <f>H135*'GS&gt;50 PW'!$B$9</f>
        <v>2149.8268225500533</v>
      </c>
      <c r="P135" s="29">
        <f>I135*'GS&gt;50 PW'!$B$10</f>
        <v>-479.49426698568021</v>
      </c>
      <c r="Q135" s="29">
        <f>J135*'GS&gt;50 PW'!$B$11</f>
        <v>0</v>
      </c>
      <c r="R135" s="164">
        <f>'Customer Count'!K50</f>
        <v>1004.3693534192141</v>
      </c>
      <c r="S135" s="46">
        <f t="shared" si="19"/>
        <v>28</v>
      </c>
      <c r="T135" s="28">
        <f t="shared" ca="1" si="23"/>
        <v>68677928.143269137</v>
      </c>
      <c r="W135" s="26"/>
    </row>
    <row r="136" spans="1:23" x14ac:dyDescent="0.2">
      <c r="A136" s="45">
        <v>44256</v>
      </c>
      <c r="B136" s="29">
        <f t="shared" si="21"/>
        <v>2021</v>
      </c>
      <c r="C136" s="29">
        <f t="shared" si="22"/>
        <v>3</v>
      </c>
      <c r="E136" s="44"/>
      <c r="F136" s="46">
        <f t="shared" ca="1" si="20"/>
        <v>394.31999999999988</v>
      </c>
      <c r="G136" s="46">
        <f t="shared" ca="1" si="20"/>
        <v>3.0000000000000072E-2</v>
      </c>
      <c r="H136" s="29">
        <f>Economic!C148</f>
        <v>735028.76679660007</v>
      </c>
      <c r="I136" s="46">
        <f t="shared" si="17"/>
        <v>135</v>
      </c>
      <c r="J136" s="46">
        <f t="shared" si="18"/>
        <v>0</v>
      </c>
      <c r="L136" s="29">
        <f>'GS&gt;50 PW'!$B$6</f>
        <v>556.26088485683897</v>
      </c>
      <c r="M136" s="29">
        <f ca="1">F136*'GS&gt;50 PW'!$B$7</f>
        <v>179.49847349670608</v>
      </c>
      <c r="N136" s="29">
        <f ca="1">G136*'GS&gt;50 PW'!$B$8</f>
        <v>4.6437485801708811E-2</v>
      </c>
      <c r="O136" s="29">
        <f>H136*'GS&gt;50 PW'!$B$9</f>
        <v>2149.8268225500533</v>
      </c>
      <c r="P136" s="29">
        <f>I136*'GS&gt;50 PW'!$B$10</f>
        <v>-483.07258241094644</v>
      </c>
      <c r="Q136" s="29">
        <f>J136*'GS&gt;50 PW'!$B$11</f>
        <v>0</v>
      </c>
      <c r="R136" s="164">
        <f>'Customer Count'!K51</f>
        <v>1004.2691753495559</v>
      </c>
      <c r="S136" s="46">
        <f t="shared" si="19"/>
        <v>31</v>
      </c>
      <c r="T136" s="28">
        <f t="shared" ca="1" si="23"/>
        <v>74797326.567856312</v>
      </c>
      <c r="W136" s="26"/>
    </row>
    <row r="137" spans="1:23" x14ac:dyDescent="0.2">
      <c r="A137" s="45">
        <v>44287</v>
      </c>
      <c r="B137" s="29">
        <f t="shared" si="21"/>
        <v>2021</v>
      </c>
      <c r="C137" s="29">
        <f t="shared" si="22"/>
        <v>4</v>
      </c>
      <c r="E137" s="44"/>
      <c r="F137" s="46">
        <f t="shared" ca="1" si="20"/>
        <v>220.23999999999995</v>
      </c>
      <c r="G137" s="46">
        <f t="shared" ca="1" si="20"/>
        <v>1.45</v>
      </c>
      <c r="H137" s="29">
        <f>Economic!C149</f>
        <v>735028.76679660007</v>
      </c>
      <c r="I137" s="46">
        <f t="shared" si="17"/>
        <v>136</v>
      </c>
      <c r="J137" s="46">
        <f t="shared" si="18"/>
        <v>0</v>
      </c>
      <c r="L137" s="29">
        <f>'GS&gt;50 PW'!$B$6</f>
        <v>556.26088485683897</v>
      </c>
      <c r="M137" s="29">
        <f ca="1">F137*'GS&gt;50 PW'!$B$7</f>
        <v>100.25548742877498</v>
      </c>
      <c r="N137" s="29">
        <f ca="1">G137*'GS&gt;50 PW'!$B$8</f>
        <v>2.2444784804159204</v>
      </c>
      <c r="O137" s="29">
        <f>H137*'GS&gt;50 PW'!$B$9</f>
        <v>2149.8268225500533</v>
      </c>
      <c r="P137" s="29">
        <f>I137*'GS&gt;50 PW'!$B$10</f>
        <v>-486.65089783621272</v>
      </c>
      <c r="Q137" s="29">
        <f>J137*'GS&gt;50 PW'!$B$11</f>
        <v>0</v>
      </c>
      <c r="R137" s="164">
        <f>'Customer Count'!K52</f>
        <v>1004.1690072718848</v>
      </c>
      <c r="S137" s="46">
        <f t="shared" si="19"/>
        <v>30</v>
      </c>
      <c r="T137" s="28">
        <f t="shared" ca="1" si="23"/>
        <v>69948508.403451085</v>
      </c>
    </row>
    <row r="138" spans="1:23" x14ac:dyDescent="0.2">
      <c r="A138" s="45">
        <v>44317</v>
      </c>
      <c r="B138" s="29">
        <f t="shared" si="21"/>
        <v>2021</v>
      </c>
      <c r="C138" s="29">
        <f t="shared" si="22"/>
        <v>5</v>
      </c>
      <c r="E138" s="44"/>
      <c r="F138" s="46">
        <f t="shared" ca="1" si="20"/>
        <v>68.61</v>
      </c>
      <c r="G138" s="46">
        <f t="shared" ca="1" si="20"/>
        <v>50.69</v>
      </c>
      <c r="H138" s="29">
        <f>Economic!C150</f>
        <v>735028.76679660007</v>
      </c>
      <c r="I138" s="46">
        <f t="shared" si="17"/>
        <v>137</v>
      </c>
      <c r="J138" s="46">
        <f t="shared" si="18"/>
        <v>0</v>
      </c>
      <c r="L138" s="29">
        <f>'GS&gt;50 PW'!$B$6</f>
        <v>556.26088485683897</v>
      </c>
      <c r="M138" s="29">
        <f ca="1">F138*'GS&gt;50 PW'!$B$7</f>
        <v>31.231969635344413</v>
      </c>
      <c r="N138" s="29">
        <f ca="1">G138*'GS&gt;50 PW'!$B$8</f>
        <v>78.463871842953807</v>
      </c>
      <c r="O138" s="29">
        <f>H138*'GS&gt;50 PW'!$B$9</f>
        <v>2149.8268225500533</v>
      </c>
      <c r="P138" s="29">
        <f>I138*'GS&gt;50 PW'!$B$10</f>
        <v>-490.229213261479</v>
      </c>
      <c r="Q138" s="29">
        <f>J138*'GS&gt;50 PW'!$B$11</f>
        <v>0</v>
      </c>
      <c r="R138" s="164">
        <f>'Customer Count'!K53</f>
        <v>1004.0688491852042</v>
      </c>
      <c r="S138" s="46">
        <f t="shared" si="19"/>
        <v>31</v>
      </c>
      <c r="T138" s="28">
        <f t="shared" ca="1" si="23"/>
        <v>72385516.630108222</v>
      </c>
    </row>
    <row r="139" spans="1:23" x14ac:dyDescent="0.2">
      <c r="A139" s="45">
        <v>44348</v>
      </c>
      <c r="B139" s="29">
        <f t="shared" si="21"/>
        <v>2021</v>
      </c>
      <c r="C139" s="29">
        <f t="shared" si="22"/>
        <v>6</v>
      </c>
      <c r="E139" s="44"/>
      <c r="F139" s="46">
        <f t="shared" ca="1" si="20"/>
        <v>2.7299999999999995</v>
      </c>
      <c r="G139" s="46">
        <f t="shared" ca="1" si="20"/>
        <v>145.17999999999998</v>
      </c>
      <c r="H139" s="29">
        <f>Economic!C151</f>
        <v>735028.76679660007</v>
      </c>
      <c r="I139" s="46">
        <f t="shared" si="17"/>
        <v>138</v>
      </c>
      <c r="J139" s="46">
        <f t="shared" si="18"/>
        <v>0</v>
      </c>
      <c r="L139" s="29">
        <f>'GS&gt;50 PW'!$B$6</f>
        <v>556.26088485683897</v>
      </c>
      <c r="M139" s="29">
        <f ca="1">F139*'GS&gt;50 PW'!$B$7</f>
        <v>1.2427237589927158</v>
      </c>
      <c r="N139" s="29">
        <f ca="1">G139*'GS&gt;50 PW'!$B$8</f>
        <v>224.72647295640229</v>
      </c>
      <c r="O139" s="29">
        <f>H139*'GS&gt;50 PW'!$B$9</f>
        <v>2149.8268225500533</v>
      </c>
      <c r="P139" s="29">
        <f>I139*'GS&gt;50 PW'!$B$10</f>
        <v>-493.80752868674529</v>
      </c>
      <c r="Q139" s="29">
        <f>J139*'GS&gt;50 PW'!$B$11</f>
        <v>0</v>
      </c>
      <c r="R139" s="164">
        <f>'Customer Count'!K54</f>
        <v>1003.9687010885175</v>
      </c>
      <c r="S139" s="46">
        <f t="shared" si="19"/>
        <v>30</v>
      </c>
      <c r="T139" s="28">
        <f t="shared" ca="1" si="23"/>
        <v>73437781.751577303</v>
      </c>
    </row>
    <row r="140" spans="1:23" x14ac:dyDescent="0.2">
      <c r="A140" s="45">
        <v>44378</v>
      </c>
      <c r="B140" s="29">
        <f t="shared" si="21"/>
        <v>2021</v>
      </c>
      <c r="C140" s="29">
        <f t="shared" si="22"/>
        <v>7</v>
      </c>
      <c r="E140" s="44"/>
      <c r="F140" s="46">
        <f t="shared" ca="1" si="20"/>
        <v>0</v>
      </c>
      <c r="G140" s="46">
        <f t="shared" ca="1" si="20"/>
        <v>268.18999999999994</v>
      </c>
      <c r="H140" s="29">
        <f>Economic!C152</f>
        <v>735028.76679660007</v>
      </c>
      <c r="I140" s="46">
        <f t="shared" si="17"/>
        <v>139</v>
      </c>
      <c r="J140" s="46">
        <f t="shared" si="18"/>
        <v>0</v>
      </c>
      <c r="L140" s="29">
        <f>'GS&gt;50 PW'!$B$6</f>
        <v>556.26088485683897</v>
      </c>
      <c r="M140" s="29">
        <f ca="1">F140*'GS&gt;50 PW'!$B$7</f>
        <v>0</v>
      </c>
      <c r="N140" s="29">
        <f ca="1">G140*'GS&gt;50 PW'!$B$8</f>
        <v>415.13564390534179</v>
      </c>
      <c r="O140" s="29">
        <f>H140*'GS&gt;50 PW'!$B$9</f>
        <v>2149.8268225500533</v>
      </c>
      <c r="P140" s="29">
        <f>I140*'GS&gt;50 PW'!$B$10</f>
        <v>-497.38584411201157</v>
      </c>
      <c r="Q140" s="29">
        <f>J140*'GS&gt;50 PW'!$B$11</f>
        <v>0</v>
      </c>
      <c r="R140" s="164">
        <f>'Customer Count'!K55</f>
        <v>1003.8685629808284</v>
      </c>
      <c r="S140" s="46">
        <f t="shared" si="19"/>
        <v>31</v>
      </c>
      <c r="T140" s="28">
        <f t="shared" ca="1" si="23"/>
        <v>81653627.623296887</v>
      </c>
    </row>
    <row r="141" spans="1:23" x14ac:dyDescent="0.2">
      <c r="A141" s="45">
        <v>44409</v>
      </c>
      <c r="B141" s="29">
        <f t="shared" si="21"/>
        <v>2021</v>
      </c>
      <c r="C141" s="29">
        <f t="shared" si="22"/>
        <v>8</v>
      </c>
      <c r="E141" s="44"/>
      <c r="F141" s="46">
        <f t="shared" ca="1" si="20"/>
        <v>0</v>
      </c>
      <c r="G141" s="46">
        <f t="shared" ca="1" si="20"/>
        <v>239.59000000000006</v>
      </c>
      <c r="H141" s="29">
        <f>Economic!C153</f>
        <v>735028.76679660007</v>
      </c>
      <c r="I141" s="46">
        <f t="shared" si="17"/>
        <v>140</v>
      </c>
      <c r="J141" s="46">
        <f t="shared" si="18"/>
        <v>0</v>
      </c>
      <c r="L141" s="29">
        <f>'GS&gt;50 PW'!$B$6</f>
        <v>556.26088485683897</v>
      </c>
      <c r="M141" s="29">
        <f ca="1">F141*'GS&gt;50 PW'!$B$7</f>
        <v>0</v>
      </c>
      <c r="N141" s="29">
        <f ca="1">G141*'GS&gt;50 PW'!$B$8</f>
        <v>370.86524077437969</v>
      </c>
      <c r="O141" s="29">
        <f>H141*'GS&gt;50 PW'!$B$9</f>
        <v>2149.8268225500533</v>
      </c>
      <c r="P141" s="29">
        <f>I141*'GS&gt;50 PW'!$B$10</f>
        <v>-500.96415953727779</v>
      </c>
      <c r="Q141" s="29">
        <f>J141*'GS&gt;50 PW'!$B$11</f>
        <v>0</v>
      </c>
      <c r="R141" s="164">
        <f>'Customer Count'!K56</f>
        <v>1003.7684348611406</v>
      </c>
      <c r="S141" s="46">
        <f t="shared" si="19"/>
        <v>31</v>
      </c>
      <c r="T141" s="28">
        <f t="shared" ca="1" si="23"/>
        <v>80156583.272507846</v>
      </c>
    </row>
    <row r="142" spans="1:23" x14ac:dyDescent="0.2">
      <c r="A142" s="45">
        <v>44440</v>
      </c>
      <c r="B142" s="29">
        <f t="shared" si="21"/>
        <v>2021</v>
      </c>
      <c r="C142" s="29">
        <f t="shared" si="22"/>
        <v>9</v>
      </c>
      <c r="E142" s="44"/>
      <c r="F142" s="46">
        <f t="shared" ref="F142:G145" ca="1" si="24">F130</f>
        <v>5.2099999999999991</v>
      </c>
      <c r="G142" s="46">
        <f t="shared" ca="1" si="24"/>
        <v>132.95000000000002</v>
      </c>
      <c r="H142" s="29">
        <f>Economic!C154</f>
        <v>735028.76679660007</v>
      </c>
      <c r="I142" s="46">
        <f t="shared" si="17"/>
        <v>141</v>
      </c>
      <c r="J142" s="46">
        <f t="shared" si="18"/>
        <v>0</v>
      </c>
      <c r="L142" s="29">
        <f>'GS&gt;50 PW'!$B$6</f>
        <v>556.26088485683897</v>
      </c>
      <c r="M142" s="29">
        <f ca="1">F142*'GS&gt;50 PW'!$B$7</f>
        <v>2.3716449759531315</v>
      </c>
      <c r="N142" s="29">
        <f ca="1">G142*'GS&gt;50 PW'!$B$8</f>
        <v>205.79545791123908</v>
      </c>
      <c r="O142" s="29">
        <f>H142*'GS&gt;50 PW'!$B$9</f>
        <v>2149.8268225500533</v>
      </c>
      <c r="P142" s="29">
        <f>I142*'GS&gt;50 PW'!$B$10</f>
        <v>-504.54247496254408</v>
      </c>
      <c r="Q142" s="29">
        <f>J142*'GS&gt;50 PW'!$B$11</f>
        <v>0</v>
      </c>
      <c r="R142" s="164">
        <f>'Customer Count'!K57</f>
        <v>1003.6683167284577</v>
      </c>
      <c r="S142" s="46">
        <f t="shared" si="19"/>
        <v>30</v>
      </c>
      <c r="T142" s="28">
        <f t="shared" ca="1" si="23"/>
        <v>72556557.702060238</v>
      </c>
    </row>
    <row r="143" spans="1:23" x14ac:dyDescent="0.2">
      <c r="A143" s="45">
        <v>44470</v>
      </c>
      <c r="B143" s="29">
        <f t="shared" si="21"/>
        <v>2021</v>
      </c>
      <c r="C143" s="29">
        <f t="shared" si="22"/>
        <v>10</v>
      </c>
      <c r="E143" s="44"/>
      <c r="F143" s="46">
        <f t="shared" ca="1" si="24"/>
        <v>90.66</v>
      </c>
      <c r="G143" s="46">
        <f t="shared" ca="1" si="24"/>
        <v>27.9</v>
      </c>
      <c r="H143" s="29">
        <f>Economic!C155</f>
        <v>735028.76679660007</v>
      </c>
      <c r="I143" s="46">
        <f t="shared" si="17"/>
        <v>142</v>
      </c>
      <c r="J143" s="46">
        <f t="shared" si="18"/>
        <v>0</v>
      </c>
      <c r="L143" s="29">
        <f>'GS&gt;50 PW'!$B$6</f>
        <v>556.26088485683897</v>
      </c>
      <c r="M143" s="29">
        <f ca="1">F143*'GS&gt;50 PW'!$B$7</f>
        <v>41.269353842593269</v>
      </c>
      <c r="N143" s="29">
        <f ca="1">G143*'GS&gt;50 PW'!$B$8</f>
        <v>43.186861795589088</v>
      </c>
      <c r="O143" s="29">
        <f>H143*'GS&gt;50 PW'!$B$9</f>
        <v>2149.8268225500533</v>
      </c>
      <c r="P143" s="29">
        <f>I143*'GS&gt;50 PW'!$B$10</f>
        <v>-508.12079038781036</v>
      </c>
      <c r="Q143" s="29">
        <f>J143*'GS&gt;50 PW'!$B$11</f>
        <v>0</v>
      </c>
      <c r="R143" s="164">
        <f>'Customer Count'!K58</f>
        <v>1003.5682085817838</v>
      </c>
      <c r="S143" s="46">
        <f t="shared" si="19"/>
        <v>31</v>
      </c>
      <c r="T143" s="28">
        <f t="shared" ca="1" si="23"/>
        <v>71007586.12846069</v>
      </c>
    </row>
    <row r="144" spans="1:23" x14ac:dyDescent="0.2">
      <c r="A144" s="45">
        <v>44501</v>
      </c>
      <c r="B144" s="29">
        <f t="shared" si="21"/>
        <v>2021</v>
      </c>
      <c r="C144" s="29">
        <f t="shared" si="22"/>
        <v>11</v>
      </c>
      <c r="E144" s="44"/>
      <c r="F144" s="46">
        <f t="shared" ca="1" si="24"/>
        <v>264.88</v>
      </c>
      <c r="G144" s="46">
        <f t="shared" ca="1" si="24"/>
        <v>0.69000000000000006</v>
      </c>
      <c r="H144" s="29">
        <f>Economic!C156</f>
        <v>735028.76679660007</v>
      </c>
      <c r="I144" s="46">
        <f t="shared" si="17"/>
        <v>143</v>
      </c>
      <c r="J144" s="46">
        <f t="shared" si="18"/>
        <v>0</v>
      </c>
      <c r="L144" s="29">
        <f>'GS&gt;50 PW'!$B$6</f>
        <v>556.26088485683897</v>
      </c>
      <c r="M144" s="29">
        <f ca="1">F144*'GS&gt;50 PW'!$B$7</f>
        <v>120.5760693340625</v>
      </c>
      <c r="N144" s="29">
        <f ca="1">G144*'GS&gt;50 PW'!$B$8</f>
        <v>1.0680621734393003</v>
      </c>
      <c r="O144" s="29">
        <f>H144*'GS&gt;50 PW'!$B$9</f>
        <v>2149.8268225500533</v>
      </c>
      <c r="P144" s="29">
        <f>I144*'GS&gt;50 PW'!$B$10</f>
        <v>-511.69910581307664</v>
      </c>
      <c r="Q144" s="29">
        <f>J144*'GS&gt;50 PW'!$B$11</f>
        <v>0</v>
      </c>
      <c r="R144" s="164">
        <f>'Customer Count'!K59</f>
        <v>1003.4681104201226</v>
      </c>
      <c r="S144" s="46">
        <f t="shared" si="19"/>
        <v>30</v>
      </c>
      <c r="T144" s="28">
        <f t="shared" ca="1" si="23"/>
        <v>69721949.710689917</v>
      </c>
    </row>
    <row r="145" spans="1:20" x14ac:dyDescent="0.2">
      <c r="A145" s="45">
        <v>44531</v>
      </c>
      <c r="B145" s="29">
        <f t="shared" si="21"/>
        <v>2021</v>
      </c>
      <c r="C145" s="29">
        <f t="shared" si="22"/>
        <v>12</v>
      </c>
      <c r="E145" s="44"/>
      <c r="F145" s="46">
        <f t="shared" ca="1" si="24"/>
        <v>413.65</v>
      </c>
      <c r="G145" s="46">
        <f t="shared" ca="1" si="24"/>
        <v>0</v>
      </c>
      <c r="H145" s="29">
        <f>Economic!C157</f>
        <v>735028.76679660007</v>
      </c>
      <c r="I145" s="46">
        <f t="shared" si="17"/>
        <v>144</v>
      </c>
      <c r="J145" s="46">
        <f t="shared" si="18"/>
        <v>1</v>
      </c>
      <c r="L145" s="29">
        <f>'GS&gt;50 PW'!$B$6</f>
        <v>556.26088485683897</v>
      </c>
      <c r="M145" s="29">
        <f ca="1">F145*'GS&gt;50 PW'!$B$7</f>
        <v>188.29768604664358</v>
      </c>
      <c r="N145" s="29">
        <f ca="1">G145*'GS&gt;50 PW'!$B$8</f>
        <v>0</v>
      </c>
      <c r="O145" s="29">
        <f>H145*'GS&gt;50 PW'!$B$9</f>
        <v>2149.8268225500533</v>
      </c>
      <c r="P145" s="29">
        <f>I145*'GS&gt;50 PW'!$B$10</f>
        <v>-515.27742123834287</v>
      </c>
      <c r="Q145" s="29">
        <f>J145*'GS&gt;50 PW'!$B$11</f>
        <v>-107.242128303215</v>
      </c>
      <c r="R145" s="164">
        <f>'Customer Count'!K60</f>
        <v>1003.3680222424783</v>
      </c>
      <c r="S145" s="46">
        <f t="shared" si="19"/>
        <v>31</v>
      </c>
      <c r="T145" s="28">
        <f t="shared" ca="1" si="23"/>
        <v>70665043.696792215</v>
      </c>
    </row>
    <row r="146" spans="1:20" x14ac:dyDescent="0.2">
      <c r="A146" s="45"/>
    </row>
    <row r="147" spans="1:20" x14ac:dyDescent="0.2">
      <c r="A147" s="45"/>
    </row>
    <row r="148" spans="1:20" x14ac:dyDescent="0.2">
      <c r="A148" s="45"/>
    </row>
    <row r="149" spans="1:20" x14ac:dyDescent="0.2">
      <c r="A149" s="45"/>
    </row>
    <row r="150" spans="1:20" x14ac:dyDescent="0.2">
      <c r="A150" s="45"/>
    </row>
    <row r="151" spans="1:20" x14ac:dyDescent="0.2">
      <c r="A151" s="45"/>
    </row>
    <row r="152" spans="1:20" x14ac:dyDescent="0.2">
      <c r="A152" s="45"/>
    </row>
    <row r="153" spans="1:20" x14ac:dyDescent="0.2">
      <c r="A153" s="45"/>
    </row>
    <row r="154" spans="1:20" x14ac:dyDescent="0.2">
      <c r="A154" s="45"/>
    </row>
    <row r="155" spans="1:20" x14ac:dyDescent="0.2">
      <c r="A155" s="45"/>
    </row>
    <row r="156" spans="1:20" x14ac:dyDescent="0.2">
      <c r="A156" s="45"/>
    </row>
    <row r="157" spans="1:20" x14ac:dyDescent="0.2">
      <c r="A157" s="45"/>
    </row>
    <row r="158" spans="1:20" x14ac:dyDescent="0.2">
      <c r="A158" s="45"/>
    </row>
    <row r="159" spans="1:20" x14ac:dyDescent="0.2">
      <c r="A159" s="45"/>
    </row>
    <row r="160" spans="1:20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1">
    <tabColor rgb="FFFF0000"/>
  </sheetPr>
  <dimension ref="A2:AQ16"/>
  <sheetViews>
    <sheetView workbookViewId="0">
      <selection activeCell="H15" sqref="H15"/>
    </sheetView>
  </sheetViews>
  <sheetFormatPr defaultRowHeight="12.75" x14ac:dyDescent="0.2"/>
  <cols>
    <col min="3" max="5" width="13" bestFit="1" customWidth="1"/>
    <col min="6" max="6" width="5" customWidth="1"/>
    <col min="7" max="7" width="13.83203125" customWidth="1"/>
    <col min="8" max="8" width="13" customWidth="1"/>
    <col min="9" max="9" width="15.33203125" customWidth="1"/>
    <col min="10" max="10" width="11.1640625" bestFit="1" customWidth="1"/>
    <col min="11" max="11" width="7.6640625" customWidth="1"/>
    <col min="12" max="12" width="14.83203125" customWidth="1"/>
    <col min="13" max="14" width="13" bestFit="1" customWidth="1"/>
    <col min="15" max="15" width="3.83203125" customWidth="1"/>
    <col min="16" max="18" width="13" bestFit="1" customWidth="1"/>
    <col min="19" max="19" width="11.33203125" customWidth="1"/>
    <col min="20" max="20" width="5.83203125" bestFit="1" customWidth="1"/>
    <col min="21" max="21" width="14.83203125" customWidth="1"/>
    <col min="22" max="22" width="12.33203125" customWidth="1"/>
    <col min="23" max="23" width="13" bestFit="1" customWidth="1"/>
    <col min="24" max="24" width="3.33203125" customWidth="1"/>
    <col min="25" max="25" width="13" bestFit="1" customWidth="1"/>
    <col min="26" max="26" width="12.33203125" customWidth="1"/>
    <col min="27" max="27" width="13" bestFit="1" customWidth="1"/>
    <col min="28" max="28" width="12.1640625" bestFit="1" customWidth="1"/>
    <col min="29" max="29" width="14.1640625" bestFit="1" customWidth="1"/>
    <col min="30" max="30" width="11.5" customWidth="1"/>
    <col min="31" max="31" width="11.83203125" customWidth="1"/>
    <col min="32" max="32" width="12" customWidth="1"/>
    <col min="33" max="33" width="9.6640625" customWidth="1"/>
    <col min="34" max="34" width="11.33203125" customWidth="1"/>
    <col min="35" max="35" width="13.33203125" customWidth="1"/>
    <col min="36" max="36" width="12" customWidth="1"/>
    <col min="37" max="37" width="11.83203125" customWidth="1"/>
    <col min="40" max="40" width="14.5" customWidth="1"/>
    <col min="41" max="41" width="13.33203125" bestFit="1" customWidth="1"/>
    <col min="42" max="42" width="12.6640625" customWidth="1"/>
    <col min="43" max="43" width="10.6640625" bestFit="1" customWidth="1"/>
  </cols>
  <sheetData>
    <row r="2" spans="1:43" x14ac:dyDescent="0.2">
      <c r="B2" s="260" t="s">
        <v>111</v>
      </c>
      <c r="C2" s="260"/>
      <c r="D2" s="260"/>
      <c r="E2" s="260"/>
      <c r="F2" s="260"/>
      <c r="G2" s="260"/>
      <c r="H2" s="260"/>
      <c r="I2" s="260"/>
      <c r="K2" s="260" t="s">
        <v>124</v>
      </c>
      <c r="L2" s="260"/>
      <c r="M2" s="260"/>
      <c r="N2" s="260"/>
      <c r="O2" s="260"/>
      <c r="P2" s="260"/>
      <c r="Q2" s="260"/>
      <c r="R2" s="260"/>
      <c r="T2" s="260" t="s">
        <v>125</v>
      </c>
      <c r="U2" s="260"/>
      <c r="V2" s="260"/>
      <c r="W2" s="260"/>
      <c r="X2" s="260"/>
      <c r="Y2" s="260"/>
      <c r="Z2" s="260"/>
      <c r="AA2" s="260"/>
      <c r="AC2" s="260" t="s">
        <v>138</v>
      </c>
      <c r="AD2" s="260"/>
      <c r="AE2" s="260"/>
      <c r="AF2" s="260"/>
      <c r="AG2" s="260"/>
      <c r="AH2" s="260"/>
      <c r="AI2" s="260"/>
      <c r="AJ2" s="260"/>
      <c r="AK2" s="260"/>
      <c r="AM2" s="260" t="s">
        <v>45</v>
      </c>
      <c r="AN2" s="260"/>
      <c r="AO2" s="260"/>
      <c r="AP2" s="260"/>
      <c r="AQ2" s="260"/>
    </row>
    <row r="3" spans="1:43" ht="38.25" x14ac:dyDescent="0.2">
      <c r="B3" s="64" t="s">
        <v>0</v>
      </c>
      <c r="C3" s="64" t="s">
        <v>112</v>
      </c>
      <c r="D3" s="64" t="s">
        <v>113</v>
      </c>
      <c r="E3" s="64" t="s">
        <v>114</v>
      </c>
      <c r="F3" s="64"/>
      <c r="G3" s="64" t="s">
        <v>137</v>
      </c>
      <c r="H3" s="64" t="s">
        <v>113</v>
      </c>
      <c r="I3" s="64" t="s">
        <v>116</v>
      </c>
      <c r="K3" s="64" t="s">
        <v>0</v>
      </c>
      <c r="L3" s="64" t="s">
        <v>112</v>
      </c>
      <c r="M3" s="64" t="s">
        <v>113</v>
      </c>
      <c r="N3" s="64" t="s">
        <v>114</v>
      </c>
      <c r="O3" s="64"/>
      <c r="P3" s="64" t="s">
        <v>247</v>
      </c>
      <c r="Q3" s="64" t="s">
        <v>113</v>
      </c>
      <c r="R3" s="64" t="s">
        <v>116</v>
      </c>
      <c r="T3" s="64" t="s">
        <v>0</v>
      </c>
      <c r="U3" s="64" t="s">
        <v>112</v>
      </c>
      <c r="V3" s="64" t="s">
        <v>113</v>
      </c>
      <c r="W3" s="64" t="s">
        <v>114</v>
      </c>
      <c r="X3" s="64"/>
      <c r="Y3" s="64" t="s">
        <v>137</v>
      </c>
      <c r="Z3" s="64" t="s">
        <v>113</v>
      </c>
      <c r="AA3" s="64" t="s">
        <v>116</v>
      </c>
      <c r="AC3" s="65" t="s">
        <v>0</v>
      </c>
      <c r="AD3" s="64" t="s">
        <v>112</v>
      </c>
      <c r="AE3" s="64" t="s">
        <v>113</v>
      </c>
      <c r="AF3" s="64" t="s">
        <v>114</v>
      </c>
      <c r="AG3" s="64" t="s">
        <v>139</v>
      </c>
      <c r="AH3" s="64" t="s">
        <v>140</v>
      </c>
      <c r="AI3" s="64" t="s">
        <v>115</v>
      </c>
      <c r="AJ3" s="64" t="s">
        <v>113</v>
      </c>
      <c r="AK3" s="64" t="s">
        <v>116</v>
      </c>
      <c r="AM3" s="65" t="s">
        <v>0</v>
      </c>
      <c r="AN3" s="65" t="s">
        <v>112</v>
      </c>
      <c r="AO3" s="65" t="s">
        <v>145</v>
      </c>
      <c r="AP3" s="64" t="s">
        <v>140</v>
      </c>
      <c r="AQ3" s="64" t="s">
        <v>146</v>
      </c>
    </row>
    <row r="4" spans="1:43" x14ac:dyDescent="0.2">
      <c r="B4" s="65"/>
      <c r="C4" s="65" t="s">
        <v>117</v>
      </c>
      <c r="D4" s="65" t="s">
        <v>118</v>
      </c>
      <c r="E4" s="65" t="s">
        <v>119</v>
      </c>
      <c r="F4" s="65"/>
      <c r="G4" s="65" t="s">
        <v>120</v>
      </c>
      <c r="H4" s="65" t="s">
        <v>121</v>
      </c>
      <c r="I4" s="65" t="s">
        <v>122</v>
      </c>
      <c r="K4" s="65"/>
      <c r="L4" s="65" t="s">
        <v>117</v>
      </c>
      <c r="M4" s="65" t="s">
        <v>118</v>
      </c>
      <c r="N4" s="65" t="s">
        <v>119</v>
      </c>
      <c r="O4" s="65"/>
      <c r="P4" s="65" t="s">
        <v>120</v>
      </c>
      <c r="Q4" s="65" t="s">
        <v>121</v>
      </c>
      <c r="R4" s="65" t="s">
        <v>122</v>
      </c>
      <c r="T4" s="65"/>
      <c r="U4" s="65" t="s">
        <v>117</v>
      </c>
      <c r="V4" s="65" t="s">
        <v>118</v>
      </c>
      <c r="W4" s="65" t="s">
        <v>119</v>
      </c>
      <c r="X4" s="65"/>
      <c r="Y4" s="65" t="s">
        <v>120</v>
      </c>
      <c r="Z4" s="65" t="s">
        <v>121</v>
      </c>
      <c r="AA4" s="65" t="s">
        <v>122</v>
      </c>
      <c r="AC4" s="65"/>
      <c r="AD4" s="65" t="s">
        <v>117</v>
      </c>
      <c r="AE4" s="65" t="s">
        <v>118</v>
      </c>
      <c r="AF4" s="65" t="s">
        <v>119</v>
      </c>
      <c r="AG4" s="65" t="s">
        <v>120</v>
      </c>
      <c r="AH4" s="65" t="s">
        <v>141</v>
      </c>
      <c r="AI4" s="65" t="s">
        <v>142</v>
      </c>
      <c r="AJ4" s="65" t="s">
        <v>143</v>
      </c>
      <c r="AK4" s="65" t="s">
        <v>144</v>
      </c>
      <c r="AM4" s="65"/>
      <c r="AN4" s="65"/>
      <c r="AO4" s="65"/>
      <c r="AP4" s="65"/>
      <c r="AQ4" s="65"/>
    </row>
    <row r="5" spans="1:43" x14ac:dyDescent="0.2">
      <c r="B5" s="66">
        <v>2010</v>
      </c>
      <c r="C5" s="67">
        <f>SUMIF('Monthly Data'!$B:$B,B5,'Monthly Data'!C:C)</f>
        <v>556896336</v>
      </c>
      <c r="D5" s="67">
        <f>SUMIF('Monthly Data'!$B:$B,B5,'Monthly Data'!D:D)</f>
        <v>0</v>
      </c>
      <c r="E5" s="67">
        <f t="shared" ref="E5:E13" si="0">C5+D5</f>
        <v>556896336</v>
      </c>
      <c r="F5" s="67"/>
      <c r="G5" s="67">
        <f ca="1">SUMIF('Res Normalized Monthly Avg'!$B:$B,B5,'Res Normalized Monthly Avg'!$S:$S)</f>
        <v>548717332.00524092</v>
      </c>
      <c r="H5" s="67">
        <f t="shared" ref="H5:H14" si="1">D5</f>
        <v>0</v>
      </c>
      <c r="I5" s="67">
        <f t="shared" ref="I5:I13" ca="1" si="2">G5-H5</f>
        <v>548717332.00524092</v>
      </c>
      <c r="K5" s="66">
        <v>2010</v>
      </c>
      <c r="L5" s="67">
        <f>SUMIF('Monthly Data'!$B:$B,K5,'Monthly Data'!G:G)</f>
        <v>172200325</v>
      </c>
      <c r="M5" s="67">
        <f>SUMIF('Monthly Data'!$B:$B,K5,'Monthly Data'!I:I)</f>
        <v>0</v>
      </c>
      <c r="N5" s="67">
        <f t="shared" ref="N5:N13" si="3">L5+M5</f>
        <v>172200325</v>
      </c>
      <c r="O5" s="67"/>
      <c r="P5" s="67">
        <f ca="1">SUMIF('GS&lt;50 Normalized Monthly Avg'!$B:$B,K5,'GS&lt;50 Normalized Monthly Avg'!S:$S)</f>
        <v>172696984.436553</v>
      </c>
      <c r="Q5" s="67">
        <f t="shared" ref="Q5:Q14" si="4">M5</f>
        <v>0</v>
      </c>
      <c r="R5" s="67">
        <f t="shared" ref="R5:R9" ca="1" si="5">P5-Q5</f>
        <v>172696984.436553</v>
      </c>
      <c r="T5" s="66">
        <v>2010</v>
      </c>
      <c r="U5" s="67">
        <f>SUMIF('Monthly Data'!$B:$B,T5,'Monthly Data'!K:K)</f>
        <v>906197008</v>
      </c>
      <c r="V5" s="67">
        <f>SUMIF('Monthly Data'!$B:$B,T5,'Monthly Data'!L:L)</f>
        <v>0</v>
      </c>
      <c r="W5" s="67">
        <f t="shared" ref="W5:W13" si="6">U5+V5</f>
        <v>906197008</v>
      </c>
      <c r="X5" s="67"/>
      <c r="Y5" s="67">
        <f ca="1">SUMIF('GS&gt;50 Normalized Monthly Avg'!$B:$B,T5,'GS&gt;50 Normalized Monthly Avg'!$T:$T)</f>
        <v>913114003.67856932</v>
      </c>
      <c r="Z5" s="67">
        <f t="shared" ref="Z5:Z14" si="7">V5</f>
        <v>0</v>
      </c>
      <c r="AA5" s="67">
        <f t="shared" ref="AA5:AA13" ca="1" si="8">Y5-Z5</f>
        <v>913114003.67856932</v>
      </c>
      <c r="AC5" s="66">
        <v>2010</v>
      </c>
      <c r="AD5" s="67">
        <f>SUMIF('Monthly Data'!$B:$B,AC5,'Monthly Data'!P:P)</f>
        <v>9467387</v>
      </c>
      <c r="AE5" s="67">
        <f>SUMIF('Monthly Data'!$B:$B,U5,'Monthly Data'!W:W)</f>
        <v>0</v>
      </c>
      <c r="AF5" s="67">
        <f t="shared" ref="AF5:AF13" si="9">AD5+AE5</f>
        <v>9467387</v>
      </c>
      <c r="AG5" s="67">
        <f>'Customer Count'!O4</f>
        <v>14651.833333333334</v>
      </c>
      <c r="AH5" s="67">
        <f t="shared" ref="AH5:AH13" si="10">AF5/AG5</f>
        <v>646.15715894484197</v>
      </c>
      <c r="AI5" s="67">
        <f t="shared" ref="AI5:AI16" si="11">AH5*AG5</f>
        <v>9467387</v>
      </c>
      <c r="AJ5" s="67">
        <f t="shared" ref="AJ5:AJ12" si="12">AE5</f>
        <v>0</v>
      </c>
      <c r="AK5" s="67">
        <f t="shared" ref="AK5:AK16" si="13">AI5-AJ5</f>
        <v>9467387</v>
      </c>
      <c r="AM5" s="66">
        <v>2010</v>
      </c>
      <c r="AN5" s="67">
        <f>SUMIF('Monthly Data'!$B:$B,AM5,'Monthly Data'!S:S)</f>
        <v>3512551</v>
      </c>
      <c r="AO5" s="67">
        <f>'Customer Count'!S4</f>
        <v>603.58333333333337</v>
      </c>
      <c r="AP5" s="67">
        <f t="shared" ref="AP5:AP13" si="14">AN5/AO5</f>
        <v>5819.4963412950428</v>
      </c>
      <c r="AQ5" s="67">
        <f t="shared" ref="AQ5:AQ11" si="15">AP5*AO5</f>
        <v>3512551</v>
      </c>
    </row>
    <row r="6" spans="1:43" x14ac:dyDescent="0.2">
      <c r="B6" s="66">
        <f t="shared" ref="B6:B16" si="16">B5+1</f>
        <v>2011</v>
      </c>
      <c r="C6" s="67">
        <f>SUMIF('Monthly Data'!$B:$B,B6,'Monthly Data'!C:C)</f>
        <v>551353006</v>
      </c>
      <c r="D6" s="67">
        <f>SUMIF('Monthly Data'!$B:$B,B6,'Monthly Data'!D:D)</f>
        <v>1088909.7137678163</v>
      </c>
      <c r="E6" s="67">
        <f t="shared" si="0"/>
        <v>552441915.71376777</v>
      </c>
      <c r="F6" s="67"/>
      <c r="G6" s="67">
        <f ca="1">SUMIF('Res Normalized Monthly Avg'!$B:$B,B6,'Res Normalized Monthly Avg'!$S:$S)</f>
        <v>553723616.91967034</v>
      </c>
      <c r="H6" s="67">
        <f t="shared" si="1"/>
        <v>1088909.7137678163</v>
      </c>
      <c r="I6" s="67">
        <f t="shared" ca="1" si="2"/>
        <v>552634707.20590258</v>
      </c>
      <c r="K6" s="66">
        <f t="shared" ref="K6:K16" si="17">K5+1</f>
        <v>2011</v>
      </c>
      <c r="L6" s="67">
        <f>SUMIF('Monthly Data'!$B:$B,K6,'Monthly Data'!G:G)</f>
        <v>174484065</v>
      </c>
      <c r="M6" s="67">
        <f>SUMIF('Monthly Data'!$B:$B,K6,'Monthly Data'!I:I)</f>
        <v>554800.01924330916</v>
      </c>
      <c r="N6" s="67">
        <f t="shared" si="3"/>
        <v>175038865.0192433</v>
      </c>
      <c r="O6" s="67"/>
      <c r="P6" s="67">
        <f ca="1">SUMIF('GS&lt;50 Normalized Monthly Avg'!$B:$B,K6,'GS&lt;50 Normalized Monthly Avg'!S:$S)</f>
        <v>175362335.00548026</v>
      </c>
      <c r="Q6" s="67">
        <f t="shared" si="4"/>
        <v>554800.01924330916</v>
      </c>
      <c r="R6" s="67">
        <f t="shared" ca="1" si="5"/>
        <v>174807534.98623696</v>
      </c>
      <c r="T6" s="66">
        <f t="shared" ref="T6:T16" si="18">T5+1</f>
        <v>2011</v>
      </c>
      <c r="U6" s="67">
        <f>SUMIF('Monthly Data'!$B:$B,T6,'Monthly Data'!K:K)</f>
        <v>908229110</v>
      </c>
      <c r="V6" s="67">
        <f>SUMIF('Monthly Data'!$B:$B,T6,'Monthly Data'!L:L)</f>
        <v>2219413.1132290224</v>
      </c>
      <c r="W6" s="67">
        <f t="shared" si="6"/>
        <v>910448523.11322904</v>
      </c>
      <c r="X6" s="67"/>
      <c r="Y6" s="67">
        <f ca="1">SUMIF('GS&gt;50 Normalized Monthly Avg'!$B:$B,T6,'GS&gt;50 Normalized Monthly Avg'!$T:$T)</f>
        <v>907004598.52749944</v>
      </c>
      <c r="Z6" s="67">
        <f t="shared" si="7"/>
        <v>2219413.1132290224</v>
      </c>
      <c r="AA6" s="67">
        <f t="shared" ca="1" si="8"/>
        <v>904785185.4142704</v>
      </c>
      <c r="AC6" s="66">
        <f t="shared" ref="AC6:AC16" si="19">AC5+1</f>
        <v>2011</v>
      </c>
      <c r="AD6" s="67">
        <f>SUMIF('Monthly Data'!$B:$B,AC6,'Monthly Data'!P:P)</f>
        <v>9847280</v>
      </c>
      <c r="AE6" s="67">
        <f>SUMIF('Monthly Data'!$B:$B,U6,'Monthly Data'!W:W)</f>
        <v>0</v>
      </c>
      <c r="AF6" s="67">
        <f t="shared" si="9"/>
        <v>9847280</v>
      </c>
      <c r="AG6" s="67">
        <f>'Customer Count'!O5</f>
        <v>15024</v>
      </c>
      <c r="AH6" s="67">
        <f t="shared" si="10"/>
        <v>655.43663471778484</v>
      </c>
      <c r="AI6" s="67">
        <f t="shared" si="11"/>
        <v>9847280</v>
      </c>
      <c r="AJ6" s="67">
        <f t="shared" si="12"/>
        <v>0</v>
      </c>
      <c r="AK6" s="67">
        <f t="shared" si="13"/>
        <v>9847280</v>
      </c>
      <c r="AL6" s="201"/>
      <c r="AM6" s="66">
        <f t="shared" ref="AM6:AM16" si="20">AM5+1</f>
        <v>2011</v>
      </c>
      <c r="AN6" s="67">
        <f>SUMIF('Monthly Data'!$B:$B,AM6,'Monthly Data'!S:S)</f>
        <v>3296779</v>
      </c>
      <c r="AO6" s="67">
        <f>'Customer Count'!S5</f>
        <v>603.83333333333337</v>
      </c>
      <c r="AP6" s="67">
        <f t="shared" si="14"/>
        <v>5459.7499309964114</v>
      </c>
      <c r="AQ6" s="67">
        <f t="shared" si="15"/>
        <v>3296779</v>
      </c>
    </row>
    <row r="7" spans="1:43" x14ac:dyDescent="0.2">
      <c r="B7" s="66">
        <f t="shared" si="16"/>
        <v>2012</v>
      </c>
      <c r="C7" s="67">
        <f>SUMIF('Monthly Data'!$B:$B,B7,'Monthly Data'!C:C)</f>
        <v>551839571</v>
      </c>
      <c r="D7" s="67">
        <f>SUMIF('Monthly Data'!$B:$B,B7,'Monthly Data'!D:D)</f>
        <v>2905438.7671886571</v>
      </c>
      <c r="E7" s="67">
        <f t="shared" si="0"/>
        <v>554745009.76718867</v>
      </c>
      <c r="F7" s="67"/>
      <c r="G7" s="67">
        <f ca="1">SUMIF('Res Normalized Monthly Avg'!$B:$B,B7,'Res Normalized Monthly Avg'!$S:$S)</f>
        <v>553358350.50354743</v>
      </c>
      <c r="H7" s="67">
        <f t="shared" si="1"/>
        <v>2905438.7671886571</v>
      </c>
      <c r="I7" s="67">
        <f t="shared" ca="1" si="2"/>
        <v>550452911.73635876</v>
      </c>
      <c r="K7" s="66">
        <f t="shared" si="17"/>
        <v>2012</v>
      </c>
      <c r="L7" s="67">
        <f>SUMIF('Monthly Data'!$B:$B,K7,'Monthly Data'!G:G)</f>
        <v>174704767</v>
      </c>
      <c r="M7" s="67">
        <f>SUMIF('Monthly Data'!$B:$B,K7,'Monthly Data'!I:I)</f>
        <v>1372275.3798865979</v>
      </c>
      <c r="N7" s="67">
        <f t="shared" si="3"/>
        <v>176077042.3798866</v>
      </c>
      <c r="O7" s="67"/>
      <c r="P7" s="67">
        <f ca="1">SUMIF('GS&lt;50 Normalized Monthly Avg'!$B:$B,K7,'GS&lt;50 Normalized Monthly Avg'!S:$S)</f>
        <v>175967974.43524376</v>
      </c>
      <c r="Q7" s="67">
        <f t="shared" si="4"/>
        <v>1372275.3798865979</v>
      </c>
      <c r="R7" s="67">
        <f t="shared" ca="1" si="5"/>
        <v>174595699.05535716</v>
      </c>
      <c r="T7" s="66">
        <f t="shared" si="18"/>
        <v>2012</v>
      </c>
      <c r="U7" s="67">
        <f>SUMIF('Monthly Data'!$B:$B,T7,'Monthly Data'!K:K)</f>
        <v>903337846</v>
      </c>
      <c r="V7" s="67">
        <f>SUMIF('Monthly Data'!$B:$B,T7,'Monthly Data'!L:L)</f>
        <v>7938587.5560582206</v>
      </c>
      <c r="W7" s="67">
        <f t="shared" si="6"/>
        <v>911276433.55605817</v>
      </c>
      <c r="X7" s="67"/>
      <c r="Y7" s="67">
        <f ca="1">SUMIF('GS&gt;50 Normalized Monthly Avg'!$B:$B,T7,'GS&gt;50 Normalized Monthly Avg'!$T:$T)</f>
        <v>913873031.05520797</v>
      </c>
      <c r="Z7" s="67">
        <f t="shared" si="7"/>
        <v>7938587.5560582206</v>
      </c>
      <c r="AA7" s="67">
        <f t="shared" ca="1" si="8"/>
        <v>905934443.4991498</v>
      </c>
      <c r="AC7" s="66">
        <f t="shared" si="19"/>
        <v>2012</v>
      </c>
      <c r="AD7" s="67">
        <f>SUMIF('Monthly Data'!$B:$B,AC7,'Monthly Data'!P:P)</f>
        <v>9866380</v>
      </c>
      <c r="AE7" s="67">
        <f>SUMIF('Monthly Data'!$B:$B,U7,'Monthly Data'!W:W)</f>
        <v>0</v>
      </c>
      <c r="AF7" s="67">
        <f t="shared" si="9"/>
        <v>9866380</v>
      </c>
      <c r="AG7" s="67">
        <f>'Customer Count'!O6</f>
        <v>15082.666666666666</v>
      </c>
      <c r="AH7" s="67">
        <f t="shared" si="10"/>
        <v>654.15355374823196</v>
      </c>
      <c r="AI7" s="67">
        <f t="shared" si="11"/>
        <v>9866380</v>
      </c>
      <c r="AJ7" s="67">
        <f t="shared" si="12"/>
        <v>0</v>
      </c>
      <c r="AK7" s="67">
        <f t="shared" si="13"/>
        <v>9866380</v>
      </c>
      <c r="AL7" s="201"/>
      <c r="AM7" s="66">
        <f t="shared" si="20"/>
        <v>2012</v>
      </c>
      <c r="AN7" s="67">
        <f>SUMIF('Monthly Data'!$B:$B,AM7,'Monthly Data'!S:S)</f>
        <v>3353868</v>
      </c>
      <c r="AO7" s="67">
        <f>'Customer Count'!S6</f>
        <v>604.5</v>
      </c>
      <c r="AP7" s="67">
        <f t="shared" si="14"/>
        <v>5548.1687344913153</v>
      </c>
      <c r="AQ7" s="67">
        <f t="shared" si="15"/>
        <v>3353868</v>
      </c>
    </row>
    <row r="8" spans="1:43" x14ac:dyDescent="0.2">
      <c r="B8" s="66">
        <f t="shared" si="16"/>
        <v>2013</v>
      </c>
      <c r="C8" s="67">
        <f>SUMIF('Monthly Data'!$B:$B,B8,'Monthly Data'!C:C)</f>
        <v>540087395</v>
      </c>
      <c r="D8" s="67">
        <f>SUMIF('Monthly Data'!$B:$B,B8,'Monthly Data'!D:D)</f>
        <v>4435088.6506171571</v>
      </c>
      <c r="E8" s="67">
        <f t="shared" si="0"/>
        <v>544522483.65061712</v>
      </c>
      <c r="F8" s="67"/>
      <c r="G8" s="67">
        <f ca="1">SUMIF('Res Normalized Monthly Avg'!$B:$B,B8,'Res Normalized Monthly Avg'!$S:$S)</f>
        <v>553153188.9104408</v>
      </c>
      <c r="H8" s="67">
        <f t="shared" si="1"/>
        <v>4435088.6506171571</v>
      </c>
      <c r="I8" s="67">
        <f t="shared" ca="1" si="2"/>
        <v>548718100.25982368</v>
      </c>
      <c r="K8" s="66">
        <f t="shared" si="17"/>
        <v>2013</v>
      </c>
      <c r="L8" s="67">
        <f>SUMIF('Monthly Data'!$B:$B,K8,'Monthly Data'!G:G)</f>
        <v>175467402</v>
      </c>
      <c r="M8" s="67">
        <f>SUMIF('Monthly Data'!$B:$B,K8,'Monthly Data'!I:I)</f>
        <v>2174491.4721336304</v>
      </c>
      <c r="N8" s="67">
        <f t="shared" si="3"/>
        <v>177641893.47213364</v>
      </c>
      <c r="O8" s="67"/>
      <c r="P8" s="67">
        <f ca="1">SUMIF('GS&lt;50 Normalized Monthly Avg'!$B:$B,K8,'GS&lt;50 Normalized Monthly Avg'!S:$S)</f>
        <v>177166774.85147384</v>
      </c>
      <c r="Q8" s="67">
        <f t="shared" si="4"/>
        <v>2174491.4721336304</v>
      </c>
      <c r="R8" s="67">
        <f t="shared" ca="1" si="5"/>
        <v>174992283.3793402</v>
      </c>
      <c r="T8" s="66">
        <f t="shared" si="18"/>
        <v>2013</v>
      </c>
      <c r="U8" s="67">
        <f>SUMIF('Monthly Data'!$B:$B,T8,'Monthly Data'!K:K)</f>
        <v>899933878</v>
      </c>
      <c r="V8" s="67">
        <f>SUMIF('Monthly Data'!$B:$B,T8,'Monthly Data'!L:L)</f>
        <v>14675098.739299668</v>
      </c>
      <c r="W8" s="67">
        <f t="shared" si="6"/>
        <v>914608976.73929965</v>
      </c>
      <c r="X8" s="67"/>
      <c r="Y8" s="67">
        <f ca="1">SUMIF('GS&gt;50 Normalized Monthly Avg'!$B:$B,T8,'GS&gt;50 Normalized Monthly Avg'!$T:$T)</f>
        <v>913535395.56384826</v>
      </c>
      <c r="Z8" s="67">
        <f t="shared" si="7"/>
        <v>14675098.739299668</v>
      </c>
      <c r="AA8" s="67">
        <f t="shared" ca="1" si="8"/>
        <v>898860296.8245486</v>
      </c>
      <c r="AC8" s="66">
        <f t="shared" si="19"/>
        <v>2013</v>
      </c>
      <c r="AD8" s="67">
        <f>SUMIF('Monthly Data'!$B:$B,AC8,'Monthly Data'!P:P)</f>
        <v>9864267</v>
      </c>
      <c r="AE8" s="67">
        <f>SUMIF('Monthly Data'!$B:$B,U8,'Monthly Data'!W:W)</f>
        <v>0</v>
      </c>
      <c r="AF8" s="67">
        <f t="shared" si="9"/>
        <v>9864267</v>
      </c>
      <c r="AG8" s="67">
        <f>'Customer Count'!O7</f>
        <v>15114.416666666666</v>
      </c>
      <c r="AH8" s="67">
        <f t="shared" si="10"/>
        <v>652.63961008529384</v>
      </c>
      <c r="AI8" s="67">
        <f t="shared" si="11"/>
        <v>9864267</v>
      </c>
      <c r="AJ8" s="67">
        <f t="shared" si="12"/>
        <v>0</v>
      </c>
      <c r="AK8" s="67">
        <f t="shared" si="13"/>
        <v>9864267</v>
      </c>
      <c r="AL8" s="201"/>
      <c r="AM8" s="66">
        <f t="shared" si="20"/>
        <v>2013</v>
      </c>
      <c r="AN8" s="67">
        <f>SUMIF('Monthly Data'!$B:$B,AM8,'Monthly Data'!S:S)</f>
        <v>3104444</v>
      </c>
      <c r="AO8" s="67">
        <f>'Customer Count'!S7</f>
        <v>568.58333333333337</v>
      </c>
      <c r="AP8" s="67">
        <f t="shared" si="14"/>
        <v>5459.9630660999555</v>
      </c>
      <c r="AQ8" s="67">
        <f t="shared" si="15"/>
        <v>3104444</v>
      </c>
    </row>
    <row r="9" spans="1:43" x14ac:dyDescent="0.2">
      <c r="B9" s="66">
        <f t="shared" si="16"/>
        <v>2014</v>
      </c>
      <c r="C9" s="67">
        <f>SUMIF('Monthly Data'!$B:$B,B9,'Monthly Data'!C:C)</f>
        <v>530303117</v>
      </c>
      <c r="D9" s="67">
        <f>SUMIF('Monthly Data'!$B:$B,B9,'Monthly Data'!D:D)</f>
        <v>6994830.8620939618</v>
      </c>
      <c r="E9" s="67">
        <f t="shared" si="0"/>
        <v>537297947.86209393</v>
      </c>
      <c r="F9" s="67"/>
      <c r="G9" s="67">
        <f ca="1">SUMIF('Res Normalized Monthly Avg'!$B:$B,B9,'Res Normalized Monthly Avg'!$S:$S)</f>
        <v>551625701.60963845</v>
      </c>
      <c r="H9" s="67">
        <f t="shared" si="1"/>
        <v>6994830.8620939618</v>
      </c>
      <c r="I9" s="67">
        <f t="shared" ca="1" si="2"/>
        <v>544630870.74754453</v>
      </c>
      <c r="K9" s="66">
        <f t="shared" si="17"/>
        <v>2014</v>
      </c>
      <c r="L9" s="67">
        <f>SUMIF('Monthly Data'!$B:$B,K9,'Monthly Data'!G:G)</f>
        <v>172644356</v>
      </c>
      <c r="M9" s="67">
        <f>SUMIF('Monthly Data'!$B:$B,K9,'Monthly Data'!I:I)</f>
        <v>3084511.7297402783</v>
      </c>
      <c r="N9" s="67">
        <f t="shared" si="3"/>
        <v>175728867.72974029</v>
      </c>
      <c r="O9" s="67"/>
      <c r="P9" s="67">
        <f ca="1">SUMIF('GS&lt;50 Normalized Monthly Avg'!$B:$B,K9,'GS&lt;50 Normalized Monthly Avg'!S:$S)</f>
        <v>176459486.01467234</v>
      </c>
      <c r="Q9" s="67">
        <f t="shared" si="4"/>
        <v>3084511.7297402783</v>
      </c>
      <c r="R9" s="67">
        <f t="shared" ca="1" si="5"/>
        <v>173374974.28493205</v>
      </c>
      <c r="T9" s="66">
        <f t="shared" si="18"/>
        <v>2014</v>
      </c>
      <c r="U9" s="67">
        <f>SUMIF('Monthly Data'!$B:$B,T9,'Monthly Data'!K:K)</f>
        <v>901672321</v>
      </c>
      <c r="V9" s="67">
        <f>SUMIF('Monthly Data'!$B:$B,T9,'Monthly Data'!L:L)</f>
        <v>20152767.537717268</v>
      </c>
      <c r="W9" s="67">
        <f t="shared" si="6"/>
        <v>921825088.53771722</v>
      </c>
      <c r="X9" s="67"/>
      <c r="Y9" s="67">
        <f ca="1">SUMIF('GS&gt;50 Normalized Monthly Avg'!$B:$B,T9,'GS&gt;50 Normalized Monthly Avg'!$T:$T)</f>
        <v>927242272.81771791</v>
      </c>
      <c r="Z9" s="67">
        <f t="shared" si="7"/>
        <v>20152767.537717268</v>
      </c>
      <c r="AA9" s="67">
        <f t="shared" ca="1" si="8"/>
        <v>907089505.28000069</v>
      </c>
      <c r="AC9" s="66">
        <f t="shared" si="19"/>
        <v>2014</v>
      </c>
      <c r="AD9" s="67">
        <f>SUMIF('Monthly Data'!$B:$B,AC9,'Monthly Data'!P:P)</f>
        <v>9908447</v>
      </c>
      <c r="AE9" s="67">
        <f>SUMIF('Monthly Data'!$B:$B,U9,'Monthly Data'!W:W)</f>
        <v>0</v>
      </c>
      <c r="AF9" s="67">
        <f t="shared" si="9"/>
        <v>9908447</v>
      </c>
      <c r="AG9" s="67">
        <f>'Customer Count'!O8</f>
        <v>15170.75</v>
      </c>
      <c r="AH9" s="67">
        <f t="shared" si="10"/>
        <v>653.12835555262598</v>
      </c>
      <c r="AI9" s="67">
        <f t="shared" si="11"/>
        <v>9908447</v>
      </c>
      <c r="AJ9" s="67">
        <f t="shared" si="12"/>
        <v>0</v>
      </c>
      <c r="AK9" s="67">
        <f t="shared" si="13"/>
        <v>9908447</v>
      </c>
      <c r="AL9" s="201"/>
      <c r="AM9" s="66">
        <f t="shared" si="20"/>
        <v>2014</v>
      </c>
      <c r="AN9" s="67">
        <f>SUMIF('Monthly Data'!$B:$B,AM9,'Monthly Data'!S:S)</f>
        <v>3098633</v>
      </c>
      <c r="AO9" s="67">
        <f>'Customer Count'!S8</f>
        <v>559</v>
      </c>
      <c r="AP9" s="71">
        <f t="shared" si="14"/>
        <v>5543.1717352415026</v>
      </c>
      <c r="AQ9" s="67">
        <f t="shared" si="15"/>
        <v>3098633</v>
      </c>
    </row>
    <row r="10" spans="1:43" x14ac:dyDescent="0.2">
      <c r="B10" s="66">
        <f t="shared" si="16"/>
        <v>2015</v>
      </c>
      <c r="C10" s="67">
        <f>SUMIF('Monthly Data'!$B:$B,B10,'Monthly Data'!C:C)</f>
        <v>530999846</v>
      </c>
      <c r="D10" s="67">
        <f>SUMIF('Monthly Data'!$B:$B,B10,'Monthly Data'!D:D)</f>
        <v>10177948.606862321</v>
      </c>
      <c r="E10" s="67">
        <f t="shared" si="0"/>
        <v>541177794.60686231</v>
      </c>
      <c r="F10" s="67"/>
      <c r="G10" s="67">
        <f ca="1">SUMIF('Res Normalized Monthly Avg'!$B:$B,B10,'Res Normalized Monthly Avg'!$S:$S)</f>
        <v>546663547.73507869</v>
      </c>
      <c r="H10" s="67">
        <f t="shared" si="1"/>
        <v>10177948.606862321</v>
      </c>
      <c r="I10" s="67">
        <f t="shared" ca="1" si="2"/>
        <v>536485599.12821639</v>
      </c>
      <c r="K10" s="66">
        <f t="shared" si="17"/>
        <v>2015</v>
      </c>
      <c r="L10" s="67">
        <f>SUMIF('Monthly Data'!$B:$B,K10,'Monthly Data'!G:G)</f>
        <v>170245509</v>
      </c>
      <c r="M10" s="67">
        <f>SUMIF('Monthly Data'!$B:$B,K10,'Monthly Data'!I:I)</f>
        <v>5518520.389078605</v>
      </c>
      <c r="N10" s="67">
        <f t="shared" si="3"/>
        <v>175764029.38907862</v>
      </c>
      <c r="O10" s="67"/>
      <c r="P10" s="67">
        <f ca="1">SUMIF('GS&lt;50 Normalized Monthly Avg'!$B:$B,K10,'GS&lt;50 Normalized Monthly Avg'!S:$S)</f>
        <v>177442974.5192914</v>
      </c>
      <c r="Q10" s="67">
        <f t="shared" si="4"/>
        <v>5518520.389078605</v>
      </c>
      <c r="R10" s="67">
        <f t="shared" ref="R10" ca="1" si="21">P10-Q10</f>
        <v>171924454.13021278</v>
      </c>
      <c r="T10" s="66">
        <f t="shared" si="18"/>
        <v>2015</v>
      </c>
      <c r="U10" s="67">
        <f>SUMIF('Monthly Data'!$B:$B,T10,'Monthly Data'!K:K)</f>
        <v>907051642</v>
      </c>
      <c r="V10" s="67">
        <f>SUMIF('Monthly Data'!$B:$B,T10,'Monthly Data'!L:L)</f>
        <v>25607530.815657511</v>
      </c>
      <c r="W10" s="67">
        <f t="shared" si="6"/>
        <v>932659172.8156575</v>
      </c>
      <c r="X10" s="67"/>
      <c r="Y10" s="67">
        <f ca="1">SUMIF('GS&gt;50 Normalized Monthly Avg'!$B:$B,T10,'GS&gt;50 Normalized Monthly Avg'!$T:$T)</f>
        <v>936373979.4188931</v>
      </c>
      <c r="Z10" s="67">
        <f t="shared" si="7"/>
        <v>25607530.815657511</v>
      </c>
      <c r="AA10" s="67">
        <f t="shared" ca="1" si="8"/>
        <v>910766448.6032356</v>
      </c>
      <c r="AC10" s="66">
        <f t="shared" si="19"/>
        <v>2015</v>
      </c>
      <c r="AD10" s="67">
        <f>SUMIF('Monthly Data'!$B:$B,AC10,'Monthly Data'!P:P)</f>
        <v>9918681</v>
      </c>
      <c r="AE10" s="67">
        <f>SUMIF('Monthly Data'!$B:$B,U10,'Monthly Data'!W:W)</f>
        <v>0</v>
      </c>
      <c r="AF10" s="67">
        <f t="shared" si="9"/>
        <v>9918681</v>
      </c>
      <c r="AG10" s="67">
        <f>'Customer Count'!O9</f>
        <v>15228.583333333334</v>
      </c>
      <c r="AH10" s="67">
        <f t="shared" si="10"/>
        <v>651.32000678548559</v>
      </c>
      <c r="AI10" s="67">
        <f t="shared" si="11"/>
        <v>9918681</v>
      </c>
      <c r="AJ10" s="67">
        <f t="shared" si="12"/>
        <v>0</v>
      </c>
      <c r="AK10" s="67">
        <f t="shared" si="13"/>
        <v>9918681</v>
      </c>
      <c r="AL10" s="201"/>
      <c r="AM10" s="66">
        <f t="shared" si="20"/>
        <v>2015</v>
      </c>
      <c r="AN10" s="67">
        <f>SUMIF('Monthly Data'!$B:$B,AM10,'Monthly Data'!S:S)</f>
        <v>3110148</v>
      </c>
      <c r="AO10" s="67">
        <f>'Customer Count'!S9</f>
        <v>556.75</v>
      </c>
      <c r="AP10" s="67">
        <f t="shared" si="14"/>
        <v>5586.2559497081274</v>
      </c>
      <c r="AQ10" s="67">
        <f t="shared" si="15"/>
        <v>3110148</v>
      </c>
    </row>
    <row r="11" spans="1:43" x14ac:dyDescent="0.2">
      <c r="B11" s="66">
        <f t="shared" si="16"/>
        <v>2016</v>
      </c>
      <c r="C11" s="67">
        <f>SUMIF('Monthly Data'!$B:$B,B11,'Monthly Data'!C:C)</f>
        <v>545123880</v>
      </c>
      <c r="D11" s="67">
        <f>SUMIF('Monthly Data'!$B:$B,B11,'Monthly Data'!D:D)</f>
        <v>15147695.810655469</v>
      </c>
      <c r="E11" s="67">
        <f t="shared" si="0"/>
        <v>560271575.81065547</v>
      </c>
      <c r="F11" s="67"/>
      <c r="G11" s="67">
        <f ca="1">SUMIF('Res Normalized Monthly Avg'!$B:$B,B11,'Res Normalized Monthly Avg'!$S:$S)</f>
        <v>544915548.60520172</v>
      </c>
      <c r="H11" s="67">
        <f t="shared" si="1"/>
        <v>15147695.810655469</v>
      </c>
      <c r="I11" s="67">
        <f t="shared" ca="1" si="2"/>
        <v>529767852.79454625</v>
      </c>
      <c r="K11" s="66">
        <f t="shared" si="17"/>
        <v>2016</v>
      </c>
      <c r="L11" s="67">
        <f>SUMIF('Monthly Data'!$B:$B,K11,'Monthly Data'!G:G)</f>
        <v>169905557</v>
      </c>
      <c r="M11" s="67">
        <f>SUMIF('Monthly Data'!$B:$B,K11,'Monthly Data'!I:I)</f>
        <v>8433291.647576699</v>
      </c>
      <c r="N11" s="67">
        <f t="shared" si="3"/>
        <v>178338848.64757669</v>
      </c>
      <c r="O11" s="67"/>
      <c r="P11" s="67">
        <f ca="1">SUMIF('GS&lt;50 Normalized Monthly Avg'!$B:$B,K11,'GS&lt;50 Normalized Monthly Avg'!S:$S)</f>
        <v>178149286.44904298</v>
      </c>
      <c r="Q11" s="67">
        <f t="shared" si="4"/>
        <v>8433291.647576699</v>
      </c>
      <c r="R11" s="67">
        <f t="shared" ref="R11:R16" ca="1" si="22">P11-Q11</f>
        <v>169715994.80146629</v>
      </c>
      <c r="T11" s="66">
        <f t="shared" si="18"/>
        <v>2016</v>
      </c>
      <c r="U11" s="67">
        <f>SUMIF('Monthly Data'!$B:$B,T11,'Monthly Data'!K:K)</f>
        <v>920835908</v>
      </c>
      <c r="V11" s="67">
        <f>SUMIF('Monthly Data'!$B:$B,T11,'Monthly Data'!L:L)</f>
        <v>33797597.423412584</v>
      </c>
      <c r="W11" s="67">
        <f t="shared" si="6"/>
        <v>954633505.42341256</v>
      </c>
      <c r="X11" s="67"/>
      <c r="Y11" s="67">
        <f ca="1">SUMIF('GS&gt;50 Normalized Monthly Avg'!$B:$B,T11,'GS&gt;50 Normalized Monthly Avg'!$T:$T)</f>
        <v>945482114.48795593</v>
      </c>
      <c r="Z11" s="67">
        <f t="shared" si="7"/>
        <v>33797597.423412584</v>
      </c>
      <c r="AA11" s="67">
        <f t="shared" ca="1" si="8"/>
        <v>911684517.06454337</v>
      </c>
      <c r="AC11" s="66">
        <f t="shared" si="19"/>
        <v>2016</v>
      </c>
      <c r="AD11" s="67">
        <f>SUMIF('Monthly Data'!$B:$B,AC11,'Monthly Data'!P:P)</f>
        <v>9945876</v>
      </c>
      <c r="AE11" s="67">
        <f>SUMIF('Monthly Data'!$B:$B,U11,'Monthly Data'!W:W)</f>
        <v>0</v>
      </c>
      <c r="AF11" s="67">
        <f t="shared" si="9"/>
        <v>9945876</v>
      </c>
      <c r="AG11" s="67">
        <f>'Customer Count'!O10</f>
        <v>15252.666666666666</v>
      </c>
      <c r="AH11" s="67">
        <f t="shared" si="10"/>
        <v>652.07456619607501</v>
      </c>
      <c r="AI11" s="67">
        <f t="shared" si="11"/>
        <v>9945876</v>
      </c>
      <c r="AJ11" s="67">
        <f t="shared" si="12"/>
        <v>0</v>
      </c>
      <c r="AK11" s="67">
        <f t="shared" si="13"/>
        <v>9945876</v>
      </c>
      <c r="AL11" s="201"/>
      <c r="AM11" s="66">
        <f t="shared" si="20"/>
        <v>2016</v>
      </c>
      <c r="AN11" s="67">
        <f>SUMIF('Monthly Data'!$B:$B,AM11,'Monthly Data'!S:S)</f>
        <v>3115033</v>
      </c>
      <c r="AO11" s="67">
        <f>'Customer Count'!S10</f>
        <v>559.08333333333337</v>
      </c>
      <c r="AP11" s="67">
        <f t="shared" si="14"/>
        <v>5571.6792368460274</v>
      </c>
      <c r="AQ11" s="67">
        <f t="shared" si="15"/>
        <v>3115033</v>
      </c>
    </row>
    <row r="12" spans="1:43" x14ac:dyDescent="0.2">
      <c r="B12" s="66">
        <f t="shared" si="16"/>
        <v>2017</v>
      </c>
      <c r="C12" s="67">
        <f>SUMIF('Monthly Data'!$B:$B,B12,'Monthly Data'!C:C)</f>
        <v>501428451</v>
      </c>
      <c r="D12" s="67">
        <f>SUMIF('Monthly Data'!$B:$B,B12,'Monthly Data'!D:D)</f>
        <v>28746497.150071185</v>
      </c>
      <c r="E12" s="67">
        <f t="shared" si="0"/>
        <v>530174948.1500712</v>
      </c>
      <c r="F12" s="67"/>
      <c r="G12" s="67">
        <f ca="1">SUMIF('Res Normalized Monthly Avg'!$B:$B,B12,'Res Normalized Monthly Avg'!$S:$S)</f>
        <v>544335663.36682534</v>
      </c>
      <c r="H12" s="67">
        <f t="shared" si="1"/>
        <v>28746497.150071185</v>
      </c>
      <c r="I12" s="67">
        <f t="shared" ca="1" si="2"/>
        <v>515589166.21675414</v>
      </c>
      <c r="K12" s="66">
        <f t="shared" si="17"/>
        <v>2017</v>
      </c>
      <c r="L12" s="67">
        <f>SUMIF('Monthly Data'!$B:$B,K12,'Monthly Data'!G:G)</f>
        <v>166894185</v>
      </c>
      <c r="M12" s="67">
        <f>SUMIF('Monthly Data'!$B:$B,K12,'Monthly Data'!I:I)</f>
        <v>9671900.595605839</v>
      </c>
      <c r="N12" s="67">
        <f t="shared" si="3"/>
        <v>176566085.59560585</v>
      </c>
      <c r="O12" s="67"/>
      <c r="P12" s="67">
        <f ca="1">SUMIF('GS&lt;50 Normalized Monthly Avg'!$B:$B,K12,'GS&lt;50 Normalized Monthly Avg'!S:$S)</f>
        <v>179224744.4479841</v>
      </c>
      <c r="Q12" s="67">
        <f t="shared" si="4"/>
        <v>9671900.595605839</v>
      </c>
      <c r="R12" s="67">
        <f t="shared" ca="1" si="22"/>
        <v>169552843.85237825</v>
      </c>
      <c r="T12" s="66">
        <f t="shared" si="18"/>
        <v>2017</v>
      </c>
      <c r="U12" s="67">
        <f>SUMIF('Monthly Data'!$B:$B,T12,'Monthly Data'!K:K)</f>
        <v>885596225</v>
      </c>
      <c r="V12" s="67">
        <f>SUMIF('Monthly Data'!$B:$B,T12,'Monthly Data'!L:L)</f>
        <v>40578631.997496277</v>
      </c>
      <c r="W12" s="67">
        <f t="shared" si="6"/>
        <v>926174856.99749625</v>
      </c>
      <c r="X12" s="67"/>
      <c r="Y12" s="67">
        <f ca="1">SUMIF('GS&gt;50 Normalized Monthly Avg'!$B:$B,T12,'GS&gt;50 Normalized Monthly Avg'!$T:$T)</f>
        <v>921592239.73735452</v>
      </c>
      <c r="Z12" s="67">
        <f t="shared" si="7"/>
        <v>40578631.997496277</v>
      </c>
      <c r="AA12" s="67">
        <f t="shared" ca="1" si="8"/>
        <v>881013607.73985827</v>
      </c>
      <c r="AC12" s="66">
        <f t="shared" si="19"/>
        <v>2017</v>
      </c>
      <c r="AD12" s="67">
        <f>SUMIF('Monthly Data'!$B:$B,AC12,'Monthly Data'!P:P)</f>
        <v>11286654.700000001</v>
      </c>
      <c r="AE12" s="67">
        <f>SUMIF('Monthly Data'!$B:$B,U12,'Monthly Data'!W:W)</f>
        <v>0</v>
      </c>
      <c r="AF12" s="67">
        <f t="shared" si="9"/>
        <v>11286654.700000001</v>
      </c>
      <c r="AG12" s="67">
        <f>'Customer Count'!O11</f>
        <v>17184</v>
      </c>
      <c r="AH12" s="67">
        <f t="shared" si="10"/>
        <v>656.81184241154574</v>
      </c>
      <c r="AI12" s="67">
        <f t="shared" si="11"/>
        <v>11286654.700000001</v>
      </c>
      <c r="AJ12" s="67">
        <f t="shared" si="12"/>
        <v>0</v>
      </c>
      <c r="AK12" s="67">
        <f t="shared" si="13"/>
        <v>11286654.700000001</v>
      </c>
      <c r="AL12" s="201"/>
      <c r="AM12" s="66">
        <f t="shared" si="20"/>
        <v>2017</v>
      </c>
      <c r="AN12" s="67">
        <f>SUMIF('Monthly Data'!$B:$B,AM12,'Monthly Data'!S:S)</f>
        <v>3130244</v>
      </c>
      <c r="AO12" s="67">
        <f>'Customer Count'!S11</f>
        <v>561.91666666666663</v>
      </c>
      <c r="AP12" s="67">
        <f t="shared" si="14"/>
        <v>5570.6551979830938</v>
      </c>
      <c r="AQ12" s="67">
        <f>AP12*AO12</f>
        <v>3130244</v>
      </c>
    </row>
    <row r="13" spans="1:43" x14ac:dyDescent="0.2">
      <c r="B13" s="66">
        <f t="shared" si="16"/>
        <v>2018</v>
      </c>
      <c r="C13" s="67">
        <f>SUMIF('Monthly Data'!$B:$B,B13,'Monthly Data'!C:C)</f>
        <v>536801589</v>
      </c>
      <c r="D13" s="67">
        <f>SUMIF('Monthly Data'!$B:$B,B13,'Monthly Data'!D:D)</f>
        <v>36457766.657361999</v>
      </c>
      <c r="E13" s="67">
        <f t="shared" si="0"/>
        <v>573259355.65736198</v>
      </c>
      <c r="F13" s="68"/>
      <c r="G13" s="67">
        <f ca="1">SUMIF('Res Normalized Monthly Avg'!$B:$B,B13,'Res Normalized Monthly Avg'!$S:$S)</f>
        <v>547440601.65432239</v>
      </c>
      <c r="H13" s="67">
        <f t="shared" si="1"/>
        <v>36457766.657361999</v>
      </c>
      <c r="I13" s="67">
        <f t="shared" ca="1" si="2"/>
        <v>510982834.9969604</v>
      </c>
      <c r="K13" s="66">
        <f t="shared" si="17"/>
        <v>2018</v>
      </c>
      <c r="L13" s="67">
        <f>SUMIF('Monthly Data'!$B:$B,K13,'Monthly Data'!G:G)</f>
        <v>174257110</v>
      </c>
      <c r="M13" s="67">
        <f>SUMIF('Monthly Data'!$B:$B,K13,'Monthly Data'!I:I)</f>
        <v>12127348.408072384</v>
      </c>
      <c r="N13" s="67">
        <f t="shared" si="3"/>
        <v>186384458.40807238</v>
      </c>
      <c r="O13" s="68"/>
      <c r="P13" s="67">
        <f ca="1">SUMIF('GS&lt;50 Normalized Monthly Avg'!$B:$B,K13,'GS&lt;50 Normalized Monthly Avg'!S:$S)</f>
        <v>181695490.03422678</v>
      </c>
      <c r="Q13" s="67">
        <f t="shared" si="4"/>
        <v>12127348.408072384</v>
      </c>
      <c r="R13" s="67">
        <f t="shared" ca="1" si="22"/>
        <v>169568141.62615439</v>
      </c>
      <c r="T13" s="66">
        <f t="shared" si="18"/>
        <v>2018</v>
      </c>
      <c r="U13" s="67">
        <f>SUMIF('Monthly Data'!$B:$B,T13,'Monthly Data'!K:K)</f>
        <v>874283086</v>
      </c>
      <c r="V13" s="67">
        <f>SUMIF('Monthly Data'!$B:$B,T13,'Monthly Data'!L:L)</f>
        <v>47485519.882111043</v>
      </c>
      <c r="W13" s="67">
        <f t="shared" si="6"/>
        <v>921768605.88211107</v>
      </c>
      <c r="X13" s="68"/>
      <c r="Y13" s="67">
        <f ca="1">SUMIF('GS&gt;50 Normalized Monthly Avg'!$B:$B,T13,'GS&gt;50 Normalized Monthly Avg'!$T:$T)</f>
        <v>907346948.60329318</v>
      </c>
      <c r="Z13" s="67">
        <f t="shared" si="7"/>
        <v>47485519.882111043</v>
      </c>
      <c r="AA13" s="67">
        <f t="shared" ca="1" si="8"/>
        <v>859861428.72118211</v>
      </c>
      <c r="AC13" s="66">
        <f t="shared" si="19"/>
        <v>2018</v>
      </c>
      <c r="AD13" s="67">
        <f>SUMIF('Monthly Data'!$B:$B,AC13,'Monthly Data'!P:P)</f>
        <v>6528022.6000000006</v>
      </c>
      <c r="AE13" s="67">
        <f>SUMIF('Monthly Data'!$B:$B,U13,'Monthly Data'!W:W)</f>
        <v>0</v>
      </c>
      <c r="AF13" s="67">
        <f t="shared" si="9"/>
        <v>6528022.6000000006</v>
      </c>
      <c r="AG13" s="67">
        <f>'Customer Count'!O12</f>
        <v>17184</v>
      </c>
      <c r="AH13" s="67">
        <f t="shared" si="10"/>
        <v>379.88958333333335</v>
      </c>
      <c r="AI13" s="67">
        <f t="shared" si="11"/>
        <v>6528022.6000000006</v>
      </c>
      <c r="AJ13" s="67">
        <f>CDM!K95</f>
        <v>0</v>
      </c>
      <c r="AK13" s="67">
        <f t="shared" si="13"/>
        <v>6528022.6000000006</v>
      </c>
      <c r="AL13" s="201"/>
      <c r="AM13" s="66">
        <f t="shared" si="20"/>
        <v>2018</v>
      </c>
      <c r="AN13" s="67">
        <f>SUMIF('Monthly Data'!$B:$B,AM13,'Monthly Data'!S:S)</f>
        <v>3138478</v>
      </c>
      <c r="AO13" s="67">
        <f>'Customer Count'!S12</f>
        <v>563.33333333333337</v>
      </c>
      <c r="AP13" s="67">
        <f t="shared" si="14"/>
        <v>5571.2627218934904</v>
      </c>
      <c r="AQ13" s="67">
        <f>AP13*AO13</f>
        <v>3138478</v>
      </c>
    </row>
    <row r="14" spans="1:43" x14ac:dyDescent="0.2">
      <c r="A14" s="170"/>
      <c r="B14" s="66">
        <f t="shared" si="16"/>
        <v>2019</v>
      </c>
      <c r="C14" s="67">
        <f>SUMIF('Monthly Data'!$B:$B,B14,'Monthly Data'!C:C)</f>
        <v>512580883</v>
      </c>
      <c r="D14" s="67">
        <f>SUMIF('Monthly Data'!$B:$B,B14,'Monthly Data'!D:D)</f>
        <v>38326730.720622465</v>
      </c>
      <c r="E14" s="67">
        <f t="shared" ref="E14" si="23">C14+D14</f>
        <v>550907613.72062242</v>
      </c>
      <c r="F14" s="68"/>
      <c r="G14" s="67">
        <f ca="1">SUMIF('Res Normalized Monthly Avg'!$B:$B,B14,'Res Normalized Monthly Avg'!$S:$S)</f>
        <v>558400911.46908247</v>
      </c>
      <c r="H14" s="67">
        <f t="shared" si="1"/>
        <v>38326730.720622465</v>
      </c>
      <c r="I14" s="67">
        <f t="shared" ref="I14" ca="1" si="24">G14-H14</f>
        <v>520074180.74845999</v>
      </c>
      <c r="J14" s="170"/>
      <c r="K14" s="66">
        <f t="shared" si="17"/>
        <v>2019</v>
      </c>
      <c r="L14" s="67">
        <f>SUMIF('Monthly Data'!$B:$B,K14,'Monthly Data'!G:G)</f>
        <v>170703484</v>
      </c>
      <c r="M14" s="67">
        <f>SUMIF('Monthly Data'!$B:$B,K14,'Monthly Data'!I:I)</f>
        <v>14162688.79294453</v>
      </c>
      <c r="N14" s="67">
        <f t="shared" ref="N14" si="25">L14+M14</f>
        <v>184866172.79294452</v>
      </c>
      <c r="O14" s="68"/>
      <c r="P14" s="67">
        <f ca="1">SUMIF('GS&lt;50 Normalized Monthly Avg'!$B:$B,K14,'GS&lt;50 Normalized Monthly Avg'!S:$S)</f>
        <v>184619090.47287428</v>
      </c>
      <c r="Q14" s="67">
        <f t="shared" si="4"/>
        <v>14162688.79294453</v>
      </c>
      <c r="R14" s="67">
        <f t="shared" ca="1" si="22"/>
        <v>170456401.67992976</v>
      </c>
      <c r="S14" s="170"/>
      <c r="T14" s="66">
        <f t="shared" si="18"/>
        <v>2019</v>
      </c>
      <c r="U14" s="67">
        <f>SUMIF('Monthly Data'!$B:$B,T14,'Monthly Data'!K:K)</f>
        <v>837536595</v>
      </c>
      <c r="V14" s="67">
        <f>SUMIF('Monthly Data'!$B:$B,T14,'Monthly Data'!L:L)</f>
        <v>52682514.813684769</v>
      </c>
      <c r="W14" s="67">
        <f t="shared" ref="W14" si="26">U14+V14</f>
        <v>890219109.81368482</v>
      </c>
      <c r="X14" s="68"/>
      <c r="Y14" s="67">
        <f ca="1">SUMIF('GS&gt;50 Normalized Monthly Avg'!$B:$B,T14,'GS&gt;50 Normalized Monthly Avg'!$T:$T)</f>
        <v>905894806.15453625</v>
      </c>
      <c r="Z14" s="67">
        <f t="shared" si="7"/>
        <v>52682514.813684769</v>
      </c>
      <c r="AA14" s="67">
        <f t="shared" ref="AA14" ca="1" si="27">Y14-Z14</f>
        <v>853212291.34085143</v>
      </c>
      <c r="AB14" s="170"/>
      <c r="AC14" s="66">
        <f t="shared" si="19"/>
        <v>2019</v>
      </c>
      <c r="AD14" s="67">
        <f>SUMIF('Monthly Data'!$B:$B,AC14,'Monthly Data'!P:P)</f>
        <v>5537652.8999999994</v>
      </c>
      <c r="AE14" s="67">
        <f>SUMIF('Monthly Data'!$B:$B,U14,'Monthly Data'!W:W)</f>
        <v>0</v>
      </c>
      <c r="AF14" s="67">
        <f t="shared" ref="AF14" si="28">AD14+AE14</f>
        <v>5537652.8999999994</v>
      </c>
      <c r="AG14" s="67">
        <f>'Customer Count'!O13</f>
        <v>17184</v>
      </c>
      <c r="AH14" s="67">
        <f t="shared" ref="AH14" si="29">AF14/AG14</f>
        <v>322.25633729050276</v>
      </c>
      <c r="AI14" s="67">
        <f t="shared" ref="AI14" si="30">AH14*AG14</f>
        <v>5537652.8999999994</v>
      </c>
      <c r="AJ14" s="67">
        <f>CDM!K96</f>
        <v>0</v>
      </c>
      <c r="AK14" s="67">
        <f t="shared" si="13"/>
        <v>5537652.8999999994</v>
      </c>
      <c r="AL14" s="201"/>
      <c r="AM14" s="66">
        <f t="shared" si="20"/>
        <v>2019</v>
      </c>
      <c r="AN14" s="67">
        <f>SUMIF('Monthly Data'!$B:$B,AM14,'Monthly Data'!S:S)</f>
        <v>3144191</v>
      </c>
      <c r="AO14" s="67">
        <f>'Customer Count'!S13</f>
        <v>561.5</v>
      </c>
      <c r="AP14" s="67">
        <f t="shared" ref="AP14" si="31">AN14/AO14</f>
        <v>5599.6277827248441</v>
      </c>
      <c r="AQ14" s="67">
        <f>AP14*AO14</f>
        <v>3144191</v>
      </c>
    </row>
    <row r="15" spans="1:43" x14ac:dyDescent="0.2">
      <c r="B15" s="69">
        <f t="shared" si="16"/>
        <v>2020</v>
      </c>
      <c r="C15" s="66"/>
      <c r="D15" s="66"/>
      <c r="E15" s="66"/>
      <c r="F15" s="66"/>
      <c r="G15" s="67">
        <f ca="1">SUMIF('Res Normalized Monthly Avg'!$B:$B,B15,'Res Normalized Monthly Avg'!$S:$S)</f>
        <v>583991182.92735136</v>
      </c>
      <c r="H15" s="68">
        <f>CDM!J22</f>
        <v>37950635.567019001</v>
      </c>
      <c r="I15" s="68">
        <f ca="1">G15-H15</f>
        <v>546040547.36033237</v>
      </c>
      <c r="J15" s="210"/>
      <c r="K15" s="69">
        <f t="shared" si="17"/>
        <v>2020</v>
      </c>
      <c r="L15" s="66"/>
      <c r="M15" s="66"/>
      <c r="N15" s="66"/>
      <c r="O15" s="66"/>
      <c r="P15" s="67">
        <f ca="1">SUMIF('GS&lt;50 Normalized Monthly Avg'!$B:$B,K15,'GS&lt;50 Normalized Monthly Avg'!S:$S)</f>
        <v>165230829.52401051</v>
      </c>
      <c r="Q15" s="68">
        <f>CDM!K22</f>
        <v>14647571.655614007</v>
      </c>
      <c r="R15" s="68">
        <f t="shared" ca="1" si="22"/>
        <v>150583257.86839649</v>
      </c>
      <c r="T15" s="69">
        <f t="shared" si="18"/>
        <v>2020</v>
      </c>
      <c r="U15" s="66"/>
      <c r="V15" s="66"/>
      <c r="W15" s="66"/>
      <c r="X15" s="66"/>
      <c r="Y15" s="67">
        <f ca="1">SUMIF('GS&gt;50 Normalized Monthly Avg'!$B:$B,T15,'GS&gt;50 Normalized Monthly Avg'!$T:$T)</f>
        <v>802120110.17176986</v>
      </c>
      <c r="Z15" s="68">
        <f>CDM!L22</f>
        <v>54709947.517272115</v>
      </c>
      <c r="AA15" s="68">
        <f ca="1">Y15-Z15</f>
        <v>747410162.65449774</v>
      </c>
      <c r="AC15" s="69">
        <f t="shared" si="19"/>
        <v>2020</v>
      </c>
      <c r="AD15" s="66"/>
      <c r="AE15" s="66"/>
      <c r="AF15" s="66"/>
      <c r="AG15" s="68">
        <f>'Customer Count'!O18</f>
        <v>17196.600593685107</v>
      </c>
      <c r="AH15" s="243">
        <f>AH14</f>
        <v>322.25633729050276</v>
      </c>
      <c r="AI15" s="68">
        <f t="shared" si="11"/>
        <v>5541713.5211686473</v>
      </c>
      <c r="AJ15" s="68">
        <f>CDM!K97</f>
        <v>0</v>
      </c>
      <c r="AK15" s="67">
        <f t="shared" si="13"/>
        <v>5541713.5211686473</v>
      </c>
      <c r="AM15" s="69">
        <f t="shared" si="20"/>
        <v>2020</v>
      </c>
      <c r="AN15" s="66"/>
      <c r="AO15" s="68">
        <f>'Customer Count'!S18</f>
        <v>558.67964797739762</v>
      </c>
      <c r="AP15" s="68">
        <f>AP14</f>
        <v>5599.6277827248441</v>
      </c>
      <c r="AQ15" s="68">
        <f>AP15*AO15</f>
        <v>3128398.0784571716</v>
      </c>
    </row>
    <row r="16" spans="1:43" s="170" customFormat="1" x14ac:dyDescent="0.2">
      <c r="B16" s="69">
        <f t="shared" si="16"/>
        <v>2021</v>
      </c>
      <c r="C16" s="66"/>
      <c r="D16" s="66"/>
      <c r="E16" s="66"/>
      <c r="F16" s="66"/>
      <c r="G16" s="67">
        <f ca="1">SUMIF('Res Normalized Monthly Avg'!$B:$B,B16,'Res Normalized Monthly Avg'!$S:$S)</f>
        <v>561737032.86952853</v>
      </c>
      <c r="H16" s="68">
        <f>CDM!J23</f>
        <v>37491693.702602401</v>
      </c>
      <c r="I16" s="68">
        <f ca="1">G16-H16</f>
        <v>524245339.16692615</v>
      </c>
      <c r="K16" s="69">
        <f t="shared" si="17"/>
        <v>2021</v>
      </c>
      <c r="L16" s="66"/>
      <c r="M16" s="66"/>
      <c r="N16" s="66"/>
      <c r="O16" s="66"/>
      <c r="P16" s="67">
        <f ca="1">SUMIF('GS&lt;50 Normalized Monthly Avg'!$B:$B,K16,'GS&lt;50 Normalized Monthly Avg'!S:$S)</f>
        <v>182738543.93165329</v>
      </c>
      <c r="Q16" s="68">
        <f>CDM!K23</f>
        <v>14164690.263616811</v>
      </c>
      <c r="R16" s="68">
        <f t="shared" ca="1" si="22"/>
        <v>168573853.66803649</v>
      </c>
      <c r="T16" s="69">
        <f t="shared" si="18"/>
        <v>2021</v>
      </c>
      <c r="U16" s="66"/>
      <c r="V16" s="66"/>
      <c r="W16" s="66"/>
      <c r="X16" s="66"/>
      <c r="Y16" s="67">
        <f ca="1">SUMIF('GS&gt;50 Normalized Monthly Avg'!$B:$B,T16,'GS&gt;50 Normalized Monthly Avg'!$T:$T)</f>
        <v>882094824.21260643</v>
      </c>
      <c r="Z16" s="68">
        <f>CDM!L23</f>
        <v>52112827.751174524</v>
      </c>
      <c r="AA16" s="68">
        <f ca="1">Y16-Z16</f>
        <v>829981996.46143186</v>
      </c>
      <c r="AC16" s="69">
        <f t="shared" si="19"/>
        <v>2021</v>
      </c>
      <c r="AD16" s="66"/>
      <c r="AE16" s="66"/>
      <c r="AF16" s="66"/>
      <c r="AG16" s="68">
        <f>'Customer Count'!O19</f>
        <v>17283.271460677272</v>
      </c>
      <c r="AH16" s="243">
        <f>AH15</f>
        <v>322.25633729050276</v>
      </c>
      <c r="AI16" s="68">
        <f t="shared" si="11"/>
        <v>5569643.7573153349</v>
      </c>
      <c r="AJ16" s="68">
        <f>CDM!K98</f>
        <v>0</v>
      </c>
      <c r="AK16" s="67">
        <f t="shared" si="13"/>
        <v>5569643.7573153349</v>
      </c>
      <c r="AM16" s="69">
        <f t="shared" si="20"/>
        <v>2021</v>
      </c>
      <c r="AN16" s="66"/>
      <c r="AO16" s="68">
        <f>'Customer Count'!S19</f>
        <v>554.21021079357854</v>
      </c>
      <c r="AP16" s="68">
        <f>AP15</f>
        <v>5599.6277827248441</v>
      </c>
      <c r="AQ16" s="68">
        <f>AP16*AO16</f>
        <v>3103370.8938295147</v>
      </c>
    </row>
  </sheetData>
  <mergeCells count="5">
    <mergeCell ref="B2:I2"/>
    <mergeCell ref="K2:R2"/>
    <mergeCell ref="T2:AA2"/>
    <mergeCell ref="AC2:AK2"/>
    <mergeCell ref="AM2:AQ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2"/>
  <dimension ref="A2:V66"/>
  <sheetViews>
    <sheetView workbookViewId="0">
      <selection activeCell="K49" sqref="K49"/>
    </sheetView>
  </sheetViews>
  <sheetFormatPr defaultRowHeight="12.75" x14ac:dyDescent="0.2"/>
  <cols>
    <col min="1" max="1" width="7" customWidth="1"/>
    <col min="2" max="2" width="5.83203125" bestFit="1" customWidth="1"/>
    <col min="3" max="3" width="11.6640625" bestFit="1" customWidth="1"/>
    <col min="4" max="4" width="11.5" customWidth="1"/>
    <col min="5" max="6" width="6.1640625" customWidth="1"/>
    <col min="7" max="7" width="11.6640625" bestFit="1" customWidth="1"/>
    <col min="8" max="8" width="10.83203125" bestFit="1" customWidth="1"/>
    <col min="9" max="9" width="6.6640625" customWidth="1"/>
    <col min="10" max="10" width="5.83203125" bestFit="1" customWidth="1"/>
    <col min="11" max="11" width="11.6640625" bestFit="1" customWidth="1"/>
    <col min="12" max="12" width="12.83203125" customWidth="1"/>
    <col min="13" max="13" width="7.6640625" customWidth="1"/>
    <col min="14" max="14" width="5.83203125" bestFit="1" customWidth="1"/>
    <col min="15" max="15" width="11.6640625" bestFit="1" customWidth="1"/>
    <col min="16" max="16" width="10.83203125" bestFit="1" customWidth="1"/>
    <col min="17" max="17" width="8.33203125" customWidth="1"/>
    <col min="18" max="18" width="5.83203125" bestFit="1" customWidth="1"/>
    <col min="19" max="19" width="11.6640625" bestFit="1" customWidth="1"/>
    <col min="20" max="20" width="9.6640625" bestFit="1" customWidth="1"/>
  </cols>
  <sheetData>
    <row r="2" spans="2:22" x14ac:dyDescent="0.2">
      <c r="B2" s="261" t="s">
        <v>33</v>
      </c>
      <c r="C2" s="261"/>
      <c r="D2" s="262" t="s">
        <v>126</v>
      </c>
      <c r="E2" s="15"/>
      <c r="F2" s="261" t="s">
        <v>127</v>
      </c>
      <c r="G2" s="261"/>
      <c r="H2" s="262" t="s">
        <v>126</v>
      </c>
      <c r="I2" s="15"/>
      <c r="J2" s="261" t="s">
        <v>128</v>
      </c>
      <c r="K2" s="261"/>
      <c r="L2" s="262" t="s">
        <v>126</v>
      </c>
      <c r="M2" s="15"/>
      <c r="N2" s="261" t="s">
        <v>129</v>
      </c>
      <c r="O2" s="261"/>
      <c r="P2" s="262" t="s">
        <v>126</v>
      </c>
      <c r="Q2" s="15"/>
      <c r="R2" s="261" t="s">
        <v>45</v>
      </c>
      <c r="S2" s="261"/>
      <c r="T2" s="262" t="s">
        <v>126</v>
      </c>
      <c r="U2" s="15"/>
    </row>
    <row r="3" spans="2:22" x14ac:dyDescent="0.2">
      <c r="B3" s="70" t="s">
        <v>0</v>
      </c>
      <c r="C3" s="70" t="s">
        <v>130</v>
      </c>
      <c r="D3" s="262"/>
      <c r="E3" s="15"/>
      <c r="F3" s="70" t="s">
        <v>0</v>
      </c>
      <c r="G3" s="70" t="s">
        <v>130</v>
      </c>
      <c r="H3" s="262"/>
      <c r="I3" s="15"/>
      <c r="J3" s="70" t="s">
        <v>0</v>
      </c>
      <c r="K3" s="70" t="s">
        <v>130</v>
      </c>
      <c r="L3" s="262"/>
      <c r="M3" s="15"/>
      <c r="N3" s="70" t="s">
        <v>0</v>
      </c>
      <c r="O3" s="70" t="s">
        <v>260</v>
      </c>
      <c r="P3" s="262"/>
      <c r="Q3" s="15"/>
      <c r="R3" s="70" t="s">
        <v>0</v>
      </c>
      <c r="S3" s="70" t="s">
        <v>260</v>
      </c>
      <c r="T3" s="262"/>
      <c r="U3" s="15"/>
    </row>
    <row r="4" spans="2:22" x14ac:dyDescent="0.2">
      <c r="B4" s="15">
        <v>2010</v>
      </c>
      <c r="C4" s="71">
        <f>AVERAGEIF('Monthly Data'!B:B,B4,'Monthly Data'!F:F)</f>
        <v>57917.333333333336</v>
      </c>
      <c r="D4" s="72"/>
      <c r="E4" s="19"/>
      <c r="F4" s="15">
        <v>2010</v>
      </c>
      <c r="G4" s="71">
        <f>AVERAGEIF('Monthly Data'!B:B,B4,'Monthly Data'!H:H)</f>
        <v>4988.25</v>
      </c>
      <c r="H4" s="72"/>
      <c r="I4" s="19"/>
      <c r="J4" s="15">
        <v>2010</v>
      </c>
      <c r="K4" s="71">
        <f>AVERAGEIF('Monthly Data'!B:B,B4,'Monthly Data'!O:O)</f>
        <v>995.5</v>
      </c>
      <c r="L4" s="72"/>
      <c r="M4" s="19"/>
      <c r="N4" s="15">
        <v>2010</v>
      </c>
      <c r="O4" s="71">
        <f>AVERAGEIF('Monthly Data'!B:B,B4,'Monthly Data'!R:R)</f>
        <v>14651.833333333334</v>
      </c>
      <c r="P4" s="72"/>
      <c r="Q4" s="19"/>
      <c r="R4" s="15">
        <v>2010</v>
      </c>
      <c r="S4" s="71">
        <f>AVERAGEIF('Monthly Data'!B:B,B4,'Monthly Data'!U:U)</f>
        <v>603.58333333333337</v>
      </c>
      <c r="T4" s="72"/>
      <c r="U4" s="19"/>
    </row>
    <row r="5" spans="2:22" x14ac:dyDescent="0.2">
      <c r="B5" s="15">
        <f t="shared" ref="B5:B15" si="0">B4+1</f>
        <v>2011</v>
      </c>
      <c r="C5" s="71">
        <f>AVERAGEIF('Monthly Data'!B:B,B5,'Monthly Data'!F:F)</f>
        <v>58488.25</v>
      </c>
      <c r="D5" s="72">
        <f t="shared" ref="D5:D12" si="1">C5/C4</f>
        <v>1.0098574404898937</v>
      </c>
      <c r="E5" s="19"/>
      <c r="F5" s="15">
        <f t="shared" ref="F5:F15" si="2">F4+1</f>
        <v>2011</v>
      </c>
      <c r="G5" s="71">
        <f>AVERAGEIF('Monthly Data'!B:B,B5,'Monthly Data'!H:H)</f>
        <v>5090.583333333333</v>
      </c>
      <c r="H5" s="72">
        <f t="shared" ref="H5:H12" si="3">G5/G4</f>
        <v>1.0205148766267393</v>
      </c>
      <c r="I5" s="19"/>
      <c r="J5" s="15">
        <f t="shared" ref="J5:J15" si="4">J4+1</f>
        <v>2011</v>
      </c>
      <c r="K5" s="71">
        <f>AVERAGEIF('Monthly Data'!B:B,B5,'Monthly Data'!O:O)</f>
        <v>986.91666666666663</v>
      </c>
      <c r="L5" s="72">
        <f t="shared" ref="L5:L12" si="5">K5/K4</f>
        <v>0.99137786706847475</v>
      </c>
      <c r="M5" s="19"/>
      <c r="N5" s="15">
        <f t="shared" ref="N5:N15" si="6">N4+1</f>
        <v>2011</v>
      </c>
      <c r="O5" s="71">
        <f>AVERAGEIF('Monthly Data'!B:B,B5,'Monthly Data'!R:R)</f>
        <v>15024</v>
      </c>
      <c r="P5" s="72">
        <f t="shared" ref="P5:P12" si="7">O5/O4</f>
        <v>1.0254006893335306</v>
      </c>
      <c r="Q5" s="19"/>
      <c r="R5" s="15">
        <f t="shared" ref="R5:R15" si="8">R4+1</f>
        <v>2011</v>
      </c>
      <c r="S5" s="71">
        <f>AVERAGEIF('Monthly Data'!B:B,B5,'Monthly Data'!U:U)</f>
        <v>603.83333333333337</v>
      </c>
      <c r="T5" s="72">
        <f t="shared" ref="T5:T12" si="9">S5/S4</f>
        <v>1.0004141930139445</v>
      </c>
      <c r="U5" s="19"/>
    </row>
    <row r="6" spans="2:22" x14ac:dyDescent="0.2">
      <c r="B6" s="15">
        <f t="shared" si="0"/>
        <v>2012</v>
      </c>
      <c r="C6" s="71">
        <f>AVERAGEIF('Monthly Data'!B:B,B6,'Monthly Data'!F:F)</f>
        <v>59068.083333333336</v>
      </c>
      <c r="D6" s="72">
        <f t="shared" si="1"/>
        <v>1.0099136721193289</v>
      </c>
      <c r="E6" s="19"/>
      <c r="F6" s="15">
        <f t="shared" si="2"/>
        <v>2012</v>
      </c>
      <c r="G6" s="71">
        <f>AVERAGEIF('Monthly Data'!B:B,B6,'Monthly Data'!H:H)</f>
        <v>5137.75</v>
      </c>
      <c r="H6" s="72">
        <f t="shared" si="3"/>
        <v>1.0092654738324029</v>
      </c>
      <c r="I6" s="19"/>
      <c r="J6" s="15">
        <f t="shared" si="4"/>
        <v>2012</v>
      </c>
      <c r="K6" s="71">
        <f>AVERAGEIF('Monthly Data'!B:B,B6,'Monthly Data'!O:O)</f>
        <v>998.33333333333337</v>
      </c>
      <c r="L6" s="72">
        <f t="shared" si="5"/>
        <v>1.0115680148610995</v>
      </c>
      <c r="M6" s="19"/>
      <c r="N6" s="15">
        <f t="shared" si="6"/>
        <v>2012</v>
      </c>
      <c r="O6" s="71">
        <f>AVERAGEIF('Monthly Data'!B:B,B6,'Monthly Data'!R:R)</f>
        <v>15082.666666666666</v>
      </c>
      <c r="P6" s="72">
        <f t="shared" si="7"/>
        <v>1.0039048633297833</v>
      </c>
      <c r="Q6" s="19"/>
      <c r="R6" s="15">
        <f t="shared" si="8"/>
        <v>2012</v>
      </c>
      <c r="S6" s="71">
        <f>AVERAGEIF('Monthly Data'!B:B,B6,'Monthly Data'!U:U)</f>
        <v>604.5</v>
      </c>
      <c r="T6" s="72">
        <f t="shared" si="9"/>
        <v>1.0011040574109853</v>
      </c>
      <c r="U6" s="19"/>
    </row>
    <row r="7" spans="2:22" x14ac:dyDescent="0.2">
      <c r="B7" s="15">
        <f t="shared" si="0"/>
        <v>2013</v>
      </c>
      <c r="C7" s="71">
        <f>AVERAGEIF('Monthly Data'!B:B,B7,'Monthly Data'!F:F)</f>
        <v>59319.416666666664</v>
      </c>
      <c r="D7" s="72">
        <f t="shared" si="1"/>
        <v>1.0042549769545595</v>
      </c>
      <c r="E7" s="19"/>
      <c r="F7" s="15">
        <f t="shared" si="2"/>
        <v>2013</v>
      </c>
      <c r="G7" s="71">
        <f>AVERAGEIF('Monthly Data'!B:B,B7,'Monthly Data'!H:H)</f>
        <v>5158.5</v>
      </c>
      <c r="H7" s="72">
        <f t="shared" si="3"/>
        <v>1.0040387329083742</v>
      </c>
      <c r="I7" s="19"/>
      <c r="J7" s="15">
        <f t="shared" si="4"/>
        <v>2013</v>
      </c>
      <c r="K7" s="71">
        <f>AVERAGEIF('Monthly Data'!B:B,B7,'Monthly Data'!O:O)</f>
        <v>1007.5</v>
      </c>
      <c r="L7" s="72">
        <f t="shared" si="5"/>
        <v>1.0091819699499165</v>
      </c>
      <c r="M7" s="19"/>
      <c r="N7" s="15">
        <f t="shared" si="6"/>
        <v>2013</v>
      </c>
      <c r="O7" s="71">
        <f>AVERAGEIF('Monthly Data'!B:B,B7,'Monthly Data'!R:R)</f>
        <v>15114.416666666666</v>
      </c>
      <c r="P7" s="72">
        <f t="shared" si="7"/>
        <v>1.0021050654172561</v>
      </c>
      <c r="Q7" s="19"/>
      <c r="R7" s="15">
        <f t="shared" si="8"/>
        <v>2013</v>
      </c>
      <c r="S7" s="244">
        <f>AVERAGEIF('Monthly Data'!B:B,B7,'Monthly Data'!U:U)</f>
        <v>568.58333333333337</v>
      </c>
      <c r="T7" s="245">
        <f t="shared" si="9"/>
        <v>0.94058450510063418</v>
      </c>
      <c r="U7" s="19"/>
    </row>
    <row r="8" spans="2:22" x14ac:dyDescent="0.2">
      <c r="B8" s="15">
        <f t="shared" si="0"/>
        <v>2014</v>
      </c>
      <c r="C8" s="71">
        <f>AVERAGEIF('Monthly Data'!B:B,B8,'Monthly Data'!F:F)</f>
        <v>59824.416666666664</v>
      </c>
      <c r="D8" s="72">
        <f t="shared" si="1"/>
        <v>1.0085132327385777</v>
      </c>
      <c r="E8" s="73"/>
      <c r="F8" s="15">
        <f t="shared" si="2"/>
        <v>2014</v>
      </c>
      <c r="G8" s="71">
        <f>AVERAGEIF('Monthly Data'!B:B,B8,'Monthly Data'!H:H)</f>
        <v>5198.458333333333</v>
      </c>
      <c r="H8" s="72">
        <f t="shared" si="3"/>
        <v>1.0077461148266615</v>
      </c>
      <c r="I8" s="73"/>
      <c r="J8" s="15">
        <f t="shared" si="4"/>
        <v>2014</v>
      </c>
      <c r="K8" s="71">
        <f>AVERAGEIF('Monthly Data'!B:B,B8,'Monthly Data'!O:O)</f>
        <v>1021.2083333333334</v>
      </c>
      <c r="L8" s="72">
        <f t="shared" si="5"/>
        <v>1.0136062861869315</v>
      </c>
      <c r="M8" s="73"/>
      <c r="N8" s="15">
        <f t="shared" si="6"/>
        <v>2014</v>
      </c>
      <c r="O8" s="71">
        <f>AVERAGEIF('Monthly Data'!B:B,B8,'Monthly Data'!R:R)</f>
        <v>15170.75</v>
      </c>
      <c r="P8" s="72">
        <f t="shared" si="7"/>
        <v>1.003727125867687</v>
      </c>
      <c r="Q8" s="73"/>
      <c r="R8" s="15">
        <f t="shared" si="8"/>
        <v>2014</v>
      </c>
      <c r="S8" s="71">
        <f>AVERAGEIF('Monthly Data'!B:B,B8,'Monthly Data'!U:U)</f>
        <v>559</v>
      </c>
      <c r="T8" s="72">
        <f t="shared" si="9"/>
        <v>0.98314524402755377</v>
      </c>
      <c r="U8" s="73"/>
    </row>
    <row r="9" spans="2:22" x14ac:dyDescent="0.2">
      <c r="B9" s="15">
        <f t="shared" si="0"/>
        <v>2015</v>
      </c>
      <c r="C9" s="71">
        <f>AVERAGEIF('Monthly Data'!B:B,B9,'Monthly Data'!F:F)</f>
        <v>60123.25</v>
      </c>
      <c r="D9" s="72">
        <f t="shared" si="1"/>
        <v>1.0049951733754194</v>
      </c>
      <c r="E9" s="73"/>
      <c r="F9" s="15">
        <f t="shared" si="2"/>
        <v>2015</v>
      </c>
      <c r="G9" s="71">
        <f>AVERAGEIF('Monthly Data'!B:B,B9,'Monthly Data'!H:H)</f>
        <v>5238.5</v>
      </c>
      <c r="H9" s="72">
        <f t="shared" si="3"/>
        <v>1.0077026041374446</v>
      </c>
      <c r="I9" s="73"/>
      <c r="J9" s="15">
        <f t="shared" si="4"/>
        <v>2015</v>
      </c>
      <c r="K9" s="71">
        <f>AVERAGEIF('Monthly Data'!B:B,B9,'Monthly Data'!O:O)</f>
        <v>1027.6666666666667</v>
      </c>
      <c r="L9" s="72">
        <f t="shared" si="5"/>
        <v>1.006324207434004</v>
      </c>
      <c r="M9" s="73"/>
      <c r="N9" s="15">
        <f t="shared" si="6"/>
        <v>2015</v>
      </c>
      <c r="O9" s="71">
        <f>AVERAGEIF('Monthly Data'!B:B,B9,'Monthly Data'!R:R)</f>
        <v>15228.583333333334</v>
      </c>
      <c r="P9" s="72">
        <f t="shared" si="7"/>
        <v>1.0038121604622932</v>
      </c>
      <c r="Q9" s="73"/>
      <c r="R9" s="15">
        <f t="shared" si="8"/>
        <v>2015</v>
      </c>
      <c r="S9" s="71">
        <f>AVERAGEIF('Monthly Data'!B:B,B9,'Monthly Data'!U:U)</f>
        <v>556.75</v>
      </c>
      <c r="T9" s="72">
        <f t="shared" si="9"/>
        <v>0.99597495527728086</v>
      </c>
      <c r="U9" s="73"/>
    </row>
    <row r="10" spans="2:22" x14ac:dyDescent="0.2">
      <c r="B10" s="15">
        <f t="shared" si="0"/>
        <v>2016</v>
      </c>
      <c r="C10" s="71">
        <f>AVERAGEIF('Monthly Data'!B:B,B10,'Monthly Data'!F:F)</f>
        <v>60318.833333333336</v>
      </c>
      <c r="D10" s="72">
        <f t="shared" si="1"/>
        <v>1.0032530399360204</v>
      </c>
      <c r="E10" s="73"/>
      <c r="F10" s="15">
        <f t="shared" si="2"/>
        <v>2016</v>
      </c>
      <c r="G10" s="71">
        <f>AVERAGEIF('Monthly Data'!B:B,B10,'Monthly Data'!H:H)</f>
        <v>5272.833333333333</v>
      </c>
      <c r="H10" s="72">
        <f t="shared" si="3"/>
        <v>1.0065540390060768</v>
      </c>
      <c r="I10" s="73"/>
      <c r="J10" s="15">
        <f t="shared" si="4"/>
        <v>2016</v>
      </c>
      <c r="K10" s="71">
        <f>AVERAGEIF('Monthly Data'!B:B,B10,'Monthly Data'!O:O)</f>
        <v>1034.1666666666667</v>
      </c>
      <c r="L10" s="72">
        <f t="shared" si="5"/>
        <v>1.0063250081089847</v>
      </c>
      <c r="M10" s="73"/>
      <c r="N10" s="15">
        <f t="shared" si="6"/>
        <v>2016</v>
      </c>
      <c r="O10" s="71">
        <f>AVERAGEIF('Monthly Data'!B:B,B10,'Monthly Data'!R:R)</f>
        <v>15252.666666666666</v>
      </c>
      <c r="P10" s="72">
        <f t="shared" si="7"/>
        <v>1.0015814559244403</v>
      </c>
      <c r="Q10" s="73"/>
      <c r="R10" s="15">
        <f t="shared" si="8"/>
        <v>2016</v>
      </c>
      <c r="S10" s="71">
        <f>AVERAGEIF('Monthly Data'!B:B,B10,'Monthly Data'!U:U)</f>
        <v>559.08333333333337</v>
      </c>
      <c r="T10" s="72">
        <f t="shared" si="9"/>
        <v>1.0041909893728485</v>
      </c>
      <c r="U10" s="73"/>
    </row>
    <row r="11" spans="2:22" x14ac:dyDescent="0.2">
      <c r="B11" s="15">
        <f t="shared" si="0"/>
        <v>2017</v>
      </c>
      <c r="C11" s="71">
        <f>AVERAGEIF('Monthly Data'!B:B,B11,'Monthly Data'!F:F)</f>
        <v>60502</v>
      </c>
      <c r="D11" s="72">
        <f t="shared" si="1"/>
        <v>1.003036641402768</v>
      </c>
      <c r="E11" s="73"/>
      <c r="F11" s="15">
        <f t="shared" si="2"/>
        <v>2017</v>
      </c>
      <c r="G11" s="71">
        <f>AVERAGEIF('Monthly Data'!B:B,B11,'Monthly Data'!H:H)</f>
        <v>5341.666666666667</v>
      </c>
      <c r="H11" s="72">
        <f t="shared" si="3"/>
        <v>1.0130543351139489</v>
      </c>
      <c r="I11" s="73"/>
      <c r="J11" s="15">
        <f t="shared" si="4"/>
        <v>2017</v>
      </c>
      <c r="K11" s="71">
        <f>AVERAGEIF('Monthly Data'!B:B,B11,'Monthly Data'!O:O)</f>
        <v>1003.6666666666666</v>
      </c>
      <c r="L11" s="72">
        <f t="shared" si="5"/>
        <v>0.97050765511684112</v>
      </c>
      <c r="M11" s="73"/>
      <c r="N11" s="15">
        <f t="shared" si="6"/>
        <v>2017</v>
      </c>
      <c r="O11" s="71">
        <f>AVERAGEIF('Monthly Data'!B:B,B11,'Monthly Data'!R:R)</f>
        <v>17184</v>
      </c>
      <c r="P11" s="78">
        <f t="shared" si="7"/>
        <v>1.12662266707461</v>
      </c>
      <c r="Q11" s="73"/>
      <c r="R11" s="15">
        <f t="shared" si="8"/>
        <v>2017</v>
      </c>
      <c r="S11" s="71">
        <f>AVERAGEIF('Monthly Data'!B:B,B11,'Monthly Data'!U:U)</f>
        <v>561.91666666666663</v>
      </c>
      <c r="T11" s="72">
        <f t="shared" si="9"/>
        <v>1.0050678193471454</v>
      </c>
      <c r="U11" s="73"/>
      <c r="V11" t="s">
        <v>227</v>
      </c>
    </row>
    <row r="12" spans="2:22" x14ac:dyDescent="0.2">
      <c r="B12" s="15">
        <f t="shared" si="0"/>
        <v>2018</v>
      </c>
      <c r="C12" s="71">
        <f>AVERAGEIF('Monthly Data'!B:B,B12,'Monthly Data'!F:F)</f>
        <v>60920.083333333336</v>
      </c>
      <c r="D12" s="72">
        <f t="shared" si="1"/>
        <v>1.0069102398818772</v>
      </c>
      <c r="E12" s="73"/>
      <c r="F12" s="15">
        <f t="shared" si="2"/>
        <v>2018</v>
      </c>
      <c r="G12" s="71">
        <f>AVERAGEIF('Monthly Data'!B:B,B12,'Monthly Data'!H:H)</f>
        <v>5427.75</v>
      </c>
      <c r="H12" s="72">
        <f t="shared" si="3"/>
        <v>1.0161154446177847</v>
      </c>
      <c r="I12" s="73"/>
      <c r="J12" s="15">
        <f t="shared" si="4"/>
        <v>2018</v>
      </c>
      <c r="K12" s="71">
        <f>AVERAGEIF('Monthly Data'!B:B,B12,'Monthly Data'!O:O)</f>
        <v>985.83333333333337</v>
      </c>
      <c r="L12" s="72">
        <f t="shared" si="5"/>
        <v>0.98223181667220205</v>
      </c>
      <c r="M12" s="73"/>
      <c r="N12" s="15">
        <f t="shared" si="6"/>
        <v>2018</v>
      </c>
      <c r="O12" s="71">
        <f>AVERAGEIF('Monthly Data'!B:B,B12,'Monthly Data'!R:R)</f>
        <v>17184</v>
      </c>
      <c r="P12" s="72">
        <f t="shared" si="7"/>
        <v>1</v>
      </c>
      <c r="Q12" s="73"/>
      <c r="R12" s="15">
        <f t="shared" si="8"/>
        <v>2018</v>
      </c>
      <c r="S12" s="71">
        <f>AVERAGEIF('Monthly Data'!B:B,B12,'Monthly Data'!U:U)</f>
        <v>563.33333333333337</v>
      </c>
      <c r="T12" s="72">
        <f t="shared" si="9"/>
        <v>1.0025211330268429</v>
      </c>
      <c r="U12" s="73"/>
    </row>
    <row r="13" spans="2:22" s="59" customFormat="1" ht="15" x14ac:dyDescent="0.25">
      <c r="B13" s="15">
        <f t="shared" si="0"/>
        <v>2019</v>
      </c>
      <c r="C13" s="71">
        <f>AVERAGEIF('Monthly Data'!B:B,B13,'Monthly Data'!F:F)</f>
        <v>61427.666666666664</v>
      </c>
      <c r="D13" s="72">
        <f t="shared" ref="D13" si="10">C13/C12</f>
        <v>1.0083319540217306</v>
      </c>
      <c r="E13" s="73"/>
      <c r="F13" s="15">
        <f t="shared" si="2"/>
        <v>2019</v>
      </c>
      <c r="G13" s="71">
        <f>AVERAGEIF('Monthly Data'!B:B,B13,'Monthly Data'!H:H)</f>
        <v>5489.5</v>
      </c>
      <c r="H13" s="72">
        <f t="shared" ref="H13" si="11">G13/G12</f>
        <v>1.0113767214775919</v>
      </c>
      <c r="I13" s="73"/>
      <c r="J13" s="15">
        <f t="shared" si="4"/>
        <v>2019</v>
      </c>
      <c r="K13" s="71">
        <f>AVERAGEIF('Monthly Data'!B:B,B13,'Monthly Data'!O:O)</f>
        <v>984.83333333333337</v>
      </c>
      <c r="L13" s="72">
        <f t="shared" ref="L13" si="12">K13/K12</f>
        <v>0.99898562975486049</v>
      </c>
      <c r="M13" s="73"/>
      <c r="N13" s="15">
        <f t="shared" si="6"/>
        <v>2019</v>
      </c>
      <c r="O13" s="71">
        <f>AVERAGEIF('Monthly Data'!B:B,B13,'Monthly Data'!R:R)</f>
        <v>17184</v>
      </c>
      <c r="P13" s="72">
        <f t="shared" ref="P13" si="13">O13/O12</f>
        <v>1</v>
      </c>
      <c r="Q13" s="73"/>
      <c r="R13" s="15">
        <f t="shared" si="8"/>
        <v>2019</v>
      </c>
      <c r="S13" s="71">
        <f>AVERAGEIF('Monthly Data'!B:B,B13,'Monthly Data'!U:U)</f>
        <v>561.5</v>
      </c>
      <c r="T13" s="72">
        <f t="shared" ref="T13" si="14">S13/S12</f>
        <v>0.9967455621301774</v>
      </c>
      <c r="U13" s="73"/>
    </row>
    <row r="14" spans="2:22" x14ac:dyDescent="0.2">
      <c r="B14" s="73">
        <f t="shared" si="0"/>
        <v>2020</v>
      </c>
      <c r="C14" s="74">
        <f>C13*D14</f>
        <v>61830.607652976963</v>
      </c>
      <c r="D14" s="75">
        <f>GEOMEAN(D5:D13)</f>
        <v>1.0065596010425861</v>
      </c>
      <c r="E14" s="73"/>
      <c r="F14" s="73">
        <f t="shared" si="2"/>
        <v>2020</v>
      </c>
      <c r="G14" s="243" cm="1">
        <f t="array" ref="G14">AVERAGE(G22:G31+G35,G32:G33)*H14</f>
        <v>5514.5253399964558</v>
      </c>
      <c r="H14" s="249">
        <f>GEOMEAN(H5:H13)</f>
        <v>1.0106959110480109</v>
      </c>
      <c r="I14" s="250"/>
      <c r="J14" s="250">
        <f t="shared" si="4"/>
        <v>2020</v>
      </c>
      <c r="K14" s="243" cm="1">
        <f t="array" ref="K14">AVERAGE(K22:K31+K35,K32:K33)*L14</f>
        <v>1016.9486840365047</v>
      </c>
      <c r="L14" s="75">
        <f>GEOMEAN(L5:L13)</f>
        <v>0.99880374925831206</v>
      </c>
      <c r="M14" s="73"/>
      <c r="N14" s="73">
        <f t="shared" si="6"/>
        <v>2020</v>
      </c>
      <c r="O14" s="74">
        <f>O13*P14</f>
        <v>17270.542913989404</v>
      </c>
      <c r="P14" s="75">
        <f>GEOMEAN(P5:P10,P12:P13)</f>
        <v>1.0050362496502214</v>
      </c>
      <c r="Q14" s="73"/>
      <c r="R14" s="73">
        <f t="shared" si="8"/>
        <v>2020</v>
      </c>
      <c r="S14" s="74">
        <f>S13*T14</f>
        <v>557.00906481752543</v>
      </c>
      <c r="T14" s="75">
        <f>GEOMEAN(T5:T13)</f>
        <v>0.9920018963802768</v>
      </c>
      <c r="U14" s="73"/>
    </row>
    <row r="15" spans="2:22" x14ac:dyDescent="0.2">
      <c r="B15" s="73">
        <f t="shared" si="0"/>
        <v>2021</v>
      </c>
      <c r="C15" s="74">
        <f>C14*D15</f>
        <v>62236.191771401165</v>
      </c>
      <c r="D15" s="215">
        <f>D14</f>
        <v>1.0065596010425861</v>
      </c>
      <c r="E15" s="73"/>
      <c r="F15" s="73">
        <f t="shared" si="2"/>
        <v>2021</v>
      </c>
      <c r="G15" s="74">
        <f>G14*H15</f>
        <v>5573.5082125050603</v>
      </c>
      <c r="H15" s="215">
        <f>H14</f>
        <v>1.0106959110480109</v>
      </c>
      <c r="I15" s="73"/>
      <c r="J15" s="73">
        <f t="shared" si="4"/>
        <v>2021</v>
      </c>
      <c r="K15" s="74">
        <f>K14*L15</f>
        <v>1015.7321584189674</v>
      </c>
      <c r="L15" s="75">
        <f>L14</f>
        <v>0.99880374925831206</v>
      </c>
      <c r="M15" s="73"/>
      <c r="N15" s="73">
        <f t="shared" si="6"/>
        <v>2021</v>
      </c>
      <c r="O15" s="74">
        <f>O14*P15</f>
        <v>17357.521679699119</v>
      </c>
      <c r="P15" s="215">
        <f>P14</f>
        <v>1.0050362496502214</v>
      </c>
      <c r="Q15" s="73"/>
      <c r="R15" s="73">
        <f t="shared" si="8"/>
        <v>2021</v>
      </c>
      <c r="S15" s="74">
        <f>S14*T15</f>
        <v>552.55404859998976</v>
      </c>
      <c r="T15" s="215">
        <f>T14</f>
        <v>0.9920018963802768</v>
      </c>
    </row>
    <row r="17" spans="1:22" s="174" customFormat="1" x14ac:dyDescent="0.2">
      <c r="A17" s="174" t="s">
        <v>255</v>
      </c>
      <c r="K17" s="41"/>
    </row>
    <row r="18" spans="1:22" s="174" customFormat="1" x14ac:dyDescent="0.2">
      <c r="B18" s="181">
        <f>B14</f>
        <v>2020</v>
      </c>
      <c r="C18" s="230">
        <f>AVERAGE(C37:C48)</f>
        <v>61651.285485351538</v>
      </c>
      <c r="D18" s="182">
        <f>C18/C13</f>
        <v>1.003640359968389</v>
      </c>
      <c r="F18" s="181">
        <f>F14</f>
        <v>2020</v>
      </c>
      <c r="G18" s="230">
        <f>AVERAGE(G37:G48)</f>
        <v>5505.5601358758804</v>
      </c>
      <c r="H18" s="182">
        <f>G18/G13</f>
        <v>1.0029256099600838</v>
      </c>
      <c r="J18" s="181">
        <f>J14</f>
        <v>2020</v>
      </c>
      <c r="K18" s="230">
        <f>AVERAGE(K37:K48)</f>
        <v>1005.124840109051</v>
      </c>
      <c r="L18" s="182">
        <f>K18/K13</f>
        <v>1.0206040007876638</v>
      </c>
      <c r="M18" s="174" t="s">
        <v>256</v>
      </c>
      <c r="N18" s="181">
        <f>N14</f>
        <v>2020</v>
      </c>
      <c r="O18" s="230">
        <f>AVERAGE(O37:O48)</f>
        <v>17196.600593685107</v>
      </c>
      <c r="P18" s="182">
        <f>O18/O13</f>
        <v>1.000733274772178</v>
      </c>
      <c r="R18" s="181">
        <f>R14</f>
        <v>2020</v>
      </c>
      <c r="S18" s="230">
        <f>AVERAGE(S37:S48)</f>
        <v>558.67964797739762</v>
      </c>
      <c r="T18" s="182">
        <f>S18/S13</f>
        <v>0.99497711126874022</v>
      </c>
      <c r="V18" s="47" t="str">
        <f>"*GS&gt;50 2020 decline would be "&amp;ROUND((K18-K35)/K13,4)*100&amp;"% without Nov 19 reclassification"</f>
        <v>*GS&gt;50 2020 decline would be 98% without Nov 19 reclassification</v>
      </c>
    </row>
    <row r="19" spans="1:22" s="174" customFormat="1" x14ac:dyDescent="0.2">
      <c r="B19" s="181">
        <f>B15</f>
        <v>2021</v>
      </c>
      <c r="C19" s="230">
        <f>AVERAGE(C49:C60)</f>
        <v>62055.717918135437</v>
      </c>
      <c r="D19" s="182">
        <f>C19/C18</f>
        <v>1.0065599999999999</v>
      </c>
      <c r="F19" s="181">
        <f>F15</f>
        <v>2021</v>
      </c>
      <c r="G19" s="230">
        <f>AVERAGE(G49:G60)</f>
        <v>5564.469629329752</v>
      </c>
      <c r="H19" s="182">
        <f>G19/G18</f>
        <v>1.0106999999999999</v>
      </c>
      <c r="J19" s="181">
        <f>J15</f>
        <v>2021</v>
      </c>
      <c r="K19" s="230">
        <f>AVERAGE(K49:K60)</f>
        <v>1003.9186903009204</v>
      </c>
      <c r="L19" s="182">
        <f>K19/K18</f>
        <v>0.99880000000000024</v>
      </c>
      <c r="N19" s="181">
        <f>N15</f>
        <v>2021</v>
      </c>
      <c r="O19" s="230">
        <f>AVERAGE(O49:O60)</f>
        <v>17283.271460677272</v>
      </c>
      <c r="P19" s="182">
        <f>O19/O18</f>
        <v>1.0050399999999995</v>
      </c>
      <c r="R19" s="181">
        <f>R15</f>
        <v>2021</v>
      </c>
      <c r="S19" s="230">
        <f>AVERAGE(S49:S60)</f>
        <v>554.21021079357854</v>
      </c>
      <c r="T19" s="182">
        <f>S19/S18</f>
        <v>0.99200000000000021</v>
      </c>
    </row>
    <row r="20" spans="1:22" s="174" customFormat="1" x14ac:dyDescent="0.2"/>
    <row r="21" spans="1:22" x14ac:dyDescent="0.2">
      <c r="H21" s="178"/>
      <c r="L21" s="178"/>
      <c r="R21" s="174"/>
      <c r="S21" s="246"/>
    </row>
    <row r="22" spans="1:22" x14ac:dyDescent="0.2">
      <c r="A22">
        <v>2019</v>
      </c>
      <c r="B22" t="s">
        <v>54</v>
      </c>
      <c r="C22" s="176">
        <f>'Monthly Data'!F110</f>
        <v>61267</v>
      </c>
      <c r="G22" s="176">
        <f>'Monthly Data'!H110</f>
        <v>5499</v>
      </c>
      <c r="K22" s="176">
        <f>'Monthly Data'!O110</f>
        <v>974</v>
      </c>
      <c r="O22" s="176">
        <f>'Monthly Data'!R110</f>
        <v>17184</v>
      </c>
      <c r="S22" s="176">
        <f>'Monthly Data'!U110</f>
        <v>559</v>
      </c>
    </row>
    <row r="23" spans="1:22" x14ac:dyDescent="0.2">
      <c r="B23" t="s">
        <v>55</v>
      </c>
      <c r="C23" s="176">
        <f>'Monthly Data'!F111</f>
        <v>61283</v>
      </c>
      <c r="G23" s="176">
        <f>'Monthly Data'!H111</f>
        <v>5507</v>
      </c>
      <c r="K23" s="176">
        <f>'Monthly Data'!O111</f>
        <v>972</v>
      </c>
      <c r="O23" s="176">
        <f>'Monthly Data'!R111</f>
        <v>17184</v>
      </c>
      <c r="S23" s="176">
        <f>'Monthly Data'!U111</f>
        <v>563</v>
      </c>
    </row>
    <row r="24" spans="1:22" x14ac:dyDescent="0.2">
      <c r="B24" t="s">
        <v>56</v>
      </c>
      <c r="C24" s="176">
        <f>'Monthly Data'!F112</f>
        <v>61278</v>
      </c>
      <c r="D24" s="174"/>
      <c r="G24" s="176">
        <f>'Monthly Data'!H112</f>
        <v>5500</v>
      </c>
      <c r="K24" s="176">
        <f>'Monthly Data'!O112</f>
        <v>972</v>
      </c>
      <c r="O24" s="176">
        <f>'Monthly Data'!R112</f>
        <v>17184</v>
      </c>
      <c r="S24" s="176">
        <f>'Monthly Data'!U112</f>
        <v>563</v>
      </c>
    </row>
    <row r="25" spans="1:22" x14ac:dyDescent="0.2">
      <c r="B25" s="174" t="s">
        <v>57</v>
      </c>
      <c r="C25" s="176">
        <f>'Monthly Data'!F113</f>
        <v>61471</v>
      </c>
      <c r="D25" s="174"/>
      <c r="G25" s="176">
        <f>'Monthly Data'!H113</f>
        <v>5496</v>
      </c>
      <c r="K25" s="176">
        <f>'Monthly Data'!O113</f>
        <v>973</v>
      </c>
      <c r="O25" s="176">
        <f>'Monthly Data'!R113</f>
        <v>17184</v>
      </c>
      <c r="S25" s="176">
        <f>'Monthly Data'!U113</f>
        <v>563</v>
      </c>
    </row>
    <row r="26" spans="1:22" x14ac:dyDescent="0.2">
      <c r="B26" s="174" t="s">
        <v>58</v>
      </c>
      <c r="C26" s="176">
        <f>'Monthly Data'!F114</f>
        <v>61467</v>
      </c>
      <c r="D26" s="174"/>
      <c r="G26" s="176">
        <f>'Monthly Data'!H114</f>
        <v>5489</v>
      </c>
      <c r="K26" s="176">
        <f>'Monthly Data'!O114</f>
        <v>977</v>
      </c>
      <c r="O26" s="176">
        <f>'Monthly Data'!R114</f>
        <v>17184</v>
      </c>
      <c r="S26" s="176">
        <f>'Monthly Data'!U114</f>
        <v>563</v>
      </c>
    </row>
    <row r="27" spans="1:22" x14ac:dyDescent="0.2">
      <c r="B27" s="174" t="s">
        <v>59</v>
      </c>
      <c r="C27" s="176">
        <f>'Monthly Data'!F115</f>
        <v>61472</v>
      </c>
      <c r="D27" s="174"/>
      <c r="G27" s="176">
        <f>'Monthly Data'!H115</f>
        <v>5489</v>
      </c>
      <c r="K27" s="176">
        <f>'Monthly Data'!O115</f>
        <v>982</v>
      </c>
      <c r="O27" s="176">
        <f>'Monthly Data'!R115</f>
        <v>17184</v>
      </c>
      <c r="S27" s="176">
        <f>'Monthly Data'!U115</f>
        <v>561</v>
      </c>
    </row>
    <row r="28" spans="1:22" x14ac:dyDescent="0.2">
      <c r="B28" s="174" t="s">
        <v>60</v>
      </c>
      <c r="C28" s="176">
        <f>'Monthly Data'!F116</f>
        <v>61470</v>
      </c>
      <c r="D28" s="174"/>
      <c r="G28" s="176">
        <f>'Monthly Data'!H116</f>
        <v>5495</v>
      </c>
      <c r="K28" s="176">
        <f>'Monthly Data'!O116</f>
        <v>982</v>
      </c>
      <c r="O28" s="176">
        <f>'Monthly Data'!R116</f>
        <v>17184</v>
      </c>
      <c r="S28" s="176">
        <f>'Monthly Data'!U116</f>
        <v>561</v>
      </c>
    </row>
    <row r="29" spans="1:22" x14ac:dyDescent="0.2">
      <c r="B29" s="174" t="s">
        <v>61</v>
      </c>
      <c r="C29" s="176">
        <f>'Monthly Data'!F117</f>
        <v>61464</v>
      </c>
      <c r="D29" s="174"/>
      <c r="G29" s="176">
        <f>'Monthly Data'!H117</f>
        <v>5492</v>
      </c>
      <c r="K29" s="176">
        <f>'Monthly Data'!O117</f>
        <v>983</v>
      </c>
      <c r="O29" s="176">
        <f>'Monthly Data'!R117</f>
        <v>17184</v>
      </c>
      <c r="S29" s="176">
        <f>'Monthly Data'!U117</f>
        <v>561</v>
      </c>
    </row>
    <row r="30" spans="1:22" x14ac:dyDescent="0.2">
      <c r="B30" s="174" t="s">
        <v>214</v>
      </c>
      <c r="C30" s="176">
        <f>'Monthly Data'!F118</f>
        <v>61464</v>
      </c>
      <c r="D30" s="174"/>
      <c r="G30" s="176">
        <f>'Monthly Data'!H118</f>
        <v>5496</v>
      </c>
      <c r="K30" s="176">
        <f>'Monthly Data'!O118</f>
        <v>981</v>
      </c>
      <c r="O30" s="176">
        <f>'Monthly Data'!R118</f>
        <v>17184</v>
      </c>
      <c r="S30" s="176">
        <f>'Monthly Data'!U118</f>
        <v>561</v>
      </c>
    </row>
    <row r="31" spans="1:22" x14ac:dyDescent="0.2">
      <c r="B31" s="174" t="s">
        <v>63</v>
      </c>
      <c r="C31" s="176">
        <f>'Monthly Data'!F119</f>
        <v>61500</v>
      </c>
      <c r="D31" s="174"/>
      <c r="G31" s="165">
        <f>'Monthly Data'!H119</f>
        <v>5495</v>
      </c>
      <c r="K31" s="165">
        <f>'Monthly Data'!O119</f>
        <v>980</v>
      </c>
      <c r="O31" s="176">
        <f>'Monthly Data'!R119</f>
        <v>17184</v>
      </c>
      <c r="S31" s="176">
        <f>'Monthly Data'!U119</f>
        <v>561</v>
      </c>
    </row>
    <row r="32" spans="1:22" x14ac:dyDescent="0.2">
      <c r="B32" s="174" t="s">
        <v>64</v>
      </c>
      <c r="C32" s="176">
        <f>'Monthly Data'!F120</f>
        <v>61496</v>
      </c>
      <c r="D32" s="174"/>
      <c r="G32" s="165">
        <f>'Monthly Data'!H120</f>
        <v>5456</v>
      </c>
      <c r="K32" s="165">
        <f>'Monthly Data'!O120</f>
        <v>1020</v>
      </c>
      <c r="O32" s="176">
        <f>'Monthly Data'!R120</f>
        <v>17184</v>
      </c>
      <c r="S32" s="176">
        <f>'Monthly Data'!U120</f>
        <v>561</v>
      </c>
    </row>
    <row r="33" spans="1:20" x14ac:dyDescent="0.2">
      <c r="B33" s="174" t="s">
        <v>65</v>
      </c>
      <c r="C33" s="176">
        <f>'Monthly Data'!F121</f>
        <v>61500</v>
      </c>
      <c r="D33" s="174"/>
      <c r="G33" s="176">
        <f>'Monthly Data'!H121</f>
        <v>5460</v>
      </c>
      <c r="H33" s="176"/>
      <c r="K33" s="176">
        <f>'Monthly Data'!O121</f>
        <v>1022</v>
      </c>
      <c r="L33" s="176"/>
      <c r="O33" s="176">
        <f>'Monthly Data'!R121</f>
        <v>17184</v>
      </c>
      <c r="S33" s="176">
        <f>'Monthly Data'!U121</f>
        <v>561</v>
      </c>
    </row>
    <row r="35" spans="1:20" x14ac:dyDescent="0.2">
      <c r="A35" t="s">
        <v>217</v>
      </c>
      <c r="G35" s="165">
        <f>-K35</f>
        <v>-40</v>
      </c>
      <c r="K35" s="165">
        <f>K32-K31</f>
        <v>40</v>
      </c>
    </row>
    <row r="37" spans="1:20" x14ac:dyDescent="0.2">
      <c r="A37" s="174">
        <v>2020</v>
      </c>
      <c r="B37" s="174" t="s">
        <v>54</v>
      </c>
      <c r="C37" s="28">
        <f>'Monthly Data (to June 2020)'!F122</f>
        <v>61510</v>
      </c>
      <c r="D37" s="174"/>
      <c r="G37" s="28">
        <f>'Monthly Data (to June 2020)'!H122</f>
        <v>5491</v>
      </c>
      <c r="H37" s="201"/>
      <c r="K37" s="28">
        <f>'Monthly Data (to June 2020)'!O122</f>
        <v>1006</v>
      </c>
      <c r="L37" s="201"/>
      <c r="O37" s="28">
        <f>'Monthly Data (to June 2020)'!R122</f>
        <v>17184</v>
      </c>
      <c r="S37" s="28">
        <f>'Monthly Data (to June 2020)'!U122</f>
        <v>560</v>
      </c>
    </row>
    <row r="38" spans="1:20" x14ac:dyDescent="0.2">
      <c r="A38" s="174"/>
      <c r="B38" s="174" t="s">
        <v>55</v>
      </c>
      <c r="C38" s="28">
        <f>'Monthly Data (to June 2020)'!F123</f>
        <v>61517</v>
      </c>
      <c r="D38" s="161">
        <f>C38/C37</f>
        <v>1.0001138026337182</v>
      </c>
      <c r="G38" s="28">
        <f>'Monthly Data (to June 2020)'!H123</f>
        <v>5489</v>
      </c>
      <c r="H38" s="161">
        <f>G38/G37</f>
        <v>0.99963576761974138</v>
      </c>
      <c r="K38" s="28">
        <v>1006</v>
      </c>
      <c r="L38" s="161">
        <f>K38/K37</f>
        <v>1</v>
      </c>
      <c r="O38" s="28">
        <f>'Monthly Data (to June 2020)'!R123</f>
        <v>17184</v>
      </c>
      <c r="P38" s="48">
        <f>O38/O37</f>
        <v>1</v>
      </c>
      <c r="S38" s="28">
        <f>'Monthly Data (to June 2020)'!U123</f>
        <v>560</v>
      </c>
      <c r="T38" s="48">
        <f>S38/S37</f>
        <v>1</v>
      </c>
    </row>
    <row r="39" spans="1:20" x14ac:dyDescent="0.2">
      <c r="A39" s="174"/>
      <c r="B39" s="174" t="s">
        <v>56</v>
      </c>
      <c r="C39" s="28">
        <f>'Monthly Data (to June 2020)'!F124</f>
        <v>61554</v>
      </c>
      <c r="D39" s="161">
        <f t="shared" ref="D39:D43" si="15">C39/C38</f>
        <v>1.0006014597590909</v>
      </c>
      <c r="G39" s="28">
        <f>'Monthly Data (to June 2020)'!H124</f>
        <v>5500</v>
      </c>
      <c r="H39" s="161">
        <f t="shared" ref="H39:H43" si="16">G39/G38</f>
        <v>1.002004008016032</v>
      </c>
      <c r="K39" s="28">
        <f>'Monthly Data (to June 2020)'!O124</f>
        <v>1008</v>
      </c>
      <c r="L39" s="161">
        <f t="shared" ref="L39:L43" si="17">K39/K38</f>
        <v>1.0019880715705765</v>
      </c>
      <c r="O39" s="28">
        <f>'Monthly Data (to June 2020)'!R124</f>
        <v>17184</v>
      </c>
      <c r="P39" s="48">
        <f t="shared" ref="P39:P60" si="18">O39/O38</f>
        <v>1</v>
      </c>
      <c r="S39" s="28">
        <f>'Monthly Data (to June 2020)'!U124</f>
        <v>560</v>
      </c>
      <c r="T39" s="48">
        <f t="shared" ref="T39:T60" si="19">S39/S38</f>
        <v>1</v>
      </c>
    </row>
    <row r="40" spans="1:20" x14ac:dyDescent="0.2">
      <c r="A40" s="174"/>
      <c r="B40" s="174" t="s">
        <v>57</v>
      </c>
      <c r="C40" s="28">
        <f>'Monthly Data (to June 2020)'!F125</f>
        <v>61567</v>
      </c>
      <c r="D40" s="161">
        <f t="shared" si="15"/>
        <v>1.0002111966728402</v>
      </c>
      <c r="G40" s="28">
        <f>'Monthly Data (to June 2020)'!H125</f>
        <v>5502</v>
      </c>
      <c r="H40" s="161">
        <f t="shared" si="16"/>
        <v>1.0003636363636363</v>
      </c>
      <c r="K40" s="28">
        <f>'Monthly Data (to June 2020)'!O125</f>
        <v>1008</v>
      </c>
      <c r="L40" s="161">
        <f t="shared" si="17"/>
        <v>1</v>
      </c>
      <c r="O40" s="28">
        <f>'Monthly Data (to June 2020)'!R125</f>
        <v>17184</v>
      </c>
      <c r="P40" s="48">
        <f t="shared" si="18"/>
        <v>1</v>
      </c>
      <c r="S40" s="28">
        <f>'Monthly Data (to June 2020)'!U125</f>
        <v>560</v>
      </c>
      <c r="T40" s="48">
        <f t="shared" si="19"/>
        <v>1</v>
      </c>
    </row>
    <row r="41" spans="1:20" x14ac:dyDescent="0.2">
      <c r="A41" s="174"/>
      <c r="B41" s="174" t="s">
        <v>58</v>
      </c>
      <c r="C41" s="28">
        <f>'Monthly Data (to June 2020)'!F126</f>
        <v>61593</v>
      </c>
      <c r="D41" s="161">
        <f t="shared" si="15"/>
        <v>1.0004223041564475</v>
      </c>
      <c r="G41" s="28">
        <f>'Monthly Data (to June 2020)'!H126</f>
        <v>5501</v>
      </c>
      <c r="H41" s="161">
        <f t="shared" si="16"/>
        <v>0.99981824790985097</v>
      </c>
      <c r="K41" s="28">
        <f>'Monthly Data (to June 2020)'!O126</f>
        <v>1006</v>
      </c>
      <c r="L41" s="161">
        <f t="shared" si="17"/>
        <v>0.99801587301587302</v>
      </c>
      <c r="O41" s="28">
        <f>'Monthly Data (to June 2020)'!R126</f>
        <v>17184</v>
      </c>
      <c r="P41" s="48">
        <f t="shared" si="18"/>
        <v>1</v>
      </c>
      <c r="S41" s="28">
        <f>'Monthly Data (to June 2020)'!U126</f>
        <v>559</v>
      </c>
      <c r="T41" s="48">
        <f t="shared" si="19"/>
        <v>0.99821428571428572</v>
      </c>
    </row>
    <row r="42" spans="1:20" x14ac:dyDescent="0.2">
      <c r="A42" s="174"/>
      <c r="B42" s="174" t="s">
        <v>59</v>
      </c>
      <c r="C42" s="28">
        <f>'Monthly Data (to June 2020)'!F127</f>
        <v>61616</v>
      </c>
      <c r="D42" s="161">
        <f t="shared" si="15"/>
        <v>1.0003734190573603</v>
      </c>
      <c r="G42" s="28">
        <f>'Monthly Data (to June 2020)'!H127</f>
        <v>5504</v>
      </c>
      <c r="H42" s="161">
        <f t="shared" si="16"/>
        <v>1.0005453553899291</v>
      </c>
      <c r="K42" s="28">
        <f>'Monthly Data (to June 2020)'!O127</f>
        <v>1005</v>
      </c>
      <c r="L42" s="161">
        <f t="shared" si="17"/>
        <v>0.99900596421471177</v>
      </c>
      <c r="O42" s="28">
        <f>'Monthly Data (to June 2020)'!R127</f>
        <v>17184</v>
      </c>
      <c r="P42" s="48">
        <f t="shared" si="18"/>
        <v>1</v>
      </c>
      <c r="S42" s="28">
        <f>'Monthly Data (to June 2020)'!U127</f>
        <v>559</v>
      </c>
      <c r="T42" s="48">
        <f t="shared" si="19"/>
        <v>1</v>
      </c>
    </row>
    <row r="43" spans="1:20" x14ac:dyDescent="0.2">
      <c r="A43" s="174"/>
      <c r="B43" s="174" t="s">
        <v>60</v>
      </c>
      <c r="C43" s="28">
        <f>'Monthly Data (to June 2020)'!F128</f>
        <v>61659</v>
      </c>
      <c r="D43" s="161">
        <f t="shared" si="15"/>
        <v>1.0006978706829395</v>
      </c>
      <c r="G43" s="28">
        <f>'Monthly Data (to June 2020)'!H128</f>
        <v>5501</v>
      </c>
      <c r="H43" s="161">
        <f t="shared" si="16"/>
        <v>0.99945494186046513</v>
      </c>
      <c r="K43" s="28">
        <f>'Monthly Data (to June 2020)'!O128</f>
        <v>1004</v>
      </c>
      <c r="L43" s="161">
        <f t="shared" si="17"/>
        <v>0.99900497512437814</v>
      </c>
      <c r="O43" s="28">
        <f>O42*P$14^(1/12)</f>
        <v>17191.195315752695</v>
      </c>
      <c r="P43" s="48">
        <f t="shared" si="18"/>
        <v>1.0004187218198728</v>
      </c>
      <c r="S43" s="212">
        <f>S42*T$14^(1/12)</f>
        <v>558.62604885630901</v>
      </c>
      <c r="T43" s="213">
        <f t="shared" si="19"/>
        <v>0.99933103552112523</v>
      </c>
    </row>
    <row r="44" spans="1:20" x14ac:dyDescent="0.2">
      <c r="A44" s="174"/>
      <c r="B44" s="174" t="s">
        <v>61</v>
      </c>
      <c r="C44" s="212">
        <f>C43*D$14^(1/12)</f>
        <v>61692.603959562686</v>
      </c>
      <c r="D44" s="213">
        <f>C44/C43</f>
        <v>1.0005449968303521</v>
      </c>
      <c r="E44" s="214"/>
      <c r="F44" s="214"/>
      <c r="G44" s="212">
        <f>(G43)*H$14^(1/12)</f>
        <v>5505.879310032994</v>
      </c>
      <c r="H44" s="213">
        <f>G44/G43</f>
        <v>1.0008869860085428</v>
      </c>
      <c r="I44" s="214"/>
      <c r="J44" s="214"/>
      <c r="K44" s="212">
        <f>(K43)*L$14^(1/12)</f>
        <v>1003.8998587704867</v>
      </c>
      <c r="L44" s="213">
        <f>K44/K43</f>
        <v>0.99990025773952862</v>
      </c>
      <c r="M44" s="214"/>
      <c r="N44" s="214"/>
      <c r="O44" s="212">
        <f t="shared" ref="O44:O48" si="20">O43*P$14^(1/12)</f>
        <v>17198.393644341097</v>
      </c>
      <c r="P44" s="213">
        <f t="shared" si="18"/>
        <v>1.0004187218198728</v>
      </c>
      <c r="Q44" s="214"/>
      <c r="R44" s="214"/>
      <c r="S44" s="212">
        <f>S43*T$14^(1/12)</f>
        <v>558.25234787265003</v>
      </c>
      <c r="T44" s="213">
        <f t="shared" si="19"/>
        <v>0.99933103552112534</v>
      </c>
    </row>
    <row r="45" spans="1:20" x14ac:dyDescent="0.2">
      <c r="A45" s="174"/>
      <c r="B45" s="174" t="s">
        <v>214</v>
      </c>
      <c r="C45" s="212">
        <f>C44*D$14^(1/12)</f>
        <v>61726.226233176814</v>
      </c>
      <c r="D45" s="213">
        <f t="shared" ref="D45:D60" si="21">C45/C44</f>
        <v>1.0005449968303521</v>
      </c>
      <c r="E45" s="214"/>
      <c r="F45" s="214"/>
      <c r="G45" s="212">
        <f t="shared" ref="G45:G47" si="22">(G44)*H$14^(1/12)</f>
        <v>5510.7629479457182</v>
      </c>
      <c r="H45" s="213">
        <f t="shared" ref="H45:H60" si="23">G45/G44</f>
        <v>1.0008869860085428</v>
      </c>
      <c r="I45" s="214"/>
      <c r="J45" s="214"/>
      <c r="K45" s="212">
        <f t="shared" ref="K45:K60" si="24">(K44)*L$14^(1/12)</f>
        <v>1003.7997275292861</v>
      </c>
      <c r="L45" s="213">
        <f t="shared" ref="L45:L60" si="25">K45/K44</f>
        <v>0.99990025773952862</v>
      </c>
      <c r="M45" s="214"/>
      <c r="N45" s="214"/>
      <c r="O45" s="212">
        <f t="shared" si="20"/>
        <v>17205.594987026743</v>
      </c>
      <c r="P45" s="213">
        <f t="shared" si="18"/>
        <v>1.0004187218198728</v>
      </c>
      <c r="Q45" s="214"/>
      <c r="R45" s="214"/>
      <c r="S45" s="212">
        <f t="shared" ref="S45:S48" si="26">S44*T$14^(1/12)</f>
        <v>557.87889688167479</v>
      </c>
      <c r="T45" s="213">
        <f t="shared" si="19"/>
        <v>0.99933103552112523</v>
      </c>
    </row>
    <row r="46" spans="1:20" x14ac:dyDescent="0.2">
      <c r="A46" s="174"/>
      <c r="B46" s="174" t="s">
        <v>63</v>
      </c>
      <c r="C46" s="212">
        <f t="shared" ref="C46:C47" si="27">C45*D$14^(1/12)</f>
        <v>61759.866830823492</v>
      </c>
      <c r="D46" s="213">
        <f t="shared" si="21"/>
        <v>1.0005449968303521</v>
      </c>
      <c r="E46" s="214"/>
      <c r="F46" s="214"/>
      <c r="G46" s="212">
        <f t="shared" si="22"/>
        <v>5515.6509175769415</v>
      </c>
      <c r="H46" s="213">
        <f t="shared" si="23"/>
        <v>1.0008869860085428</v>
      </c>
      <c r="I46" s="214"/>
      <c r="J46" s="214"/>
      <c r="K46" s="212">
        <f t="shared" si="24"/>
        <v>1003.6996062754017</v>
      </c>
      <c r="L46" s="213">
        <f t="shared" si="25"/>
        <v>0.99990025773952862</v>
      </c>
      <c r="M46" s="214"/>
      <c r="N46" s="214"/>
      <c r="O46" s="212">
        <f t="shared" si="20"/>
        <v>17212.799345071704</v>
      </c>
      <c r="P46" s="213">
        <f t="shared" si="18"/>
        <v>1.0004187218198728</v>
      </c>
      <c r="Q46" s="214"/>
      <c r="R46" s="214"/>
      <c r="S46" s="212">
        <f t="shared" si="26"/>
        <v>557.5056957161471</v>
      </c>
      <c r="T46" s="213">
        <f t="shared" si="19"/>
        <v>0.99933103552112523</v>
      </c>
    </row>
    <row r="47" spans="1:20" x14ac:dyDescent="0.2">
      <c r="A47" s="174"/>
      <c r="B47" s="174" t="s">
        <v>64</v>
      </c>
      <c r="C47" s="212">
        <f t="shared" si="27"/>
        <v>61793.525762489262</v>
      </c>
      <c r="D47" s="213">
        <f>C47/C46</f>
        <v>1.0005449968303521</v>
      </c>
      <c r="E47" s="214"/>
      <c r="F47" s="214"/>
      <c r="G47" s="212">
        <f t="shared" si="22"/>
        <v>5520.5432227688379</v>
      </c>
      <c r="H47" s="213">
        <f t="shared" si="23"/>
        <v>1.0008869860085428</v>
      </c>
      <c r="I47" s="214"/>
      <c r="J47" s="214"/>
      <c r="K47" s="212">
        <f t="shared" si="24"/>
        <v>1003.5994950078376</v>
      </c>
      <c r="L47" s="213">
        <f t="shared" si="25"/>
        <v>0.99990025773952862</v>
      </c>
      <c r="M47" s="214"/>
      <c r="N47" s="214"/>
      <c r="O47" s="212">
        <f t="shared" si="20"/>
        <v>17220.006719738576</v>
      </c>
      <c r="P47" s="213">
        <f t="shared" si="18"/>
        <v>1.0004187218198728</v>
      </c>
      <c r="Q47" s="214"/>
      <c r="R47" s="214"/>
      <c r="S47" s="212">
        <f t="shared" si="26"/>
        <v>557.13274420894265</v>
      </c>
      <c r="T47" s="213">
        <f t="shared" si="19"/>
        <v>0.99933103552112523</v>
      </c>
    </row>
    <row r="48" spans="1:20" x14ac:dyDescent="0.2">
      <c r="A48" s="174"/>
      <c r="B48" s="174" t="s">
        <v>65</v>
      </c>
      <c r="C48" s="212">
        <f>C47*D$14^(1/12)</f>
        <v>61827.203038166102</v>
      </c>
      <c r="D48" s="213">
        <f t="shared" si="21"/>
        <v>1.0005449968303521</v>
      </c>
      <c r="E48" s="214"/>
      <c r="F48" s="214"/>
      <c r="G48" s="212">
        <f>(G47)*H$14^(1/11)</f>
        <v>5525.8852321860777</v>
      </c>
      <c r="H48" s="213">
        <f t="shared" si="23"/>
        <v>1.0009676601018551</v>
      </c>
      <c r="I48" s="214"/>
      <c r="J48" s="214"/>
      <c r="K48" s="212">
        <f t="shared" si="24"/>
        <v>1003.4993937255977</v>
      </c>
      <c r="L48" s="213">
        <f t="shared" si="25"/>
        <v>0.99990025773952873</v>
      </c>
      <c r="M48" s="214"/>
      <c r="N48" s="214"/>
      <c r="O48" s="212">
        <f t="shared" si="20"/>
        <v>17227.217112290487</v>
      </c>
      <c r="P48" s="213">
        <f t="shared" si="18"/>
        <v>1.0004187218198728</v>
      </c>
      <c r="Q48" s="214"/>
      <c r="R48" s="214"/>
      <c r="S48" s="212">
        <f t="shared" si="26"/>
        <v>556.76004219304889</v>
      </c>
      <c r="T48" s="213">
        <f t="shared" si="19"/>
        <v>0.99933103552112534</v>
      </c>
    </row>
    <row r="49" spans="1:20" x14ac:dyDescent="0.2">
      <c r="A49" s="174">
        <v>2021</v>
      </c>
      <c r="B49" s="174" t="s">
        <v>54</v>
      </c>
      <c r="C49" s="212">
        <v>61869.926572140103</v>
      </c>
      <c r="D49" s="213">
        <f t="shared" si="21"/>
        <v>1.0006910151498787</v>
      </c>
      <c r="E49" s="214"/>
      <c r="F49" s="214"/>
      <c r="G49" s="212">
        <v>5537.3759381750942</v>
      </c>
      <c r="H49" s="213">
        <f t="shared" si="23"/>
        <v>1.0020794326168934</v>
      </c>
      <c r="I49" s="214"/>
      <c r="J49" s="214"/>
      <c r="K49" s="212">
        <v>1004.4695414818561</v>
      </c>
      <c r="L49" s="213">
        <f t="shared" si="25"/>
        <v>1.0009667646660521</v>
      </c>
      <c r="M49" s="214"/>
      <c r="N49" s="214"/>
      <c r="O49" s="212">
        <v>17243.504707636628</v>
      </c>
      <c r="P49" s="213">
        <f t="shared" si="18"/>
        <v>1.0009454571356462</v>
      </c>
      <c r="Q49" s="214"/>
      <c r="R49" s="214"/>
      <c r="S49" s="212">
        <v>556.25227550646707</v>
      </c>
      <c r="T49" s="213">
        <f t="shared" si="19"/>
        <v>0.99908799725536745</v>
      </c>
    </row>
    <row r="50" spans="1:20" x14ac:dyDescent="0.2">
      <c r="A50" s="174"/>
      <c r="B50" s="174" t="s">
        <v>55</v>
      </c>
      <c r="C50" s="212">
        <f>C49*D$15^(1/12)</f>
        <v>61903.645486016037</v>
      </c>
      <c r="D50" s="213">
        <f t="shared" si="21"/>
        <v>1.0005449968303521</v>
      </c>
      <c r="E50" s="214"/>
      <c r="F50" s="214"/>
      <c r="G50" s="212">
        <f t="shared" ref="G50:G60" si="28">(G49)*H$14^(1/12)</f>
        <v>5542.2875131562969</v>
      </c>
      <c r="H50" s="213">
        <f t="shared" si="23"/>
        <v>1.0008869860085428</v>
      </c>
      <c r="I50" s="214"/>
      <c r="J50" s="214"/>
      <c r="K50" s="212">
        <f t="shared" si="24"/>
        <v>1004.3693534192141</v>
      </c>
      <c r="L50" s="213">
        <f t="shared" si="25"/>
        <v>0.99990025773952862</v>
      </c>
      <c r="M50" s="214"/>
      <c r="N50" s="214"/>
      <c r="O50" s="212">
        <f t="shared" ref="O50:O60" si="29">O49*P$15^(1/12)</f>
        <v>17250.724939308795</v>
      </c>
      <c r="P50" s="213">
        <f t="shared" si="18"/>
        <v>1.0004187218198728</v>
      </c>
      <c r="Q50" s="214"/>
      <c r="R50" s="214"/>
      <c r="S50" s="212">
        <f t="shared" ref="S50:S60" si="30">S49*T$15^(1/12)</f>
        <v>555.88016249285999</v>
      </c>
      <c r="T50" s="213">
        <f t="shared" si="19"/>
        <v>0.99933103552112523</v>
      </c>
    </row>
    <row r="51" spans="1:20" x14ac:dyDescent="0.2">
      <c r="A51" s="174"/>
      <c r="B51" s="174" t="s">
        <v>56</v>
      </c>
      <c r="C51" s="212">
        <f t="shared" ref="C51:C60" si="31">C50*D$15^(1/12)</f>
        <v>61937.382776593156</v>
      </c>
      <c r="D51" s="213">
        <f t="shared" si="21"/>
        <v>1.0005449968303521</v>
      </c>
      <c r="E51" s="214"/>
      <c r="F51" s="214"/>
      <c r="G51" s="212">
        <f t="shared" si="28"/>
        <v>5547.2034446357875</v>
      </c>
      <c r="H51" s="213">
        <f t="shared" si="23"/>
        <v>1.0008869860085428</v>
      </c>
      <c r="I51" s="214"/>
      <c r="J51" s="214"/>
      <c r="K51" s="212">
        <f t="shared" si="24"/>
        <v>1004.2691753495559</v>
      </c>
      <c r="L51" s="213">
        <f t="shared" si="25"/>
        <v>0.99990025773952862</v>
      </c>
      <c r="M51" s="214"/>
      <c r="N51" s="214"/>
      <c r="O51" s="212">
        <f>O50*P$15^(1/12)</f>
        <v>17257.948194249508</v>
      </c>
      <c r="P51" s="213">
        <f t="shared" si="18"/>
        <v>1.0004187218198728</v>
      </c>
      <c r="Q51" s="214"/>
      <c r="R51" s="214"/>
      <c r="S51" s="212">
        <f t="shared" si="30"/>
        <v>555.50829840964116</v>
      </c>
      <c r="T51" s="213">
        <f t="shared" si="19"/>
        <v>0.99933103552112523</v>
      </c>
    </row>
    <row r="52" spans="1:20" x14ac:dyDescent="0.2">
      <c r="A52" s="174"/>
      <c r="B52" s="174" t="s">
        <v>57</v>
      </c>
      <c r="C52" s="212">
        <f t="shared" si="31"/>
        <v>61971.138453886706</v>
      </c>
      <c r="D52" s="213">
        <f t="shared" si="21"/>
        <v>1.0005449968303521</v>
      </c>
      <c r="E52" s="214"/>
      <c r="F52" s="214"/>
      <c r="G52" s="212">
        <f t="shared" si="28"/>
        <v>5552.1237364777198</v>
      </c>
      <c r="H52" s="213">
        <f t="shared" si="23"/>
        <v>1.0008869860085428</v>
      </c>
      <c r="I52" s="214"/>
      <c r="J52" s="214"/>
      <c r="K52" s="212">
        <f t="shared" si="24"/>
        <v>1004.1690072718848</v>
      </c>
      <c r="L52" s="213">
        <f t="shared" si="25"/>
        <v>0.99990025773952862</v>
      </c>
      <c r="M52" s="214"/>
      <c r="N52" s="214"/>
      <c r="O52" s="212">
        <f t="shared" si="29"/>
        <v>17265.174473724674</v>
      </c>
      <c r="P52" s="213">
        <f t="shared" si="18"/>
        <v>1.0004187218198728</v>
      </c>
      <c r="Q52" s="214"/>
      <c r="R52" s="214"/>
      <c r="S52" s="212">
        <f t="shared" si="30"/>
        <v>555.13668309028492</v>
      </c>
      <c r="T52" s="213">
        <f t="shared" si="19"/>
        <v>0.99933103552112523</v>
      </c>
    </row>
    <row r="53" spans="1:20" x14ac:dyDescent="0.2">
      <c r="A53" s="174"/>
      <c r="B53" s="174" t="s">
        <v>58</v>
      </c>
      <c r="C53" s="212">
        <f t="shared" si="31"/>
        <v>62004.91252791739</v>
      </c>
      <c r="D53" s="213">
        <f t="shared" si="21"/>
        <v>1.0005449968303521</v>
      </c>
      <c r="E53" s="214"/>
      <c r="F53" s="214"/>
      <c r="G53" s="212">
        <f t="shared" si="28"/>
        <v>5557.0483925496737</v>
      </c>
      <c r="H53" s="213">
        <f t="shared" si="23"/>
        <v>1.0008869860085428</v>
      </c>
      <c r="I53" s="214"/>
      <c r="J53" s="214"/>
      <c r="K53" s="212">
        <f t="shared" si="24"/>
        <v>1004.0688491852042</v>
      </c>
      <c r="L53" s="213">
        <f t="shared" si="25"/>
        <v>0.99990025773952862</v>
      </c>
      <c r="M53" s="214"/>
      <c r="N53" s="214"/>
      <c r="O53" s="212">
        <f t="shared" si="29"/>
        <v>17272.403779000731</v>
      </c>
      <c r="P53" s="213">
        <f t="shared" si="18"/>
        <v>1.0004187218198728</v>
      </c>
      <c r="Q53" s="214"/>
      <c r="R53" s="214"/>
      <c r="S53" s="212">
        <f t="shared" si="30"/>
        <v>554.76531636837717</v>
      </c>
      <c r="T53" s="213">
        <f t="shared" si="19"/>
        <v>0.99933103552112523</v>
      </c>
    </row>
    <row r="54" spans="1:20" x14ac:dyDescent="0.2">
      <c r="A54" s="174"/>
      <c r="B54" s="174" t="s">
        <v>59</v>
      </c>
      <c r="C54" s="212">
        <f t="shared" si="31"/>
        <v>62038.705008711368</v>
      </c>
      <c r="D54" s="213">
        <f t="shared" si="21"/>
        <v>1.0005449968303521</v>
      </c>
      <c r="E54" s="214"/>
      <c r="F54" s="214"/>
      <c r="G54" s="212">
        <f t="shared" si="28"/>
        <v>5561.9774167226606</v>
      </c>
      <c r="H54" s="213">
        <f t="shared" si="23"/>
        <v>1.0008869860085428</v>
      </c>
      <c r="I54" s="214"/>
      <c r="J54" s="214"/>
      <c r="K54" s="212">
        <f t="shared" si="24"/>
        <v>1003.9687010885175</v>
      </c>
      <c r="L54" s="213">
        <f t="shared" si="25"/>
        <v>0.99990025773952862</v>
      </c>
      <c r="M54" s="214"/>
      <c r="N54" s="214"/>
      <c r="O54" s="212">
        <f t="shared" si="29"/>
        <v>17279.636111344651</v>
      </c>
      <c r="P54" s="213">
        <f t="shared" si="18"/>
        <v>1.0004187218198728</v>
      </c>
      <c r="Q54" s="214"/>
      <c r="R54" s="214"/>
      <c r="S54" s="212">
        <f t="shared" si="30"/>
        <v>554.39419807761499</v>
      </c>
      <c r="T54" s="213">
        <f t="shared" si="19"/>
        <v>0.99933103552112523</v>
      </c>
    </row>
    <row r="55" spans="1:20" x14ac:dyDescent="0.2">
      <c r="A55" s="174"/>
      <c r="B55" s="174" t="s">
        <v>60</v>
      </c>
      <c r="C55" s="212">
        <f t="shared" si="31"/>
        <v>62072.515906300265</v>
      </c>
      <c r="D55" s="213">
        <f t="shared" si="21"/>
        <v>1.0005449968303521</v>
      </c>
      <c r="E55" s="214"/>
      <c r="F55" s="214"/>
      <c r="G55" s="212">
        <f t="shared" si="28"/>
        <v>5566.9108128711241</v>
      </c>
      <c r="H55" s="213">
        <f t="shared" si="23"/>
        <v>1.0008869860085428</v>
      </c>
      <c r="I55" s="214"/>
      <c r="J55" s="214"/>
      <c r="K55" s="212">
        <f t="shared" si="24"/>
        <v>1003.8685629808284</v>
      </c>
      <c r="L55" s="213">
        <f t="shared" si="25"/>
        <v>0.99990025773952862</v>
      </c>
      <c r="M55" s="214"/>
      <c r="N55" s="214"/>
      <c r="O55" s="212">
        <f t="shared" si="29"/>
        <v>17286.871472023933</v>
      </c>
      <c r="P55" s="213">
        <f t="shared" si="18"/>
        <v>1.0004187218198728</v>
      </c>
      <c r="Q55" s="214"/>
      <c r="R55" s="214"/>
      <c r="S55" s="212">
        <f t="shared" si="30"/>
        <v>554.02332805180686</v>
      </c>
      <c r="T55" s="213">
        <f t="shared" si="19"/>
        <v>0.99933103552112534</v>
      </c>
    </row>
    <row r="56" spans="1:20" x14ac:dyDescent="0.2">
      <c r="A56" s="174"/>
      <c r="B56" s="174" t="s">
        <v>61</v>
      </c>
      <c r="C56" s="212">
        <f t="shared" si="31"/>
        <v>62106.345230721185</v>
      </c>
      <c r="D56" s="213">
        <f t="shared" si="21"/>
        <v>1.0005449968303521</v>
      </c>
      <c r="E56" s="214"/>
      <c r="F56" s="214"/>
      <c r="G56" s="212">
        <f t="shared" si="28"/>
        <v>5571.848584872946</v>
      </c>
      <c r="H56" s="213">
        <f t="shared" si="23"/>
        <v>1.0008869860085428</v>
      </c>
      <c r="I56" s="214"/>
      <c r="J56" s="214"/>
      <c r="K56" s="212">
        <f t="shared" si="24"/>
        <v>1003.7684348611406</v>
      </c>
      <c r="L56" s="213">
        <f t="shared" si="25"/>
        <v>0.99990025773952862</v>
      </c>
      <c r="M56" s="214"/>
      <c r="N56" s="214"/>
      <c r="O56" s="212">
        <f t="shared" si="29"/>
        <v>17294.109862306606</v>
      </c>
      <c r="P56" s="213">
        <f t="shared" si="18"/>
        <v>1.0004187218198728</v>
      </c>
      <c r="Q56" s="214"/>
      <c r="R56" s="214"/>
      <c r="S56" s="212">
        <f t="shared" si="30"/>
        <v>553.65270612487222</v>
      </c>
      <c r="T56" s="213">
        <f t="shared" si="19"/>
        <v>0.99933103552112523</v>
      </c>
    </row>
    <row r="57" spans="1:20" x14ac:dyDescent="0.2">
      <c r="A57" s="174"/>
      <c r="B57" s="174" t="s">
        <v>214</v>
      </c>
      <c r="C57" s="212">
        <f t="shared" si="31"/>
        <v>62140.19299201668</v>
      </c>
      <c r="D57" s="213">
        <f t="shared" si="21"/>
        <v>1.0005449968303521</v>
      </c>
      <c r="E57" s="214"/>
      <c r="F57" s="214"/>
      <c r="G57" s="212">
        <f t="shared" si="28"/>
        <v>5576.7907366094469</v>
      </c>
      <c r="H57" s="213">
        <f t="shared" si="23"/>
        <v>1.0008869860085428</v>
      </c>
      <c r="I57" s="214"/>
      <c r="J57" s="214"/>
      <c r="K57" s="212">
        <f t="shared" si="24"/>
        <v>1003.6683167284577</v>
      </c>
      <c r="L57" s="213">
        <f t="shared" si="25"/>
        <v>0.99990025773952862</v>
      </c>
      <c r="M57" s="214"/>
      <c r="N57" s="214"/>
      <c r="O57" s="212">
        <f t="shared" si="29"/>
        <v>17301.35128346123</v>
      </c>
      <c r="P57" s="213">
        <f t="shared" si="18"/>
        <v>1.0004187218198728</v>
      </c>
      <c r="Q57" s="214"/>
      <c r="R57" s="214"/>
      <c r="S57" s="212">
        <f t="shared" si="30"/>
        <v>553.28233213084184</v>
      </c>
      <c r="T57" s="213">
        <f t="shared" si="19"/>
        <v>0.99933103552112534</v>
      </c>
    </row>
    <row r="58" spans="1:20" x14ac:dyDescent="0.2">
      <c r="A58" s="174"/>
      <c r="B58" s="174" t="s">
        <v>63</v>
      </c>
      <c r="C58" s="212">
        <f t="shared" si="31"/>
        <v>62174.059200234798</v>
      </c>
      <c r="D58" s="213">
        <f t="shared" si="21"/>
        <v>1.0005449968303521</v>
      </c>
      <c r="E58" s="214"/>
      <c r="F58" s="214"/>
      <c r="G58" s="212">
        <f t="shared" si="28"/>
        <v>5581.7372719653904</v>
      </c>
      <c r="H58" s="213">
        <f t="shared" si="23"/>
        <v>1.0008869860085428</v>
      </c>
      <c r="I58" s="214"/>
      <c r="J58" s="214"/>
      <c r="K58" s="212">
        <f t="shared" si="24"/>
        <v>1003.5682085817838</v>
      </c>
      <c r="L58" s="213">
        <f t="shared" si="25"/>
        <v>0.99990025773952862</v>
      </c>
      <c r="M58" s="214"/>
      <c r="N58" s="214"/>
      <c r="O58" s="212">
        <f t="shared" si="29"/>
        <v>17308.595736756899</v>
      </c>
      <c r="P58" s="213">
        <f t="shared" si="18"/>
        <v>1.0004187218198728</v>
      </c>
      <c r="Q58" s="214"/>
      <c r="R58" s="214"/>
      <c r="S58" s="212">
        <f t="shared" si="30"/>
        <v>552.91220590385728</v>
      </c>
      <c r="T58" s="213">
        <f t="shared" si="19"/>
        <v>0.99933103552112523</v>
      </c>
    </row>
    <row r="59" spans="1:20" x14ac:dyDescent="0.2">
      <c r="A59" s="174"/>
      <c r="B59" s="174" t="s">
        <v>64</v>
      </c>
      <c r="C59" s="212">
        <f t="shared" si="31"/>
        <v>62207.94386542905</v>
      </c>
      <c r="D59" s="213">
        <f t="shared" si="21"/>
        <v>1.0005449968303521</v>
      </c>
      <c r="E59" s="214"/>
      <c r="F59" s="214"/>
      <c r="G59" s="212">
        <f t="shared" si="28"/>
        <v>5586.6881948289856</v>
      </c>
      <c r="H59" s="213">
        <f t="shared" si="23"/>
        <v>1.0008869860085428</v>
      </c>
      <c r="I59" s="214"/>
      <c r="J59" s="214"/>
      <c r="K59" s="212">
        <f t="shared" si="24"/>
        <v>1003.4681104201226</v>
      </c>
      <c r="L59" s="213">
        <f t="shared" si="25"/>
        <v>0.99990025773952862</v>
      </c>
      <c r="M59" s="214"/>
      <c r="N59" s="214"/>
      <c r="O59" s="212">
        <f t="shared" si="29"/>
        <v>17315.843223463235</v>
      </c>
      <c r="P59" s="213">
        <f t="shared" si="18"/>
        <v>1.0004187218198728</v>
      </c>
      <c r="Q59" s="214"/>
      <c r="R59" s="214"/>
      <c r="S59" s="212">
        <f t="shared" si="30"/>
        <v>552.54232727817134</v>
      </c>
      <c r="T59" s="213">
        <f t="shared" si="19"/>
        <v>0.99933103552112523</v>
      </c>
    </row>
    <row r="60" spans="1:20" x14ac:dyDescent="0.2">
      <c r="A60" s="174"/>
      <c r="B60" s="174" t="s">
        <v>65</v>
      </c>
      <c r="C60" s="212">
        <f t="shared" si="31"/>
        <v>62241.846997658431</v>
      </c>
      <c r="D60" s="213">
        <f t="shared" si="21"/>
        <v>1.0005449968303521</v>
      </c>
      <c r="E60" s="214"/>
      <c r="F60" s="214"/>
      <c r="G60" s="212">
        <f t="shared" si="28"/>
        <v>5591.6435090918903</v>
      </c>
      <c r="H60" s="213">
        <f t="shared" si="23"/>
        <v>1.0008869860085428</v>
      </c>
      <c r="I60" s="214"/>
      <c r="J60" s="214"/>
      <c r="K60" s="212">
        <f t="shared" si="24"/>
        <v>1003.3680222424783</v>
      </c>
      <c r="L60" s="213">
        <f t="shared" si="25"/>
        <v>0.99990025773952862</v>
      </c>
      <c r="M60" s="214"/>
      <c r="N60" s="214"/>
      <c r="O60" s="212">
        <f t="shared" si="29"/>
        <v>17323.093744850394</v>
      </c>
      <c r="P60" s="213">
        <f t="shared" si="18"/>
        <v>1.0004187218198728</v>
      </c>
      <c r="Q60" s="214"/>
      <c r="R60" s="214"/>
      <c r="S60" s="212">
        <f t="shared" si="30"/>
        <v>552.1726960881474</v>
      </c>
      <c r="T60" s="213">
        <f t="shared" si="19"/>
        <v>0.99933103552112512</v>
      </c>
    </row>
    <row r="63" spans="1:20" x14ac:dyDescent="0.2">
      <c r="D63" s="180"/>
    </row>
    <row r="64" spans="1:20" x14ac:dyDescent="0.2">
      <c r="D64" s="41"/>
    </row>
    <row r="66" spans="7:17" x14ac:dyDescent="0.2">
      <c r="G66" s="201"/>
      <c r="H66" s="201"/>
      <c r="I66" s="201"/>
      <c r="J66" s="201"/>
      <c r="K66" s="201"/>
      <c r="L66" s="201"/>
      <c r="M66" s="201"/>
      <c r="N66" s="201"/>
      <c r="O66" s="201"/>
      <c r="Q66" s="27"/>
    </row>
  </sheetData>
  <mergeCells count="10">
    <mergeCell ref="R2:S2"/>
    <mergeCell ref="T2:T3"/>
    <mergeCell ref="N2:O2"/>
    <mergeCell ref="P2:P3"/>
    <mergeCell ref="B2:C2"/>
    <mergeCell ref="D2:D3"/>
    <mergeCell ref="F2:G2"/>
    <mergeCell ref="H2:H3"/>
    <mergeCell ref="J2:K2"/>
    <mergeCell ref="L2:L3"/>
  </mergeCells>
  <phoneticPr fontId="3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5"/>
  <dimension ref="A2:R49"/>
  <sheetViews>
    <sheetView topLeftCell="A7" workbookViewId="0"/>
  </sheetViews>
  <sheetFormatPr defaultRowHeight="12.75" x14ac:dyDescent="0.2"/>
  <cols>
    <col min="3" max="3" width="17.5" bestFit="1" customWidth="1"/>
    <col min="4" max="4" width="15.33203125" customWidth="1"/>
    <col min="5" max="5" width="12.83203125" customWidth="1"/>
    <col min="6" max="6" width="11.33203125" bestFit="1" customWidth="1"/>
    <col min="9" max="9" width="14.6640625" customWidth="1"/>
    <col min="10" max="10" width="16.1640625" customWidth="1"/>
    <col min="11" max="11" width="15.83203125" customWidth="1"/>
    <col min="12" max="12" width="11" customWidth="1"/>
    <col min="14" max="14" width="9.33203125" customWidth="1"/>
    <col min="15" max="15" width="10.6640625" bestFit="1" customWidth="1"/>
  </cols>
  <sheetData>
    <row r="2" spans="1:18" x14ac:dyDescent="0.2">
      <c r="C2" s="261" t="s">
        <v>128</v>
      </c>
      <c r="D2" s="261"/>
      <c r="E2" s="261"/>
      <c r="I2" s="261" t="s">
        <v>131</v>
      </c>
      <c r="J2" s="261"/>
      <c r="K2" s="261"/>
      <c r="O2" s="255"/>
      <c r="P2" s="255"/>
      <c r="Q2" s="255"/>
    </row>
    <row r="3" spans="1:18" x14ac:dyDescent="0.2">
      <c r="A3" s="80"/>
      <c r="B3" s="80"/>
      <c r="C3" s="77" t="s">
        <v>132</v>
      </c>
      <c r="D3" s="77" t="s">
        <v>133</v>
      </c>
      <c r="E3" s="77" t="s">
        <v>174</v>
      </c>
      <c r="F3" s="77" t="s">
        <v>175</v>
      </c>
      <c r="H3" s="80"/>
      <c r="I3" s="77" t="s">
        <v>132</v>
      </c>
      <c r="J3" s="77" t="s">
        <v>133</v>
      </c>
      <c r="K3" s="77" t="s">
        <v>174</v>
      </c>
      <c r="L3" s="77" t="s">
        <v>175</v>
      </c>
      <c r="N3" s="80"/>
      <c r="O3" s="77"/>
      <c r="P3" s="77"/>
      <c r="Q3" s="80"/>
    </row>
    <row r="4" spans="1:18" s="174" customFormat="1" x14ac:dyDescent="0.2">
      <c r="A4" s="80"/>
      <c r="B4" s="80"/>
      <c r="C4" s="80" t="s">
        <v>117</v>
      </c>
      <c r="D4" s="80" t="s">
        <v>118</v>
      </c>
      <c r="E4" s="80" t="s">
        <v>170</v>
      </c>
      <c r="F4" s="77"/>
      <c r="H4" s="80"/>
      <c r="I4" s="80"/>
      <c r="J4" s="77"/>
      <c r="K4" s="77"/>
      <c r="L4" s="77"/>
      <c r="N4" s="80"/>
      <c r="O4" s="77"/>
      <c r="P4" s="77"/>
      <c r="Q4" s="80"/>
    </row>
    <row r="5" spans="1:18" x14ac:dyDescent="0.2">
      <c r="A5" s="15"/>
      <c r="B5" s="15">
        <v>2010</v>
      </c>
      <c r="C5" s="71">
        <f>'Normalized Annual Summary'!U5</f>
        <v>906197008</v>
      </c>
      <c r="D5" s="71">
        <f>SUMIF('Monthly Data'!B:B,B5,'Monthly Data'!N:N)</f>
        <v>2403006</v>
      </c>
      <c r="E5" s="81">
        <f t="shared" ref="E5:E13" si="0">D5/C5</f>
        <v>2.6517478857091968E-3</v>
      </c>
      <c r="H5" s="15">
        <v>2010</v>
      </c>
      <c r="I5" s="71">
        <f>'Normalized Annual Summary'!AD5</f>
        <v>9467387</v>
      </c>
      <c r="J5" s="71">
        <f>SUMIF('Monthly Data'!$B:$B,H5,'Monthly Data'!Q:Q)</f>
        <v>26416</v>
      </c>
      <c r="K5" s="81">
        <f t="shared" ref="K5:K13" si="1">J5/I5</f>
        <v>2.7902102237924785E-3</v>
      </c>
      <c r="N5" s="15"/>
      <c r="O5" s="71"/>
      <c r="P5" s="71"/>
      <c r="Q5" s="81"/>
    </row>
    <row r="6" spans="1:18" x14ac:dyDescent="0.2">
      <c r="A6" s="15"/>
      <c r="B6" s="15">
        <f t="shared" ref="B6:B14" si="2">B5+1</f>
        <v>2011</v>
      </c>
      <c r="C6" s="71">
        <f>'Normalized Annual Summary'!U6</f>
        <v>908229110</v>
      </c>
      <c r="D6" s="71">
        <f>SUMIF('Monthly Data'!B:B,B6,'Monthly Data'!N:N)</f>
        <v>2396756</v>
      </c>
      <c r="E6" s="81">
        <f t="shared" si="0"/>
        <v>2.6389332533065363E-3</v>
      </c>
      <c r="F6" s="27"/>
      <c r="H6" s="15">
        <f t="shared" ref="H6:H14" si="3">H5+1</f>
        <v>2011</v>
      </c>
      <c r="I6" s="71">
        <f>'Normalized Annual Summary'!AD6</f>
        <v>9847280</v>
      </c>
      <c r="J6" s="71">
        <f>SUMIF('Monthly Data'!$B:$B,H6,'Monthly Data'!Q:Q)</f>
        <v>27334</v>
      </c>
      <c r="K6" s="81">
        <f t="shared" si="1"/>
        <v>2.7757918938021466E-3</v>
      </c>
      <c r="L6" s="27"/>
      <c r="M6" s="27"/>
      <c r="N6" s="15"/>
      <c r="O6" s="71"/>
      <c r="P6" s="71"/>
      <c r="Q6" s="81"/>
      <c r="R6" s="27"/>
    </row>
    <row r="7" spans="1:18" x14ac:dyDescent="0.2">
      <c r="A7" s="15"/>
      <c r="B7" s="15">
        <f t="shared" si="2"/>
        <v>2012</v>
      </c>
      <c r="C7" s="71">
        <f>'Normalized Annual Summary'!U7</f>
        <v>903337846</v>
      </c>
      <c r="D7" s="71">
        <f>SUMIF('Monthly Data'!B:B,B7,'Monthly Data'!N:N)</f>
        <v>2423043</v>
      </c>
      <c r="E7" s="81">
        <f t="shared" si="0"/>
        <v>2.6823220246215613E-3</v>
      </c>
      <c r="F7" s="27">
        <f t="shared" ref="F7:F13" si="4">AVERAGE(E5:E7)</f>
        <v>2.6576677212124312E-3</v>
      </c>
      <c r="H7" s="15">
        <f t="shared" si="3"/>
        <v>2012</v>
      </c>
      <c r="I7" s="71">
        <f>'Normalized Annual Summary'!AD7</f>
        <v>9866380</v>
      </c>
      <c r="J7" s="71">
        <f>SUMIF('Monthly Data'!$B:$B,H7,'Monthly Data'!Q:Q)</f>
        <v>27457</v>
      </c>
      <c r="K7" s="81">
        <f t="shared" si="1"/>
        <v>2.7828849081426013E-3</v>
      </c>
      <c r="L7" s="27">
        <f t="shared" ref="L7:L11" si="5">AVERAGE(K5:K7)</f>
        <v>2.7829623419124093E-3</v>
      </c>
      <c r="M7" s="27"/>
      <c r="N7" s="15"/>
      <c r="O7" s="71"/>
      <c r="P7" s="71"/>
      <c r="Q7" s="81"/>
      <c r="R7" s="27"/>
    </row>
    <row r="8" spans="1:18" x14ac:dyDescent="0.2">
      <c r="A8" s="15"/>
      <c r="B8" s="15">
        <f t="shared" si="2"/>
        <v>2013</v>
      </c>
      <c r="C8" s="71">
        <f>'Normalized Annual Summary'!U8</f>
        <v>899933878</v>
      </c>
      <c r="D8" s="71">
        <f>SUMIF('Monthly Data'!B:B,B8,'Monthly Data'!N:N)</f>
        <v>2424733</v>
      </c>
      <c r="E8" s="81">
        <f t="shared" si="0"/>
        <v>2.6943457283647235E-3</v>
      </c>
      <c r="F8" s="27">
        <f t="shared" si="4"/>
        <v>2.6718670020976069E-3</v>
      </c>
      <c r="H8" s="15">
        <f t="shared" si="3"/>
        <v>2013</v>
      </c>
      <c r="I8" s="71">
        <f>'Normalized Annual Summary'!AD8</f>
        <v>9864267</v>
      </c>
      <c r="J8" s="71">
        <f>SUMIF('Monthly Data'!$B:$B,H8,'Monthly Data'!Q:Q)</f>
        <v>27500</v>
      </c>
      <c r="K8" s="81">
        <f t="shared" si="1"/>
        <v>2.78784019126814E-3</v>
      </c>
      <c r="L8" s="27">
        <f t="shared" si="5"/>
        <v>2.782172331070963E-3</v>
      </c>
      <c r="M8" s="27"/>
      <c r="N8" s="15"/>
      <c r="O8" s="71"/>
      <c r="P8" s="71"/>
      <c r="Q8" s="81"/>
      <c r="R8" s="27"/>
    </row>
    <row r="9" spans="1:18" x14ac:dyDescent="0.2">
      <c r="A9" s="15"/>
      <c r="B9" s="15">
        <f t="shared" si="2"/>
        <v>2014</v>
      </c>
      <c r="C9" s="71">
        <f>'Normalized Annual Summary'!U9</f>
        <v>901672321</v>
      </c>
      <c r="D9" s="71">
        <f>SUMIF('Monthly Data'!B:B,B9,'Monthly Data'!N:N)</f>
        <v>2373361</v>
      </c>
      <c r="E9" s="81">
        <f t="shared" si="0"/>
        <v>2.6321768393287523E-3</v>
      </c>
      <c r="F9" s="27">
        <f t="shared" si="4"/>
        <v>2.6696148641050122E-3</v>
      </c>
      <c r="H9" s="15">
        <f t="shared" si="3"/>
        <v>2014</v>
      </c>
      <c r="I9" s="71">
        <f>'Normalized Annual Summary'!AD9</f>
        <v>9908447</v>
      </c>
      <c r="J9" s="71">
        <f>SUMIF('Monthly Data'!$B:$B,H9,'Monthly Data'!Q:Q)</f>
        <v>27636</v>
      </c>
      <c r="K9" s="81">
        <f t="shared" si="1"/>
        <v>2.7891353710626904E-3</v>
      </c>
      <c r="L9" s="27">
        <f t="shared" si="5"/>
        <v>2.7866201568244771E-3</v>
      </c>
      <c r="M9" s="27"/>
      <c r="N9" s="15"/>
      <c r="O9" s="71"/>
      <c r="P9" s="71"/>
      <c r="Q9" s="81"/>
      <c r="R9" s="27"/>
    </row>
    <row r="10" spans="1:18" x14ac:dyDescent="0.2">
      <c r="A10" s="15"/>
      <c r="B10" s="15">
        <f t="shared" si="2"/>
        <v>2015</v>
      </c>
      <c r="C10" s="71">
        <f>'Normalized Annual Summary'!U10</f>
        <v>907051642</v>
      </c>
      <c r="D10" s="71">
        <f>SUMIF('Monthly Data'!B:B,B10,'Monthly Data'!N:N)</f>
        <v>2374100</v>
      </c>
      <c r="E10" s="81">
        <f t="shared" si="0"/>
        <v>2.6173812934897922E-3</v>
      </c>
      <c r="F10" s="27">
        <f t="shared" si="4"/>
        <v>2.6479679537277558E-3</v>
      </c>
      <c r="H10" s="15">
        <f t="shared" si="3"/>
        <v>2015</v>
      </c>
      <c r="I10" s="71">
        <f>'Normalized Annual Summary'!AD10</f>
        <v>9918681</v>
      </c>
      <c r="J10" s="71">
        <f>SUMIF('Monthly Data'!$B:$B,H10,'Monthly Data'!Q:Q)</f>
        <v>27661</v>
      </c>
      <c r="K10" s="81">
        <f t="shared" si="1"/>
        <v>2.788778064341418E-3</v>
      </c>
      <c r="L10" s="27">
        <f t="shared" si="5"/>
        <v>2.7885845422240831E-3</v>
      </c>
      <c r="M10" s="27"/>
      <c r="N10" s="15"/>
      <c r="O10" s="71"/>
      <c r="P10" s="71"/>
      <c r="Q10" s="81"/>
      <c r="R10" s="27"/>
    </row>
    <row r="11" spans="1:18" x14ac:dyDescent="0.2">
      <c r="A11" s="15"/>
      <c r="B11" s="15">
        <f t="shared" si="2"/>
        <v>2016</v>
      </c>
      <c r="C11" s="71">
        <f>'Normalized Annual Summary'!U11</f>
        <v>920835908</v>
      </c>
      <c r="D11" s="71">
        <f>SUMIF('Monthly Data'!B:B,B11,'Monthly Data'!N:N)</f>
        <v>2410544</v>
      </c>
      <c r="E11" s="81">
        <f t="shared" si="0"/>
        <v>2.6177780200117911E-3</v>
      </c>
      <c r="F11" s="27">
        <f t="shared" si="4"/>
        <v>2.6224453842767781E-3</v>
      </c>
      <c r="H11" s="15">
        <f t="shared" si="3"/>
        <v>2016</v>
      </c>
      <c r="I11" s="71">
        <f>'Normalized Annual Summary'!AD11</f>
        <v>9945876</v>
      </c>
      <c r="J11" s="71">
        <f>SUMIF('Monthly Data'!$B:$B,H11,'Monthly Data'!Q:Q)</f>
        <v>27648</v>
      </c>
      <c r="K11" s="81">
        <f t="shared" si="1"/>
        <v>2.7798456365231176E-3</v>
      </c>
      <c r="L11" s="27">
        <f t="shared" si="5"/>
        <v>2.7859196906424091E-3</v>
      </c>
      <c r="M11" s="27"/>
      <c r="N11" s="15"/>
      <c r="O11" s="71"/>
      <c r="P11" s="71"/>
      <c r="Q11" s="81"/>
      <c r="R11" s="27"/>
    </row>
    <row r="12" spans="1:18" x14ac:dyDescent="0.2">
      <c r="A12" s="15"/>
      <c r="B12" s="15">
        <f t="shared" si="2"/>
        <v>2017</v>
      </c>
      <c r="C12" s="71">
        <f>'Normalized Annual Summary'!U12</f>
        <v>885596225</v>
      </c>
      <c r="D12" s="71">
        <f>SUMIF('Monthly Data'!B:B,B12,'Monthly Data'!N:N)</f>
        <v>2363980</v>
      </c>
      <c r="E12" s="81">
        <f t="shared" si="0"/>
        <v>2.6693654887700092E-3</v>
      </c>
      <c r="F12" s="27">
        <f t="shared" si="4"/>
        <v>2.6348416007571976E-3</v>
      </c>
      <c r="H12" s="15">
        <f t="shared" si="3"/>
        <v>2017</v>
      </c>
      <c r="I12" s="71">
        <f>'Normalized Annual Summary'!AD12</f>
        <v>11286654.700000001</v>
      </c>
      <c r="J12" s="71">
        <f>SUMIF('Monthly Data'!$B:$B,H12,'Monthly Data'!Q:Q)</f>
        <v>30451.800000000003</v>
      </c>
      <c r="K12" s="154">
        <f t="shared" si="1"/>
        <v>2.6980359379648604E-3</v>
      </c>
      <c r="L12" s="27">
        <f>AVERAGE(K10:K11)</f>
        <v>2.7843118504322678E-3</v>
      </c>
      <c r="M12" s="27"/>
      <c r="N12" s="15" t="s">
        <v>197</v>
      </c>
      <c r="O12" s="71"/>
      <c r="P12" s="71"/>
      <c r="Q12" s="81"/>
      <c r="R12" s="27"/>
    </row>
    <row r="13" spans="1:18" x14ac:dyDescent="0.2">
      <c r="A13" s="15"/>
      <c r="B13" s="15">
        <f t="shared" si="2"/>
        <v>2018</v>
      </c>
      <c r="C13" s="71">
        <f>'Normalized Annual Summary'!U13</f>
        <v>874283086</v>
      </c>
      <c r="D13" s="71">
        <f>SUMIF('Monthly Data'!B:B,B13,'Monthly Data'!N:N)</f>
        <v>2353522</v>
      </c>
      <c r="E13" s="81">
        <f t="shared" si="0"/>
        <v>2.6919450206543283E-3</v>
      </c>
      <c r="F13" s="27">
        <f t="shared" si="4"/>
        <v>2.6596961764787097E-3</v>
      </c>
      <c r="H13" s="15">
        <f t="shared" si="3"/>
        <v>2018</v>
      </c>
      <c r="I13" s="71">
        <f>'Normalized Annual Summary'!AD13</f>
        <v>6528022.6000000006</v>
      </c>
      <c r="J13" s="71">
        <f>SUMIF('Monthly Data'!$B:$B,H13,'Monthly Data'!Q:Q)</f>
        <v>18200.899999999998</v>
      </c>
      <c r="K13" s="81">
        <f t="shared" si="1"/>
        <v>2.7881184112322154E-3</v>
      </c>
      <c r="L13" s="27">
        <f>AVERAGE(K11,K13)</f>
        <v>2.7839820238776663E-3</v>
      </c>
      <c r="M13" s="27"/>
      <c r="N13" s="15"/>
      <c r="O13" s="71"/>
      <c r="P13" s="71"/>
      <c r="Q13" s="81"/>
      <c r="R13" s="27"/>
    </row>
    <row r="14" spans="1:18" s="174" customFormat="1" x14ac:dyDescent="0.2">
      <c r="A14" s="15"/>
      <c r="B14" s="15">
        <f t="shared" si="2"/>
        <v>2019</v>
      </c>
      <c r="C14" s="71">
        <f>'Normalized Annual Summary'!U14</f>
        <v>837536595</v>
      </c>
      <c r="D14" s="71">
        <f>SUMIF('Monthly Data'!B:B,B14,'Monthly Data'!N:N)</f>
        <v>2275484</v>
      </c>
      <c r="E14" s="81">
        <f t="shared" ref="E14" si="6">D14/C14</f>
        <v>2.7168771055311319E-3</v>
      </c>
      <c r="F14" s="27">
        <f t="shared" ref="F14" si="7">AVERAGE(E12:E14)</f>
        <v>2.6927292049851565E-3</v>
      </c>
      <c r="H14" s="15">
        <f t="shared" si="3"/>
        <v>2019</v>
      </c>
      <c r="I14" s="71">
        <f>'Normalized Annual Summary'!AD14</f>
        <v>5537652.8999999994</v>
      </c>
      <c r="J14" s="71">
        <f>SUMIF('Monthly Data'!$B:$B,H14,'Monthly Data'!Q:Q)</f>
        <v>15445.800000000001</v>
      </c>
      <c r="K14" s="81">
        <f t="shared" ref="K14" si="8">J14/I14</f>
        <v>2.7892322395287727E-3</v>
      </c>
      <c r="L14" s="27">
        <f>AVERAGE(K13:K14)</f>
        <v>2.7886753253804943E-3</v>
      </c>
      <c r="M14" s="27"/>
      <c r="N14" s="15"/>
      <c r="O14" s="71"/>
      <c r="P14" s="71"/>
      <c r="Q14" s="81"/>
      <c r="R14" s="27"/>
    </row>
    <row r="16" spans="1:18" x14ac:dyDescent="0.2">
      <c r="B16" s="15"/>
      <c r="C16" s="15" t="s">
        <v>134</v>
      </c>
      <c r="D16" s="82" t="s">
        <v>135</v>
      </c>
      <c r="E16" t="s">
        <v>219</v>
      </c>
      <c r="F16" t="s">
        <v>220</v>
      </c>
      <c r="H16" s="15"/>
      <c r="I16" s="15" t="s">
        <v>134</v>
      </c>
      <c r="J16" s="82" t="s">
        <v>135</v>
      </c>
      <c r="K16" s="174" t="s">
        <v>219</v>
      </c>
      <c r="L16" s="174" t="s">
        <v>221</v>
      </c>
      <c r="N16" s="15"/>
      <c r="O16" s="15"/>
      <c r="P16" s="81"/>
      <c r="Q16" s="82"/>
    </row>
    <row r="17" spans="1:17" x14ac:dyDescent="0.2">
      <c r="B17" s="80"/>
      <c r="C17" s="80" t="s">
        <v>120</v>
      </c>
      <c r="D17" s="83" t="s">
        <v>218</v>
      </c>
      <c r="E17" s="84" t="s">
        <v>160</v>
      </c>
      <c r="F17" t="s">
        <v>184</v>
      </c>
      <c r="H17" s="80"/>
      <c r="I17" s="80" t="s">
        <v>120</v>
      </c>
      <c r="J17" s="83" t="s">
        <v>185</v>
      </c>
      <c r="K17" s="84" t="s">
        <v>160</v>
      </c>
      <c r="L17" t="s">
        <v>184</v>
      </c>
      <c r="N17" s="80"/>
      <c r="O17" s="80"/>
      <c r="P17" s="83"/>
      <c r="Q17" s="84"/>
    </row>
    <row r="18" spans="1:17" x14ac:dyDescent="0.2">
      <c r="B18" s="73">
        <v>2019</v>
      </c>
      <c r="C18" s="74">
        <f ca="1">'Normalized Annual Summary'!AA14</f>
        <v>853212291.34085143</v>
      </c>
      <c r="D18" s="85">
        <f ca="1">C18*F18</f>
        <v>2310072.4071587897</v>
      </c>
      <c r="E18" s="86">
        <f>AVERAGE(E5:E14)</f>
        <v>2.6612872659787824E-3</v>
      </c>
      <c r="F18" s="247">
        <f>TREND($E$9:$E$14,$B$9:$B$14,B18)</f>
        <v>2.7075001504355198E-3</v>
      </c>
      <c r="G18" t="s">
        <v>215</v>
      </c>
      <c r="H18" s="73">
        <v>2019</v>
      </c>
      <c r="I18" s="74">
        <f>'Normalized Annual Summary'!AK14</f>
        <v>5537652.8999999994</v>
      </c>
      <c r="J18" s="85">
        <f>I18*L18</f>
        <v>15433.700370536344</v>
      </c>
      <c r="K18" s="177">
        <f>AVERAGE(K5:K11,K13:K14)</f>
        <v>2.7857596599659535E-3</v>
      </c>
      <c r="L18" s="86">
        <f>TREND($L$7:$L$14,$H$7:$H$14,H18)</f>
        <v>2.7870472651935888E-3</v>
      </c>
      <c r="N18" s="73"/>
      <c r="O18" s="74"/>
      <c r="P18" s="85"/>
      <c r="Q18" s="86"/>
    </row>
    <row r="19" spans="1:17" x14ac:dyDescent="0.2">
      <c r="B19" s="73">
        <v>2020</v>
      </c>
      <c r="C19" s="74">
        <f ca="1">'Normalized Annual Summary'!AA15</f>
        <v>747410162.65449774</v>
      </c>
      <c r="D19" s="85">
        <f t="shared" ref="D19:D20" ca="1" si="9">C19*F19</f>
        <v>2038535.2780942591</v>
      </c>
      <c r="E19" s="86">
        <f>E18</f>
        <v>2.6612872659787824E-3</v>
      </c>
      <c r="F19" s="247">
        <f t="shared" ref="F19:F20" si="10">TREND($E$9:$E$14,$B$9:$B$14,B19)</f>
        <v>2.7274652927573376E-3</v>
      </c>
      <c r="H19" s="73">
        <v>2020</v>
      </c>
      <c r="I19" s="74">
        <f>'Normalized Annual Summary'!AK15</f>
        <v>5541713.5211686473</v>
      </c>
      <c r="J19" s="85">
        <f>I19*L19</f>
        <v>15447.62011196088</v>
      </c>
      <c r="K19" s="177">
        <f>K18</f>
        <v>2.7857596599659535E-3</v>
      </c>
      <c r="L19" s="86">
        <f t="shared" ref="L19:L20" si="11">TREND($L$7:$L$14,$H$7:$H$14,H19)</f>
        <v>2.7875169030215866E-3</v>
      </c>
      <c r="N19" s="73"/>
      <c r="O19" s="74"/>
      <c r="P19" s="85"/>
      <c r="Q19" s="86"/>
    </row>
    <row r="20" spans="1:17" s="174" customFormat="1" x14ac:dyDescent="0.2">
      <c r="B20" s="73">
        <v>2021</v>
      </c>
      <c r="C20" s="74">
        <f ca="1">'Normalized Annual Summary'!AA16</f>
        <v>829981996.46143186</v>
      </c>
      <c r="D20" s="85">
        <f t="shared" ca="1" si="9"/>
        <v>2280317.7976459037</v>
      </c>
      <c r="E20" s="86">
        <f>E19</f>
        <v>2.6612872659787824E-3</v>
      </c>
      <c r="F20" s="247">
        <f t="shared" si="10"/>
        <v>2.7474304350791623E-3</v>
      </c>
      <c r="H20" s="73">
        <v>2021</v>
      </c>
      <c r="I20" s="74">
        <f>'Normalized Annual Summary'!AK16</f>
        <v>5569643.7573153349</v>
      </c>
      <c r="J20" s="85">
        <f>I20*L20</f>
        <v>15528.091832722061</v>
      </c>
      <c r="K20" s="177">
        <f>K19</f>
        <v>2.7857596599659535E-3</v>
      </c>
      <c r="L20" s="86">
        <f t="shared" si="11"/>
        <v>2.787986540849584E-3</v>
      </c>
      <c r="N20" s="73"/>
      <c r="O20" s="74"/>
      <c r="P20" s="85"/>
      <c r="Q20" s="86"/>
    </row>
    <row r="22" spans="1:17" s="174" customFormat="1" x14ac:dyDescent="0.2">
      <c r="A22" s="15"/>
      <c r="B22" s="15"/>
      <c r="C22" s="149" t="s">
        <v>132</v>
      </c>
      <c r="D22" s="150" t="s">
        <v>133</v>
      </c>
      <c r="E22" s="81" t="s">
        <v>186</v>
      </c>
      <c r="F22" s="15"/>
      <c r="G22" s="15"/>
      <c r="H22" s="15"/>
      <c r="I22" s="149" t="s">
        <v>132</v>
      </c>
      <c r="J22" s="150" t="s">
        <v>133</v>
      </c>
      <c r="K22" s="81" t="s">
        <v>186</v>
      </c>
    </row>
    <row r="23" spans="1:17" s="174" customFormat="1" x14ac:dyDescent="0.2">
      <c r="A23" s="15" t="s">
        <v>187</v>
      </c>
      <c r="B23" s="15"/>
      <c r="C23" s="151">
        <f>C14/C10-1</f>
        <v>-7.663846663319307E-2</v>
      </c>
      <c r="D23" s="151">
        <f>D14/D10-1</f>
        <v>-4.1538267132808171E-2</v>
      </c>
      <c r="E23" s="152">
        <f>D23-C23</f>
        <v>3.5100199500384899E-2</v>
      </c>
      <c r="F23" s="15"/>
      <c r="G23" s="15"/>
      <c r="H23" s="15"/>
      <c r="I23" s="151">
        <f>I14/I10-1</f>
        <v>-0.44169462653350788</v>
      </c>
      <c r="J23" s="151">
        <f>J14/J10-1</f>
        <v>-0.44160370196305265</v>
      </c>
      <c r="K23" s="153">
        <f>J23-I23</f>
        <v>9.0924570455230835E-5</v>
      </c>
    </row>
    <row r="24" spans="1:17" s="174" customFormat="1" x14ac:dyDescent="0.2">
      <c r="A24" s="15" t="s">
        <v>188</v>
      </c>
      <c r="B24" s="15"/>
      <c r="C24" s="151">
        <f>C14/C5-1</f>
        <v>-7.576764477686293E-2</v>
      </c>
      <c r="D24" s="151">
        <f>D14/D5-1</f>
        <v>-5.3067699373201771E-2</v>
      </c>
      <c r="E24" s="152">
        <f>D24-C24</f>
        <v>2.2699945403661159E-2</v>
      </c>
      <c r="F24" s="15"/>
      <c r="G24" s="15"/>
      <c r="H24" s="15"/>
      <c r="I24" s="151">
        <f>I14/I5-1</f>
        <v>-0.41508117287272617</v>
      </c>
      <c r="J24" s="151">
        <f>J14/J5-1</f>
        <v>-0.41528619018776491</v>
      </c>
      <c r="K24" s="153">
        <f>J24-I24</f>
        <v>-2.0501731503874687E-4</v>
      </c>
    </row>
    <row r="25" spans="1:17" s="174" customForma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7" s="174" customFormat="1" x14ac:dyDescent="0.2">
      <c r="A26" s="15"/>
      <c r="B26" s="15"/>
      <c r="C26" s="15"/>
      <c r="D26" s="15" t="s">
        <v>189</v>
      </c>
      <c r="E26" s="15"/>
      <c r="F26" s="15" t="s">
        <v>198</v>
      </c>
      <c r="G26" s="15"/>
      <c r="H26" s="15"/>
      <c r="I26" s="15"/>
      <c r="J26" s="15" t="s">
        <v>183</v>
      </c>
      <c r="K26" s="15"/>
    </row>
    <row r="27" spans="1:17" s="174" customFormat="1" x14ac:dyDescent="0.2"/>
    <row r="46" spans="10:10" x14ac:dyDescent="0.2">
      <c r="J46" t="s">
        <v>216</v>
      </c>
    </row>
    <row r="49" spans="5:5" x14ac:dyDescent="0.2">
      <c r="E49" s="41">
        <f ca="1">D19-'CDM Adjustment'!D23</f>
        <v>2038535.2780942591</v>
      </c>
    </row>
  </sheetData>
  <mergeCells count="3">
    <mergeCell ref="C2:E2"/>
    <mergeCell ref="I2:K2"/>
    <mergeCell ref="O2:Q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6"/>
  <dimension ref="A2:R55"/>
  <sheetViews>
    <sheetView workbookViewId="0">
      <selection activeCell="Q29" sqref="Q29"/>
    </sheetView>
  </sheetViews>
  <sheetFormatPr defaultRowHeight="12.75" x14ac:dyDescent="0.2"/>
  <cols>
    <col min="1" max="2" width="9.33203125" style="201"/>
    <col min="3" max="3" width="17.5" style="201" bestFit="1" customWidth="1"/>
    <col min="4" max="4" width="15.33203125" style="201" customWidth="1"/>
    <col min="5" max="5" width="12.83203125" style="201" customWidth="1"/>
    <col min="6" max="6" width="11.33203125" style="201" bestFit="1" customWidth="1"/>
    <col min="7" max="8" width="9.33203125" style="201"/>
    <col min="9" max="9" width="14.6640625" style="201" customWidth="1"/>
    <col min="10" max="10" width="16.1640625" style="201" customWidth="1"/>
    <col min="11" max="11" width="15.83203125" style="201" customWidth="1"/>
    <col min="12" max="12" width="11" style="201" customWidth="1"/>
    <col min="13" max="13" width="9.33203125" style="201"/>
    <col min="14" max="14" width="9.33203125" style="201" customWidth="1"/>
    <col min="15" max="16384" width="9.33203125" style="201"/>
  </cols>
  <sheetData>
    <row r="2" spans="1:18" x14ac:dyDescent="0.2">
      <c r="C2" s="261" t="s">
        <v>128</v>
      </c>
      <c r="D2" s="261"/>
      <c r="E2" s="261"/>
      <c r="I2" s="261" t="s">
        <v>131</v>
      </c>
      <c r="J2" s="261"/>
      <c r="K2" s="261"/>
      <c r="O2" s="255"/>
      <c r="P2" s="255"/>
      <c r="Q2" s="255"/>
    </row>
    <row r="3" spans="1:18" x14ac:dyDescent="0.2">
      <c r="A3" s="80"/>
      <c r="B3" s="80"/>
      <c r="C3" s="227" t="s">
        <v>132</v>
      </c>
      <c r="D3" s="227" t="s">
        <v>133</v>
      </c>
      <c r="E3" s="227" t="s">
        <v>174</v>
      </c>
      <c r="F3" s="227" t="s">
        <v>175</v>
      </c>
      <c r="H3" s="80"/>
      <c r="I3" s="227" t="s">
        <v>132</v>
      </c>
      <c r="J3" s="227" t="s">
        <v>133</v>
      </c>
      <c r="K3" s="227" t="s">
        <v>174</v>
      </c>
      <c r="L3" s="227" t="s">
        <v>175</v>
      </c>
      <c r="N3" s="80"/>
      <c r="O3" s="227"/>
      <c r="P3" s="227"/>
      <c r="Q3" s="80"/>
    </row>
    <row r="4" spans="1:18" x14ac:dyDescent="0.2">
      <c r="A4" s="80"/>
      <c r="B4" s="80"/>
      <c r="C4" s="80" t="s">
        <v>117</v>
      </c>
      <c r="D4" s="80" t="s">
        <v>118</v>
      </c>
      <c r="E4" s="80" t="s">
        <v>170</v>
      </c>
      <c r="F4" s="227"/>
      <c r="H4" s="80"/>
      <c r="I4" s="80"/>
      <c r="J4" s="227"/>
      <c r="K4" s="227"/>
      <c r="L4" s="227"/>
      <c r="N4" s="80"/>
      <c r="O4" s="227"/>
      <c r="P4" s="227"/>
      <c r="Q4" s="80"/>
    </row>
    <row r="5" spans="1:18" x14ac:dyDescent="0.2">
      <c r="A5" s="15"/>
      <c r="B5" s="15">
        <v>2010</v>
      </c>
      <c r="C5" s="71">
        <f ca="1">'Normalized Annual Summary'!AA5</f>
        <v>913114003.67856932</v>
      </c>
      <c r="D5" s="71">
        <f ca="1">C5*E5</f>
        <v>2421348.1286661061</v>
      </c>
      <c r="E5" s="81">
        <v>2.6517478857091968E-3</v>
      </c>
      <c r="H5" s="15">
        <v>2010</v>
      </c>
      <c r="I5" s="71">
        <f>'Normalized Annual Summary'!AD5</f>
        <v>9467387</v>
      </c>
      <c r="J5" s="71">
        <f>SUMIF('Monthly Data'!$B:$B,H5,'Monthly Data'!Q:Q)</f>
        <v>26416</v>
      </c>
      <c r="K5" s="81">
        <f t="shared" ref="K5:K14" si="0">J5/I5</f>
        <v>2.7902102237924785E-3</v>
      </c>
      <c r="N5" s="15"/>
      <c r="O5" s="71"/>
      <c r="P5" s="71"/>
      <c r="Q5" s="81"/>
    </row>
    <row r="6" spans="1:18" x14ac:dyDescent="0.2">
      <c r="A6" s="15"/>
      <c r="B6" s="15">
        <f t="shared" ref="B6:B14" si="1">B5+1</f>
        <v>2011</v>
      </c>
      <c r="C6" s="71">
        <f ca="1">'Normalized Annual Summary'!AA6</f>
        <v>904785185.4142704</v>
      </c>
      <c r="D6" s="71">
        <f t="shared" ref="D6:D14" ca="1" si="2">C6*E6</f>
        <v>2387667.7128888383</v>
      </c>
      <c r="E6" s="81">
        <v>2.6389332533065363E-3</v>
      </c>
      <c r="F6" s="27"/>
      <c r="H6" s="15">
        <f t="shared" ref="H6:H14" si="3">H5+1</f>
        <v>2011</v>
      </c>
      <c r="I6" s="71">
        <f>'Normalized Annual Summary'!AD6</f>
        <v>9847280</v>
      </c>
      <c r="J6" s="71">
        <f>SUMIF('Monthly Data'!$B:$B,H6,'Monthly Data'!Q:Q)</f>
        <v>27334</v>
      </c>
      <c r="K6" s="81">
        <f t="shared" si="0"/>
        <v>2.7757918938021466E-3</v>
      </c>
      <c r="L6" s="27"/>
      <c r="M6" s="27"/>
      <c r="N6" s="15"/>
      <c r="O6" s="71"/>
      <c r="P6" s="71"/>
      <c r="Q6" s="81"/>
      <c r="R6" s="27"/>
    </row>
    <row r="7" spans="1:18" x14ac:dyDescent="0.2">
      <c r="A7" s="15"/>
      <c r="B7" s="15">
        <f t="shared" si="1"/>
        <v>2012</v>
      </c>
      <c r="C7" s="71">
        <f ca="1">'Normalized Annual Summary'!AA7</f>
        <v>905934443.4991498</v>
      </c>
      <c r="D7" s="71">
        <f t="shared" ca="1" si="2"/>
        <v>2430007.9106610469</v>
      </c>
      <c r="E7" s="81">
        <v>2.6823220246215613E-3</v>
      </c>
      <c r="F7" s="27">
        <f t="shared" ref="F7:F14" si="4">AVERAGE(E5:E7)</f>
        <v>2.6576677212124312E-3</v>
      </c>
      <c r="H7" s="15">
        <f t="shared" si="3"/>
        <v>2012</v>
      </c>
      <c r="I7" s="71">
        <f>'Normalized Annual Summary'!AD7</f>
        <v>9866380</v>
      </c>
      <c r="J7" s="71">
        <f>SUMIF('Monthly Data'!$B:$B,H7,'Monthly Data'!Q:Q)</f>
        <v>27457</v>
      </c>
      <c r="K7" s="81">
        <f t="shared" si="0"/>
        <v>2.7828849081426013E-3</v>
      </c>
      <c r="L7" s="27">
        <f t="shared" ref="L7:L11" si="5">AVERAGE(K5:K7)</f>
        <v>2.7829623419124093E-3</v>
      </c>
      <c r="M7" s="27"/>
      <c r="N7" s="15"/>
      <c r="O7" s="71"/>
      <c r="P7" s="71"/>
      <c r="Q7" s="81"/>
      <c r="R7" s="27"/>
    </row>
    <row r="8" spans="1:18" x14ac:dyDescent="0.2">
      <c r="A8" s="15"/>
      <c r="B8" s="15">
        <f t="shared" si="1"/>
        <v>2013</v>
      </c>
      <c r="C8" s="71">
        <f ca="1">'Normalized Annual Summary'!AA8</f>
        <v>898860296.8245486</v>
      </c>
      <c r="D8" s="71">
        <f t="shared" ca="1" si="2"/>
        <v>2421840.4011458699</v>
      </c>
      <c r="E8" s="81">
        <v>2.6943457283647235E-3</v>
      </c>
      <c r="F8" s="27">
        <f t="shared" si="4"/>
        <v>2.6718670020976069E-3</v>
      </c>
      <c r="H8" s="15">
        <f t="shared" si="3"/>
        <v>2013</v>
      </c>
      <c r="I8" s="71">
        <f>'Normalized Annual Summary'!AD8</f>
        <v>9864267</v>
      </c>
      <c r="J8" s="71">
        <f>SUMIF('Monthly Data'!$B:$B,H8,'Monthly Data'!Q:Q)</f>
        <v>27500</v>
      </c>
      <c r="K8" s="81">
        <f t="shared" si="0"/>
        <v>2.78784019126814E-3</v>
      </c>
      <c r="L8" s="27">
        <f t="shared" si="5"/>
        <v>2.782172331070963E-3</v>
      </c>
      <c r="M8" s="27"/>
      <c r="N8" s="15"/>
      <c r="O8" s="71"/>
      <c r="P8" s="71"/>
      <c r="Q8" s="81"/>
      <c r="R8" s="27"/>
    </row>
    <row r="9" spans="1:18" x14ac:dyDescent="0.2">
      <c r="A9" s="15"/>
      <c r="B9" s="15">
        <f t="shared" si="1"/>
        <v>2014</v>
      </c>
      <c r="C9" s="71">
        <f ca="1">'Normalized Annual Summary'!AA9</f>
        <v>907089505.28000069</v>
      </c>
      <c r="D9" s="71">
        <f t="shared" ca="1" si="2"/>
        <v>2387619.9869961939</v>
      </c>
      <c r="E9" s="81">
        <v>2.6321768393287523E-3</v>
      </c>
      <c r="F9" s="27">
        <f t="shared" si="4"/>
        <v>2.6696148641050122E-3</v>
      </c>
      <c r="H9" s="15">
        <f t="shared" si="3"/>
        <v>2014</v>
      </c>
      <c r="I9" s="71">
        <f>'Normalized Annual Summary'!AD9</f>
        <v>9908447</v>
      </c>
      <c r="J9" s="71">
        <f>SUMIF('Monthly Data'!$B:$B,H9,'Monthly Data'!Q:Q)</f>
        <v>27636</v>
      </c>
      <c r="K9" s="81">
        <f t="shared" si="0"/>
        <v>2.7891353710626904E-3</v>
      </c>
      <c r="L9" s="27">
        <f t="shared" si="5"/>
        <v>2.7866201568244771E-3</v>
      </c>
      <c r="M9" s="27"/>
      <c r="N9" s="15"/>
      <c r="O9" s="71"/>
      <c r="P9" s="71"/>
      <c r="Q9" s="81"/>
      <c r="R9" s="27"/>
    </row>
    <row r="10" spans="1:18" x14ac:dyDescent="0.2">
      <c r="A10" s="15"/>
      <c r="B10" s="15">
        <f t="shared" si="1"/>
        <v>2015</v>
      </c>
      <c r="C10" s="71">
        <f ca="1">'Normalized Annual Summary'!AA10</f>
        <v>910766448.6032356</v>
      </c>
      <c r="D10" s="71">
        <f t="shared" ca="1" si="2"/>
        <v>2383823.0653122412</v>
      </c>
      <c r="E10" s="81">
        <v>2.6173812934897922E-3</v>
      </c>
      <c r="F10" s="27">
        <f t="shared" si="4"/>
        <v>2.6479679537277558E-3</v>
      </c>
      <c r="H10" s="15">
        <f t="shared" si="3"/>
        <v>2015</v>
      </c>
      <c r="I10" s="71">
        <f>'Normalized Annual Summary'!AD10</f>
        <v>9918681</v>
      </c>
      <c r="J10" s="71">
        <f>SUMIF('Monthly Data'!$B:$B,H10,'Monthly Data'!Q:Q)</f>
        <v>27661</v>
      </c>
      <c r="K10" s="81">
        <f t="shared" si="0"/>
        <v>2.788778064341418E-3</v>
      </c>
      <c r="L10" s="27">
        <f t="shared" si="5"/>
        <v>2.7885845422240831E-3</v>
      </c>
      <c r="M10" s="27"/>
      <c r="N10" s="15"/>
      <c r="O10" s="71"/>
      <c r="P10" s="71"/>
      <c r="Q10" s="81"/>
      <c r="R10" s="27"/>
    </row>
    <row r="11" spans="1:18" x14ac:dyDescent="0.2">
      <c r="A11" s="15"/>
      <c r="B11" s="15">
        <f t="shared" si="1"/>
        <v>2016</v>
      </c>
      <c r="C11" s="71">
        <f ca="1">'Normalized Annual Summary'!AA11</f>
        <v>911684517.06454337</v>
      </c>
      <c r="D11" s="71">
        <f t="shared" ca="1" si="2"/>
        <v>2386587.6899566264</v>
      </c>
      <c r="E11" s="81">
        <v>2.6177780200117911E-3</v>
      </c>
      <c r="F11" s="27">
        <f t="shared" si="4"/>
        <v>2.6224453842767781E-3</v>
      </c>
      <c r="H11" s="15">
        <f t="shared" si="3"/>
        <v>2016</v>
      </c>
      <c r="I11" s="71">
        <f>'Normalized Annual Summary'!AD11</f>
        <v>9945876</v>
      </c>
      <c r="J11" s="71">
        <f>SUMIF('Monthly Data'!$B:$B,H11,'Monthly Data'!Q:Q)</f>
        <v>27648</v>
      </c>
      <c r="K11" s="81">
        <f t="shared" si="0"/>
        <v>2.7798456365231176E-3</v>
      </c>
      <c r="L11" s="27">
        <f t="shared" si="5"/>
        <v>2.7859196906424091E-3</v>
      </c>
      <c r="M11" s="27"/>
      <c r="N11" s="15"/>
      <c r="O11" s="71"/>
      <c r="P11" s="71"/>
      <c r="Q11" s="81"/>
      <c r="R11" s="27"/>
    </row>
    <row r="12" spans="1:18" x14ac:dyDescent="0.2">
      <c r="A12" s="15"/>
      <c r="B12" s="15">
        <f t="shared" si="1"/>
        <v>2017</v>
      </c>
      <c r="C12" s="71">
        <f ca="1">'Normalized Annual Summary'!AA12</f>
        <v>881013607.73985827</v>
      </c>
      <c r="D12" s="71">
        <f t="shared" ca="1" si="2"/>
        <v>2351747.3196375361</v>
      </c>
      <c r="E12" s="81">
        <v>2.6693654887700092E-3</v>
      </c>
      <c r="F12" s="27">
        <f t="shared" si="4"/>
        <v>2.6348416007571976E-3</v>
      </c>
      <c r="H12" s="15">
        <f t="shared" si="3"/>
        <v>2017</v>
      </c>
      <c r="I12" s="71">
        <f>'Normalized Annual Summary'!AD12</f>
        <v>11286654.700000001</v>
      </c>
      <c r="J12" s="71">
        <f>SUMIF('Monthly Data'!$B:$B,H12,'Monthly Data'!Q:Q)</f>
        <v>30451.800000000003</v>
      </c>
      <c r="K12" s="154">
        <f t="shared" si="0"/>
        <v>2.6980359379648604E-3</v>
      </c>
      <c r="L12" s="27">
        <f>AVERAGE(K10:K11)</f>
        <v>2.7843118504322678E-3</v>
      </c>
      <c r="M12" s="27"/>
      <c r="N12" s="15" t="s">
        <v>197</v>
      </c>
      <c r="O12" s="71"/>
      <c r="P12" s="71"/>
      <c r="Q12" s="81"/>
      <c r="R12" s="27"/>
    </row>
    <row r="13" spans="1:18" x14ac:dyDescent="0.2">
      <c r="A13" s="15"/>
      <c r="B13" s="15">
        <f t="shared" si="1"/>
        <v>2018</v>
      </c>
      <c r="C13" s="71">
        <f ca="1">'Normalized Annual Summary'!AA13</f>
        <v>859861428.72118211</v>
      </c>
      <c r="D13" s="71">
        <f t="shared" ca="1" si="2"/>
        <v>2314699.6914987029</v>
      </c>
      <c r="E13" s="81">
        <v>2.6919450206543283E-3</v>
      </c>
      <c r="F13" s="27">
        <f t="shared" si="4"/>
        <v>2.6596961764787097E-3</v>
      </c>
      <c r="H13" s="15">
        <f t="shared" si="3"/>
        <v>2018</v>
      </c>
      <c r="I13" s="71">
        <f>'Normalized Annual Summary'!AD13</f>
        <v>6528022.6000000006</v>
      </c>
      <c r="J13" s="71">
        <f>SUMIF('Monthly Data'!$B:$B,H13,'Monthly Data'!Q:Q)</f>
        <v>18200.899999999998</v>
      </c>
      <c r="K13" s="81">
        <f t="shared" si="0"/>
        <v>2.7881184112322154E-3</v>
      </c>
      <c r="L13" s="27">
        <f>AVERAGE(K11,K13)</f>
        <v>2.7839820238776663E-3</v>
      </c>
      <c r="M13" s="27"/>
      <c r="N13" s="15"/>
      <c r="O13" s="71"/>
      <c r="P13" s="71"/>
      <c r="Q13" s="81"/>
      <c r="R13" s="27"/>
    </row>
    <row r="14" spans="1:18" x14ac:dyDescent="0.2">
      <c r="A14" s="15"/>
      <c r="B14" s="15">
        <f t="shared" si="1"/>
        <v>2019</v>
      </c>
      <c r="C14" s="71">
        <f ca="1">'Normalized Annual Summary'!AA14</f>
        <v>853212291.34085143</v>
      </c>
      <c r="D14" s="71">
        <f t="shared" ca="1" si="2"/>
        <v>2318072.9405017174</v>
      </c>
      <c r="E14" s="81">
        <v>2.7168771055311319E-3</v>
      </c>
      <c r="F14" s="27">
        <f t="shared" si="4"/>
        <v>2.6927292049851565E-3</v>
      </c>
      <c r="H14" s="15">
        <f t="shared" si="3"/>
        <v>2019</v>
      </c>
      <c r="I14" s="71">
        <f>'Normalized Annual Summary'!AD14</f>
        <v>5537652.8999999994</v>
      </c>
      <c r="J14" s="71">
        <f>SUMIF('Monthly Data'!$B:$B,H14,'Monthly Data'!Q:Q)</f>
        <v>15445.800000000001</v>
      </c>
      <c r="K14" s="81">
        <f t="shared" si="0"/>
        <v>2.7892322395287727E-3</v>
      </c>
      <c r="L14" s="27">
        <f>AVERAGE(K13:K14)</f>
        <v>2.7886753253804943E-3</v>
      </c>
      <c r="M14" s="27"/>
      <c r="N14" s="15"/>
      <c r="O14" s="71"/>
      <c r="P14" s="71"/>
      <c r="Q14" s="81"/>
      <c r="R14" s="27"/>
    </row>
    <row r="16" spans="1:18" x14ac:dyDescent="0.2">
      <c r="B16" s="15"/>
      <c r="C16" s="15" t="s">
        <v>134</v>
      </c>
      <c r="D16" s="82" t="s">
        <v>135</v>
      </c>
      <c r="E16" s="201" t="s">
        <v>219</v>
      </c>
      <c r="F16" s="201" t="s">
        <v>248</v>
      </c>
      <c r="H16" s="15"/>
      <c r="I16" s="15" t="s">
        <v>134</v>
      </c>
      <c r="J16" s="82" t="s">
        <v>135</v>
      </c>
      <c r="K16" s="201" t="s">
        <v>219</v>
      </c>
      <c r="L16" s="201" t="s">
        <v>221</v>
      </c>
      <c r="N16" s="15"/>
      <c r="O16" s="15"/>
      <c r="P16" s="81"/>
      <c r="Q16" s="82"/>
    </row>
    <row r="17" spans="1:17" x14ac:dyDescent="0.2">
      <c r="B17" s="80"/>
      <c r="C17" s="80" t="s">
        <v>120</v>
      </c>
      <c r="D17" s="83" t="s">
        <v>218</v>
      </c>
      <c r="E17" s="84" t="s">
        <v>160</v>
      </c>
      <c r="F17" s="84" t="s">
        <v>184</v>
      </c>
      <c r="H17" s="80"/>
      <c r="I17" s="80" t="s">
        <v>120</v>
      </c>
      <c r="J17" s="83" t="s">
        <v>185</v>
      </c>
      <c r="K17" s="84" t="s">
        <v>160</v>
      </c>
      <c r="L17" s="201" t="s">
        <v>184</v>
      </c>
      <c r="N17" s="80"/>
      <c r="O17" s="80"/>
      <c r="P17" s="83"/>
      <c r="Q17" s="84"/>
    </row>
    <row r="18" spans="1:17" x14ac:dyDescent="0.2">
      <c r="B18" s="73">
        <v>2010</v>
      </c>
      <c r="C18" s="74">
        <f ca="1">'Normalized Annual Summary'!AA5</f>
        <v>913114003.67856932</v>
      </c>
      <c r="D18" s="85">
        <f t="shared" ref="D18" ca="1" si="6">C18*F18</f>
        <v>2421348.1286661061</v>
      </c>
      <c r="E18" s="86"/>
      <c r="F18" s="247">
        <f>E5</f>
        <v>2.6517478857091968E-3</v>
      </c>
      <c r="H18" s="73">
        <v>2010</v>
      </c>
      <c r="I18" s="74">
        <f>'Normalized Annual Summary'!AK5</f>
        <v>9467387</v>
      </c>
      <c r="J18" s="85">
        <f>I18*K18</f>
        <v>26373.864789886087</v>
      </c>
      <c r="K18" s="177">
        <f>AVERAGE(K5:K11,K13:K14)</f>
        <v>2.7857596599659535E-3</v>
      </c>
      <c r="L18" s="86">
        <f t="shared" ref="L18" si="7">TREND($L$7:$L$14,$H$7:$H$14,H18)</f>
        <v>2.7828205247416092E-3</v>
      </c>
      <c r="N18" s="80"/>
      <c r="O18" s="80"/>
      <c r="P18" s="83"/>
      <c r="Q18" s="84"/>
    </row>
    <row r="19" spans="1:17" x14ac:dyDescent="0.2">
      <c r="B19" s="73">
        <v>2011</v>
      </c>
      <c r="C19" s="74">
        <f ca="1">'Normalized Annual Summary'!AA6</f>
        <v>904785185.4142704</v>
      </c>
      <c r="D19" s="85">
        <f t="shared" ref="D19:D26" ca="1" si="8">C19*F19</f>
        <v>2387667.7128888383</v>
      </c>
      <c r="E19" s="86"/>
      <c r="F19" s="247">
        <f>E6</f>
        <v>2.6389332533065363E-3</v>
      </c>
      <c r="H19" s="73">
        <v>2011</v>
      </c>
      <c r="I19" s="74">
        <f>'Normalized Annual Summary'!AK6</f>
        <v>9847280</v>
      </c>
      <c r="J19" s="85">
        <f t="shared" ref="J19:J29" si="9">I19*K19</f>
        <v>27432.155384389534</v>
      </c>
      <c r="K19" s="177">
        <f>K18</f>
        <v>2.7857596599659535E-3</v>
      </c>
      <c r="L19" s="86">
        <f t="shared" ref="L19:L26" si="10">TREND($L$7:$L$14,$H$7:$H$14,H19)</f>
        <v>2.783290162569607E-3</v>
      </c>
      <c r="N19" s="80"/>
      <c r="O19" s="80"/>
      <c r="P19" s="83"/>
      <c r="Q19" s="84"/>
    </row>
    <row r="20" spans="1:17" x14ac:dyDescent="0.2">
      <c r="B20" s="73">
        <v>2012</v>
      </c>
      <c r="C20" s="74">
        <f ca="1">'Normalized Annual Summary'!AA7</f>
        <v>905934443.4991498</v>
      </c>
      <c r="D20" s="85">
        <f t="shared" ca="1" si="8"/>
        <v>2430007.9106610469</v>
      </c>
      <c r="E20" s="86"/>
      <c r="F20" s="247">
        <f>E7</f>
        <v>2.6823220246215613E-3</v>
      </c>
      <c r="H20" s="73">
        <v>2012</v>
      </c>
      <c r="I20" s="74">
        <f>'Normalized Annual Summary'!AK7</f>
        <v>9866380</v>
      </c>
      <c r="J20" s="85">
        <f t="shared" si="9"/>
        <v>27485.363393894884</v>
      </c>
      <c r="K20" s="177">
        <f t="shared" ref="K20:K29" si="11">K19</f>
        <v>2.7857596599659535E-3</v>
      </c>
      <c r="L20" s="86">
        <f t="shared" si="10"/>
        <v>2.7837598003976048E-3</v>
      </c>
      <c r="N20" s="80"/>
      <c r="O20" s="80"/>
      <c r="P20" s="83"/>
      <c r="Q20" s="84"/>
    </row>
    <row r="21" spans="1:17" x14ac:dyDescent="0.2">
      <c r="B21" s="73">
        <v>2013</v>
      </c>
      <c r="C21" s="74">
        <f ca="1">'Normalized Annual Summary'!AA8</f>
        <v>898860296.8245486</v>
      </c>
      <c r="D21" s="85">
        <f t="shared" ca="1" si="8"/>
        <v>2421840.4011458699</v>
      </c>
      <c r="E21" s="86"/>
      <c r="F21" s="247">
        <f>E8</f>
        <v>2.6943457283647235E-3</v>
      </c>
      <c r="H21" s="73">
        <v>2013</v>
      </c>
      <c r="I21" s="74">
        <f>'Normalized Annual Summary'!AK8</f>
        <v>9864267</v>
      </c>
      <c r="J21" s="85">
        <f t="shared" si="9"/>
        <v>27479.477083733374</v>
      </c>
      <c r="K21" s="177">
        <f t="shared" si="11"/>
        <v>2.7857596599659535E-3</v>
      </c>
      <c r="L21" s="86">
        <f t="shared" si="10"/>
        <v>2.7842294382256026E-3</v>
      </c>
      <c r="N21" s="80"/>
      <c r="O21" s="80"/>
      <c r="P21" s="83"/>
      <c r="Q21" s="84"/>
    </row>
    <row r="22" spans="1:17" x14ac:dyDescent="0.2">
      <c r="B22" s="73">
        <v>2014</v>
      </c>
      <c r="C22" s="74">
        <f ca="1">'Normalized Annual Summary'!AA9</f>
        <v>907089505.28000069</v>
      </c>
      <c r="D22" s="85">
        <f t="shared" ca="1" si="8"/>
        <v>2387619.9869961939</v>
      </c>
      <c r="E22" s="86"/>
      <c r="F22" s="247">
        <f>E9</f>
        <v>2.6321768393287523E-3</v>
      </c>
      <c r="H22" s="73">
        <v>2014</v>
      </c>
      <c r="I22" s="74">
        <f>'Normalized Annual Summary'!AK9</f>
        <v>9908447</v>
      </c>
      <c r="J22" s="85">
        <f t="shared" si="9"/>
        <v>27602.551945510673</v>
      </c>
      <c r="K22" s="177">
        <f t="shared" si="11"/>
        <v>2.7857596599659535E-3</v>
      </c>
      <c r="L22" s="86">
        <f t="shared" si="10"/>
        <v>2.7846990760535999E-3</v>
      </c>
      <c r="N22" s="80"/>
      <c r="O22" s="80"/>
      <c r="P22" s="83"/>
      <c r="Q22" s="84"/>
    </row>
    <row r="23" spans="1:17" x14ac:dyDescent="0.2">
      <c r="B23" s="73">
        <v>2015</v>
      </c>
      <c r="C23" s="74">
        <f ca="1">'Normalized Annual Summary'!AA10</f>
        <v>910766448.6032356</v>
      </c>
      <c r="D23" s="85">
        <f t="shared" ca="1" si="8"/>
        <v>2393165.9695316711</v>
      </c>
      <c r="E23" s="86"/>
      <c r="F23" s="247">
        <f>TREND($E$9:$E$14,$B$9:$B$14,B23)</f>
        <v>2.6276395811482348E-3</v>
      </c>
      <c r="H23" s="73">
        <v>2015</v>
      </c>
      <c r="I23" s="74">
        <f>'Normalized Annual Summary'!AK10</f>
        <v>9918681</v>
      </c>
      <c r="J23" s="85">
        <f t="shared" si="9"/>
        <v>27631.061409870763</v>
      </c>
      <c r="K23" s="177">
        <f t="shared" si="11"/>
        <v>2.7857596599659535E-3</v>
      </c>
      <c r="L23" s="86">
        <f t="shared" si="10"/>
        <v>2.7851687138815977E-3</v>
      </c>
      <c r="N23" s="80"/>
      <c r="O23" s="80"/>
      <c r="P23" s="83"/>
      <c r="Q23" s="84"/>
    </row>
    <row r="24" spans="1:17" x14ac:dyDescent="0.2">
      <c r="B24" s="73">
        <v>2016</v>
      </c>
      <c r="C24" s="74">
        <f ca="1">'Normalized Annual Summary'!AA11</f>
        <v>911684517.06454337</v>
      </c>
      <c r="D24" s="85">
        <f ca="1">C24*F24</f>
        <v>2413780.2336945985</v>
      </c>
      <c r="E24" s="86">
        <f>AVERAGE(E2:E11)</f>
        <v>2.6478121492617651E-3</v>
      </c>
      <c r="F24" s="247">
        <f t="shared" ref="F24:F26" si="12">TREND($E$9:$E$14,$B$9:$B$14,B24)</f>
        <v>2.6476047234700525E-3</v>
      </c>
      <c r="H24" s="73">
        <v>2016</v>
      </c>
      <c r="I24" s="74">
        <f>'Normalized Annual Summary'!AK11</f>
        <v>9945876</v>
      </c>
      <c r="J24" s="85">
        <f t="shared" si="9"/>
        <v>27706.820143823537</v>
      </c>
      <c r="K24" s="177">
        <f t="shared" si="11"/>
        <v>2.7857596599659535E-3</v>
      </c>
      <c r="L24" s="86">
        <f t="shared" si="10"/>
        <v>2.7856383517095955E-3</v>
      </c>
      <c r="N24" s="80"/>
      <c r="O24" s="80"/>
      <c r="P24" s="83"/>
      <c r="Q24" s="84"/>
    </row>
    <row r="25" spans="1:17" x14ac:dyDescent="0.2">
      <c r="B25" s="73">
        <v>2017</v>
      </c>
      <c r="C25" s="74">
        <f ca="1">'Normalized Annual Summary'!AA12</f>
        <v>881013607.73985827</v>
      </c>
      <c r="D25" s="85">
        <f t="shared" ca="1" si="8"/>
        <v>2350165.3513594312</v>
      </c>
      <c r="E25" s="86">
        <f t="shared" ref="E25:E26" si="13">E24</f>
        <v>2.6478121492617651E-3</v>
      </c>
      <c r="F25" s="247">
        <f>TREND($E$9:$E$14,$B$9:$B$14,B25)</f>
        <v>2.6675698657918773E-3</v>
      </c>
      <c r="H25" s="73">
        <v>2017</v>
      </c>
      <c r="I25" s="74">
        <f>'Normalized Annual Summary'!AK12</f>
        <v>11286654.700000001</v>
      </c>
      <c r="J25" s="85">
        <f t="shared" si="9"/>
        <v>31441.907359225133</v>
      </c>
      <c r="K25" s="177">
        <f t="shared" si="11"/>
        <v>2.7857596599659535E-3</v>
      </c>
      <c r="L25" s="86">
        <f t="shared" si="10"/>
        <v>2.7861079895375933E-3</v>
      </c>
      <c r="N25" s="80"/>
      <c r="O25" s="80"/>
      <c r="P25" s="83"/>
      <c r="Q25" s="84"/>
    </row>
    <row r="26" spans="1:17" x14ac:dyDescent="0.2">
      <c r="B26" s="73">
        <v>2018</v>
      </c>
      <c r="C26" s="74">
        <f ca="1">'Normalized Annual Summary'!AA13</f>
        <v>859861428.72118211</v>
      </c>
      <c r="D26" s="85">
        <f t="shared" ca="1" si="8"/>
        <v>2310907.6918148356</v>
      </c>
      <c r="E26" s="86">
        <f t="shared" si="13"/>
        <v>2.6478121492617651E-3</v>
      </c>
      <c r="F26" s="247">
        <f t="shared" si="12"/>
        <v>2.6875350081136951E-3</v>
      </c>
      <c r="H26" s="73">
        <v>2018</v>
      </c>
      <c r="I26" s="74">
        <f>'Normalized Annual Summary'!AK13</f>
        <v>6528022.6000000006</v>
      </c>
      <c r="J26" s="85">
        <f t="shared" si="9"/>
        <v>18185.502018426061</v>
      </c>
      <c r="K26" s="177">
        <f t="shared" si="11"/>
        <v>2.7857596599659535E-3</v>
      </c>
      <c r="L26" s="86">
        <f t="shared" si="10"/>
        <v>2.7865776273655911E-3</v>
      </c>
      <c r="N26" s="80"/>
      <c r="O26" s="80"/>
      <c r="P26" s="83"/>
      <c r="Q26" s="84"/>
    </row>
    <row r="27" spans="1:17" x14ac:dyDescent="0.2">
      <c r="B27" s="73">
        <v>2019</v>
      </c>
      <c r="C27" s="74">
        <f ca="1">'Normalized Annual Summary'!AA14</f>
        <v>853212291.34085143</v>
      </c>
      <c r="D27" s="85">
        <f ca="1">C27*F27</f>
        <v>2310072.4071587897</v>
      </c>
      <c r="E27" s="86">
        <f>AVERAGE(E5:E14)</f>
        <v>2.6612872659787824E-3</v>
      </c>
      <c r="F27" s="247">
        <f>TREND($E$9:$E$14,$B$9:$B$14,B27)</f>
        <v>2.7075001504355198E-3</v>
      </c>
      <c r="H27" s="73">
        <v>2019</v>
      </c>
      <c r="I27" s="74">
        <f>'Normalized Annual Summary'!AK14</f>
        <v>5537652.8999999994</v>
      </c>
      <c r="J27" s="85">
        <f t="shared" si="9"/>
        <v>15426.570059713475</v>
      </c>
      <c r="K27" s="177">
        <f t="shared" si="11"/>
        <v>2.7857596599659535E-3</v>
      </c>
      <c r="L27" s="86">
        <f>TREND($L$7:$L$14,$H$7:$H$14,H27)</f>
        <v>2.7870472651935888E-3</v>
      </c>
      <c r="N27" s="73"/>
      <c r="O27" s="74"/>
      <c r="P27" s="85"/>
      <c r="Q27" s="86"/>
    </row>
    <row r="28" spans="1:17" x14ac:dyDescent="0.2">
      <c r="B28" s="73">
        <v>2020</v>
      </c>
      <c r="C28" s="74">
        <f ca="1">'Normalized Annual Summary'!AA15</f>
        <v>747410162.65449774</v>
      </c>
      <c r="D28" s="85">
        <f t="shared" ref="D28:D29" ca="1" si="14">C28*F28</f>
        <v>2038535.2780942591</v>
      </c>
      <c r="E28" s="86">
        <f>E27</f>
        <v>2.6612872659787824E-3</v>
      </c>
      <c r="F28" s="247">
        <f>TREND($E$9:$E$14,$B$9:$B$14,B28)</f>
        <v>2.7274652927573376E-3</v>
      </c>
      <c r="H28" s="73">
        <v>2020</v>
      </c>
      <c r="I28" s="74">
        <f>'Normalized Annual Summary'!AK15</f>
        <v>5541713.5211686473</v>
      </c>
      <c r="J28" s="85">
        <f t="shared" si="9"/>
        <v>15437.881974359498</v>
      </c>
      <c r="K28" s="177">
        <f t="shared" si="11"/>
        <v>2.7857596599659535E-3</v>
      </c>
      <c r="L28" s="86">
        <f t="shared" ref="L28:L29" si="15">TREND($L$7:$L$14,$H$7:$H$14,H28)</f>
        <v>2.7875169030215866E-3</v>
      </c>
      <c r="N28" s="73"/>
      <c r="O28" s="74"/>
      <c r="P28" s="85"/>
      <c r="Q28" s="86"/>
    </row>
    <row r="29" spans="1:17" x14ac:dyDescent="0.2">
      <c r="B29" s="73">
        <v>2021</v>
      </c>
      <c r="C29" s="74">
        <f ca="1">'Normalized Annual Summary'!AA16</f>
        <v>829981996.46143186</v>
      </c>
      <c r="D29" s="85">
        <f t="shared" ca="1" si="14"/>
        <v>2280317.7976459037</v>
      </c>
      <c r="E29" s="86">
        <f>E28</f>
        <v>2.6612872659787824E-3</v>
      </c>
      <c r="F29" s="247">
        <f t="shared" ref="F29" si="16">TREND($E$9:$E$14,$B$9:$B$14,B29)</f>
        <v>2.7474304350791623E-3</v>
      </c>
      <c r="H29" s="73">
        <v>2021</v>
      </c>
      <c r="I29" s="74">
        <f>'Normalized Annual Summary'!AK16</f>
        <v>5569643.7573153349</v>
      </c>
      <c r="J29" s="85">
        <f t="shared" si="9"/>
        <v>15515.688899510264</v>
      </c>
      <c r="K29" s="177">
        <f t="shared" si="11"/>
        <v>2.7857596599659535E-3</v>
      </c>
      <c r="L29" s="86">
        <f t="shared" si="15"/>
        <v>2.787986540849584E-3</v>
      </c>
      <c r="N29" s="73"/>
      <c r="O29" s="74"/>
      <c r="P29" s="85"/>
      <c r="Q29" s="86"/>
    </row>
    <row r="31" spans="1:17" x14ac:dyDescent="0.2">
      <c r="A31" s="15"/>
      <c r="B31" s="15"/>
      <c r="C31" s="149" t="s">
        <v>132</v>
      </c>
      <c r="D31" s="150" t="s">
        <v>133</v>
      </c>
      <c r="E31" s="81" t="s">
        <v>186</v>
      </c>
      <c r="F31" s="15"/>
      <c r="G31" s="15"/>
      <c r="H31" s="15"/>
      <c r="I31" s="149" t="s">
        <v>132</v>
      </c>
      <c r="J31" s="150" t="s">
        <v>133</v>
      </c>
      <c r="K31" s="81" t="s">
        <v>186</v>
      </c>
    </row>
    <row r="32" spans="1:17" x14ac:dyDescent="0.2">
      <c r="A32" s="15" t="s">
        <v>187</v>
      </c>
      <c r="B32" s="15"/>
      <c r="C32" s="151">
        <f ca="1">C14/C10-1</f>
        <v>-6.3193102195024942E-2</v>
      </c>
      <c r="D32" s="151">
        <f ca="1">D14/D10-1</f>
        <v>-2.7581797393973817E-2</v>
      </c>
      <c r="E32" s="152">
        <f ca="1">D32-C32</f>
        <v>3.5611304801051125E-2</v>
      </c>
      <c r="F32" s="15"/>
      <c r="G32" s="15"/>
      <c r="H32" s="15"/>
      <c r="I32" s="151">
        <f>I14/I10-1</f>
        <v>-0.44169462653350788</v>
      </c>
      <c r="J32" s="151">
        <f>J14/J10-1</f>
        <v>-0.44160370196305265</v>
      </c>
      <c r="K32" s="153">
        <f>J32-I32</f>
        <v>9.0924570455230835E-5</v>
      </c>
    </row>
    <row r="33" spans="1:11" x14ac:dyDescent="0.2">
      <c r="A33" s="15" t="s">
        <v>188</v>
      </c>
      <c r="B33" s="15"/>
      <c r="C33" s="151">
        <f ca="1">C14/C5-1</f>
        <v>-6.5601570117639119E-2</v>
      </c>
      <c r="D33" s="151">
        <f ca="1">D14/D5-1</f>
        <v>-4.2651937134410289E-2</v>
      </c>
      <c r="E33" s="152">
        <f ca="1">D33-C33</f>
        <v>2.2949632983228829E-2</v>
      </c>
      <c r="F33" s="15"/>
      <c r="G33" s="15"/>
      <c r="H33" s="15"/>
      <c r="I33" s="151">
        <f>I14/I5-1</f>
        <v>-0.41508117287272617</v>
      </c>
      <c r="J33" s="151">
        <f>J14/J5-1</f>
        <v>-0.41528619018776491</v>
      </c>
      <c r="K33" s="153">
        <f>J33-I33</f>
        <v>-2.0501731503874687E-4</v>
      </c>
    </row>
    <row r="34" spans="1:1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x14ac:dyDescent="0.2">
      <c r="A35" s="15"/>
      <c r="B35" s="15"/>
      <c r="C35" s="15"/>
      <c r="D35" s="15" t="s">
        <v>189</v>
      </c>
      <c r="E35" s="15"/>
      <c r="F35" s="15" t="s">
        <v>198</v>
      </c>
      <c r="G35" s="15"/>
      <c r="H35" s="15"/>
      <c r="I35" s="15"/>
      <c r="J35" s="15" t="s">
        <v>183</v>
      </c>
      <c r="K35" s="15"/>
    </row>
    <row r="55" spans="10:10" x14ac:dyDescent="0.2">
      <c r="J55" s="201" t="s">
        <v>216</v>
      </c>
    </row>
  </sheetData>
  <mergeCells count="3">
    <mergeCell ref="C2:E2"/>
    <mergeCell ref="I2:K2"/>
    <mergeCell ref="O2:Q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/>
  <dimension ref="B1:K23"/>
  <sheetViews>
    <sheetView workbookViewId="0">
      <selection activeCell="C7" sqref="C7:C9"/>
    </sheetView>
  </sheetViews>
  <sheetFormatPr defaultRowHeight="12.75" x14ac:dyDescent="0.2"/>
  <cols>
    <col min="2" max="2" width="20" customWidth="1"/>
    <col min="3" max="3" width="12.5" bestFit="1" customWidth="1"/>
    <col min="4" max="4" width="13.33203125" bestFit="1" customWidth="1"/>
    <col min="5" max="5" width="11.6640625" bestFit="1" customWidth="1"/>
    <col min="6" max="7" width="12.83203125" bestFit="1" customWidth="1"/>
    <col min="8" max="8" width="11.33203125" customWidth="1"/>
    <col min="9" max="9" width="11.6640625" bestFit="1" customWidth="1"/>
    <col min="10" max="10" width="18.83203125" bestFit="1" customWidth="1"/>
    <col min="11" max="11" width="18.1640625" bestFit="1" customWidth="1"/>
  </cols>
  <sheetData>
    <row r="1" spans="2:11" ht="13.5" thickBot="1" x14ac:dyDescent="0.25"/>
    <row r="2" spans="2:11" x14ac:dyDescent="0.2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pans="2:11" ht="15" x14ac:dyDescent="0.25">
      <c r="B3" s="263" t="s">
        <v>249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ht="15" x14ac:dyDescent="0.25">
      <c r="B4" s="276" t="s">
        <v>155</v>
      </c>
      <c r="C4" s="277">
        <v>2019</v>
      </c>
      <c r="D4" s="277"/>
      <c r="E4" s="277"/>
      <c r="F4" s="102">
        <v>2020</v>
      </c>
      <c r="G4" s="268">
        <v>2021</v>
      </c>
      <c r="H4" s="278"/>
      <c r="I4" s="279"/>
      <c r="J4" s="103" t="s">
        <v>154</v>
      </c>
      <c r="K4" s="104" t="s">
        <v>156</v>
      </c>
    </row>
    <row r="5" spans="2:11" ht="30" x14ac:dyDescent="0.25">
      <c r="B5" s="276"/>
      <c r="C5" s="105" t="s">
        <v>132</v>
      </c>
      <c r="D5" s="106" t="s">
        <v>157</v>
      </c>
      <c r="E5" s="105" t="s">
        <v>158</v>
      </c>
      <c r="F5" s="105" t="s">
        <v>132</v>
      </c>
      <c r="G5" s="105" t="s">
        <v>132</v>
      </c>
      <c r="H5" s="106" t="s">
        <v>157</v>
      </c>
      <c r="I5" s="105" t="s">
        <v>158</v>
      </c>
      <c r="J5" s="105" t="s">
        <v>132</v>
      </c>
      <c r="K5" s="107" t="s">
        <v>132</v>
      </c>
    </row>
    <row r="6" spans="2:11" ht="15" x14ac:dyDescent="0.25">
      <c r="B6" s="108"/>
      <c r="C6" s="105" t="s">
        <v>117</v>
      </c>
      <c r="D6" s="105" t="s">
        <v>118</v>
      </c>
      <c r="E6" s="105" t="s">
        <v>159</v>
      </c>
      <c r="F6" s="105" t="s">
        <v>120</v>
      </c>
      <c r="G6" s="105" t="s">
        <v>136</v>
      </c>
      <c r="H6" s="105" t="s">
        <v>160</v>
      </c>
      <c r="I6" s="105" t="s">
        <v>161</v>
      </c>
      <c r="J6" s="109" t="s">
        <v>162</v>
      </c>
      <c r="K6" s="110" t="s">
        <v>163</v>
      </c>
    </row>
    <row r="7" spans="2:11" x14ac:dyDescent="0.2">
      <c r="B7" s="111" t="s">
        <v>33</v>
      </c>
      <c r="C7" s="236"/>
      <c r="D7" s="237">
        <v>0.5</v>
      </c>
      <c r="E7" s="238">
        <f>C7*D7</f>
        <v>0</v>
      </c>
      <c r="F7" s="238">
        <f>CDM!C78</f>
        <v>0</v>
      </c>
      <c r="G7" s="238">
        <f>CDM!C80</f>
        <v>0</v>
      </c>
      <c r="H7" s="112">
        <v>0.5</v>
      </c>
      <c r="I7" s="113">
        <f t="shared" ref="I7:I9" si="0">G7*H7</f>
        <v>0</v>
      </c>
      <c r="J7" s="114">
        <f>E7+F7+I7</f>
        <v>0</v>
      </c>
      <c r="K7" s="115">
        <f>C7+F7+G7</f>
        <v>0</v>
      </c>
    </row>
    <row r="8" spans="2:11" x14ac:dyDescent="0.2">
      <c r="B8" s="116" t="s">
        <v>127</v>
      </c>
      <c r="C8" s="236"/>
      <c r="D8" s="237">
        <v>0.5</v>
      </c>
      <c r="E8" s="238">
        <f t="shared" ref="E8:E9" si="1">C8*D8</f>
        <v>0</v>
      </c>
      <c r="F8" s="238">
        <f>CDM!D78</f>
        <v>122603.59542882007</v>
      </c>
      <c r="G8" s="238">
        <f>CDM!D80</f>
        <v>0</v>
      </c>
      <c r="H8" s="112">
        <v>0.5</v>
      </c>
      <c r="I8" s="113">
        <f t="shared" si="0"/>
        <v>0</v>
      </c>
      <c r="J8" s="114">
        <f>E8+F8+I8</f>
        <v>122603.59542882007</v>
      </c>
      <c r="K8" s="115">
        <f t="shared" ref="K8:K9" si="2">C8+F8+G8</f>
        <v>122603.59542882007</v>
      </c>
    </row>
    <row r="9" spans="2:11" x14ac:dyDescent="0.2">
      <c r="B9" s="111" t="s">
        <v>128</v>
      </c>
      <c r="C9" s="236"/>
      <c r="D9" s="237">
        <v>0.5</v>
      </c>
      <c r="E9" s="238">
        <f t="shared" si="1"/>
        <v>0</v>
      </c>
      <c r="F9" s="238">
        <f>CDM!E78</f>
        <v>2192934.2797265826</v>
      </c>
      <c r="G9" s="238">
        <f>CDM!E80</f>
        <v>0</v>
      </c>
      <c r="H9" s="112">
        <v>0.5</v>
      </c>
      <c r="I9" s="113">
        <f t="shared" si="0"/>
        <v>0</v>
      </c>
      <c r="J9" s="114">
        <f>E9+F9+I9</f>
        <v>2192934.2797265826</v>
      </c>
      <c r="K9" s="115">
        <f t="shared" si="2"/>
        <v>2192934.2797265826</v>
      </c>
    </row>
    <row r="10" spans="2:11" ht="13.5" thickBot="1" x14ac:dyDescent="0.25">
      <c r="B10" s="117" t="s">
        <v>164</v>
      </c>
      <c r="C10" s="118">
        <f>SUM(C7:C9)</f>
        <v>0</v>
      </c>
      <c r="D10" s="119">
        <v>0.5</v>
      </c>
      <c r="E10" s="120">
        <f>SUM(E7:E9)</f>
        <v>0</v>
      </c>
      <c r="F10" s="120">
        <f>SUM(F7:F9)</f>
        <v>2315537.8751554028</v>
      </c>
      <c r="G10" s="120">
        <f>SUM(G7:G9)</f>
        <v>0</v>
      </c>
      <c r="H10" s="121">
        <v>0.5</v>
      </c>
      <c r="I10" s="122">
        <f>SUM(I7:I9)</f>
        <v>0</v>
      </c>
      <c r="J10" s="123">
        <f>E10+F10+I10</f>
        <v>2315537.8751554028</v>
      </c>
      <c r="K10" s="124">
        <f>C10+F10+G10</f>
        <v>2315537.8751554028</v>
      </c>
    </row>
    <row r="11" spans="2:1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2:11" ht="13.5" thickBot="1" x14ac:dyDescent="0.25"/>
    <row r="13" spans="2:11" x14ac:dyDescent="0.2">
      <c r="B13" s="273"/>
      <c r="C13" s="274"/>
      <c r="D13" s="274"/>
      <c r="E13" s="274"/>
      <c r="F13" s="274"/>
      <c r="G13" s="275"/>
    </row>
    <row r="14" spans="2:11" ht="15.75" thickBot="1" x14ac:dyDescent="0.3">
      <c r="B14" s="263" t="s">
        <v>250</v>
      </c>
      <c r="C14" s="264"/>
      <c r="D14" s="264"/>
      <c r="E14" s="264"/>
      <c r="F14" s="264"/>
      <c r="G14" s="265"/>
    </row>
    <row r="15" spans="2:11" ht="15" x14ac:dyDescent="0.25">
      <c r="B15" s="125" t="s">
        <v>155</v>
      </c>
      <c r="C15" s="266" t="s">
        <v>190</v>
      </c>
      <c r="D15" s="267"/>
      <c r="E15" s="126"/>
      <c r="F15" s="268" t="s">
        <v>191</v>
      </c>
      <c r="G15" s="269"/>
      <c r="I15" s="270" t="s">
        <v>165</v>
      </c>
      <c r="J15" s="271"/>
      <c r="K15" s="272"/>
    </row>
    <row r="16" spans="2:11" ht="45" x14ac:dyDescent="0.2">
      <c r="B16" s="111"/>
      <c r="C16" s="127" t="s">
        <v>166</v>
      </c>
      <c r="D16" s="127" t="s">
        <v>15</v>
      </c>
      <c r="E16" s="127" t="s">
        <v>167</v>
      </c>
      <c r="F16" s="127" t="s">
        <v>166</v>
      </c>
      <c r="G16" s="128" t="s">
        <v>15</v>
      </c>
      <c r="I16" s="129" t="s">
        <v>168</v>
      </c>
      <c r="J16" s="130" t="s">
        <v>167</v>
      </c>
      <c r="K16" s="128" t="s">
        <v>169</v>
      </c>
    </row>
    <row r="17" spans="2:11" ht="15" x14ac:dyDescent="0.2">
      <c r="B17" s="111"/>
      <c r="C17" s="127" t="s">
        <v>117</v>
      </c>
      <c r="D17" s="127" t="s">
        <v>118</v>
      </c>
      <c r="E17" s="127" t="s">
        <v>170</v>
      </c>
      <c r="F17" s="127" t="s">
        <v>120</v>
      </c>
      <c r="G17" s="128" t="s">
        <v>171</v>
      </c>
      <c r="I17" s="129" t="s">
        <v>160</v>
      </c>
      <c r="J17" s="127" t="s">
        <v>172</v>
      </c>
      <c r="K17" s="128" t="s">
        <v>173</v>
      </c>
    </row>
    <row r="18" spans="2:11" x14ac:dyDescent="0.2">
      <c r="B18" s="131" t="s">
        <v>128</v>
      </c>
      <c r="C18" s="132">
        <f ca="1">'Normalized Annual Summary'!AA15</f>
        <v>747410162.65449774</v>
      </c>
      <c r="D18" s="133">
        <f>J9</f>
        <v>2192934.2797265826</v>
      </c>
      <c r="E18" s="134">
        <f ca="1">D18/C18</f>
        <v>2.9340439684927074E-3</v>
      </c>
      <c r="F18" s="132">
        <f ca="1">'kW Forecast'!D19</f>
        <v>2038535.2780942591</v>
      </c>
      <c r="G18" s="135">
        <f ca="1">F18*E18</f>
        <v>5981.1521372520647</v>
      </c>
      <c r="I18" s="136">
        <f>K9</f>
        <v>2192934.2797265826</v>
      </c>
      <c r="J18" s="134">
        <f ca="1">I18/C18</f>
        <v>2.9340439684927074E-3</v>
      </c>
      <c r="K18" s="135">
        <f ca="1">F18*J18</f>
        <v>5981.1521372520647</v>
      </c>
    </row>
    <row r="19" spans="2:11" ht="13.5" thickBot="1" x14ac:dyDescent="0.25">
      <c r="B19" s="137" t="s">
        <v>164</v>
      </c>
      <c r="C19" s="138">
        <f ca="1">SUM(C18:C18)</f>
        <v>747410162.65449774</v>
      </c>
      <c r="D19" s="138">
        <f>SUM(D18:D18)</f>
        <v>2192934.2797265826</v>
      </c>
      <c r="E19" s="139">
        <f t="shared" ref="E19" ca="1" si="3">D19/C19</f>
        <v>2.9340439684927074E-3</v>
      </c>
      <c r="F19" s="140">
        <f ca="1">SUM(F18:F18)</f>
        <v>2038535.2780942591</v>
      </c>
      <c r="G19" s="141">
        <f ca="1">SUM(G18:G18)</f>
        <v>5981.1521372520647</v>
      </c>
      <c r="I19" s="142">
        <f>SUM(I18:I18)</f>
        <v>2192934.2797265826</v>
      </c>
      <c r="J19" s="140"/>
      <c r="K19" s="141">
        <f ca="1">SUM(K18:K18)</f>
        <v>5981.1521372520647</v>
      </c>
    </row>
    <row r="23" spans="2:11" x14ac:dyDescent="0.2">
      <c r="D23" s="41"/>
    </row>
  </sheetData>
  <mergeCells count="10">
    <mergeCell ref="B14:G14"/>
    <mergeCell ref="C15:D15"/>
    <mergeCell ref="F15:G15"/>
    <mergeCell ref="I15:K15"/>
    <mergeCell ref="B2:K2"/>
    <mergeCell ref="B3:K3"/>
    <mergeCell ref="B4:B5"/>
    <mergeCell ref="C4:E4"/>
    <mergeCell ref="G4:I4"/>
    <mergeCell ref="B13:G1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FF0000"/>
  </sheetPr>
  <dimension ref="B1:K38"/>
  <sheetViews>
    <sheetView workbookViewId="0">
      <selection activeCell="I14" sqref="I14"/>
    </sheetView>
  </sheetViews>
  <sheetFormatPr defaultColWidth="9.1640625" defaultRowHeight="12.75" x14ac:dyDescent="0.2"/>
  <cols>
    <col min="1" max="1" width="3" style="66" customWidth="1"/>
    <col min="2" max="2" width="19.5" style="66" customWidth="1"/>
    <col min="3" max="3" width="18.6640625" style="66" customWidth="1"/>
    <col min="4" max="4" width="15" style="66" customWidth="1"/>
    <col min="5" max="8" width="15" style="66" bestFit="1" customWidth="1"/>
    <col min="9" max="9" width="19.1640625" style="66" customWidth="1"/>
    <col min="10" max="11" width="15.83203125" style="66" customWidth="1"/>
    <col min="12" max="13" width="9.1640625" style="66"/>
    <col min="14" max="14" width="17.33203125" style="66" customWidth="1"/>
    <col min="15" max="15" width="17" style="66" customWidth="1"/>
    <col min="16" max="16" width="21" style="66" bestFit="1" customWidth="1"/>
    <col min="17" max="17" width="17.6640625" style="66" customWidth="1"/>
    <col min="18" max="16384" width="9.1640625" style="66"/>
  </cols>
  <sheetData>
    <row r="1" spans="2:11" ht="16.5" thickBot="1" x14ac:dyDescent="0.3">
      <c r="B1" s="88" t="s">
        <v>146</v>
      </c>
      <c r="C1" s="88"/>
    </row>
    <row r="2" spans="2:11" x14ac:dyDescent="0.2">
      <c r="B2" s="89" t="s">
        <v>132</v>
      </c>
      <c r="C2" s="90" t="s">
        <v>240</v>
      </c>
      <c r="D2" s="90" t="s">
        <v>147</v>
      </c>
      <c r="E2" s="90" t="s">
        <v>148</v>
      </c>
      <c r="F2" s="90" t="s">
        <v>149</v>
      </c>
      <c r="G2" s="90" t="s">
        <v>150</v>
      </c>
      <c r="H2" s="90" t="s">
        <v>194</v>
      </c>
      <c r="I2" s="90" t="s">
        <v>195</v>
      </c>
      <c r="J2" s="90" t="s">
        <v>151</v>
      </c>
      <c r="K2" s="91" t="s">
        <v>196</v>
      </c>
    </row>
    <row r="3" spans="2:11" x14ac:dyDescent="0.2">
      <c r="B3" s="92" t="s">
        <v>33</v>
      </c>
      <c r="C3" s="101">
        <f ca="1">OFFSET('Normalized Annual Summary'!$C$14,COLUMN(D3)-COLUMN($I3),0)</f>
        <v>530303117</v>
      </c>
      <c r="D3" s="101">
        <f ca="1">OFFSET('Normalized Annual Summary'!$C$14,COLUMN(E3)-COLUMN($I3),0)</f>
        <v>530999846</v>
      </c>
      <c r="E3" s="101">
        <f ca="1">OFFSET('Normalized Annual Summary'!$C$14,COLUMN(F3)-COLUMN($I3),0)</f>
        <v>545123880</v>
      </c>
      <c r="F3" s="101">
        <f ca="1">OFFSET('Normalized Annual Summary'!$C$14,COLUMN(G3)-COLUMN($I3),0)</f>
        <v>501428451</v>
      </c>
      <c r="G3" s="101">
        <f ca="1">OFFSET('Normalized Annual Summary'!$C$14,COLUMN(H3)-COLUMN($I3),0)</f>
        <v>536801589</v>
      </c>
      <c r="H3" s="101">
        <f ca="1">OFFSET('Normalized Annual Summary'!$C$14,COLUMN(I3)-COLUMN($I3),0)</f>
        <v>512580883</v>
      </c>
      <c r="I3" s="101">
        <f ca="1">OFFSET('Normalized Annual Summary'!$I$14,COLUMN(I3)-COLUMN($I3),0)</f>
        <v>520074180.74845999</v>
      </c>
      <c r="J3" s="101">
        <f ca="1">OFFSET('Normalized Annual Summary'!$I$14,COLUMN(J3)-COLUMN($I3),0)</f>
        <v>546040547.36033237</v>
      </c>
      <c r="K3" s="93">
        <f ca="1">OFFSET('Normalized Annual Summary'!$I$14,COLUMN(K3)-COLUMN($I3),0)</f>
        <v>524245339.16692615</v>
      </c>
    </row>
    <row r="4" spans="2:11" x14ac:dyDescent="0.2">
      <c r="B4" s="94" t="s">
        <v>127</v>
      </c>
      <c r="C4" s="101">
        <f ca="1">OFFSET('Normalized Annual Summary'!$L$14,COLUMN(D4)-COLUMN($I4),0)</f>
        <v>172644356</v>
      </c>
      <c r="D4" s="101">
        <f ca="1">OFFSET('Normalized Annual Summary'!$L$14,COLUMN(E4)-COLUMN($I4),0)</f>
        <v>170245509</v>
      </c>
      <c r="E4" s="101">
        <f ca="1">OFFSET('Normalized Annual Summary'!$L$14,COLUMN(F4)-COLUMN($I4),0)</f>
        <v>169905557</v>
      </c>
      <c r="F4" s="101">
        <f ca="1">OFFSET('Normalized Annual Summary'!$L$14,COLUMN(G4)-COLUMN($I4),0)</f>
        <v>166894185</v>
      </c>
      <c r="G4" s="101">
        <f ca="1">OFFSET('Normalized Annual Summary'!$L$14,COLUMN(H4)-COLUMN($I4),0)</f>
        <v>174257110</v>
      </c>
      <c r="H4" s="101">
        <f ca="1">OFFSET('Normalized Annual Summary'!$L$14,COLUMN(I4)-COLUMN($I4),0)</f>
        <v>170703484</v>
      </c>
      <c r="I4" s="101">
        <f ca="1">OFFSET('Normalized Annual Summary'!$R$14,COLUMN(I4)-COLUMN($I4),0)</f>
        <v>170456401.67992976</v>
      </c>
      <c r="J4" s="101">
        <f ca="1">OFFSET('Normalized Annual Summary'!$R$14,COLUMN(J4)-COLUMN($I4),0)</f>
        <v>150583257.86839649</v>
      </c>
      <c r="K4" s="93">
        <f ca="1">OFFSET('Normalized Annual Summary'!$R$14,COLUMN(K4)-COLUMN($I4),0)</f>
        <v>168573853.66803649</v>
      </c>
    </row>
    <row r="5" spans="2:11" x14ac:dyDescent="0.2">
      <c r="B5" s="94" t="s">
        <v>128</v>
      </c>
      <c r="C5" s="101">
        <f ca="1">OFFSET('Normalized Annual Summary'!$U$14,COLUMN(D5)-COLUMN($I5),0)</f>
        <v>901672321</v>
      </c>
      <c r="D5" s="101">
        <f ca="1">OFFSET('Normalized Annual Summary'!$U$14,COLUMN(E5)-COLUMN($I5),0)</f>
        <v>907051642</v>
      </c>
      <c r="E5" s="101">
        <f ca="1">OFFSET('Normalized Annual Summary'!$U$14,COLUMN(F5)-COLUMN($I5),0)</f>
        <v>920835908</v>
      </c>
      <c r="F5" s="101">
        <f ca="1">OFFSET('Normalized Annual Summary'!$U$14,COLUMN(G5)-COLUMN($I5),0)</f>
        <v>885596225</v>
      </c>
      <c r="G5" s="101">
        <f ca="1">OFFSET('Normalized Annual Summary'!$U$14,COLUMN(H5)-COLUMN($I5),0)</f>
        <v>874283086</v>
      </c>
      <c r="H5" s="101">
        <f ca="1">OFFSET('Normalized Annual Summary'!$U$14,COLUMN(I5)-COLUMN($I5),0)</f>
        <v>837536595</v>
      </c>
      <c r="I5" s="101">
        <f ca="1">OFFSET('Normalized Annual Summary'!$AA$14,COLUMN(I5)-COLUMN($I5),0)</f>
        <v>853212291.34085143</v>
      </c>
      <c r="J5" s="101">
        <f ca="1">OFFSET('Normalized Annual Summary'!$AA$14,COLUMN(J5)-COLUMN($I5),0)</f>
        <v>747410162.65449774</v>
      </c>
      <c r="K5" s="93">
        <f ca="1">OFFSET('Normalized Annual Summary'!$AA$14,COLUMN(K5)-COLUMN($I5),0)</f>
        <v>829981996.46143186</v>
      </c>
    </row>
    <row r="6" spans="2:11" x14ac:dyDescent="0.2">
      <c r="B6" s="94" t="s">
        <v>138</v>
      </c>
      <c r="C6" s="101">
        <f ca="1">OFFSET('Normalized Annual Summary'!$AD$14,COLUMN(D6)-COLUMN($I6),0)</f>
        <v>9908447</v>
      </c>
      <c r="D6" s="101">
        <f ca="1">OFFSET('Normalized Annual Summary'!$AD$14,COLUMN(E6)-COLUMN($I6),0)</f>
        <v>9918681</v>
      </c>
      <c r="E6" s="101">
        <f ca="1">OFFSET('Normalized Annual Summary'!$AD$14,COLUMN(F6)-COLUMN($I6),0)</f>
        <v>9945876</v>
      </c>
      <c r="F6" s="101">
        <f ca="1">OFFSET('Normalized Annual Summary'!$AD$14,COLUMN(G6)-COLUMN($I6),0)</f>
        <v>11286654.700000001</v>
      </c>
      <c r="G6" s="101">
        <f ca="1">OFFSET('Normalized Annual Summary'!$AD$14,COLUMN(H6)-COLUMN($I6),0)</f>
        <v>6528022.6000000006</v>
      </c>
      <c r="H6" s="101">
        <f ca="1">OFFSET('Normalized Annual Summary'!$AD$14,COLUMN(I6)-COLUMN($I6),0)</f>
        <v>5537652.8999999994</v>
      </c>
      <c r="I6" s="101">
        <f ca="1">OFFSET('Normalized Annual Summary'!$AK$14,COLUMN(I6)-COLUMN($I6),0)</f>
        <v>5537652.8999999994</v>
      </c>
      <c r="J6" s="101">
        <f ca="1">OFFSET('Normalized Annual Summary'!$AK$14,COLUMN(J6)-COLUMN($I6),0)</f>
        <v>5541713.5211686473</v>
      </c>
      <c r="K6" s="93">
        <f ca="1">OFFSET('Normalized Annual Summary'!$AK$14,COLUMN(K6)-COLUMN($I6),0)</f>
        <v>5569643.7573153349</v>
      </c>
    </row>
    <row r="7" spans="2:11" x14ac:dyDescent="0.2">
      <c r="B7" s="94" t="s">
        <v>45</v>
      </c>
      <c r="C7" s="101">
        <f ca="1">OFFSET('Normalized Annual Summary'!$AN$14,COLUMN(D7)-COLUMN($I7),0)</f>
        <v>3098633</v>
      </c>
      <c r="D7" s="101">
        <f ca="1">OFFSET('Normalized Annual Summary'!$AN$14,COLUMN(E7)-COLUMN($I7),0)</f>
        <v>3110148</v>
      </c>
      <c r="E7" s="101">
        <f ca="1">OFFSET('Normalized Annual Summary'!$AN$14,COLUMN(F7)-COLUMN($I7),0)</f>
        <v>3115033</v>
      </c>
      <c r="F7" s="101">
        <f ca="1">OFFSET('Normalized Annual Summary'!$AN$14,COLUMN(G7)-COLUMN($I7),0)</f>
        <v>3130244</v>
      </c>
      <c r="G7" s="101">
        <f ca="1">OFFSET('Normalized Annual Summary'!$AN$14,COLUMN(H7)-COLUMN($I7),0)</f>
        <v>3138478</v>
      </c>
      <c r="H7" s="101">
        <f ca="1">OFFSET('Normalized Annual Summary'!$AN$14,COLUMN(I7)-COLUMN($I7),0)</f>
        <v>3144191</v>
      </c>
      <c r="I7" s="101">
        <f ca="1">OFFSET('Normalized Annual Summary'!$AQ$14,COLUMN(I7)-COLUMN($I7),0)</f>
        <v>3144191</v>
      </c>
      <c r="J7" s="101">
        <f ca="1">OFFSET('Normalized Annual Summary'!$AQ$14,COLUMN(J7)-COLUMN($I7),0)</f>
        <v>3128398.0784571716</v>
      </c>
      <c r="K7" s="93">
        <f ca="1">OFFSET('Normalized Annual Summary'!$AQ$14,COLUMN(K7)-COLUMN($I7),0)</f>
        <v>3103370.8938295147</v>
      </c>
    </row>
    <row r="8" spans="2:11" ht="13.5" thickBot="1" x14ac:dyDescent="0.25">
      <c r="B8" s="95" t="s">
        <v>152</v>
      </c>
      <c r="C8" s="96">
        <f t="shared" ref="C8" ca="1" si="0">SUM(C3:C7)</f>
        <v>1617626874</v>
      </c>
      <c r="D8" s="96">
        <f t="shared" ref="D8:K8" ca="1" si="1">SUM(D3:D7)</f>
        <v>1621325826</v>
      </c>
      <c r="E8" s="96">
        <f t="shared" ca="1" si="1"/>
        <v>1648926254</v>
      </c>
      <c r="F8" s="96">
        <f t="shared" ca="1" si="1"/>
        <v>1568335759.7</v>
      </c>
      <c r="G8" s="96">
        <f t="shared" ca="1" si="1"/>
        <v>1595008285.5999999</v>
      </c>
      <c r="H8" s="96">
        <f t="shared" ca="1" si="1"/>
        <v>1529502805.9000001</v>
      </c>
      <c r="I8" s="96">
        <f t="shared" ca="1" si="1"/>
        <v>1552424717.6692414</v>
      </c>
      <c r="J8" s="96">
        <f t="shared" ca="1" si="1"/>
        <v>1452704079.4828525</v>
      </c>
      <c r="K8" s="97">
        <f t="shared" ca="1" si="1"/>
        <v>1531474203.9475393</v>
      </c>
    </row>
    <row r="10" spans="2:11" ht="16.5" thickBot="1" x14ac:dyDescent="0.3">
      <c r="B10" s="88" t="s">
        <v>153</v>
      </c>
      <c r="C10" s="88"/>
      <c r="G10" s="67"/>
      <c r="H10" s="67"/>
    </row>
    <row r="11" spans="2:11" ht="38.25" x14ac:dyDescent="0.2">
      <c r="B11" s="98" t="s">
        <v>132</v>
      </c>
      <c r="C11" s="99" t="s">
        <v>192</v>
      </c>
      <c r="D11" s="99" t="s">
        <v>154</v>
      </c>
      <c r="E11" s="100" t="s">
        <v>193</v>
      </c>
    </row>
    <row r="12" spans="2:11" x14ac:dyDescent="0.2">
      <c r="B12" s="92" t="str">
        <f>B3</f>
        <v>Residential</v>
      </c>
      <c r="C12" s="67">
        <f ca="1">K3</f>
        <v>524245339.16692615</v>
      </c>
      <c r="D12" s="67">
        <f>'CDM Adjustment'!J7</f>
        <v>0</v>
      </c>
      <c r="E12" s="93">
        <f ca="1">C12-D12</f>
        <v>524245339.16692615</v>
      </c>
    </row>
    <row r="13" spans="2:11" x14ac:dyDescent="0.2">
      <c r="B13" s="94" t="str">
        <f>B4</f>
        <v>GS &lt; 50</v>
      </c>
      <c r="C13" s="67">
        <f ca="1">K4</f>
        <v>168573853.66803649</v>
      </c>
      <c r="D13" s="67">
        <f>'CDM Adjustment'!J8</f>
        <v>122603.59542882007</v>
      </c>
      <c r="E13" s="93">
        <f ca="1">C13-D13</f>
        <v>168451250.07260767</v>
      </c>
    </row>
    <row r="14" spans="2:11" x14ac:dyDescent="0.2">
      <c r="B14" s="94" t="str">
        <f>B5</f>
        <v>GS &gt; 50</v>
      </c>
      <c r="C14" s="67">
        <f ca="1">K5</f>
        <v>829981996.46143186</v>
      </c>
      <c r="D14" s="67">
        <f>'CDM Adjustment'!J9</f>
        <v>2192934.2797265826</v>
      </c>
      <c r="E14" s="93">
        <f ca="1">C14-D14</f>
        <v>827789062.18170524</v>
      </c>
    </row>
    <row r="15" spans="2:11" x14ac:dyDescent="0.2">
      <c r="B15" s="94" t="str">
        <f>B6</f>
        <v>Street Light</v>
      </c>
      <c r="C15" s="67">
        <f ca="1">K6</f>
        <v>5569643.7573153349</v>
      </c>
      <c r="D15" s="67"/>
      <c r="E15" s="93">
        <f ca="1">C15</f>
        <v>5569643.7573153349</v>
      </c>
    </row>
    <row r="16" spans="2:11" x14ac:dyDescent="0.2">
      <c r="B16" s="94" t="str">
        <f>B7</f>
        <v>USL</v>
      </c>
      <c r="C16" s="67">
        <f ca="1">K7</f>
        <v>3103370.8938295147</v>
      </c>
      <c r="D16" s="67"/>
      <c r="E16" s="93">
        <f ca="1">C16-D16</f>
        <v>3103370.8938295147</v>
      </c>
    </row>
    <row r="17" spans="2:11" ht="13.5" thickBot="1" x14ac:dyDescent="0.25">
      <c r="B17" s="95" t="s">
        <v>152</v>
      </c>
      <c r="C17" s="96">
        <f ca="1">SUM(C12:C16)</f>
        <v>1531474203.9475393</v>
      </c>
      <c r="D17" s="96">
        <f>SUM(D12:D16)</f>
        <v>2315537.8751554028</v>
      </c>
      <c r="E17" s="97">
        <f ca="1">SUM(E12:E16)</f>
        <v>1529158666.0723839</v>
      </c>
    </row>
    <row r="19" spans="2:11" ht="16.5" thickBot="1" x14ac:dyDescent="0.3">
      <c r="B19" s="88" t="s">
        <v>146</v>
      </c>
      <c r="C19" s="88"/>
    </row>
    <row r="20" spans="2:11" x14ac:dyDescent="0.2">
      <c r="B20" s="89" t="s">
        <v>133</v>
      </c>
      <c r="C20" s="90" t="s">
        <v>240</v>
      </c>
      <c r="D20" s="90" t="s">
        <v>147</v>
      </c>
      <c r="E20" s="90" t="s">
        <v>148</v>
      </c>
      <c r="F20" s="90" t="s">
        <v>149</v>
      </c>
      <c r="G20" s="90" t="s">
        <v>150</v>
      </c>
      <c r="H20" s="90" t="s">
        <v>194</v>
      </c>
      <c r="I20" s="90" t="s">
        <v>195</v>
      </c>
      <c r="J20" s="90" t="s">
        <v>151</v>
      </c>
      <c r="K20" s="91" t="s">
        <v>196</v>
      </c>
    </row>
    <row r="21" spans="2:11" x14ac:dyDescent="0.2">
      <c r="B21" s="94" t="s">
        <v>128</v>
      </c>
      <c r="C21" s="101">
        <f ca="1">OFFSET('kW Forecast'!$D$10,COLUMN()-COLUMN($D21),0)</f>
        <v>2373361</v>
      </c>
      <c r="D21" s="101">
        <f ca="1">OFFSET('kW Forecast'!$D$10,COLUMN()-COLUMN($D21),0)</f>
        <v>2374100</v>
      </c>
      <c r="E21" s="101">
        <f ca="1">OFFSET('kW Forecast'!$D$10,COLUMN()-COLUMN($D21),0)</f>
        <v>2410544</v>
      </c>
      <c r="F21" s="101">
        <f ca="1">OFFSET('kW Forecast'!$D$10,COLUMN()-COLUMN($D21),0)</f>
        <v>2363980</v>
      </c>
      <c r="G21" s="101">
        <f ca="1">OFFSET('kW Forecast'!$D$10,COLUMN()-COLUMN($D21),0)</f>
        <v>2353522</v>
      </c>
      <c r="H21" s="101">
        <f ca="1">OFFSET('kW Forecast'!$D$10,COLUMN()-COLUMN($D21),0)</f>
        <v>2275484</v>
      </c>
      <c r="I21" s="101">
        <f ca="1">OFFSET('kW Forecast'!$D$18,COLUMN()-COLUMN($I21),0)</f>
        <v>2310072.4071587897</v>
      </c>
      <c r="J21" s="101">
        <f ca="1">OFFSET('kW Forecast'!$D$18,COLUMN()-COLUMN($I21),0)</f>
        <v>2038535.2780942591</v>
      </c>
      <c r="K21" s="93">
        <f ca="1">OFFSET('kW Forecast'!$D$18,COLUMN()-COLUMN($I21),0)</f>
        <v>2280317.7976459037</v>
      </c>
    </row>
    <row r="22" spans="2:11" x14ac:dyDescent="0.2">
      <c r="B22" s="94" t="s">
        <v>138</v>
      </c>
      <c r="C22" s="101">
        <f ca="1">OFFSET('kW Forecast'!$J$10,COLUMN()-COLUMN($D22),0)</f>
        <v>27636</v>
      </c>
      <c r="D22" s="101">
        <f ca="1">OFFSET('kW Forecast'!$J$10,COLUMN()-COLUMN($D22),0)</f>
        <v>27661</v>
      </c>
      <c r="E22" s="101">
        <f ca="1">OFFSET('kW Forecast'!$J$10,COLUMN()-COLUMN($D22),0)</f>
        <v>27648</v>
      </c>
      <c r="F22" s="101">
        <f ca="1">OFFSET('kW Forecast'!$J$10,COLUMN()-COLUMN($D22),0)</f>
        <v>30451.800000000003</v>
      </c>
      <c r="G22" s="101">
        <f ca="1">OFFSET('kW Forecast'!$J$10,COLUMN()-COLUMN($D22),0)</f>
        <v>18200.899999999998</v>
      </c>
      <c r="H22" s="101">
        <f ca="1">OFFSET('kW Forecast'!$J$10,COLUMN()-COLUMN($D22),0)</f>
        <v>15445.800000000001</v>
      </c>
      <c r="I22" s="101">
        <f ca="1">OFFSET('kW Forecast'!$J$18,COLUMN()-COLUMN($I22),0)</f>
        <v>15433.700370536344</v>
      </c>
      <c r="J22" s="101">
        <f ca="1">OFFSET('kW Forecast'!$J$18,COLUMN()-COLUMN($I22),0)</f>
        <v>15447.62011196088</v>
      </c>
      <c r="K22" s="93">
        <f ca="1">OFFSET('kW Forecast'!$J$18,COLUMN()-COLUMN($I22),0)</f>
        <v>15528.091832722061</v>
      </c>
    </row>
    <row r="23" spans="2:11" ht="13.5" thickBot="1" x14ac:dyDescent="0.25">
      <c r="B23" s="95" t="s">
        <v>152</v>
      </c>
      <c r="C23" s="96">
        <f t="shared" ref="C23" ca="1" si="2">SUM(C18:C22)</f>
        <v>2400997</v>
      </c>
      <c r="D23" s="96">
        <f t="shared" ref="D23:K23" ca="1" si="3">SUM(D18:D22)</f>
        <v>2401761</v>
      </c>
      <c r="E23" s="96">
        <f t="shared" ca="1" si="3"/>
        <v>2438192</v>
      </c>
      <c r="F23" s="96">
        <f t="shared" ca="1" si="3"/>
        <v>2394431.7999999998</v>
      </c>
      <c r="G23" s="96">
        <f t="shared" ca="1" si="3"/>
        <v>2371722.9</v>
      </c>
      <c r="H23" s="96">
        <f t="shared" ca="1" si="3"/>
        <v>2290929.7999999998</v>
      </c>
      <c r="I23" s="96">
        <f t="shared" ca="1" si="3"/>
        <v>2325506.1075293259</v>
      </c>
      <c r="J23" s="96">
        <f t="shared" ca="1" si="3"/>
        <v>2053982.89820622</v>
      </c>
      <c r="K23" s="97">
        <f t="shared" ca="1" si="3"/>
        <v>2295845.8894786257</v>
      </c>
    </row>
    <row r="25" spans="2:11" ht="16.5" thickBot="1" x14ac:dyDescent="0.3">
      <c r="B25" s="88" t="s">
        <v>153</v>
      </c>
      <c r="C25" s="88"/>
    </row>
    <row r="26" spans="2:11" ht="38.25" x14ac:dyDescent="0.2">
      <c r="B26" s="98" t="s">
        <v>133</v>
      </c>
      <c r="C26" s="99" t="s">
        <v>192</v>
      </c>
      <c r="D26" s="99" t="s">
        <v>154</v>
      </c>
      <c r="E26" s="100" t="s">
        <v>193</v>
      </c>
    </row>
    <row r="27" spans="2:11" x14ac:dyDescent="0.2">
      <c r="B27" s="94" t="str">
        <f>B21</f>
        <v>GS &gt; 50</v>
      </c>
      <c r="C27" s="67">
        <f ca="1">K21</f>
        <v>2280317.7976459037</v>
      </c>
      <c r="D27" s="67">
        <f ca="1">'CDM Adjustment'!G18</f>
        <v>5981.1521372520647</v>
      </c>
      <c r="E27" s="93">
        <f ca="1">C27-D27</f>
        <v>2274336.6455086516</v>
      </c>
    </row>
    <row r="28" spans="2:11" x14ac:dyDescent="0.2">
      <c r="B28" s="94" t="str">
        <f>B22</f>
        <v>Street Light</v>
      </c>
      <c r="C28" s="67">
        <f ca="1">K22</f>
        <v>15528.091832722061</v>
      </c>
      <c r="D28" s="67"/>
      <c r="E28" s="93">
        <f t="shared" ref="E28" ca="1" si="4">C28-D28</f>
        <v>15528.091832722061</v>
      </c>
    </row>
    <row r="29" spans="2:11" ht="13.5" thickBot="1" x14ac:dyDescent="0.25">
      <c r="B29" s="95" t="s">
        <v>152</v>
      </c>
      <c r="C29" s="96">
        <f ca="1">SUM(C27:C28)</f>
        <v>2295845.8894786257</v>
      </c>
      <c r="D29" s="96">
        <f ca="1">SUM(D27:D28)</f>
        <v>5981.1521372520647</v>
      </c>
      <c r="E29" s="97">
        <f ca="1">SUM(E27:E28)</f>
        <v>2289864.7373413737</v>
      </c>
    </row>
    <row r="31" spans="2:11" ht="16.5" thickBot="1" x14ac:dyDescent="0.3">
      <c r="B31" s="88" t="s">
        <v>257</v>
      </c>
      <c r="C31" s="88"/>
    </row>
    <row r="32" spans="2:11" x14ac:dyDescent="0.2">
      <c r="B32" s="89" t="s">
        <v>130</v>
      </c>
      <c r="C32" s="90" t="s">
        <v>240</v>
      </c>
      <c r="D32" s="90" t="s">
        <v>147</v>
      </c>
      <c r="E32" s="90" t="s">
        <v>148</v>
      </c>
      <c r="F32" s="90" t="s">
        <v>149</v>
      </c>
      <c r="G32" s="90" t="s">
        <v>150</v>
      </c>
      <c r="H32" s="90" t="s">
        <v>194</v>
      </c>
      <c r="I32" s="90" t="s">
        <v>151</v>
      </c>
      <c r="J32" s="91" t="s">
        <v>196</v>
      </c>
    </row>
    <row r="33" spans="2:10" x14ac:dyDescent="0.2">
      <c r="B33" s="92" t="str">
        <f>B3</f>
        <v>Residential</v>
      </c>
      <c r="C33" s="101">
        <f ca="1">OFFSET('Customer Count'!$C$9,COLUMN()-COLUMN($D33),0)</f>
        <v>59824.416666666664</v>
      </c>
      <c r="D33" s="101">
        <f ca="1">OFFSET('Customer Count'!$C$9,COLUMN()-COLUMN($D33),0)</f>
        <v>60123.25</v>
      </c>
      <c r="E33" s="101">
        <f ca="1">OFFSET('Customer Count'!$C$9,COLUMN()-COLUMN($D33),0)</f>
        <v>60318.833333333336</v>
      </c>
      <c r="F33" s="101">
        <f ca="1">OFFSET('Customer Count'!$C$9,COLUMN()-COLUMN($D33),0)</f>
        <v>60502</v>
      </c>
      <c r="G33" s="101">
        <f ca="1">OFFSET('Customer Count'!$C$9,COLUMN()-COLUMN($D33),0)</f>
        <v>60920.083333333336</v>
      </c>
      <c r="H33" s="101">
        <f ca="1">OFFSET('Customer Count'!$C$9,COLUMN()-COLUMN($D33),0)</f>
        <v>61427.666666666664</v>
      </c>
      <c r="I33" s="101">
        <f ca="1">OFFSET('Customer Count'!$C$9,COLUMN()-COLUMN($D33)+4,0)</f>
        <v>61651.285485351538</v>
      </c>
      <c r="J33" s="93">
        <f ca="1">OFFSET('Customer Count'!$C$9,COLUMN()-COLUMN($D33)+4,0)</f>
        <v>62055.717918135437</v>
      </c>
    </row>
    <row r="34" spans="2:10" x14ac:dyDescent="0.2">
      <c r="B34" s="94" t="str">
        <f>B4</f>
        <v>GS &lt; 50</v>
      </c>
      <c r="C34" s="101">
        <f ca="1">OFFSET('Customer Count'!$G$9,COLUMN()-COLUMN($D34),0)</f>
        <v>5198.458333333333</v>
      </c>
      <c r="D34" s="101">
        <f ca="1">OFFSET('Customer Count'!$G$9,COLUMN()-COLUMN($D34),0)</f>
        <v>5238.5</v>
      </c>
      <c r="E34" s="101">
        <f ca="1">OFFSET('Customer Count'!$G$9,COLUMN()-COLUMN($D34),0)</f>
        <v>5272.833333333333</v>
      </c>
      <c r="F34" s="101">
        <f ca="1">OFFSET('Customer Count'!$G$9,COLUMN()-COLUMN($D34),0)</f>
        <v>5341.666666666667</v>
      </c>
      <c r="G34" s="101">
        <f ca="1">OFFSET('Customer Count'!$G$9,COLUMN()-COLUMN($D34),0)</f>
        <v>5427.75</v>
      </c>
      <c r="H34" s="101">
        <f ca="1">OFFSET('Customer Count'!$G$9,COLUMN()-COLUMN($D34),0)</f>
        <v>5489.5</v>
      </c>
      <c r="I34" s="101">
        <f ca="1">OFFSET('Customer Count'!$G$9,COLUMN()-COLUMN($D34)+4,0)</f>
        <v>5505.5601358758804</v>
      </c>
      <c r="J34" s="93">
        <f ca="1">OFFSET('Customer Count'!$G$9,COLUMN()-COLUMN($D34)+4,0)</f>
        <v>5564.469629329752</v>
      </c>
    </row>
    <row r="35" spans="2:10" ht="13.5" customHeight="1" x14ac:dyDescent="0.2">
      <c r="B35" s="94" t="str">
        <f>B5</f>
        <v>GS &gt; 50</v>
      </c>
      <c r="C35" s="101">
        <f ca="1">OFFSET('Customer Count'!$K$9,COLUMN()-COLUMN($D35),0)</f>
        <v>1021.2083333333334</v>
      </c>
      <c r="D35" s="101">
        <f ca="1">OFFSET('Customer Count'!$K$9,COLUMN()-COLUMN($D35),0)</f>
        <v>1027.6666666666667</v>
      </c>
      <c r="E35" s="101">
        <f ca="1">OFFSET('Customer Count'!$K$9,COLUMN()-COLUMN($D35),0)</f>
        <v>1034.1666666666667</v>
      </c>
      <c r="F35" s="101">
        <f ca="1">OFFSET('Customer Count'!$K$9,COLUMN()-COLUMN($D35),0)</f>
        <v>1003.6666666666666</v>
      </c>
      <c r="G35" s="101">
        <f ca="1">OFFSET('Customer Count'!$K$9,COLUMN()-COLUMN($D35),0)</f>
        <v>985.83333333333337</v>
      </c>
      <c r="H35" s="101">
        <f ca="1">OFFSET('Customer Count'!$K$9,COLUMN()-COLUMN($D35),0)</f>
        <v>984.83333333333337</v>
      </c>
      <c r="I35" s="101">
        <f ca="1">OFFSET('Customer Count'!$K$9,COLUMN()-COLUMN($D35)+4,0)</f>
        <v>1005.124840109051</v>
      </c>
      <c r="J35" s="93">
        <f ca="1">OFFSET('Customer Count'!$K$9,COLUMN()-COLUMN($D35)+4,0)</f>
        <v>1003.9186903009204</v>
      </c>
    </row>
    <row r="36" spans="2:10" x14ac:dyDescent="0.2">
      <c r="B36" s="94" t="str">
        <f>B6</f>
        <v>Street Light</v>
      </c>
      <c r="C36" s="101">
        <f ca="1">OFFSET('Customer Count'!$O$9,COLUMN()-COLUMN($D36),0)</f>
        <v>15170.75</v>
      </c>
      <c r="D36" s="101">
        <f ca="1">OFFSET('Customer Count'!$O$9,COLUMN()-COLUMN($D36),0)</f>
        <v>15228.583333333334</v>
      </c>
      <c r="E36" s="101">
        <f ca="1">OFFSET('Customer Count'!$O$9,COLUMN()-COLUMN($D36),0)</f>
        <v>15252.666666666666</v>
      </c>
      <c r="F36" s="101">
        <f ca="1">OFFSET('Customer Count'!$O$9,COLUMN()-COLUMN($D36),0)</f>
        <v>17184</v>
      </c>
      <c r="G36" s="101">
        <f ca="1">OFFSET('Customer Count'!$O$9,COLUMN()-COLUMN($D36),0)</f>
        <v>17184</v>
      </c>
      <c r="H36" s="101">
        <f ca="1">OFFSET('Customer Count'!$O$9,COLUMN()-COLUMN($D36),0)</f>
        <v>17184</v>
      </c>
      <c r="I36" s="101">
        <f ca="1">OFFSET('Customer Count'!$O$9,COLUMN()-COLUMN($D36)+4,0)</f>
        <v>17196.600593685107</v>
      </c>
      <c r="J36" s="93">
        <f ca="1">OFFSET('Customer Count'!$O$9,COLUMN()-COLUMN($D36)+4,0)</f>
        <v>17283.271460677272</v>
      </c>
    </row>
    <row r="37" spans="2:10" x14ac:dyDescent="0.2">
      <c r="B37" s="94" t="str">
        <f>B7</f>
        <v>USL</v>
      </c>
      <c r="C37" s="101">
        <f ca="1">OFFSET('Customer Count'!$S$9,COLUMN()-COLUMN($D37),0)</f>
        <v>559</v>
      </c>
      <c r="D37" s="101">
        <f ca="1">OFFSET('Customer Count'!$S$9,COLUMN()-COLUMN($D37),0)</f>
        <v>556.75</v>
      </c>
      <c r="E37" s="101">
        <f ca="1">OFFSET('Customer Count'!$S$9,COLUMN()-COLUMN($D37),0)</f>
        <v>559.08333333333337</v>
      </c>
      <c r="F37" s="101">
        <f ca="1">OFFSET('Customer Count'!$S$9,COLUMN()-COLUMN($D37),0)</f>
        <v>561.91666666666663</v>
      </c>
      <c r="G37" s="101">
        <f ca="1">OFFSET('Customer Count'!$S$9,COLUMN()-COLUMN($D37),0)</f>
        <v>563.33333333333337</v>
      </c>
      <c r="H37" s="101">
        <f ca="1">OFFSET('Customer Count'!$S$9,COLUMN()-COLUMN($D37),0)</f>
        <v>561.5</v>
      </c>
      <c r="I37" s="101">
        <f ca="1">OFFSET('Customer Count'!$S$9,COLUMN()-COLUMN($D37)+4,0)</f>
        <v>558.67964797739762</v>
      </c>
      <c r="J37" s="93">
        <f ca="1">OFFSET('Customer Count'!$S$9,COLUMN()-COLUMN($D37)+4,0)</f>
        <v>554.21021079357854</v>
      </c>
    </row>
    <row r="38" spans="2:10" ht="13.5" thickBot="1" x14ac:dyDescent="0.25">
      <c r="B38" s="95" t="s">
        <v>152</v>
      </c>
      <c r="C38" s="96">
        <f t="shared" ref="C38" ca="1" si="5">SUM(C33:C37)</f>
        <v>81773.833333333328</v>
      </c>
      <c r="D38" s="96">
        <f t="shared" ref="D38:J38" ca="1" si="6">SUM(D33:D37)</f>
        <v>82174.75</v>
      </c>
      <c r="E38" s="96">
        <f t="shared" ca="1" si="6"/>
        <v>82437.583333333343</v>
      </c>
      <c r="F38" s="96">
        <f t="shared" ca="1" si="6"/>
        <v>84593.250000000015</v>
      </c>
      <c r="G38" s="96">
        <f t="shared" ca="1" si="6"/>
        <v>85081</v>
      </c>
      <c r="H38" s="96">
        <f t="shared" ca="1" si="6"/>
        <v>85647.499999999985</v>
      </c>
      <c r="I38" s="96">
        <f t="shared" ca="1" si="6"/>
        <v>85917.250702998965</v>
      </c>
      <c r="J38" s="97">
        <f t="shared" ca="1" si="6"/>
        <v>86461.587909236972</v>
      </c>
    </row>
  </sheetData>
  <phoneticPr fontId="37" type="noConversion"/>
  <pageMargins left="0.7" right="0.7" top="0.75" bottom="0.75" header="0.3" footer="0.3"/>
  <pageSetup orientation="portrait" r:id="rId1"/>
  <ignoredErrors>
    <ignoredError sqref="E15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rgb="FFFF0000"/>
  </sheetPr>
  <dimension ref="B1:K38"/>
  <sheetViews>
    <sheetView tabSelected="1" workbookViewId="0">
      <selection activeCell="I14" sqref="I14"/>
    </sheetView>
  </sheetViews>
  <sheetFormatPr defaultColWidth="9.1640625" defaultRowHeight="12.75" x14ac:dyDescent="0.2"/>
  <cols>
    <col min="1" max="1" width="3" style="66" customWidth="1"/>
    <col min="2" max="2" width="19.5" style="66" customWidth="1"/>
    <col min="3" max="8" width="15.1640625" style="66" customWidth="1"/>
    <col min="9" max="9" width="19.33203125" style="66" customWidth="1"/>
    <col min="10" max="11" width="15.1640625" style="66" customWidth="1"/>
    <col min="12" max="12" width="9.1640625" style="66"/>
    <col min="13" max="13" width="17" style="66" customWidth="1"/>
    <col min="14" max="14" width="17.33203125" style="66" customWidth="1"/>
    <col min="15" max="15" width="17" style="66" customWidth="1"/>
    <col min="16" max="16" width="21" style="66" bestFit="1" customWidth="1"/>
    <col min="17" max="17" width="17.6640625" style="66" customWidth="1"/>
    <col min="18" max="16384" width="9.1640625" style="66"/>
  </cols>
  <sheetData>
    <row r="1" spans="2:11" ht="16.5" thickBot="1" x14ac:dyDescent="0.3">
      <c r="B1" s="88" t="s">
        <v>146</v>
      </c>
      <c r="C1" s="88"/>
    </row>
    <row r="2" spans="2:11" x14ac:dyDescent="0.2">
      <c r="B2" s="89" t="s">
        <v>132</v>
      </c>
      <c r="C2" s="90" t="s">
        <v>241</v>
      </c>
      <c r="D2" s="90" t="s">
        <v>242</v>
      </c>
      <c r="E2" s="90" t="s">
        <v>243</v>
      </c>
      <c r="F2" s="90" t="s">
        <v>244</v>
      </c>
      <c r="G2" s="90" t="s">
        <v>245</v>
      </c>
      <c r="H2" s="90" t="s">
        <v>246</v>
      </c>
      <c r="I2" s="90" t="s">
        <v>195</v>
      </c>
      <c r="J2" s="90" t="s">
        <v>151</v>
      </c>
      <c r="K2" s="91" t="s">
        <v>196</v>
      </c>
    </row>
    <row r="3" spans="2:11" x14ac:dyDescent="0.2">
      <c r="B3" s="92" t="s">
        <v>33</v>
      </c>
      <c r="C3" s="101">
        <f ca="1">OFFSET('Normalized Annual Summary'!$I$14,COLUMN(D3)-COLUMN($I3),0)</f>
        <v>544630870.74754453</v>
      </c>
      <c r="D3" s="101">
        <f ca="1">OFFSET('Normalized Annual Summary'!$I$14,COLUMN(E3)-COLUMN($I3),0)</f>
        <v>536485599.12821639</v>
      </c>
      <c r="E3" s="101">
        <f ca="1">OFFSET('Normalized Annual Summary'!$I$14,COLUMN(F3)-COLUMN($I3),0)</f>
        <v>529767852.79454625</v>
      </c>
      <c r="F3" s="101">
        <f ca="1">OFFSET('Normalized Annual Summary'!$I$14,COLUMN(G3)-COLUMN($I3),0)</f>
        <v>515589166.21675414</v>
      </c>
      <c r="G3" s="101">
        <f ca="1">OFFSET('Normalized Annual Summary'!$I$14,COLUMN(H3)-COLUMN($I3),0)</f>
        <v>510982834.9969604</v>
      </c>
      <c r="H3" s="101">
        <f ca="1">OFFSET('Normalized Annual Summary'!$I$14,COLUMN(I3)-COLUMN($I3),0)</f>
        <v>520074180.74845999</v>
      </c>
      <c r="I3" s="101">
        <f ca="1">OFFSET('Normalized Annual Summary'!$I$14,COLUMN(I3)-COLUMN($I3),0)</f>
        <v>520074180.74845999</v>
      </c>
      <c r="J3" s="101">
        <f ca="1">OFFSET('Normalized Annual Summary'!$I$14,COLUMN(J3)-COLUMN($I3),0)</f>
        <v>546040547.36033237</v>
      </c>
      <c r="K3" s="93">
        <f ca="1">OFFSET('Normalized Annual Summary'!$I$14,COLUMN(K3)-COLUMN($I3),0)</f>
        <v>524245339.16692615</v>
      </c>
    </row>
    <row r="4" spans="2:11" x14ac:dyDescent="0.2">
      <c r="B4" s="94" t="s">
        <v>127</v>
      </c>
      <c r="C4" s="101">
        <f ca="1">OFFSET('Normalized Annual Summary'!$R$14,COLUMN(D4)-COLUMN($I4),0)</f>
        <v>173374974.28493205</v>
      </c>
      <c r="D4" s="101">
        <f ca="1">OFFSET('Normalized Annual Summary'!$R$14,COLUMN(E4)-COLUMN($I4),0)</f>
        <v>171924454.13021278</v>
      </c>
      <c r="E4" s="101">
        <f ca="1">OFFSET('Normalized Annual Summary'!$R$14,COLUMN(F4)-COLUMN($I4),0)</f>
        <v>169715994.80146629</v>
      </c>
      <c r="F4" s="101">
        <f ca="1">OFFSET('Normalized Annual Summary'!$R$14,COLUMN(G4)-COLUMN($I4),0)</f>
        <v>169552843.85237825</v>
      </c>
      <c r="G4" s="101">
        <f ca="1">OFFSET('Normalized Annual Summary'!$R$14,COLUMN(H4)-COLUMN($I4),0)</f>
        <v>169568141.62615439</v>
      </c>
      <c r="H4" s="101">
        <f ca="1">OFFSET('Normalized Annual Summary'!$R$14,COLUMN(I4)-COLUMN($I4),0)</f>
        <v>170456401.67992976</v>
      </c>
      <c r="I4" s="101">
        <f ca="1">OFFSET('Normalized Annual Summary'!$R$14,COLUMN(I4)-COLUMN($I4),0)</f>
        <v>170456401.67992976</v>
      </c>
      <c r="J4" s="101">
        <f ca="1">OFFSET('Normalized Annual Summary'!$R$14,COLUMN(J4)-COLUMN($I4),0)</f>
        <v>150583257.86839649</v>
      </c>
      <c r="K4" s="93">
        <f ca="1">OFFSET('Normalized Annual Summary'!$R$14,COLUMN(K4)-COLUMN($I4),0)</f>
        <v>168573853.66803649</v>
      </c>
    </row>
    <row r="5" spans="2:11" x14ac:dyDescent="0.2">
      <c r="B5" s="94" t="s">
        <v>128</v>
      </c>
      <c r="C5" s="101">
        <f ca="1">OFFSET('Normalized Annual Summary'!$AA$14,COLUMN(D5)-COLUMN($I5),0)</f>
        <v>907089505.28000069</v>
      </c>
      <c r="D5" s="101">
        <f ca="1">OFFSET('Normalized Annual Summary'!$AA$14,COLUMN(E5)-COLUMN($I5),0)</f>
        <v>910766448.6032356</v>
      </c>
      <c r="E5" s="101">
        <f ca="1">OFFSET('Normalized Annual Summary'!$AA$14,COLUMN(F5)-COLUMN($I5),0)</f>
        <v>911684517.06454337</v>
      </c>
      <c r="F5" s="101">
        <f ca="1">OFFSET('Normalized Annual Summary'!$AA$14,COLUMN(G5)-COLUMN($I5),0)</f>
        <v>881013607.73985827</v>
      </c>
      <c r="G5" s="101">
        <f ca="1">OFFSET('Normalized Annual Summary'!$AA$14,COLUMN(H5)-COLUMN($I5),0)</f>
        <v>859861428.72118211</v>
      </c>
      <c r="H5" s="101">
        <f ca="1">OFFSET('Normalized Annual Summary'!$AA$14,COLUMN(I5)-COLUMN($I5),0)</f>
        <v>853212291.34085143</v>
      </c>
      <c r="I5" s="101">
        <f ca="1">OFFSET('Normalized Annual Summary'!$AA$14,COLUMN(I5)-COLUMN($I5),0)</f>
        <v>853212291.34085143</v>
      </c>
      <c r="J5" s="101">
        <f ca="1">OFFSET('Normalized Annual Summary'!$AA$14,COLUMN(J5)-COLUMN($I5),0)</f>
        <v>747410162.65449774</v>
      </c>
      <c r="K5" s="93">
        <f ca="1">OFFSET('Normalized Annual Summary'!$AA$14,COLUMN(K5)-COLUMN($I5),0)</f>
        <v>829981996.46143186</v>
      </c>
    </row>
    <row r="6" spans="2:11" x14ac:dyDescent="0.2">
      <c r="B6" s="94" t="s">
        <v>138</v>
      </c>
      <c r="C6" s="101">
        <f ca="1">OFFSET('Normalized Annual Summary'!$AK$14,COLUMN(D6)-COLUMN($I6),0)</f>
        <v>9908447</v>
      </c>
      <c r="D6" s="101">
        <f ca="1">OFFSET('Normalized Annual Summary'!$AK$14,COLUMN(E6)-COLUMN($I6),0)</f>
        <v>9918681</v>
      </c>
      <c r="E6" s="101">
        <f ca="1">OFFSET('Normalized Annual Summary'!$AK$14,COLUMN(F6)-COLUMN($I6),0)</f>
        <v>9945876</v>
      </c>
      <c r="F6" s="101">
        <f ca="1">OFFSET('Normalized Annual Summary'!$AK$14,COLUMN(G6)-COLUMN($I6),0)</f>
        <v>11286654.700000001</v>
      </c>
      <c r="G6" s="101">
        <f ca="1">OFFSET('Normalized Annual Summary'!$AK$14,COLUMN(H6)-COLUMN($I6),0)</f>
        <v>6528022.6000000006</v>
      </c>
      <c r="H6" s="101">
        <f ca="1">OFFSET('Normalized Annual Summary'!$AK$14,COLUMN(I6)-COLUMN($I6),0)</f>
        <v>5537652.8999999994</v>
      </c>
      <c r="I6" s="101">
        <f ca="1">OFFSET('Normalized Annual Summary'!$AK$14,COLUMN(I6)-COLUMN($I6),0)</f>
        <v>5537652.8999999994</v>
      </c>
      <c r="J6" s="101">
        <f ca="1">OFFSET('Normalized Annual Summary'!$AK$14,COLUMN(J6)-COLUMN($I6),0)</f>
        <v>5541713.5211686473</v>
      </c>
      <c r="K6" s="93">
        <f ca="1">OFFSET('Normalized Annual Summary'!$AK$14,COLUMN(K6)-COLUMN($I6),0)</f>
        <v>5569643.7573153349</v>
      </c>
    </row>
    <row r="7" spans="2:11" x14ac:dyDescent="0.2">
      <c r="B7" s="94" t="s">
        <v>45</v>
      </c>
      <c r="C7" s="101">
        <f ca="1">OFFSET('Normalized Annual Summary'!$AQ$14,COLUMN(D7)-COLUMN($I7),0)</f>
        <v>3098633</v>
      </c>
      <c r="D7" s="101">
        <f ca="1">OFFSET('Normalized Annual Summary'!$AQ$14,COLUMN(E7)-COLUMN($I7),0)</f>
        <v>3110148</v>
      </c>
      <c r="E7" s="101">
        <f ca="1">OFFSET('Normalized Annual Summary'!$AQ$14,COLUMN(F7)-COLUMN($I7),0)</f>
        <v>3115033</v>
      </c>
      <c r="F7" s="101">
        <f ca="1">OFFSET('Normalized Annual Summary'!$AQ$14,COLUMN(G7)-COLUMN($I7),0)</f>
        <v>3130244</v>
      </c>
      <c r="G7" s="101">
        <f ca="1">OFFSET('Normalized Annual Summary'!$AQ$14,COLUMN(H7)-COLUMN($I7),0)</f>
        <v>3138478</v>
      </c>
      <c r="H7" s="101">
        <f ca="1">OFFSET('Normalized Annual Summary'!$AQ$14,COLUMN(I7)-COLUMN($I7),0)</f>
        <v>3144191</v>
      </c>
      <c r="I7" s="101">
        <f ca="1">OFFSET('Normalized Annual Summary'!$AQ$14,COLUMN(I7)-COLUMN($I7),0)</f>
        <v>3144191</v>
      </c>
      <c r="J7" s="101">
        <f ca="1">OFFSET('Normalized Annual Summary'!$AQ$14,COLUMN(J7)-COLUMN($I7),0)</f>
        <v>3128398.0784571716</v>
      </c>
      <c r="K7" s="93">
        <f ca="1">OFFSET('Normalized Annual Summary'!$AQ$14,COLUMN(K7)-COLUMN($I7),0)</f>
        <v>3103370.8938295147</v>
      </c>
    </row>
    <row r="8" spans="2:11" ht="13.5" thickBot="1" x14ac:dyDescent="0.25">
      <c r="B8" s="95" t="s">
        <v>152</v>
      </c>
      <c r="C8" s="96">
        <f t="shared" ref="C8:K8" ca="1" si="0">SUM(C3:C7)</f>
        <v>1638102430.3124771</v>
      </c>
      <c r="D8" s="96">
        <f t="shared" ca="1" si="0"/>
        <v>1632205330.8616648</v>
      </c>
      <c r="E8" s="96">
        <f t="shared" ca="1" si="0"/>
        <v>1624229273.6605558</v>
      </c>
      <c r="F8" s="96">
        <f t="shared" ca="1" si="0"/>
        <v>1580572516.5089905</v>
      </c>
      <c r="G8" s="96">
        <f t="shared" ca="1" si="0"/>
        <v>1550078905.9442968</v>
      </c>
      <c r="H8" s="96">
        <f t="shared" ca="1" si="0"/>
        <v>1552424717.6692414</v>
      </c>
      <c r="I8" s="96">
        <f t="shared" ca="1" si="0"/>
        <v>1552424717.6692414</v>
      </c>
      <c r="J8" s="96">
        <f t="shared" ca="1" si="0"/>
        <v>1452704079.4828525</v>
      </c>
      <c r="K8" s="97">
        <f t="shared" ca="1" si="0"/>
        <v>1531474203.9475393</v>
      </c>
    </row>
    <row r="10" spans="2:11" ht="16.5" thickBot="1" x14ac:dyDescent="0.3">
      <c r="B10" s="88" t="s">
        <v>153</v>
      </c>
      <c r="C10" s="88"/>
      <c r="G10" s="67"/>
      <c r="H10" s="67"/>
    </row>
    <row r="11" spans="2:11" ht="51" x14ac:dyDescent="0.2">
      <c r="B11" s="98" t="s">
        <v>132</v>
      </c>
      <c r="C11" s="99" t="s">
        <v>192</v>
      </c>
      <c r="D11" s="99" t="s">
        <v>154</v>
      </c>
      <c r="E11" s="100" t="s">
        <v>193</v>
      </c>
    </row>
    <row r="12" spans="2:11" x14ac:dyDescent="0.2">
      <c r="B12" s="92" t="str">
        <f>B3</f>
        <v>Residential</v>
      </c>
      <c r="C12" s="67">
        <f ca="1">K3</f>
        <v>524245339.16692615</v>
      </c>
      <c r="D12" s="67">
        <f>'CDM Adjustment'!J7</f>
        <v>0</v>
      </c>
      <c r="E12" s="93">
        <f ca="1">C12-D12</f>
        <v>524245339.16692615</v>
      </c>
    </row>
    <row r="13" spans="2:11" x14ac:dyDescent="0.2">
      <c r="B13" s="94" t="str">
        <f>B4</f>
        <v>GS &lt; 50</v>
      </c>
      <c r="C13" s="67">
        <f ca="1">K4</f>
        <v>168573853.66803649</v>
      </c>
      <c r="D13" s="67">
        <f>'CDM Adjustment'!J8</f>
        <v>122603.59542882007</v>
      </c>
      <c r="E13" s="93">
        <f ca="1">C13-D13</f>
        <v>168451250.07260767</v>
      </c>
    </row>
    <row r="14" spans="2:11" x14ac:dyDescent="0.2">
      <c r="B14" s="94" t="str">
        <f>B5</f>
        <v>GS &gt; 50</v>
      </c>
      <c r="C14" s="67">
        <f ca="1">K5</f>
        <v>829981996.46143186</v>
      </c>
      <c r="D14" s="67">
        <f>'CDM Adjustment'!J9</f>
        <v>2192934.2797265826</v>
      </c>
      <c r="E14" s="93">
        <f ca="1">C14-D14</f>
        <v>827789062.18170524</v>
      </c>
    </row>
    <row r="15" spans="2:11" x14ac:dyDescent="0.2">
      <c r="B15" s="94" t="str">
        <f>B6</f>
        <v>Street Light</v>
      </c>
      <c r="C15" s="67">
        <f ca="1">K6</f>
        <v>5569643.7573153349</v>
      </c>
      <c r="D15" s="67"/>
      <c r="E15" s="93">
        <f ca="1">C15-D15</f>
        <v>5569643.7573153349</v>
      </c>
    </row>
    <row r="16" spans="2:11" x14ac:dyDescent="0.2">
      <c r="B16" s="94" t="str">
        <f>B7</f>
        <v>USL</v>
      </c>
      <c r="C16" s="67">
        <f ca="1">K7</f>
        <v>3103370.8938295147</v>
      </c>
      <c r="D16" s="67"/>
      <c r="E16" s="93">
        <f ca="1">C16-D16</f>
        <v>3103370.8938295147</v>
      </c>
    </row>
    <row r="17" spans="2:11" ht="13.5" thickBot="1" x14ac:dyDescent="0.25">
      <c r="B17" s="95" t="s">
        <v>152</v>
      </c>
      <c r="C17" s="96">
        <f ca="1">SUM(C12:C16)</f>
        <v>1531474203.9475393</v>
      </c>
      <c r="D17" s="96">
        <f>SUM(D12:D16)</f>
        <v>2315537.8751554028</v>
      </c>
      <c r="E17" s="97">
        <f ca="1">SUM(E12:E16)</f>
        <v>1529158666.0723839</v>
      </c>
    </row>
    <row r="19" spans="2:11" ht="16.5" thickBot="1" x14ac:dyDescent="0.3">
      <c r="B19" s="88" t="s">
        <v>146</v>
      </c>
      <c r="C19" s="88"/>
    </row>
    <row r="20" spans="2:11" x14ac:dyDescent="0.2">
      <c r="B20" s="89" t="s">
        <v>133</v>
      </c>
      <c r="C20" s="90" t="s">
        <v>241</v>
      </c>
      <c r="D20" s="90" t="s">
        <v>242</v>
      </c>
      <c r="E20" s="90" t="s">
        <v>243</v>
      </c>
      <c r="F20" s="90" t="s">
        <v>244</v>
      </c>
      <c r="G20" s="90" t="s">
        <v>245</v>
      </c>
      <c r="H20" s="90" t="s">
        <v>246</v>
      </c>
      <c r="I20" s="90" t="s">
        <v>195</v>
      </c>
      <c r="J20" s="90" t="s">
        <v>151</v>
      </c>
      <c r="K20" s="91" t="s">
        <v>196</v>
      </c>
    </row>
    <row r="21" spans="2:11" x14ac:dyDescent="0.2">
      <c r="B21" s="94" t="s">
        <v>128</v>
      </c>
      <c r="C21" s="101">
        <f ca="1">OFFSET('kW Forecast (Weather Normal)'!$D$27,COLUMN()-COLUMN($H21),0)</f>
        <v>2387619.9869961939</v>
      </c>
      <c r="D21" s="101">
        <f ca="1">OFFSET('kW Forecast (Weather Normal)'!$D$27,COLUMN()-COLUMN($H21),0)</f>
        <v>2393165.9695316711</v>
      </c>
      <c r="E21" s="101">
        <f ca="1">OFFSET('kW Forecast (Weather Normal)'!$D$27,COLUMN()-COLUMN($H21),0)</f>
        <v>2413780.2336945985</v>
      </c>
      <c r="F21" s="101">
        <f ca="1">OFFSET('kW Forecast (Weather Normal)'!$D$27,COLUMN()-COLUMN($H21),0)</f>
        <v>2350165.3513594312</v>
      </c>
      <c r="G21" s="101">
        <f ca="1">OFFSET('kW Forecast (Weather Normal)'!$D$27,COLUMN()-COLUMN($H21),0)</f>
        <v>2310907.6918148356</v>
      </c>
      <c r="H21" s="101">
        <f ca="1">OFFSET('kW Forecast (Weather Normal)'!$D$27,COLUMN()-COLUMN($H21),0)</f>
        <v>2310072.4071587897</v>
      </c>
      <c r="I21" s="101">
        <f ca="1">OFFSET('kW Forecast (Weather Normal)'!$D$27,COLUMN()-COLUMN($I21),0)</f>
        <v>2310072.4071587897</v>
      </c>
      <c r="J21" s="101">
        <f ca="1">OFFSET('kW Forecast (Weather Normal)'!$D$27,COLUMN()-COLUMN($I21),0)</f>
        <v>2038535.2780942591</v>
      </c>
      <c r="K21" s="93">
        <f ca="1">OFFSET('kW Forecast (Weather Normal)'!$D$27,COLUMN()-COLUMN($I21),0)</f>
        <v>2280317.7976459037</v>
      </c>
    </row>
    <row r="22" spans="2:11" x14ac:dyDescent="0.2">
      <c r="B22" s="94" t="s">
        <v>138</v>
      </c>
      <c r="C22" s="101">
        <f ca="1">OFFSET('kW Forecast'!$J$14,COLUMN()-COLUMN($H22),0)</f>
        <v>27636</v>
      </c>
      <c r="D22" s="101">
        <f ca="1">OFFSET('kW Forecast'!$J$14,COLUMN()-COLUMN($H22),0)</f>
        <v>27661</v>
      </c>
      <c r="E22" s="101">
        <f ca="1">OFFSET('kW Forecast'!$J$14,COLUMN()-COLUMN($H22),0)</f>
        <v>27648</v>
      </c>
      <c r="F22" s="101">
        <f ca="1">OFFSET('kW Forecast'!$J$14,COLUMN()-COLUMN($H22),0)</f>
        <v>30451.800000000003</v>
      </c>
      <c r="G22" s="101">
        <f ca="1">OFFSET('kW Forecast'!$J$14,COLUMN()-COLUMN($H22),0)</f>
        <v>18200.899999999998</v>
      </c>
      <c r="H22" s="101">
        <f ca="1">OFFSET('kW Forecast'!$J$14,COLUMN()-COLUMN($H22),0)</f>
        <v>15445.800000000001</v>
      </c>
      <c r="I22" s="101">
        <f ca="1">OFFSET('kW Forecast'!$J$18,COLUMN()-COLUMN($I22),0)</f>
        <v>15433.700370536344</v>
      </c>
      <c r="J22" s="101">
        <f ca="1">OFFSET('kW Forecast'!$J$18,COLUMN()-COLUMN($I22),0)</f>
        <v>15447.62011196088</v>
      </c>
      <c r="K22" s="93">
        <f ca="1">OFFSET('kW Forecast'!$J$18,COLUMN()-COLUMN($I22),0)</f>
        <v>15528.091832722061</v>
      </c>
    </row>
    <row r="23" spans="2:11" ht="13.5" thickBot="1" x14ac:dyDescent="0.25">
      <c r="B23" s="95" t="s">
        <v>152</v>
      </c>
      <c r="C23" s="96">
        <f t="shared" ref="C23" ca="1" si="1">SUM(C18:C22)</f>
        <v>2415255.9869961939</v>
      </c>
      <c r="D23" s="96">
        <f t="shared" ref="D23:J23" ca="1" si="2">SUM(D18:D22)</f>
        <v>2420826.9695316711</v>
      </c>
      <c r="E23" s="96">
        <f t="shared" ca="1" si="2"/>
        <v>2441428.2336945985</v>
      </c>
      <c r="F23" s="96">
        <f t="shared" ca="1" si="2"/>
        <v>2380617.151359431</v>
      </c>
      <c r="G23" s="96">
        <f t="shared" ca="1" si="2"/>
        <v>2329108.5918148356</v>
      </c>
      <c r="H23" s="96">
        <f t="shared" ca="1" si="2"/>
        <v>2325518.2071587895</v>
      </c>
      <c r="I23" s="96">
        <f t="shared" ca="1" si="2"/>
        <v>2325506.1075293259</v>
      </c>
      <c r="J23" s="96">
        <f t="shared" ca="1" si="2"/>
        <v>2053982.89820622</v>
      </c>
      <c r="K23" s="97">
        <f ca="1">SUM(K17:K22)</f>
        <v>2295845.8894786257</v>
      </c>
    </row>
    <row r="25" spans="2:11" ht="16.5" thickBot="1" x14ac:dyDescent="0.3">
      <c r="B25" s="88" t="s">
        <v>153</v>
      </c>
      <c r="C25" s="88"/>
    </row>
    <row r="26" spans="2:11" ht="51" x14ac:dyDescent="0.2">
      <c r="B26" s="98" t="s">
        <v>133</v>
      </c>
      <c r="C26" s="99" t="s">
        <v>192</v>
      </c>
      <c r="D26" s="99" t="s">
        <v>154</v>
      </c>
      <c r="E26" s="100" t="s">
        <v>193</v>
      </c>
    </row>
    <row r="27" spans="2:11" x14ac:dyDescent="0.2">
      <c r="B27" s="94" t="str">
        <f>B21</f>
        <v>GS &gt; 50</v>
      </c>
      <c r="C27" s="67">
        <f ca="1">K21</f>
        <v>2280317.7976459037</v>
      </c>
      <c r="D27" s="67">
        <f ca="1">'CDM Adjustment'!G18</f>
        <v>5981.1521372520647</v>
      </c>
      <c r="E27" s="93">
        <f ca="1">C27-D27</f>
        <v>2274336.6455086516</v>
      </c>
    </row>
    <row r="28" spans="2:11" x14ac:dyDescent="0.2">
      <c r="B28" s="94" t="str">
        <f>B22</f>
        <v>Street Light</v>
      </c>
      <c r="C28" s="67">
        <f ca="1">K22</f>
        <v>15528.091832722061</v>
      </c>
      <c r="D28" s="67"/>
      <c r="E28" s="93">
        <f t="shared" ref="E28" ca="1" si="3">C28-D28</f>
        <v>15528.091832722061</v>
      </c>
    </row>
    <row r="29" spans="2:11" ht="13.5" thickBot="1" x14ac:dyDescent="0.25">
      <c r="B29" s="95" t="s">
        <v>152</v>
      </c>
      <c r="C29" s="96">
        <f ca="1">SUM(C27:C28)</f>
        <v>2295845.8894786257</v>
      </c>
      <c r="D29" s="96">
        <f ca="1">SUM(D27:D28)</f>
        <v>5981.1521372520647</v>
      </c>
      <c r="E29" s="97">
        <f ca="1">SUM(E27:E28)</f>
        <v>2289864.7373413737</v>
      </c>
    </row>
    <row r="31" spans="2:11" ht="16.5" thickBot="1" x14ac:dyDescent="0.3">
      <c r="B31" s="88" t="s">
        <v>257</v>
      </c>
      <c r="C31" s="88"/>
    </row>
    <row r="32" spans="2:11" x14ac:dyDescent="0.2">
      <c r="B32" s="89" t="s">
        <v>130</v>
      </c>
      <c r="C32" s="90" t="s">
        <v>240</v>
      </c>
      <c r="D32" s="90" t="s">
        <v>147</v>
      </c>
      <c r="E32" s="90" t="s">
        <v>148</v>
      </c>
      <c r="F32" s="90" t="s">
        <v>149</v>
      </c>
      <c r="G32" s="90" t="s">
        <v>150</v>
      </c>
      <c r="H32" s="90" t="s">
        <v>194</v>
      </c>
      <c r="I32" s="90" t="s">
        <v>151</v>
      </c>
      <c r="J32" s="91" t="s">
        <v>196</v>
      </c>
    </row>
    <row r="33" spans="2:10" x14ac:dyDescent="0.2">
      <c r="B33" s="92" t="str">
        <f>B3</f>
        <v>Residential</v>
      </c>
      <c r="C33" s="101">
        <f ca="1">OFFSET('Customer Count'!$C$9,COLUMN()-COLUMN($D33),0)</f>
        <v>59824.416666666664</v>
      </c>
      <c r="D33" s="101">
        <f ca="1">OFFSET('Customer Count'!$C$9,COLUMN()-COLUMN($D33),0)</f>
        <v>60123.25</v>
      </c>
      <c r="E33" s="101">
        <f ca="1">OFFSET('Customer Count'!$C$9,COLUMN()-COLUMN($D33),0)</f>
        <v>60318.833333333336</v>
      </c>
      <c r="F33" s="101">
        <f ca="1">OFFSET('Customer Count'!$C$9,COLUMN()-COLUMN($D33),0)</f>
        <v>60502</v>
      </c>
      <c r="G33" s="101">
        <f ca="1">OFFSET('Customer Count'!$C$9,COLUMN()-COLUMN($D33),0)</f>
        <v>60920.083333333336</v>
      </c>
      <c r="H33" s="101">
        <f ca="1">OFFSET('Customer Count'!$C$9,COLUMN()-COLUMN($D33),0)</f>
        <v>61427.666666666664</v>
      </c>
      <c r="I33" s="101">
        <f ca="1">OFFSET('Customer Count'!$C$9,COLUMN()-COLUMN($D33)+4,0)</f>
        <v>61651.285485351538</v>
      </c>
      <c r="J33" s="93">
        <f ca="1">OFFSET('Customer Count'!$C$9,COLUMN()-COLUMN($D33)+4,0)</f>
        <v>62055.717918135437</v>
      </c>
    </row>
    <row r="34" spans="2:10" x14ac:dyDescent="0.2">
      <c r="B34" s="94" t="str">
        <f>B4</f>
        <v>GS &lt; 50</v>
      </c>
      <c r="C34" s="101">
        <f ca="1">OFFSET('Customer Count'!$G$9,COLUMN()-COLUMN($D34),0)</f>
        <v>5198.458333333333</v>
      </c>
      <c r="D34" s="101">
        <f ca="1">OFFSET('Customer Count'!$G$9,COLUMN()-COLUMN($D34),0)</f>
        <v>5238.5</v>
      </c>
      <c r="E34" s="101">
        <f ca="1">OFFSET('Customer Count'!$G$9,COLUMN()-COLUMN($D34),0)</f>
        <v>5272.833333333333</v>
      </c>
      <c r="F34" s="101">
        <f ca="1">OFFSET('Customer Count'!$G$9,COLUMN()-COLUMN($D34),0)</f>
        <v>5341.666666666667</v>
      </c>
      <c r="G34" s="101">
        <f ca="1">OFFSET('Customer Count'!$G$9,COLUMN()-COLUMN($D34),0)</f>
        <v>5427.75</v>
      </c>
      <c r="H34" s="101">
        <f ca="1">OFFSET('Customer Count'!$G$9,COLUMN()-COLUMN($D34),0)</f>
        <v>5489.5</v>
      </c>
      <c r="I34" s="101">
        <f ca="1">OFFSET('Customer Count'!$G$9,COLUMN()-COLUMN($D34)+4,0)</f>
        <v>5505.5601358758804</v>
      </c>
      <c r="J34" s="93">
        <f ca="1">OFFSET('Customer Count'!$G$9,COLUMN()-COLUMN($D34)+4,0)</f>
        <v>5564.469629329752</v>
      </c>
    </row>
    <row r="35" spans="2:10" ht="13.5" customHeight="1" x14ac:dyDescent="0.2">
      <c r="B35" s="94" t="str">
        <f>B5</f>
        <v>GS &gt; 50</v>
      </c>
      <c r="C35" s="101">
        <f ca="1">OFFSET('Customer Count'!$K$9,COLUMN()-COLUMN($D35),0)</f>
        <v>1021.2083333333334</v>
      </c>
      <c r="D35" s="101">
        <f ca="1">OFFSET('Customer Count'!$K$9,COLUMN()-COLUMN($D35),0)</f>
        <v>1027.6666666666667</v>
      </c>
      <c r="E35" s="101">
        <f ca="1">OFFSET('Customer Count'!$K$9,COLUMN()-COLUMN($D35),0)</f>
        <v>1034.1666666666667</v>
      </c>
      <c r="F35" s="101">
        <f ca="1">OFFSET('Customer Count'!$K$9,COLUMN()-COLUMN($D35),0)</f>
        <v>1003.6666666666666</v>
      </c>
      <c r="G35" s="101">
        <f ca="1">OFFSET('Customer Count'!$K$9,COLUMN()-COLUMN($D35),0)</f>
        <v>985.83333333333337</v>
      </c>
      <c r="H35" s="101">
        <f ca="1">OFFSET('Customer Count'!$K$9,COLUMN()-COLUMN($D35),0)</f>
        <v>984.83333333333337</v>
      </c>
      <c r="I35" s="101">
        <f ca="1">OFFSET('Customer Count'!$K$9,COLUMN()-COLUMN($D35)+4,0)</f>
        <v>1005.124840109051</v>
      </c>
      <c r="J35" s="93">
        <f ca="1">OFFSET('Customer Count'!$K$9,COLUMN()-COLUMN($D35)+4,0)</f>
        <v>1003.9186903009204</v>
      </c>
    </row>
    <row r="36" spans="2:10" x14ac:dyDescent="0.2">
      <c r="B36" s="94" t="str">
        <f>B6</f>
        <v>Street Light</v>
      </c>
      <c r="C36" s="101">
        <f ca="1">OFFSET('Customer Count'!$O$9,COLUMN()-COLUMN($D36),0)</f>
        <v>15170.75</v>
      </c>
      <c r="D36" s="101">
        <f ca="1">OFFSET('Customer Count'!$O$9,COLUMN()-COLUMN($D36),0)</f>
        <v>15228.583333333334</v>
      </c>
      <c r="E36" s="101">
        <f ca="1">OFFSET('Customer Count'!$O$9,COLUMN()-COLUMN($D36),0)</f>
        <v>15252.666666666666</v>
      </c>
      <c r="F36" s="101">
        <f ca="1">OFFSET('Customer Count'!$O$9,COLUMN()-COLUMN($D36),0)</f>
        <v>17184</v>
      </c>
      <c r="G36" s="101">
        <f ca="1">OFFSET('Customer Count'!$O$9,COLUMN()-COLUMN($D36),0)</f>
        <v>17184</v>
      </c>
      <c r="H36" s="101">
        <f ca="1">OFFSET('Customer Count'!$O$9,COLUMN()-COLUMN($D36),0)</f>
        <v>17184</v>
      </c>
      <c r="I36" s="101">
        <f ca="1">OFFSET('Customer Count'!$O$9,COLUMN()-COLUMN($D36)+4,0)</f>
        <v>17196.600593685107</v>
      </c>
      <c r="J36" s="93">
        <f ca="1">OFFSET('Customer Count'!$O$9,COLUMN()-COLUMN($D36)+4,0)</f>
        <v>17283.271460677272</v>
      </c>
    </row>
    <row r="37" spans="2:10" x14ac:dyDescent="0.2">
      <c r="B37" s="94" t="str">
        <f>B7</f>
        <v>USL</v>
      </c>
      <c r="C37" s="101">
        <f ca="1">OFFSET('Customer Count'!$S$9,COLUMN()-COLUMN($D37),0)</f>
        <v>559</v>
      </c>
      <c r="D37" s="101">
        <f ca="1">OFFSET('Customer Count'!$S$9,COLUMN()-COLUMN($D37),0)</f>
        <v>556.75</v>
      </c>
      <c r="E37" s="101">
        <f ca="1">OFFSET('Customer Count'!$S$9,COLUMN()-COLUMN($D37),0)</f>
        <v>559.08333333333337</v>
      </c>
      <c r="F37" s="101">
        <f ca="1">OFFSET('Customer Count'!$S$9,COLUMN()-COLUMN($D37),0)</f>
        <v>561.91666666666663</v>
      </c>
      <c r="G37" s="101">
        <f ca="1">OFFSET('Customer Count'!$S$9,COLUMN()-COLUMN($D37),0)</f>
        <v>563.33333333333337</v>
      </c>
      <c r="H37" s="101">
        <f ca="1">OFFSET('Customer Count'!$S$9,COLUMN()-COLUMN($D37),0)</f>
        <v>561.5</v>
      </c>
      <c r="I37" s="101">
        <f ca="1">OFFSET('Customer Count'!$S$9,COLUMN()-COLUMN($D37)+4,0)</f>
        <v>558.67964797739762</v>
      </c>
      <c r="J37" s="93">
        <f ca="1">OFFSET('Customer Count'!$S$9,COLUMN()-COLUMN($D37)+4,0)</f>
        <v>554.21021079357854</v>
      </c>
    </row>
    <row r="38" spans="2:10" ht="13.5" thickBot="1" x14ac:dyDescent="0.25">
      <c r="B38" s="95" t="s">
        <v>152</v>
      </c>
      <c r="C38" s="96">
        <f t="shared" ref="C38" ca="1" si="4">SUM(C33:C37)</f>
        <v>81773.833333333328</v>
      </c>
      <c r="D38" s="96">
        <f t="shared" ref="D38:J38" ca="1" si="5">SUM(D33:D37)</f>
        <v>82174.75</v>
      </c>
      <c r="E38" s="96">
        <f t="shared" ca="1" si="5"/>
        <v>82437.583333333343</v>
      </c>
      <c r="F38" s="96">
        <f t="shared" ca="1" si="5"/>
        <v>84593.250000000015</v>
      </c>
      <c r="G38" s="96">
        <f t="shared" ca="1" si="5"/>
        <v>85081</v>
      </c>
      <c r="H38" s="96">
        <f t="shared" ca="1" si="5"/>
        <v>85647.499999999985</v>
      </c>
      <c r="I38" s="96">
        <f t="shared" ca="1" si="5"/>
        <v>85917.250702998965</v>
      </c>
      <c r="J38" s="97">
        <f t="shared" ca="1" si="5"/>
        <v>86461.587909236972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0">
    <tabColor theme="8" tint="0.59999389629810485"/>
  </sheetPr>
  <dimension ref="A1:Z183"/>
  <sheetViews>
    <sheetView workbookViewId="0">
      <pane xSplit="1" ySplit="1" topLeftCell="B116" activePane="bottomRight" state="frozen"/>
      <selection pane="topRight"/>
      <selection pane="bottomLeft"/>
      <selection pane="bottomRight" activeCell="H121" sqref="H121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14.6640625" style="29" bestFit="1" customWidth="1"/>
    <col min="5" max="7" width="9.33203125" style="29"/>
    <col min="8" max="8" width="9.6640625" style="29" bestFit="1" customWidth="1"/>
    <col min="9" max="9" width="9.33203125" style="29"/>
    <col min="10" max="10" width="11.83203125" style="29" bestFit="1" customWidth="1"/>
    <col min="11" max="12" width="9.33203125" style="29"/>
    <col min="13" max="13" width="12.5" style="29" bestFit="1" customWidth="1"/>
    <col min="14" max="14" width="12.5" style="29" customWidth="1"/>
    <col min="15" max="15" width="14.1640625" style="29" bestFit="1" customWidth="1"/>
    <col min="16" max="16" width="9.33203125" style="29"/>
    <col min="17" max="17" width="23.6640625" style="29" customWidth="1"/>
    <col min="18" max="18" width="12.5" style="29" bestFit="1" customWidth="1"/>
    <col min="19" max="19" width="16.1640625" style="29" customWidth="1"/>
    <col min="20" max="20" width="13.33203125" style="29" customWidth="1"/>
    <col min="21" max="21" width="9.33203125" style="29"/>
    <col min="22" max="22" width="13.83203125" style="29" bestFit="1" customWidth="1"/>
    <col min="23" max="23" width="13" style="29" bestFit="1" customWidth="1"/>
    <col min="24" max="25" width="16" style="29" bestFit="1" customWidth="1"/>
    <col min="26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Data'!E1</f>
        <v>Res_NoCDM</v>
      </c>
      <c r="E1" s="46" t="str">
        <f>'Monthly Data'!AL1</f>
        <v>HDD12</v>
      </c>
      <c r="F1" s="46" t="str">
        <f>'Monthly Data'!AK1</f>
        <v>CDD14</v>
      </c>
      <c r="G1" s="29" t="str">
        <f>'Monthly Data'!BG1</f>
        <v>Trend</v>
      </c>
      <c r="H1" s="29" t="str">
        <f>'Monthly Data'!W1</f>
        <v>Ont_FTEAdj</v>
      </c>
      <c r="I1" s="29" t="str">
        <f>'Monthly Data'!BF1</f>
        <v>Shoulder</v>
      </c>
      <c r="K1" s="29" t="s">
        <v>76</v>
      </c>
      <c r="L1" s="46" t="str">
        <f>E1</f>
        <v>HDD12</v>
      </c>
      <c r="M1" s="46" t="str">
        <f>F1</f>
        <v>CDD14</v>
      </c>
      <c r="N1" s="46" t="str">
        <f>G1</f>
        <v>Trend</v>
      </c>
      <c r="O1" s="46" t="str">
        <f>H1</f>
        <v>Ont_FTEAdj</v>
      </c>
      <c r="P1" s="46" t="str">
        <f>I1</f>
        <v>Shoulder</v>
      </c>
      <c r="Q1" s="44" t="str">
        <f>'Monthly Data'!F1</f>
        <v>Residential_Customers</v>
      </c>
      <c r="R1" s="46" t="str">
        <f>'Monthly Data'!BH1</f>
        <v>Month Days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44">
        <f>'Monthly Data'!E2</f>
        <v>49397907</v>
      </c>
      <c r="E2" s="46">
        <f ca="1">Weather!BL61</f>
        <v>477.14</v>
      </c>
      <c r="F2" s="46">
        <f ca="1">Weather!AY61</f>
        <v>0</v>
      </c>
      <c r="G2" s="29">
        <f>'Monthly Data'!BG2</f>
        <v>1</v>
      </c>
      <c r="H2" s="29">
        <f>'Monthly Data'!W2</f>
        <v>6466.9</v>
      </c>
      <c r="I2" s="29">
        <f>'Monthly Data'!BF2</f>
        <v>0</v>
      </c>
      <c r="K2" s="29">
        <f>'Res PW'!$B$6</f>
        <v>-4.4351669087570498</v>
      </c>
      <c r="L2" s="29">
        <f ca="1">E2*'Res PW'!$B$7</f>
        <v>3.7736698666223143</v>
      </c>
      <c r="M2" s="29">
        <f ca="1">F2*'Res PW'!$B$8</f>
        <v>0</v>
      </c>
      <c r="N2" s="29">
        <f>G2*'Res PW'!$B$9</f>
        <v>-4.45429829012765E-2</v>
      </c>
      <c r="O2" s="163">
        <f>H2*'Res PW'!$B$10</f>
        <v>26.867973199354832</v>
      </c>
      <c r="P2" s="29">
        <f>I2*'Res PW'!$B$11</f>
        <v>0</v>
      </c>
      <c r="Q2" s="44">
        <f>'Monthly Data'!F2</f>
        <v>57642</v>
      </c>
      <c r="R2" s="46">
        <f>'Monthly Data'!BH2</f>
        <v>31</v>
      </c>
      <c r="S2" s="44">
        <f ca="1">SUM(K2:P2)*R2*Q2</f>
        <v>46748810.713056654</v>
      </c>
      <c r="T2" s="44">
        <f ca="1">S2-D2</f>
        <v>-2649096.2869433463</v>
      </c>
      <c r="U2" s="48">
        <f ca="1">ABS(T2/D2)</f>
        <v>5.3627703030886438E-2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44">
        <f>'Monthly Data'!E3</f>
        <v>40768686</v>
      </c>
      <c r="E3" s="46">
        <f ca="1">Weather!BL62</f>
        <v>417.05</v>
      </c>
      <c r="F3" s="46">
        <f ca="1">Weather!AY62</f>
        <v>0</v>
      </c>
      <c r="G3" s="29">
        <f>'Monthly Data'!BG3</f>
        <v>2</v>
      </c>
      <c r="H3" s="29">
        <f>'Monthly Data'!W3</f>
        <v>6471</v>
      </c>
      <c r="I3" s="29">
        <f>'Monthly Data'!BF3</f>
        <v>0</v>
      </c>
      <c r="K3" s="29">
        <f>'Res PW'!$B$6</f>
        <v>-4.4351669087570498</v>
      </c>
      <c r="L3" s="29">
        <f ca="1">E3*'Res PW'!$B$7</f>
        <v>3.2984218842998621</v>
      </c>
      <c r="M3" s="29">
        <f ca="1">F3*'Res PW'!$B$8</f>
        <v>0</v>
      </c>
      <c r="N3" s="29">
        <f>G3*'Res PW'!$B$9</f>
        <v>-8.9085965802552999E-2</v>
      </c>
      <c r="O3" s="163">
        <f>H3*'Res PW'!$B$10</f>
        <v>26.885007433704732</v>
      </c>
      <c r="P3" s="29">
        <f>I3*'Res PW'!$B$11</f>
        <v>0</v>
      </c>
      <c r="Q3" s="44">
        <f>'Monthly Data'!F3</f>
        <v>57677</v>
      </c>
      <c r="R3" s="46">
        <f>'Monthly Data'!BH3</f>
        <v>28</v>
      </c>
      <c r="S3" s="44">
        <f ca="1">SUM(K3:P3)*R3*Q3</f>
        <v>41438440.952400148</v>
      </c>
      <c r="T3" s="44">
        <f ca="1">S3-D3</f>
        <v>669754.95240014791</v>
      </c>
      <c r="U3" s="48">
        <f ca="1">ABS(T3/D3)</f>
        <v>1.6428171180207965E-2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44">
        <f>'Monthly Data'!E4</f>
        <v>40910014</v>
      </c>
      <c r="E4" s="46">
        <f ca="1">Weather!BL63</f>
        <v>332.70999999999992</v>
      </c>
      <c r="F4" s="46">
        <f ca="1">Weather!AY63</f>
        <v>3.0000000000000072E-2</v>
      </c>
      <c r="G4" s="29">
        <f>'Monthly Data'!BG4</f>
        <v>3</v>
      </c>
      <c r="H4" s="29">
        <f>'Monthly Data'!W4</f>
        <v>6477.5</v>
      </c>
      <c r="I4" s="29">
        <f>'Monthly Data'!BF4</f>
        <v>1</v>
      </c>
      <c r="K4" s="29">
        <f>'Res PW'!$B$6</f>
        <v>-4.4351669087570498</v>
      </c>
      <c r="L4" s="29">
        <f ca="1">E4*'Res PW'!$B$7</f>
        <v>2.6313821966800308</v>
      </c>
      <c r="M4" s="29">
        <f ca="1">F4*'Res PW'!$B$8</f>
        <v>1.1622930104603637E-3</v>
      </c>
      <c r="N4" s="29">
        <f>G4*'Res PW'!$B$9</f>
        <v>-0.13362894870382949</v>
      </c>
      <c r="O4" s="163">
        <f>H4*'Res PW'!$B$10</f>
        <v>26.912012927186279</v>
      </c>
      <c r="P4" s="29">
        <f>I4*'Res PW'!$B$11</f>
        <v>-1.18560218277844</v>
      </c>
      <c r="Q4" s="44">
        <f>'Monthly Data'!F4</f>
        <v>57709</v>
      </c>
      <c r="R4" s="46">
        <f>'Monthly Data'!BH4</f>
        <v>31</v>
      </c>
      <c r="S4" s="44">
        <f ca="1">SUM(K4:P4)*R4*Q4</f>
        <v>42560095.531457491</v>
      </c>
      <c r="T4" s="44">
        <f t="shared" ref="T4:T67" ca="1" si="2">S4-D4</f>
        <v>1650081.5314574912</v>
      </c>
      <c r="U4" s="48">
        <f t="shared" ref="U4:U67" ca="1" si="3">ABS(T4/D4)</f>
        <v>4.0334416200822891E-2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44">
        <f>'Monthly Data'!E5</f>
        <v>36681881</v>
      </c>
      <c r="E5" s="46">
        <f ca="1">Weather!BL64</f>
        <v>164.53999999999996</v>
      </c>
      <c r="F5" s="46">
        <f ca="1">Weather!AY64</f>
        <v>1.45</v>
      </c>
      <c r="G5" s="29">
        <f>'Monthly Data'!BG5</f>
        <v>4</v>
      </c>
      <c r="H5" s="29">
        <f>'Monthly Data'!W5</f>
        <v>6485</v>
      </c>
      <c r="I5" s="29">
        <f>'Monthly Data'!BF5</f>
        <v>1</v>
      </c>
      <c r="K5" s="29">
        <f>'Res PW'!$B$6</f>
        <v>-4.4351669087570498</v>
      </c>
      <c r="L5" s="29">
        <f ca="1">E5*'Res PW'!$B$7</f>
        <v>1.3013363789538406</v>
      </c>
      <c r="M5" s="29">
        <f ca="1">F5*'Res PW'!$B$8</f>
        <v>5.617749550558411E-2</v>
      </c>
      <c r="N5" s="29">
        <f>G5*'Res PW'!$B$9</f>
        <v>-0.178171931605106</v>
      </c>
      <c r="O5" s="163">
        <f>H5*'Res PW'!$B$10</f>
        <v>26.943173111972676</v>
      </c>
      <c r="P5" s="29">
        <f>I5*'Res PW'!$B$11</f>
        <v>-1.18560218277844</v>
      </c>
      <c r="Q5" s="44">
        <f>'Monthly Data'!F5</f>
        <v>57751</v>
      </c>
      <c r="R5" s="46">
        <f>'Monthly Data'!BH5</f>
        <v>30</v>
      </c>
      <c r="S5" s="44">
        <f t="shared" ref="S5:S67" ca="1" si="4">SUM(K5:P5)*R5*Q5</f>
        <v>38984949.93378143</v>
      </c>
      <c r="T5" s="44">
        <f t="shared" ca="1" si="2"/>
        <v>2303068.9337814301</v>
      </c>
      <c r="U5" s="48">
        <f t="shared" ca="1" si="3"/>
        <v>6.2784919175257942E-2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44">
        <f>'Monthly Data'!E6</f>
        <v>44687288</v>
      </c>
      <c r="E6" s="46">
        <f ca="1">Weather!BL65</f>
        <v>35.92</v>
      </c>
      <c r="F6" s="46">
        <f ca="1">Weather!AY65</f>
        <v>50.69</v>
      </c>
      <c r="G6" s="29">
        <f>'Monthly Data'!BG6</f>
        <v>5</v>
      </c>
      <c r="H6" s="29">
        <f>'Monthly Data'!W6</f>
        <v>6506.8</v>
      </c>
      <c r="I6" s="29">
        <f>'Monthly Data'!BF6</f>
        <v>1</v>
      </c>
      <c r="K6" s="29">
        <f>'Res PW'!$B$6</f>
        <v>-4.4351669087570498</v>
      </c>
      <c r="L6" s="29">
        <f ca="1">E6*'Res PW'!$B$7</f>
        <v>0.28408899192914772</v>
      </c>
      <c r="M6" s="29">
        <f ca="1">F6*'Res PW'!$B$8</f>
        <v>1.9638877566745232</v>
      </c>
      <c r="N6" s="29">
        <f>G6*'Res PW'!$B$9</f>
        <v>-0.22271491450638251</v>
      </c>
      <c r="O6" s="163">
        <f>H6*'Res PW'!$B$10</f>
        <v>27.033745382418477</v>
      </c>
      <c r="P6" s="29">
        <f>I6*'Res PW'!$B$11</f>
        <v>-1.18560218277844</v>
      </c>
      <c r="Q6" s="44">
        <f>'Monthly Data'!F6</f>
        <v>57814</v>
      </c>
      <c r="R6" s="46">
        <f>'Monthly Data'!BH6</f>
        <v>31</v>
      </c>
      <c r="S6" s="44">
        <f t="shared" ca="1" si="4"/>
        <v>42006807.267685898</v>
      </c>
      <c r="T6" s="44">
        <f t="shared" ca="1" si="2"/>
        <v>-2680480.7323141024</v>
      </c>
      <c r="U6" s="48">
        <f t="shared" ca="1" si="3"/>
        <v>5.9983070181258313E-2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44">
        <f>'Monthly Data'!E7</f>
        <v>51533466</v>
      </c>
      <c r="E7" s="46">
        <f ca="1">Weather!BL66</f>
        <v>0.37999999999999989</v>
      </c>
      <c r="F7" s="46">
        <f ca="1">Weather!AY66</f>
        <v>145.17999999999998</v>
      </c>
      <c r="G7" s="29">
        <f>'Monthly Data'!BG7</f>
        <v>6</v>
      </c>
      <c r="H7" s="29">
        <f>'Monthly Data'!W7</f>
        <v>6540.8</v>
      </c>
      <c r="I7" s="29">
        <f>'Monthly Data'!BF7</f>
        <v>0</v>
      </c>
      <c r="K7" s="29">
        <f>'Res PW'!$B$6</f>
        <v>-4.4351669087570498</v>
      </c>
      <c r="L7" s="29">
        <f ca="1">E7*'Res PW'!$B$7</f>
        <v>3.0053957943506709E-3</v>
      </c>
      <c r="M7" s="29">
        <f ca="1">F7*'Res PW'!$B$8</f>
        <v>5.6247233086211725</v>
      </c>
      <c r="N7" s="29">
        <f>G7*'Res PW'!$B$9</f>
        <v>-0.26725789740765898</v>
      </c>
      <c r="O7" s="163">
        <f>H7*'Res PW'!$B$10</f>
        <v>27.175004886783483</v>
      </c>
      <c r="P7" s="29">
        <f>I7*'Res PW'!$B$11</f>
        <v>0</v>
      </c>
      <c r="Q7" s="44">
        <f>'Monthly Data'!F7</f>
        <v>57809</v>
      </c>
      <c r="R7" s="46">
        <f>'Monthly Data'!BH7</f>
        <v>30</v>
      </c>
      <c r="S7" s="44">
        <f t="shared" ca="1" si="4"/>
        <v>48733522.516621426</v>
      </c>
      <c r="T7" s="44">
        <f t="shared" ca="1" si="2"/>
        <v>-2799943.4833785743</v>
      </c>
      <c r="U7" s="48">
        <f t="shared" ca="1" si="3"/>
        <v>5.4332527980527727E-2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44">
        <f>'Monthly Data'!E8</f>
        <v>61497459</v>
      </c>
      <c r="E8" s="46">
        <f ca="1">Weather!BL67</f>
        <v>0</v>
      </c>
      <c r="F8" s="46">
        <f ca="1">Weather!AY67</f>
        <v>268.18999999999994</v>
      </c>
      <c r="G8" s="29">
        <f>'Monthly Data'!BG8</f>
        <v>7</v>
      </c>
      <c r="H8" s="29">
        <f>'Monthly Data'!W8</f>
        <v>6561</v>
      </c>
      <c r="I8" s="29">
        <f>'Monthly Data'!BF8</f>
        <v>0</v>
      </c>
      <c r="K8" s="29">
        <f>'Res PW'!$B$6</f>
        <v>-4.4351669087570498</v>
      </c>
      <c r="L8" s="29">
        <f ca="1">E8*'Res PW'!$B$7</f>
        <v>0</v>
      </c>
      <c r="M8" s="29">
        <f ca="1">F8*'Res PW'!$B$8</f>
        <v>10.390512082512139</v>
      </c>
      <c r="N8" s="29">
        <f>G8*'Res PW'!$B$9</f>
        <v>-0.31180088030893549</v>
      </c>
      <c r="O8" s="163">
        <f>H8*'Res PW'!$B$10</f>
        <v>27.258929651141518</v>
      </c>
      <c r="P8" s="29">
        <f>I8*'Res PW'!$B$11</f>
        <v>0</v>
      </c>
      <c r="Q8" s="44">
        <f>'Monthly Data'!F8</f>
        <v>57987</v>
      </c>
      <c r="R8" s="46">
        <f>'Monthly Data'!BH8</f>
        <v>31</v>
      </c>
      <c r="S8" s="44">
        <f t="shared" ca="1" si="4"/>
        <v>59145388.455368958</v>
      </c>
      <c r="T8" s="44">
        <f t="shared" ca="1" si="2"/>
        <v>-2352070.5446310416</v>
      </c>
      <c r="U8" s="48">
        <f t="shared" ca="1" si="3"/>
        <v>3.8246629744995507E-2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44">
        <f>'Monthly Data'!E9</f>
        <v>57219511</v>
      </c>
      <c r="E9" s="46">
        <f ca="1">Weather!BL68</f>
        <v>0</v>
      </c>
      <c r="F9" s="46">
        <f ca="1">Weather!AY68</f>
        <v>239.59000000000006</v>
      </c>
      <c r="G9" s="29">
        <f>'Monthly Data'!BG9</f>
        <v>8</v>
      </c>
      <c r="H9" s="29">
        <f>'Monthly Data'!W9</f>
        <v>6568.9</v>
      </c>
      <c r="I9" s="29">
        <f>'Monthly Data'!BF9</f>
        <v>0</v>
      </c>
      <c r="K9" s="29">
        <f>'Res PW'!$B$6</f>
        <v>-4.4351669087570498</v>
      </c>
      <c r="L9" s="29">
        <f ca="1">E9*'Res PW'!$B$7</f>
        <v>0</v>
      </c>
      <c r="M9" s="29">
        <f ca="1">F9*'Res PW'!$B$8</f>
        <v>9.2824594125399322</v>
      </c>
      <c r="N9" s="29">
        <f>G9*'Res PW'!$B$9</f>
        <v>-0.356343863210212</v>
      </c>
      <c r="O9" s="163">
        <f>H9*'Res PW'!$B$10</f>
        <v>27.291751712449855</v>
      </c>
      <c r="P9" s="29">
        <f>I9*'Res PW'!$B$11</f>
        <v>0</v>
      </c>
      <c r="Q9" s="44">
        <f>'Monthly Data'!F9</f>
        <v>58018</v>
      </c>
      <c r="R9" s="46">
        <f>'Monthly Data'!BH9</f>
        <v>31</v>
      </c>
      <c r="S9" s="44">
        <f t="shared" ca="1" si="4"/>
        <v>57163029.981531493</v>
      </c>
      <c r="T9" s="44">
        <f t="shared" ca="1" si="2"/>
        <v>-56481.018468506634</v>
      </c>
      <c r="U9" s="48">
        <f t="shared" ca="1" si="3"/>
        <v>9.8709369376656555E-4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44">
        <f>'Monthly Data'!E10</f>
        <v>45833578</v>
      </c>
      <c r="E10" s="46">
        <f ca="1">Weather!BL69</f>
        <v>0.49000000000000005</v>
      </c>
      <c r="F10" s="46">
        <f ca="1">Weather!AY69</f>
        <v>132.95000000000002</v>
      </c>
      <c r="G10" s="29">
        <f>'Monthly Data'!BG10</f>
        <v>9</v>
      </c>
      <c r="H10" s="29">
        <f>'Monthly Data'!W10</f>
        <v>6556</v>
      </c>
      <c r="I10" s="29">
        <f>'Monthly Data'!BF10</f>
        <v>1</v>
      </c>
      <c r="K10" s="29">
        <f>'Res PW'!$B$6</f>
        <v>-4.4351669087570498</v>
      </c>
      <c r="L10" s="29">
        <f ca="1">E10*'Res PW'!$B$7</f>
        <v>3.8753787874521821E-3</v>
      </c>
      <c r="M10" s="29">
        <f ca="1">F10*'Res PW'!$B$8</f>
        <v>5.1508951913568337</v>
      </c>
      <c r="N10" s="29">
        <f>G10*'Res PW'!$B$9</f>
        <v>-0.4008868461114885</v>
      </c>
      <c r="O10" s="163">
        <f>H10*'Res PW'!$B$10</f>
        <v>27.23815619461725</v>
      </c>
      <c r="P10" s="29">
        <f>I10*'Res PW'!$B$11</f>
        <v>-1.18560218277844</v>
      </c>
      <c r="Q10" s="44">
        <f>'Monthly Data'!F10</f>
        <v>58071</v>
      </c>
      <c r="R10" s="46">
        <f>'Monthly Data'!BH10</f>
        <v>30</v>
      </c>
      <c r="S10" s="44">
        <f t="shared" ca="1" si="4"/>
        <v>45942182.046041079</v>
      </c>
      <c r="T10" s="44">
        <f t="shared" ca="1" si="2"/>
        <v>108604.04604107887</v>
      </c>
      <c r="U10" s="48">
        <f t="shared" ca="1" si="3"/>
        <v>2.3695301737315568E-3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44">
        <f>'Monthly Data'!E11</f>
        <v>41340554</v>
      </c>
      <c r="E11" s="46">
        <f ca="1">Weather!BL70</f>
        <v>53.33000000000002</v>
      </c>
      <c r="F11" s="46">
        <f ca="1">Weather!AY70</f>
        <v>27.9</v>
      </c>
      <c r="G11" s="29">
        <f>'Monthly Data'!BG11</f>
        <v>10</v>
      </c>
      <c r="H11" s="29">
        <f>'Monthly Data'!W11</f>
        <v>6551.6</v>
      </c>
      <c r="I11" s="29">
        <f>'Monthly Data'!BF11</f>
        <v>1</v>
      </c>
      <c r="K11" s="29">
        <f>'Res PW'!$B$6</f>
        <v>-4.4351669087570498</v>
      </c>
      <c r="L11" s="29">
        <f ca="1">E11*'Res PW'!$B$7</f>
        <v>0.42178357292821411</v>
      </c>
      <c r="M11" s="29">
        <f ca="1">F11*'Res PW'!$B$8</f>
        <v>1.0809324997281358</v>
      </c>
      <c r="N11" s="29">
        <f>G11*'Res PW'!$B$9</f>
        <v>-0.44542982901276501</v>
      </c>
      <c r="O11" s="163">
        <f>H11*'Res PW'!$B$10</f>
        <v>27.219875552875898</v>
      </c>
      <c r="P11" s="29">
        <f>I11*'Res PW'!$B$11</f>
        <v>-1.18560218277844</v>
      </c>
      <c r="Q11" s="44">
        <f>'Monthly Data'!F11</f>
        <v>58121</v>
      </c>
      <c r="R11" s="46">
        <f>'Monthly Data'!BH11</f>
        <v>31</v>
      </c>
      <c r="S11" s="44">
        <f t="shared" ca="1" si="4"/>
        <v>40821178.212597616</v>
      </c>
      <c r="T11" s="44">
        <f t="shared" ca="1" si="2"/>
        <v>-519375.78740238398</v>
      </c>
      <c r="U11" s="48">
        <f t="shared" ca="1" si="3"/>
        <v>1.2563348507675634E-2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44">
        <f>'Monthly Data'!E12</f>
        <v>39815993</v>
      </c>
      <c r="E12" s="46">
        <f ca="1">Weather!BL71</f>
        <v>207.66000000000003</v>
      </c>
      <c r="F12" s="46">
        <f ca="1">Weather!AY71</f>
        <v>0.69000000000000006</v>
      </c>
      <c r="G12" s="29">
        <f>'Monthly Data'!BG12</f>
        <v>11</v>
      </c>
      <c r="H12" s="29">
        <f>'Monthly Data'!W12</f>
        <v>6555.7</v>
      </c>
      <c r="I12" s="29">
        <f>'Monthly Data'!BF12</f>
        <v>1</v>
      </c>
      <c r="K12" s="29">
        <f>'Res PW'!$B$6</f>
        <v>-4.4351669087570498</v>
      </c>
      <c r="L12" s="29">
        <f ca="1">E12*'Res PW'!$B$7</f>
        <v>1.642369712249633</v>
      </c>
      <c r="M12" s="29">
        <f ca="1">F12*'Res PW'!$B$8</f>
        <v>2.6732739240588305E-2</v>
      </c>
      <c r="N12" s="29">
        <f>G12*'Res PW'!$B$9</f>
        <v>-0.48997281191404152</v>
      </c>
      <c r="O12" s="163">
        <f>H12*'Res PW'!$B$10</f>
        <v>27.236909787225795</v>
      </c>
      <c r="P12" s="29">
        <f>I12*'Res PW'!$B$11</f>
        <v>-1.18560218277844</v>
      </c>
      <c r="Q12" s="44">
        <f>'Monthly Data'!F12</f>
        <v>58162</v>
      </c>
      <c r="R12" s="46">
        <f>'Monthly Data'!BH12</f>
        <v>30</v>
      </c>
      <c r="S12" s="44">
        <f t="shared" ca="1" si="4"/>
        <v>39774555.397193082</v>
      </c>
      <c r="T12" s="44">
        <f t="shared" ca="1" si="2"/>
        <v>-41437.602806918323</v>
      </c>
      <c r="U12" s="48">
        <f t="shared" ca="1" si="3"/>
        <v>1.0407275992568696E-3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44">
        <f>'Monthly Data'!E13</f>
        <v>47209999</v>
      </c>
      <c r="E13" s="46">
        <f ca="1">Weather!BL72</f>
        <v>351.65000000000003</v>
      </c>
      <c r="F13" s="46">
        <f ca="1">Weather!AY72</f>
        <v>0</v>
      </c>
      <c r="G13" s="29">
        <f>'Monthly Data'!BG13</f>
        <v>12</v>
      </c>
      <c r="H13" s="29">
        <f>'Monthly Data'!W13</f>
        <v>6578.3</v>
      </c>
      <c r="I13" s="29">
        <f>'Monthly Data'!BF13</f>
        <v>0</v>
      </c>
      <c r="K13" s="29">
        <f>'Res PW'!$B$6</f>
        <v>-4.4351669087570498</v>
      </c>
      <c r="L13" s="29">
        <f ca="1">E13*'Res PW'!$B$7</f>
        <v>2.7811774502195097</v>
      </c>
      <c r="M13" s="29">
        <f ca="1">F13*'Res PW'!$B$8</f>
        <v>0</v>
      </c>
      <c r="N13" s="29">
        <f>G13*'Res PW'!$B$9</f>
        <v>-0.53451579481531797</v>
      </c>
      <c r="O13" s="163">
        <f>H13*'Res PW'!$B$10</f>
        <v>27.330805810715479</v>
      </c>
      <c r="P13" s="29">
        <f>I13*'Res PW'!$B$11</f>
        <v>0</v>
      </c>
      <c r="Q13" s="44">
        <f>'Monthly Data'!F13</f>
        <v>58247</v>
      </c>
      <c r="R13" s="46">
        <f>'Monthly Data'!BH13</f>
        <v>31</v>
      </c>
      <c r="S13" s="44">
        <f t="shared" ca="1" si="4"/>
        <v>45398370.997505717</v>
      </c>
      <c r="T13" s="44">
        <f t="shared" ca="1" si="2"/>
        <v>-1811628.002494283</v>
      </c>
      <c r="U13" s="48">
        <f t="shared" ca="1" si="3"/>
        <v>3.837381997178782E-2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44">
        <f>'Monthly Data'!E14</f>
        <v>49456916.476147316</v>
      </c>
      <c r="E14" s="46">
        <f ca="1">E2</f>
        <v>477.14</v>
      </c>
      <c r="F14" s="46">
        <f ca="1">F2</f>
        <v>0</v>
      </c>
      <c r="G14" s="29">
        <f>'Monthly Data'!BG14</f>
        <v>13</v>
      </c>
      <c r="H14" s="29">
        <f>'Monthly Data'!W14</f>
        <v>6606.3</v>
      </c>
      <c r="I14" s="29">
        <f>'Monthly Data'!BF14</f>
        <v>0</v>
      </c>
      <c r="K14" s="29">
        <f>'Res PW'!$B$6</f>
        <v>-4.4351669087570498</v>
      </c>
      <c r="L14" s="29">
        <f ca="1">E14*'Res PW'!$B$7</f>
        <v>3.7736698666223143</v>
      </c>
      <c r="M14" s="29">
        <f ca="1">F14*'Res PW'!$B$8</f>
        <v>0</v>
      </c>
      <c r="N14" s="29">
        <f>G14*'Res PW'!$B$9</f>
        <v>-0.57905877771659453</v>
      </c>
      <c r="O14" s="163">
        <f>H14*'Res PW'!$B$10</f>
        <v>27.447137167251366</v>
      </c>
      <c r="P14" s="29">
        <f>I14*'Res PW'!$B$11</f>
        <v>0</v>
      </c>
      <c r="Q14" s="44">
        <f>'Monthly Data'!F14</f>
        <v>58273</v>
      </c>
      <c r="R14" s="46">
        <f>'Monthly Data'!BH14</f>
        <v>31</v>
      </c>
      <c r="S14" s="44">
        <f t="shared" ca="1" si="4"/>
        <v>47341219.56056831</v>
      </c>
      <c r="T14" s="44">
        <f t="shared" ca="1" si="2"/>
        <v>-2115696.9155790061</v>
      </c>
      <c r="U14" s="48">
        <f t="shared" ca="1" si="3"/>
        <v>4.2778585207579413E-2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44">
        <f>'Monthly Data'!E15</f>
        <v>41737382.476147316</v>
      </c>
      <c r="E15" s="46">
        <f t="shared" ref="E15:F30" ca="1" si="5">E3</f>
        <v>417.05</v>
      </c>
      <c r="F15" s="46">
        <f t="shared" ca="1" si="5"/>
        <v>0</v>
      </c>
      <c r="G15" s="29">
        <f>'Monthly Data'!BG15</f>
        <v>14</v>
      </c>
      <c r="H15" s="29">
        <f>'Monthly Data'!W15</f>
        <v>6619.5</v>
      </c>
      <c r="I15" s="29">
        <f>'Monthly Data'!BF15</f>
        <v>0</v>
      </c>
      <c r="K15" s="29">
        <f>'Res PW'!$B$6</f>
        <v>-4.4351669087570498</v>
      </c>
      <c r="L15" s="29">
        <f ca="1">E15*'Res PW'!$B$7</f>
        <v>3.2984218842998621</v>
      </c>
      <c r="M15" s="29">
        <f ca="1">F15*'Res PW'!$B$8</f>
        <v>0</v>
      </c>
      <c r="N15" s="29">
        <f>G15*'Res PW'!$B$9</f>
        <v>-0.62360176061787098</v>
      </c>
      <c r="O15" s="163">
        <f>H15*'Res PW'!$B$10</f>
        <v>27.501979092475427</v>
      </c>
      <c r="P15" s="29">
        <f>I15*'Res PW'!$B$11</f>
        <v>0</v>
      </c>
      <c r="Q15" s="44">
        <f>'Monthly Data'!F15</f>
        <v>58299</v>
      </c>
      <c r="R15" s="46">
        <f>'Monthly Data'!BH15</f>
        <v>28</v>
      </c>
      <c r="S15" s="44">
        <f t="shared" ca="1" si="4"/>
        <v>42019919.812895752</v>
      </c>
      <c r="T15" s="44">
        <f t="shared" ca="1" si="2"/>
        <v>282537.33674843609</v>
      </c>
      <c r="U15" s="48">
        <f t="shared" ca="1" si="3"/>
        <v>6.7694071833542657E-3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44">
        <f>'Monthly Data'!E16</f>
        <v>42523489.476147316</v>
      </c>
      <c r="E16" s="46">
        <f t="shared" ca="1" si="5"/>
        <v>332.70999999999992</v>
      </c>
      <c r="F16" s="46">
        <f t="shared" ca="1" si="5"/>
        <v>3.0000000000000072E-2</v>
      </c>
      <c r="G16" s="29">
        <f>'Monthly Data'!BG16</f>
        <v>15</v>
      </c>
      <c r="H16" s="29">
        <f>'Monthly Data'!W16</f>
        <v>6628.6</v>
      </c>
      <c r="I16" s="29">
        <f>'Monthly Data'!BF16</f>
        <v>1</v>
      </c>
      <c r="K16" s="29">
        <f>'Res PW'!$B$6</f>
        <v>-4.4351669087570498</v>
      </c>
      <c r="L16" s="29">
        <f ca="1">E16*'Res PW'!$B$7</f>
        <v>2.6313821966800308</v>
      </c>
      <c r="M16" s="29">
        <f ca="1">F16*'Res PW'!$B$8</f>
        <v>1.1622930104603637E-3</v>
      </c>
      <c r="N16" s="29">
        <f>G16*'Res PW'!$B$9</f>
        <v>-0.66814474351914754</v>
      </c>
      <c r="O16" s="163">
        <f>H16*'Res PW'!$B$10</f>
        <v>27.539786783349591</v>
      </c>
      <c r="P16" s="29">
        <f>I16*'Res PW'!$B$11</f>
        <v>-1.18560218277844</v>
      </c>
      <c r="Q16" s="44">
        <f>'Monthly Data'!F16</f>
        <v>58318</v>
      </c>
      <c r="R16" s="46">
        <f>'Monthly Data'!BH16</f>
        <v>31</v>
      </c>
      <c r="S16" s="44">
        <f t="shared" ca="1" si="4"/>
        <v>43177827.282601491</v>
      </c>
      <c r="T16" s="44">
        <f t="shared" ca="1" si="2"/>
        <v>654337.80645417422</v>
      </c>
      <c r="U16" s="48">
        <f t="shared" ca="1" si="3"/>
        <v>1.5387679010237663E-2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44">
        <f>'Monthly Data'!E17</f>
        <v>38514761.476147316</v>
      </c>
      <c r="E17" s="46">
        <f t="shared" ca="1" si="5"/>
        <v>164.53999999999996</v>
      </c>
      <c r="F17" s="46">
        <f t="shared" ca="1" si="5"/>
        <v>1.45</v>
      </c>
      <c r="G17" s="29">
        <f>'Monthly Data'!BG17</f>
        <v>16</v>
      </c>
      <c r="H17" s="29">
        <f>'Monthly Data'!W17</f>
        <v>6635.5</v>
      </c>
      <c r="I17" s="29">
        <f>'Monthly Data'!BF17</f>
        <v>1</v>
      </c>
      <c r="K17" s="29">
        <f>'Res PW'!$B$6</f>
        <v>-4.4351669087570498</v>
      </c>
      <c r="L17" s="29">
        <f ca="1">E17*'Res PW'!$B$7</f>
        <v>1.3013363789538406</v>
      </c>
      <c r="M17" s="29">
        <f ca="1">F17*'Res PW'!$B$8</f>
        <v>5.617749550558411E-2</v>
      </c>
      <c r="N17" s="29">
        <f>G17*'Res PW'!$B$9</f>
        <v>-0.71268772642042399</v>
      </c>
      <c r="O17" s="163">
        <f>H17*'Res PW'!$B$10</f>
        <v>27.568454153353077</v>
      </c>
      <c r="P17" s="29">
        <f>I17*'Res PW'!$B$11</f>
        <v>-1.18560218277844</v>
      </c>
      <c r="Q17" s="44">
        <f>'Monthly Data'!F17</f>
        <v>58345</v>
      </c>
      <c r="R17" s="46">
        <f>'Monthly Data'!BH17</f>
        <v>30</v>
      </c>
      <c r="S17" s="44">
        <f t="shared" ca="1" si="4"/>
        <v>39544801.99617248</v>
      </c>
      <c r="T17" s="44">
        <f t="shared" ca="1" si="2"/>
        <v>1030040.5200251639</v>
      </c>
      <c r="U17" s="48">
        <f t="shared" ca="1" si="3"/>
        <v>2.6744045154299637E-2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44">
        <f>'Monthly Data'!E18</f>
        <v>42499355.476147316</v>
      </c>
      <c r="E18" s="46">
        <f t="shared" ca="1" si="5"/>
        <v>35.92</v>
      </c>
      <c r="F18" s="46">
        <f t="shared" ca="1" si="5"/>
        <v>50.69</v>
      </c>
      <c r="G18" s="29">
        <f>'Monthly Data'!BG18</f>
        <v>17</v>
      </c>
      <c r="H18" s="29">
        <f>'Monthly Data'!W18</f>
        <v>6645.8</v>
      </c>
      <c r="I18" s="29">
        <f>'Monthly Data'!BF18</f>
        <v>1</v>
      </c>
      <c r="K18" s="29">
        <f>'Res PW'!$B$6</f>
        <v>-4.4351669087570498</v>
      </c>
      <c r="L18" s="29">
        <f ca="1">E18*'Res PW'!$B$7</f>
        <v>0.28408899192914772</v>
      </c>
      <c r="M18" s="29">
        <f ca="1">F18*'Res PW'!$B$8</f>
        <v>1.9638877566745232</v>
      </c>
      <c r="N18" s="29">
        <f>G18*'Res PW'!$B$9</f>
        <v>-0.75723070932170045</v>
      </c>
      <c r="O18" s="163">
        <f>H18*'Res PW'!$B$10</f>
        <v>27.611247473793064</v>
      </c>
      <c r="P18" s="29">
        <f>I18*'Res PW'!$B$11</f>
        <v>-1.18560218277844</v>
      </c>
      <c r="Q18" s="44">
        <f>'Monthly Data'!F18</f>
        <v>58385</v>
      </c>
      <c r="R18" s="46">
        <f>'Monthly Data'!BH18</f>
        <v>31</v>
      </c>
      <c r="S18" s="44">
        <f t="shared" ca="1" si="4"/>
        <v>42499489.923399173</v>
      </c>
      <c r="T18" s="44">
        <f t="shared" ca="1" si="2"/>
        <v>134.44725185632706</v>
      </c>
      <c r="U18" s="48">
        <f t="shared" ca="1" si="3"/>
        <v>3.1635127250761561E-6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44">
        <f>'Monthly Data'!E19</f>
        <v>49779830.476147316</v>
      </c>
      <c r="E19" s="46">
        <f t="shared" ca="1" si="5"/>
        <v>0.37999999999999989</v>
      </c>
      <c r="F19" s="46">
        <f t="shared" ca="1" si="5"/>
        <v>145.17999999999998</v>
      </c>
      <c r="G19" s="29">
        <f>'Monthly Data'!BG19</f>
        <v>18</v>
      </c>
      <c r="H19" s="29">
        <f>'Monthly Data'!W19</f>
        <v>6662</v>
      </c>
      <c r="I19" s="29">
        <f>'Monthly Data'!BF19</f>
        <v>0</v>
      </c>
      <c r="K19" s="29">
        <f>'Res PW'!$B$6</f>
        <v>-4.4351669087570498</v>
      </c>
      <c r="L19" s="29">
        <f ca="1">E19*'Res PW'!$B$7</f>
        <v>3.0053957943506709E-3</v>
      </c>
      <c r="M19" s="29">
        <f ca="1">F19*'Res PW'!$B$8</f>
        <v>5.6247233086211725</v>
      </c>
      <c r="N19" s="29">
        <f>G19*'Res PW'!$B$9</f>
        <v>-0.80177369222297701</v>
      </c>
      <c r="O19" s="163">
        <f>H19*'Res PW'!$B$10</f>
        <v>27.678553472931686</v>
      </c>
      <c r="P19" s="29">
        <f>I19*'Res PW'!$B$11</f>
        <v>0</v>
      </c>
      <c r="Q19" s="44">
        <f>'Monthly Data'!F19</f>
        <v>58495</v>
      </c>
      <c r="R19" s="46">
        <f>'Monthly Data'!BH19</f>
        <v>30</v>
      </c>
      <c r="S19" s="44">
        <f t="shared" ca="1" si="4"/>
        <v>49257484.065287948</v>
      </c>
      <c r="T19" s="44">
        <f t="shared" ca="1" si="2"/>
        <v>-522346.41085936874</v>
      </c>
      <c r="U19" s="48">
        <f t="shared" ca="1" si="3"/>
        <v>1.0493133581675376E-2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44">
        <f>'Monthly Data'!E20</f>
        <v>61715744.476147316</v>
      </c>
      <c r="E20" s="46">
        <f t="shared" ca="1" si="5"/>
        <v>0</v>
      </c>
      <c r="F20" s="46">
        <f t="shared" ca="1" si="5"/>
        <v>268.18999999999994</v>
      </c>
      <c r="G20" s="29">
        <f>'Monthly Data'!BG20</f>
        <v>19</v>
      </c>
      <c r="H20" s="29">
        <f>'Monthly Data'!W20</f>
        <v>6665.8</v>
      </c>
      <c r="I20" s="29">
        <f>'Monthly Data'!BF20</f>
        <v>0</v>
      </c>
      <c r="K20" s="29">
        <f>'Res PW'!$B$6</f>
        <v>-4.4351669087570498</v>
      </c>
      <c r="L20" s="29">
        <f ca="1">E20*'Res PW'!$B$7</f>
        <v>0</v>
      </c>
      <c r="M20" s="29">
        <f ca="1">F20*'Res PW'!$B$8</f>
        <v>10.390512082512139</v>
      </c>
      <c r="N20" s="29">
        <f>G20*'Res PW'!$B$9</f>
        <v>-0.84631667512425346</v>
      </c>
      <c r="O20" s="163">
        <f>H20*'Res PW'!$B$10</f>
        <v>27.694341299890127</v>
      </c>
      <c r="P20" s="29">
        <f>I20*'Res PW'!$B$11</f>
        <v>0</v>
      </c>
      <c r="Q20" s="44">
        <f>'Monthly Data'!F20</f>
        <v>58515</v>
      </c>
      <c r="R20" s="46">
        <f>'Monthly Data'!BH20</f>
        <v>31</v>
      </c>
      <c r="S20" s="44">
        <f t="shared" ca="1" si="4"/>
        <v>59504164.696574077</v>
      </c>
      <c r="T20" s="44">
        <f t="shared" ca="1" si="2"/>
        <v>-2211579.7795732394</v>
      </c>
      <c r="U20" s="48">
        <f t="shared" ca="1" si="3"/>
        <v>3.5834936422552574E-2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44">
        <f>'Monthly Data'!E21</f>
        <v>56143271.476147316</v>
      </c>
      <c r="E21" s="46">
        <f t="shared" ca="1" si="5"/>
        <v>0</v>
      </c>
      <c r="F21" s="46">
        <f t="shared" ca="1" si="5"/>
        <v>239.59000000000006</v>
      </c>
      <c r="G21" s="29">
        <f>'Monthly Data'!BG21</f>
        <v>20</v>
      </c>
      <c r="H21" s="29">
        <f>'Monthly Data'!W21</f>
        <v>6677.5</v>
      </c>
      <c r="I21" s="29">
        <f>'Monthly Data'!BF21</f>
        <v>0</v>
      </c>
      <c r="K21" s="29">
        <f>'Res PW'!$B$6</f>
        <v>-4.4351669087570498</v>
      </c>
      <c r="L21" s="29">
        <f ca="1">E21*'Res PW'!$B$7</f>
        <v>0</v>
      </c>
      <c r="M21" s="29">
        <f ca="1">F21*'Res PW'!$B$8</f>
        <v>9.2824594125399322</v>
      </c>
      <c r="N21" s="29">
        <f>G21*'Res PW'!$B$9</f>
        <v>-0.89085965802553002</v>
      </c>
      <c r="O21" s="163">
        <f>H21*'Res PW'!$B$10</f>
        <v>27.742951188156908</v>
      </c>
      <c r="P21" s="29">
        <f>I21*'Res PW'!$B$11</f>
        <v>0</v>
      </c>
      <c r="Q21" s="44">
        <f>'Monthly Data'!F21</f>
        <v>58526</v>
      </c>
      <c r="R21" s="46">
        <f>'Monthly Data'!BH21</f>
        <v>31</v>
      </c>
      <c r="S21" s="44">
        <f t="shared" ca="1" si="4"/>
        <v>57512382.649034843</v>
      </c>
      <c r="T21" s="44">
        <f t="shared" ca="1" si="2"/>
        <v>1369111.1728875265</v>
      </c>
      <c r="U21" s="48">
        <f t="shared" ca="1" si="3"/>
        <v>2.4386024128807644E-2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44">
        <f>'Monthly Data'!E22</f>
        <v>44393787.476147316</v>
      </c>
      <c r="E22" s="46">
        <f t="shared" ca="1" si="5"/>
        <v>0.49000000000000005</v>
      </c>
      <c r="F22" s="46">
        <f t="shared" ca="1" si="5"/>
        <v>132.95000000000002</v>
      </c>
      <c r="G22" s="29">
        <f>'Monthly Data'!BG22</f>
        <v>21</v>
      </c>
      <c r="H22" s="29">
        <f>'Monthly Data'!W22</f>
        <v>6674.4</v>
      </c>
      <c r="I22" s="29">
        <f>'Monthly Data'!BF22</f>
        <v>1</v>
      </c>
      <c r="K22" s="29">
        <f>'Res PW'!$B$6</f>
        <v>-4.4351669087570498</v>
      </c>
      <c r="L22" s="29">
        <f ca="1">E22*'Res PW'!$B$7</f>
        <v>3.8753787874521821E-3</v>
      </c>
      <c r="M22" s="29">
        <f ca="1">F22*'Res PW'!$B$8</f>
        <v>5.1508951913568337</v>
      </c>
      <c r="N22" s="29">
        <f>G22*'Res PW'!$B$9</f>
        <v>-0.93540264092680647</v>
      </c>
      <c r="O22" s="163">
        <f>H22*'Res PW'!$B$10</f>
        <v>27.730071645111863</v>
      </c>
      <c r="P22" s="29">
        <f>I22*'Res PW'!$B$11</f>
        <v>-1.18560218277844</v>
      </c>
      <c r="Q22" s="44">
        <f>'Monthly Data'!F22</f>
        <v>58615</v>
      </c>
      <c r="R22" s="46">
        <f>'Monthly Data'!BH22</f>
        <v>30</v>
      </c>
      <c r="S22" s="44">
        <f t="shared" ca="1" si="4"/>
        <v>46297650.61046885</v>
      </c>
      <c r="T22" s="44">
        <f t="shared" ca="1" si="2"/>
        <v>1903863.1343215331</v>
      </c>
      <c r="U22" s="48">
        <f t="shared" ca="1" si="3"/>
        <v>4.2885800977095601E-2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44">
        <f>'Monthly Data'!E23</f>
        <v>41972796.476147316</v>
      </c>
      <c r="E23" s="46">
        <f t="shared" ca="1" si="5"/>
        <v>53.33000000000002</v>
      </c>
      <c r="F23" s="46">
        <f t="shared" ca="1" si="5"/>
        <v>27.9</v>
      </c>
      <c r="G23" s="29">
        <f>'Monthly Data'!BG23</f>
        <v>22</v>
      </c>
      <c r="H23" s="29">
        <f>'Monthly Data'!W23</f>
        <v>6668.1</v>
      </c>
      <c r="I23" s="29">
        <f>'Monthly Data'!BF23</f>
        <v>1</v>
      </c>
      <c r="K23" s="29">
        <f>'Res PW'!$B$6</f>
        <v>-4.4351669087570498</v>
      </c>
      <c r="L23" s="29">
        <f ca="1">E23*'Res PW'!$B$7</f>
        <v>0.42178357292821411</v>
      </c>
      <c r="M23" s="29">
        <f ca="1">F23*'Res PW'!$B$8</f>
        <v>1.0809324997281358</v>
      </c>
      <c r="N23" s="29">
        <f>G23*'Res PW'!$B$9</f>
        <v>-0.97994562382808303</v>
      </c>
      <c r="O23" s="163">
        <f>H23*'Res PW'!$B$10</f>
        <v>27.703897089891292</v>
      </c>
      <c r="P23" s="29">
        <f>I23*'Res PW'!$B$11</f>
        <v>-1.18560218277844</v>
      </c>
      <c r="Q23" s="44">
        <f>'Monthly Data'!F23</f>
        <v>58637</v>
      </c>
      <c r="R23" s="46">
        <f>'Monthly Data'!BH23</f>
        <v>31</v>
      </c>
      <c r="S23" s="44">
        <f t="shared" ca="1" si="4"/>
        <v>41091804.084673509</v>
      </c>
      <c r="T23" s="44">
        <f t="shared" ca="1" si="2"/>
        <v>-880992.39147380739</v>
      </c>
      <c r="U23" s="48">
        <f t="shared" ca="1" si="3"/>
        <v>2.0989604349437755E-2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44">
        <f>'Monthly Data'!E24</f>
        <v>39897288.476147316</v>
      </c>
      <c r="E24" s="46">
        <f t="shared" ca="1" si="5"/>
        <v>207.66000000000003</v>
      </c>
      <c r="F24" s="46">
        <f t="shared" ca="1" si="5"/>
        <v>0.69000000000000006</v>
      </c>
      <c r="G24" s="29">
        <f>'Monthly Data'!BG24</f>
        <v>23</v>
      </c>
      <c r="H24" s="29">
        <f>'Monthly Data'!W24</f>
        <v>6662.8</v>
      </c>
      <c r="I24" s="29">
        <f>'Monthly Data'!BF24</f>
        <v>1</v>
      </c>
      <c r="K24" s="29">
        <f>'Res PW'!$B$6</f>
        <v>-4.4351669087570498</v>
      </c>
      <c r="L24" s="29">
        <f ca="1">E24*'Res PW'!$B$7</f>
        <v>1.642369712249633</v>
      </c>
      <c r="M24" s="29">
        <f ca="1">F24*'Res PW'!$B$8</f>
        <v>2.6732739240588305E-2</v>
      </c>
      <c r="N24" s="29">
        <f>G24*'Res PW'!$B$9</f>
        <v>-1.0244886067293595</v>
      </c>
      <c r="O24" s="163">
        <f>H24*'Res PW'!$B$10</f>
        <v>27.681877225975569</v>
      </c>
      <c r="P24" s="29">
        <f>I24*'Res PW'!$B$11</f>
        <v>-1.18560218277844</v>
      </c>
      <c r="Q24" s="44">
        <f>'Monthly Data'!F24</f>
        <v>58706</v>
      </c>
      <c r="R24" s="46">
        <f>'Monthly Data'!BH24</f>
        <v>30</v>
      </c>
      <c r="S24" s="44">
        <f t="shared" ca="1" si="4"/>
        <v>39988863.435329117</v>
      </c>
      <c r="T24" s="44">
        <f t="shared" ca="1" si="2"/>
        <v>91574.959181800485</v>
      </c>
      <c r="U24" s="48">
        <f t="shared" ca="1" si="3"/>
        <v>2.2952677407275129E-3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44">
        <f>'Monthly Data'!E25</f>
        <v>43807291.476147316</v>
      </c>
      <c r="E25" s="46">
        <f t="shared" ca="1" si="5"/>
        <v>351.65000000000003</v>
      </c>
      <c r="F25" s="46">
        <f t="shared" ca="1" si="5"/>
        <v>0</v>
      </c>
      <c r="G25" s="29">
        <f>'Monthly Data'!BG25</f>
        <v>24</v>
      </c>
      <c r="H25" s="29">
        <f>'Monthly Data'!W25</f>
        <v>6667.5</v>
      </c>
      <c r="I25" s="29">
        <f>'Monthly Data'!BF25</f>
        <v>0</v>
      </c>
      <c r="K25" s="29">
        <f>'Res PW'!$B$6</f>
        <v>-4.4351669087570498</v>
      </c>
      <c r="L25" s="29">
        <f ca="1">E25*'Res PW'!$B$7</f>
        <v>2.7811774502195097</v>
      </c>
      <c r="M25" s="29">
        <f ca="1">F25*'Res PW'!$B$8</f>
        <v>0</v>
      </c>
      <c r="N25" s="29">
        <f>G25*'Res PW'!$B$9</f>
        <v>-1.0690315896306359</v>
      </c>
      <c r="O25" s="163">
        <f>H25*'Res PW'!$B$10</f>
        <v>27.701404275108377</v>
      </c>
      <c r="P25" s="29">
        <f>I25*'Res PW'!$B$11</f>
        <v>0</v>
      </c>
      <c r="Q25" s="44">
        <f>'Monthly Data'!F25</f>
        <v>58745</v>
      </c>
      <c r="R25" s="46">
        <f>'Monthly Data'!BH25</f>
        <v>31</v>
      </c>
      <c r="S25" s="44">
        <f t="shared" ca="1" si="4"/>
        <v>45488008.802664667</v>
      </c>
      <c r="T25" s="44">
        <f t="shared" ca="1" si="2"/>
        <v>1680717.326517351</v>
      </c>
      <c r="U25" s="48">
        <f t="shared" ca="1" si="3"/>
        <v>3.8366154808554799E-2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44">
        <f>'Monthly Data'!E26</f>
        <v>47070680.897265725</v>
      </c>
      <c r="E26" s="46">
        <f t="shared" ca="1" si="5"/>
        <v>477.14</v>
      </c>
      <c r="F26" s="46">
        <f t="shared" ca="1" si="5"/>
        <v>0</v>
      </c>
      <c r="G26" s="29">
        <f>'Monthly Data'!BG26</f>
        <v>25</v>
      </c>
      <c r="H26" s="29">
        <f>'Monthly Data'!W26</f>
        <v>6673.6</v>
      </c>
      <c r="I26" s="29">
        <f>'Monthly Data'!BF26</f>
        <v>0</v>
      </c>
      <c r="K26" s="29">
        <f>'Res PW'!$B$6</f>
        <v>-4.4351669087570498</v>
      </c>
      <c r="L26" s="29">
        <f ca="1">E26*'Res PW'!$B$7</f>
        <v>3.7736698666223143</v>
      </c>
      <c r="M26" s="29">
        <f ca="1">F26*'Res PW'!$B$8</f>
        <v>0</v>
      </c>
      <c r="N26" s="29">
        <f>G26*'Res PW'!$B$9</f>
        <v>-1.1135745725319124</v>
      </c>
      <c r="O26" s="163">
        <f>H26*'Res PW'!$B$10</f>
        <v>27.726747892067984</v>
      </c>
      <c r="P26" s="29">
        <f>I26*'Res PW'!$B$11</f>
        <v>0</v>
      </c>
      <c r="Q26" s="44">
        <f>'Monthly Data'!F26</f>
        <v>58846</v>
      </c>
      <c r="R26" s="46">
        <f>'Monthly Data'!BH26</f>
        <v>31</v>
      </c>
      <c r="S26" s="44">
        <f t="shared" ca="1" si="4"/>
        <v>47341722.608818732</v>
      </c>
      <c r="T26" s="44">
        <f t="shared" ca="1" si="2"/>
        <v>271041.71155300736</v>
      </c>
      <c r="U26" s="48">
        <f t="shared" ca="1" si="3"/>
        <v>5.7581854858775117E-3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44">
        <f>'Monthly Data'!E27</f>
        <v>40386842.897265725</v>
      </c>
      <c r="E27" s="46">
        <f t="shared" ca="1" si="5"/>
        <v>417.05</v>
      </c>
      <c r="F27" s="46">
        <f t="shared" ca="1" si="5"/>
        <v>0</v>
      </c>
      <c r="G27" s="29">
        <f>'Monthly Data'!BG27</f>
        <v>26</v>
      </c>
      <c r="H27" s="29">
        <f>'Monthly Data'!W27</f>
        <v>6670.7</v>
      </c>
      <c r="I27" s="29">
        <f>'Monthly Data'!BF27</f>
        <v>0</v>
      </c>
      <c r="K27" s="29">
        <f>'Res PW'!$B$6</f>
        <v>-4.4351669087570498</v>
      </c>
      <c r="L27" s="29">
        <f ca="1">E27*'Res PW'!$B$7</f>
        <v>3.2984218842998621</v>
      </c>
      <c r="M27" s="29">
        <f ca="1">F27*'Res PW'!$B$8</f>
        <v>0</v>
      </c>
      <c r="N27" s="29">
        <f>G27*'Res PW'!$B$9</f>
        <v>-1.1581175554331891</v>
      </c>
      <c r="O27" s="163">
        <f>H27*'Res PW'!$B$10</f>
        <v>27.714699287283906</v>
      </c>
      <c r="P27" s="29">
        <f>I27*'Res PW'!$B$11</f>
        <v>0</v>
      </c>
      <c r="Q27" s="44">
        <f>'Monthly Data'!F27</f>
        <v>58886</v>
      </c>
      <c r="R27" s="46">
        <f>'Monthly Data'!BH27</f>
        <v>29</v>
      </c>
      <c r="S27" s="44">
        <f t="shared" ca="1" si="4"/>
        <v>43409302.626195684</v>
      </c>
      <c r="T27" s="44">
        <f t="shared" ca="1" si="2"/>
        <v>3022459.7289299592</v>
      </c>
      <c r="U27" s="48">
        <f t="shared" ca="1" si="3"/>
        <v>7.4837732095533183E-2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44">
        <f>'Monthly Data'!E28</f>
        <v>39034538.897265725</v>
      </c>
      <c r="E28" s="46">
        <f t="shared" ca="1" si="5"/>
        <v>332.70999999999992</v>
      </c>
      <c r="F28" s="46">
        <f t="shared" ca="1" si="5"/>
        <v>3.0000000000000072E-2</v>
      </c>
      <c r="G28" s="29">
        <f>'Monthly Data'!BG28</f>
        <v>27</v>
      </c>
      <c r="H28" s="29">
        <f>'Monthly Data'!W28</f>
        <v>6674</v>
      </c>
      <c r="I28" s="29">
        <f>'Monthly Data'!BF28</f>
        <v>1</v>
      </c>
      <c r="K28" s="29">
        <f>'Res PW'!$B$6</f>
        <v>-4.4351669087570498</v>
      </c>
      <c r="L28" s="29">
        <f ca="1">E28*'Res PW'!$B$7</f>
        <v>2.6313821966800308</v>
      </c>
      <c r="M28" s="29">
        <f ca="1">F28*'Res PW'!$B$8</f>
        <v>1.1622930104603637E-3</v>
      </c>
      <c r="N28" s="29">
        <f>G28*'Res PW'!$B$9</f>
        <v>-1.2026605383344655</v>
      </c>
      <c r="O28" s="163">
        <f>H28*'Res PW'!$B$10</f>
        <v>27.728409768589923</v>
      </c>
      <c r="P28" s="29">
        <f>I28*'Res PW'!$B$11</f>
        <v>-1.18560218277844</v>
      </c>
      <c r="Q28" s="44">
        <f>'Monthly Data'!F28</f>
        <v>58950</v>
      </c>
      <c r="R28" s="46">
        <f>'Monthly Data'!BH28</f>
        <v>31</v>
      </c>
      <c r="S28" s="44">
        <f t="shared" ca="1" si="4"/>
        <v>43013649.382188693</v>
      </c>
      <c r="T28" s="44">
        <f t="shared" ca="1" si="2"/>
        <v>3979110.4849229679</v>
      </c>
      <c r="U28" s="48">
        <f t="shared" ca="1" si="3"/>
        <v>0.10193819620607059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44">
        <f>'Monthly Data'!E29</f>
        <v>37958885.897265725</v>
      </c>
      <c r="E29" s="46">
        <f t="shared" ca="1" si="5"/>
        <v>164.53999999999996</v>
      </c>
      <c r="F29" s="46">
        <f t="shared" ca="1" si="5"/>
        <v>1.45</v>
      </c>
      <c r="G29" s="29">
        <f>'Monthly Data'!BG29</f>
        <v>28</v>
      </c>
      <c r="H29" s="29">
        <f>'Monthly Data'!W29</f>
        <v>6685.8</v>
      </c>
      <c r="I29" s="29">
        <f>'Monthly Data'!BF29</f>
        <v>1</v>
      </c>
      <c r="K29" s="29">
        <f>'Res PW'!$B$6</f>
        <v>-4.4351669087570498</v>
      </c>
      <c r="L29" s="29">
        <f ca="1">E29*'Res PW'!$B$7</f>
        <v>1.3013363789538406</v>
      </c>
      <c r="M29" s="29">
        <f ca="1">F29*'Res PW'!$B$8</f>
        <v>5.617749550558411E-2</v>
      </c>
      <c r="N29" s="29">
        <f>G29*'Res PW'!$B$9</f>
        <v>-1.247203521235742</v>
      </c>
      <c r="O29" s="163">
        <f>H29*'Res PW'!$B$10</f>
        <v>27.777435125987189</v>
      </c>
      <c r="P29" s="29">
        <f>I29*'Res PW'!$B$11</f>
        <v>-1.18560218277844</v>
      </c>
      <c r="Q29" s="44">
        <f>'Monthly Data'!F29</f>
        <v>59035</v>
      </c>
      <c r="R29" s="46">
        <f>'Monthly Data'!BH29</f>
        <v>30</v>
      </c>
      <c r="S29" s="44">
        <f t="shared" ca="1" si="4"/>
        <v>39435928.531392485</v>
      </c>
      <c r="T29" s="44">
        <f t="shared" ca="1" si="2"/>
        <v>1477042.6341267601</v>
      </c>
      <c r="U29" s="48">
        <f t="shared" ca="1" si="3"/>
        <v>3.8911643458775888E-2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44">
        <f>'Monthly Data'!E30</f>
        <v>43107352.897265725</v>
      </c>
      <c r="E30" s="46">
        <f t="shared" ca="1" si="5"/>
        <v>35.92</v>
      </c>
      <c r="F30" s="46">
        <f t="shared" ca="1" si="5"/>
        <v>50.69</v>
      </c>
      <c r="G30" s="29">
        <f>'Monthly Data'!BG30</f>
        <v>29</v>
      </c>
      <c r="H30" s="29">
        <f>'Monthly Data'!W30</f>
        <v>6690.1</v>
      </c>
      <c r="I30" s="29">
        <f>'Monthly Data'!BF30</f>
        <v>1</v>
      </c>
      <c r="K30" s="29">
        <f>'Res PW'!$B$6</f>
        <v>-4.4351669087570498</v>
      </c>
      <c r="L30" s="29">
        <f ca="1">E30*'Res PW'!$B$7</f>
        <v>0.28408899192914772</v>
      </c>
      <c r="M30" s="29">
        <f ca="1">F30*'Res PW'!$B$8</f>
        <v>1.9638877566745232</v>
      </c>
      <c r="N30" s="29">
        <f>G30*'Res PW'!$B$9</f>
        <v>-1.2917465041370184</v>
      </c>
      <c r="O30" s="163">
        <f>H30*'Res PW'!$B$10</f>
        <v>27.795300298598061</v>
      </c>
      <c r="P30" s="29">
        <f>I30*'Res PW'!$B$11</f>
        <v>-1.18560218277844</v>
      </c>
      <c r="Q30" s="44">
        <f>'Monthly Data'!F30</f>
        <v>59072</v>
      </c>
      <c r="R30" s="46">
        <f>'Monthly Data'!BH30</f>
        <v>31</v>
      </c>
      <c r="S30" s="44">
        <f t="shared" ca="1" si="4"/>
        <v>42357790.554406762</v>
      </c>
      <c r="T30" s="44">
        <f t="shared" ca="1" si="2"/>
        <v>-749562.34285896271</v>
      </c>
      <c r="U30" s="48">
        <f t="shared" ca="1" si="3"/>
        <v>1.7388271199239122E-2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44">
        <f>'Monthly Data'!E31</f>
        <v>53239807.897265725</v>
      </c>
      <c r="E31" s="46">
        <f t="shared" ref="E31:F46" ca="1" si="6">E19</f>
        <v>0.37999999999999989</v>
      </c>
      <c r="F31" s="46">
        <f t="shared" ca="1" si="6"/>
        <v>145.17999999999998</v>
      </c>
      <c r="G31" s="29">
        <f>'Monthly Data'!BG31</f>
        <v>30</v>
      </c>
      <c r="H31" s="29">
        <f>'Monthly Data'!W31</f>
        <v>6693.3</v>
      </c>
      <c r="I31" s="29">
        <f>'Monthly Data'!BF31</f>
        <v>0</v>
      </c>
      <c r="K31" s="29">
        <f>'Res PW'!$B$6</f>
        <v>-4.4351669087570498</v>
      </c>
      <c r="L31" s="29">
        <f ca="1">E31*'Res PW'!$B$7</f>
        <v>3.0053957943506709E-3</v>
      </c>
      <c r="M31" s="29">
        <f ca="1">F31*'Res PW'!$B$8</f>
        <v>5.6247233086211725</v>
      </c>
      <c r="N31" s="29">
        <f>G31*'Res PW'!$B$9</f>
        <v>-1.3362894870382951</v>
      </c>
      <c r="O31" s="163">
        <f>H31*'Res PW'!$B$10</f>
        <v>27.80859531077359</v>
      </c>
      <c r="P31" s="29">
        <f>I31*'Res PW'!$B$11</f>
        <v>0</v>
      </c>
      <c r="Q31" s="44">
        <f>'Monthly Data'!F31</f>
        <v>59132</v>
      </c>
      <c r="R31" s="46">
        <f>'Monthly Data'!BH31</f>
        <v>30</v>
      </c>
      <c r="S31" s="44">
        <f t="shared" ca="1" si="4"/>
        <v>49076368.56209977</v>
      </c>
      <c r="T31" s="44">
        <f t="shared" ca="1" si="2"/>
        <v>-4163439.3351659551</v>
      </c>
      <c r="U31" s="48">
        <f t="shared" ca="1" si="3"/>
        <v>7.8201622049424782E-2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44">
        <f>'Monthly Data'!E32</f>
        <v>63475935.897265725</v>
      </c>
      <c r="E32" s="46">
        <f t="shared" ca="1" si="6"/>
        <v>0</v>
      </c>
      <c r="F32" s="46">
        <f t="shared" ca="1" si="6"/>
        <v>268.18999999999994</v>
      </c>
      <c r="G32" s="29">
        <f>'Monthly Data'!BG32</f>
        <v>31</v>
      </c>
      <c r="H32" s="29">
        <f>'Monthly Data'!W32</f>
        <v>6694.6</v>
      </c>
      <c r="I32" s="29">
        <f>'Monthly Data'!BF32</f>
        <v>0</v>
      </c>
      <c r="K32" s="29">
        <f>'Res PW'!$B$6</f>
        <v>-4.4351669087570498</v>
      </c>
      <c r="L32" s="29">
        <f ca="1">E32*'Res PW'!$B$7</f>
        <v>0</v>
      </c>
      <c r="M32" s="29">
        <f ca="1">F32*'Res PW'!$B$8</f>
        <v>10.390512082512139</v>
      </c>
      <c r="N32" s="29">
        <f>G32*'Res PW'!$B$9</f>
        <v>-1.3808324699395715</v>
      </c>
      <c r="O32" s="163">
        <f>H32*'Res PW'!$B$10</f>
        <v>27.813996409469897</v>
      </c>
      <c r="P32" s="29">
        <f>I32*'Res PW'!$B$11</f>
        <v>0</v>
      </c>
      <c r="Q32" s="44">
        <f>'Monthly Data'!F32</f>
        <v>59180</v>
      </c>
      <c r="R32" s="46">
        <f>'Monthly Data'!BH32</f>
        <v>31</v>
      </c>
      <c r="S32" s="44">
        <f t="shared" ca="1" si="4"/>
        <v>59419311.049051158</v>
      </c>
      <c r="T32" s="44">
        <f t="shared" ca="1" si="2"/>
        <v>-4056624.8482145667</v>
      </c>
      <c r="U32" s="48">
        <f t="shared" ca="1" si="3"/>
        <v>6.3908074625006181E-2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44">
        <f>'Monthly Data'!E33</f>
        <v>57530370.897265725</v>
      </c>
      <c r="E33" s="46">
        <f t="shared" ca="1" si="6"/>
        <v>0</v>
      </c>
      <c r="F33" s="46">
        <f t="shared" ca="1" si="6"/>
        <v>239.59000000000006</v>
      </c>
      <c r="G33" s="29">
        <f>'Monthly Data'!BG33</f>
        <v>32</v>
      </c>
      <c r="H33" s="29">
        <f>'Monthly Data'!W33</f>
        <v>6703.3</v>
      </c>
      <c r="I33" s="29">
        <f>'Monthly Data'!BF33</f>
        <v>0</v>
      </c>
      <c r="K33" s="29">
        <f>'Res PW'!$B$6</f>
        <v>-4.4351669087570498</v>
      </c>
      <c r="L33" s="29">
        <f ca="1">E33*'Res PW'!$B$7</f>
        <v>0</v>
      </c>
      <c r="M33" s="29">
        <f ca="1">F33*'Res PW'!$B$8</f>
        <v>9.2824594125399322</v>
      </c>
      <c r="N33" s="29">
        <f>G33*'Res PW'!$B$9</f>
        <v>-1.425375452840848</v>
      </c>
      <c r="O33" s="163">
        <f>H33*'Res PW'!$B$10</f>
        <v>27.850142223822122</v>
      </c>
      <c r="P33" s="29">
        <f>I33*'Res PW'!$B$11</f>
        <v>0</v>
      </c>
      <c r="Q33" s="44">
        <f>'Monthly Data'!F33</f>
        <v>59175</v>
      </c>
      <c r="R33" s="46">
        <f>'Monthly Data'!BH33</f>
        <v>31</v>
      </c>
      <c r="S33" s="44">
        <f t="shared" ca="1" si="4"/>
        <v>57366247.335109241</v>
      </c>
      <c r="T33" s="44">
        <f t="shared" ca="1" si="2"/>
        <v>-164123.56215648353</v>
      </c>
      <c r="U33" s="48">
        <f t="shared" ca="1" si="3"/>
        <v>2.8528159926096341E-3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44">
        <f>'Monthly Data'!E34</f>
        <v>46622905.897265725</v>
      </c>
      <c r="E34" s="46">
        <f t="shared" ca="1" si="6"/>
        <v>0.49000000000000005</v>
      </c>
      <c r="F34" s="46">
        <f t="shared" ca="1" si="6"/>
        <v>132.95000000000002</v>
      </c>
      <c r="G34" s="29">
        <f>'Monthly Data'!BG34</f>
        <v>33</v>
      </c>
      <c r="H34" s="29">
        <f>'Monthly Data'!W34</f>
        <v>6707.4</v>
      </c>
      <c r="I34" s="29">
        <f>'Monthly Data'!BF34</f>
        <v>1</v>
      </c>
      <c r="K34" s="29">
        <f>'Res PW'!$B$6</f>
        <v>-4.4351669087570498</v>
      </c>
      <c r="L34" s="29">
        <f ca="1">E34*'Res PW'!$B$7</f>
        <v>3.8753787874521821E-3</v>
      </c>
      <c r="M34" s="29">
        <f ca="1">F34*'Res PW'!$B$8</f>
        <v>5.1508951913568337</v>
      </c>
      <c r="N34" s="29">
        <f>G34*'Res PW'!$B$9</f>
        <v>-1.4699184357421244</v>
      </c>
      <c r="O34" s="163">
        <f>H34*'Res PW'!$B$10</f>
        <v>27.867176458172018</v>
      </c>
      <c r="P34" s="29">
        <f>I34*'Res PW'!$B$11</f>
        <v>-1.18560218277844</v>
      </c>
      <c r="Q34" s="44">
        <f>'Monthly Data'!F34</f>
        <v>59185</v>
      </c>
      <c r="R34" s="46">
        <f>'Monthly Data'!BH34</f>
        <v>30</v>
      </c>
      <c r="S34" s="44">
        <f t="shared" ca="1" si="4"/>
        <v>46042247.807069249</v>
      </c>
      <c r="T34" s="44">
        <f t="shared" ca="1" si="2"/>
        <v>-580658.09019647539</v>
      </c>
      <c r="U34" s="48">
        <f t="shared" ca="1" si="3"/>
        <v>1.2454352190658477E-2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44">
        <f>'Monthly Data'!E35</f>
        <v>41986598.897265725</v>
      </c>
      <c r="E35" s="46">
        <f t="shared" ca="1" si="6"/>
        <v>53.33000000000002</v>
      </c>
      <c r="F35" s="46">
        <f t="shared" ca="1" si="6"/>
        <v>27.9</v>
      </c>
      <c r="G35" s="29">
        <f>'Monthly Data'!BG35</f>
        <v>34</v>
      </c>
      <c r="H35" s="29">
        <f>'Monthly Data'!W35</f>
        <v>6710</v>
      </c>
      <c r="I35" s="29">
        <f>'Monthly Data'!BF35</f>
        <v>1</v>
      </c>
      <c r="K35" s="29">
        <f>'Res PW'!$B$6</f>
        <v>-4.4351669087570498</v>
      </c>
      <c r="L35" s="29">
        <f ca="1">E35*'Res PW'!$B$7</f>
        <v>0.42178357292821411</v>
      </c>
      <c r="M35" s="29">
        <f ca="1">F35*'Res PW'!$B$8</f>
        <v>1.0809324997281358</v>
      </c>
      <c r="N35" s="29">
        <f>G35*'Res PW'!$B$9</f>
        <v>-1.5144614186434009</v>
      </c>
      <c r="O35" s="163">
        <f>H35*'Res PW'!$B$10</f>
        <v>27.877978655564636</v>
      </c>
      <c r="P35" s="29">
        <f>I35*'Res PW'!$B$11</f>
        <v>-1.18560218277844</v>
      </c>
      <c r="Q35" s="44">
        <f>'Monthly Data'!F35</f>
        <v>59026</v>
      </c>
      <c r="R35" s="46">
        <f>'Monthly Data'!BH35</f>
        <v>31</v>
      </c>
      <c r="S35" s="44">
        <f t="shared" ca="1" si="4"/>
        <v>40704883.898958735</v>
      </c>
      <c r="T35" s="44">
        <f t="shared" ca="1" si="2"/>
        <v>-1281714.9983069897</v>
      </c>
      <c r="U35" s="48">
        <f t="shared" ca="1" si="3"/>
        <v>3.0526764062103116E-2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44">
        <f>'Monthly Data'!E36</f>
        <v>39489997.897265725</v>
      </c>
      <c r="E36" s="46">
        <f t="shared" ca="1" si="6"/>
        <v>207.66000000000003</v>
      </c>
      <c r="F36" s="46">
        <f t="shared" ca="1" si="6"/>
        <v>0.69000000000000006</v>
      </c>
      <c r="G36" s="29">
        <f>'Monthly Data'!BG36</f>
        <v>35</v>
      </c>
      <c r="H36" s="29">
        <f>'Monthly Data'!W36</f>
        <v>6722.4</v>
      </c>
      <c r="I36" s="29">
        <f>'Monthly Data'!BF36</f>
        <v>1</v>
      </c>
      <c r="K36" s="29">
        <f>'Res PW'!$B$6</f>
        <v>-4.4351669087570498</v>
      </c>
      <c r="L36" s="29">
        <f ca="1">E36*'Res PW'!$B$7</f>
        <v>1.642369712249633</v>
      </c>
      <c r="M36" s="29">
        <f ca="1">F36*'Res PW'!$B$8</f>
        <v>2.6732739240588305E-2</v>
      </c>
      <c r="N36" s="29">
        <f>G36*'Res PW'!$B$9</f>
        <v>-1.5590044015446776</v>
      </c>
      <c r="O36" s="163">
        <f>H36*'Res PW'!$B$10</f>
        <v>27.929496827744813</v>
      </c>
      <c r="P36" s="29">
        <f>I36*'Res PW'!$B$11</f>
        <v>-1.18560218277844</v>
      </c>
      <c r="Q36" s="44">
        <f>'Monthly Data'!F36</f>
        <v>59073</v>
      </c>
      <c r="R36" s="46">
        <f>'Monthly Data'!BH36</f>
        <v>30</v>
      </c>
      <c r="S36" s="44">
        <f t="shared" ca="1" si="4"/>
        <v>39730418.869965799</v>
      </c>
      <c r="T36" s="44">
        <f t="shared" ca="1" si="2"/>
        <v>240420.97270007432</v>
      </c>
      <c r="U36" s="48">
        <f t="shared" ca="1" si="3"/>
        <v>6.0881485313201544E-3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44">
        <f>'Monthly Data'!E37</f>
        <v>44841090.897265725</v>
      </c>
      <c r="E37" s="46">
        <f t="shared" ca="1" si="6"/>
        <v>351.65000000000003</v>
      </c>
      <c r="F37" s="46">
        <f t="shared" ca="1" si="6"/>
        <v>0</v>
      </c>
      <c r="G37" s="29">
        <f>'Monthly Data'!BG37</f>
        <v>36</v>
      </c>
      <c r="H37" s="29">
        <f>'Monthly Data'!W37</f>
        <v>6740.6</v>
      </c>
      <c r="I37" s="29">
        <f>'Monthly Data'!BF37</f>
        <v>0</v>
      </c>
      <c r="K37" s="29">
        <f>'Res PW'!$B$6</f>
        <v>-4.4351669087570498</v>
      </c>
      <c r="L37" s="29">
        <f ca="1">E37*'Res PW'!$B$7</f>
        <v>2.7811774502195097</v>
      </c>
      <c r="M37" s="29">
        <f ca="1">F37*'Res PW'!$B$8</f>
        <v>0</v>
      </c>
      <c r="N37" s="29">
        <f>G37*'Res PW'!$B$9</f>
        <v>-1.603547384445954</v>
      </c>
      <c r="O37" s="163">
        <f>H37*'Res PW'!$B$10</f>
        <v>28.005112209493145</v>
      </c>
      <c r="P37" s="29">
        <f>I37*'Res PW'!$B$11</f>
        <v>0</v>
      </c>
      <c r="Q37" s="44">
        <f>'Monthly Data'!F37</f>
        <v>59257</v>
      </c>
      <c r="R37" s="46">
        <f>'Monthly Data'!BH37</f>
        <v>31</v>
      </c>
      <c r="S37" s="44">
        <f t="shared" ca="1" si="4"/>
        <v>45460479.278291136</v>
      </c>
      <c r="T37" s="44">
        <f t="shared" ca="1" si="2"/>
        <v>619388.38102541119</v>
      </c>
      <c r="U37" s="48">
        <f t="shared" ca="1" si="3"/>
        <v>1.3812964150325336E-2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44">
        <f>'Monthly Data'!E38</f>
        <v>47995321.720884763</v>
      </c>
      <c r="E38" s="46">
        <f t="shared" ca="1" si="6"/>
        <v>477.14</v>
      </c>
      <c r="F38" s="46">
        <f t="shared" ca="1" si="6"/>
        <v>0</v>
      </c>
      <c r="G38" s="29">
        <f>'Monthly Data'!BG38</f>
        <v>37</v>
      </c>
      <c r="H38" s="29">
        <f>'Monthly Data'!W38</f>
        <v>6758.8</v>
      </c>
      <c r="I38" s="29">
        <f>'Monthly Data'!BF38</f>
        <v>0</v>
      </c>
      <c r="K38" s="29">
        <f>'Res PW'!$B$6</f>
        <v>-4.4351669087570498</v>
      </c>
      <c r="L38" s="29">
        <f ca="1">E38*'Res PW'!$B$7</f>
        <v>3.7736698666223143</v>
      </c>
      <c r="M38" s="29">
        <f ca="1">F38*'Res PW'!$B$8</f>
        <v>0</v>
      </c>
      <c r="N38" s="29">
        <f>G38*'Res PW'!$B$9</f>
        <v>-1.6480903673472305</v>
      </c>
      <c r="O38" s="163">
        <f>H38*'Res PW'!$B$10</f>
        <v>28.08072759124147</v>
      </c>
      <c r="P38" s="29">
        <f>I38*'Res PW'!$B$11</f>
        <v>0</v>
      </c>
      <c r="Q38" s="44">
        <f>'Monthly Data'!F38</f>
        <v>59206</v>
      </c>
      <c r="R38" s="46">
        <f>'Monthly Data'!BH38</f>
        <v>31</v>
      </c>
      <c r="S38" s="44">
        <f t="shared" ca="1" si="4"/>
        <v>47299989.893638849</v>
      </c>
      <c r="T38" s="44">
        <f t="shared" ca="1" si="2"/>
        <v>-695331.82724591345</v>
      </c>
      <c r="U38" s="48">
        <f t="shared" ca="1" si="3"/>
        <v>1.4487491745332872E-2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44">
        <f>'Monthly Data'!E39</f>
        <v>41164712.720884763</v>
      </c>
      <c r="E39" s="46">
        <f t="shared" ca="1" si="6"/>
        <v>417.05</v>
      </c>
      <c r="F39" s="46">
        <f t="shared" ca="1" si="6"/>
        <v>0</v>
      </c>
      <c r="G39" s="29">
        <f>'Monthly Data'!BG39</f>
        <v>38</v>
      </c>
      <c r="H39" s="29">
        <f>'Monthly Data'!W39</f>
        <v>6775.5</v>
      </c>
      <c r="I39" s="29">
        <f>'Monthly Data'!BF39</f>
        <v>0</v>
      </c>
      <c r="K39" s="29">
        <f>'Res PW'!$B$6</f>
        <v>-4.4351669087570498</v>
      </c>
      <c r="L39" s="29">
        <f ca="1">E39*'Res PW'!$B$7</f>
        <v>3.2984218842998621</v>
      </c>
      <c r="M39" s="29">
        <f ca="1">F39*'Res PW'!$B$8</f>
        <v>0</v>
      </c>
      <c r="N39" s="29">
        <f>G39*'Res PW'!$B$9</f>
        <v>-1.6926333502485069</v>
      </c>
      <c r="O39" s="163">
        <f>H39*'Res PW'!$B$10</f>
        <v>28.150110936032519</v>
      </c>
      <c r="P39" s="29">
        <f>I39*'Res PW'!$B$11</f>
        <v>0</v>
      </c>
      <c r="Q39" s="44">
        <f>'Monthly Data'!F39</f>
        <v>59219</v>
      </c>
      <c r="R39" s="46">
        <f>'Monthly Data'!BH39</f>
        <v>28</v>
      </c>
      <c r="S39" s="44">
        <f t="shared" ca="1" si="4"/>
        <v>41985116.923377968</v>
      </c>
      <c r="T39" s="44">
        <f t="shared" ca="1" si="2"/>
        <v>820404.20249320567</v>
      </c>
      <c r="U39" s="48">
        <f t="shared" ca="1" si="3"/>
        <v>1.9929792977201481E-2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44">
        <f>'Monthly Data'!E40</f>
        <v>42435047.720884763</v>
      </c>
      <c r="E40" s="46">
        <f t="shared" ca="1" si="6"/>
        <v>332.70999999999992</v>
      </c>
      <c r="F40" s="46">
        <f t="shared" ca="1" si="6"/>
        <v>3.0000000000000072E-2</v>
      </c>
      <c r="G40" s="29">
        <f>'Monthly Data'!BG40</f>
        <v>39</v>
      </c>
      <c r="H40" s="29">
        <f>'Monthly Data'!W40</f>
        <v>6781.1</v>
      </c>
      <c r="I40" s="29">
        <f>'Monthly Data'!BF40</f>
        <v>1</v>
      </c>
      <c r="K40" s="29">
        <f>'Res PW'!$B$6</f>
        <v>-4.4351669087570498</v>
      </c>
      <c r="L40" s="29">
        <f ca="1">E40*'Res PW'!$B$7</f>
        <v>2.6313821966800308</v>
      </c>
      <c r="M40" s="29">
        <f ca="1">F40*'Res PW'!$B$8</f>
        <v>1.1622930104603637E-3</v>
      </c>
      <c r="N40" s="29">
        <f>G40*'Res PW'!$B$9</f>
        <v>-1.7371763331497836</v>
      </c>
      <c r="O40" s="163">
        <f>H40*'Res PW'!$B$10</f>
        <v>28.173377207339698</v>
      </c>
      <c r="P40" s="29">
        <f>I40*'Res PW'!$B$11</f>
        <v>-1.18560218277844</v>
      </c>
      <c r="Q40" s="44">
        <f>'Monthly Data'!F40</f>
        <v>59221</v>
      </c>
      <c r="R40" s="46">
        <f>'Monthly Data'!BH40</f>
        <v>31</v>
      </c>
      <c r="S40" s="44">
        <f t="shared" ca="1" si="4"/>
        <v>43046990.687560685</v>
      </c>
      <c r="T40" s="44">
        <f t="shared" ca="1" si="2"/>
        <v>611942.96667592227</v>
      </c>
      <c r="U40" s="48">
        <f t="shared" ca="1" si="3"/>
        <v>1.4420697030929682E-2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44">
        <f>'Monthly Data'!E41</f>
        <v>38570561.720884763</v>
      </c>
      <c r="E41" s="46">
        <f t="shared" ca="1" si="6"/>
        <v>164.53999999999996</v>
      </c>
      <c r="F41" s="46">
        <f t="shared" ca="1" si="6"/>
        <v>1.45</v>
      </c>
      <c r="G41" s="29">
        <f>'Monthly Data'!BG41</f>
        <v>40</v>
      </c>
      <c r="H41" s="29">
        <f>'Monthly Data'!W41</f>
        <v>6788.9</v>
      </c>
      <c r="I41" s="29">
        <f>'Monthly Data'!BF41</f>
        <v>1</v>
      </c>
      <c r="K41" s="29">
        <f>'Res PW'!$B$6</f>
        <v>-4.4351669087570498</v>
      </c>
      <c r="L41" s="29">
        <f ca="1">E41*'Res PW'!$B$7</f>
        <v>1.3013363789538406</v>
      </c>
      <c r="M41" s="29">
        <f ca="1">F41*'Res PW'!$B$8</f>
        <v>5.617749550558411E-2</v>
      </c>
      <c r="N41" s="29">
        <f>G41*'Res PW'!$B$9</f>
        <v>-1.78171931605106</v>
      </c>
      <c r="O41" s="163">
        <f>H41*'Res PW'!$B$10</f>
        <v>28.205783799517548</v>
      </c>
      <c r="P41" s="29">
        <f>I41*'Res PW'!$B$11</f>
        <v>-1.18560218277844</v>
      </c>
      <c r="Q41" s="44">
        <f>'Monthly Data'!F41</f>
        <v>59208</v>
      </c>
      <c r="R41" s="46">
        <f>'Monthly Data'!BH41</f>
        <v>30</v>
      </c>
      <c r="S41" s="44">
        <f t="shared" ca="1" si="4"/>
        <v>39362915.851333328</v>
      </c>
      <c r="T41" s="44">
        <f t="shared" ca="1" si="2"/>
        <v>792354.13044856489</v>
      </c>
      <c r="U41" s="48">
        <f t="shared" ca="1" si="3"/>
        <v>2.0542976173964552E-2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44">
        <f>'Monthly Data'!E42</f>
        <v>41401216.720884763</v>
      </c>
      <c r="E42" s="46">
        <f t="shared" ca="1" si="6"/>
        <v>35.92</v>
      </c>
      <c r="F42" s="46">
        <f t="shared" ca="1" si="6"/>
        <v>50.69</v>
      </c>
      <c r="G42" s="29">
        <f>'Monthly Data'!BG42</f>
        <v>41</v>
      </c>
      <c r="H42" s="29">
        <f>'Monthly Data'!W42</f>
        <v>6801.1</v>
      </c>
      <c r="I42" s="29">
        <f>'Monthly Data'!BF42</f>
        <v>1</v>
      </c>
      <c r="K42" s="29">
        <f>'Res PW'!$B$6</f>
        <v>-4.4351669087570498</v>
      </c>
      <c r="L42" s="29">
        <f ca="1">E42*'Res PW'!$B$7</f>
        <v>0.28408899192914772</v>
      </c>
      <c r="M42" s="29">
        <f ca="1">F42*'Res PW'!$B$8</f>
        <v>1.9638877566745232</v>
      </c>
      <c r="N42" s="29">
        <f>G42*'Res PW'!$B$9</f>
        <v>-1.8262622989523365</v>
      </c>
      <c r="O42" s="163">
        <f>H42*'Res PW'!$B$10</f>
        <v>28.25647103343676</v>
      </c>
      <c r="P42" s="29">
        <f>I42*'Res PW'!$B$11</f>
        <v>-1.18560218277844</v>
      </c>
      <c r="Q42" s="44">
        <f>'Monthly Data'!F42</f>
        <v>59245</v>
      </c>
      <c r="R42" s="46">
        <f>'Monthly Data'!BH42</f>
        <v>31</v>
      </c>
      <c r="S42" s="44">
        <f t="shared" ca="1" si="4"/>
        <v>42347135.657643564</v>
      </c>
      <c r="T42" s="44">
        <f t="shared" ca="1" si="2"/>
        <v>945918.93675880134</v>
      </c>
      <c r="U42" s="48">
        <f t="shared" ca="1" si="3"/>
        <v>2.2847612019132626E-2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44">
        <f>'Monthly Data'!E43</f>
        <v>47845491.720884763</v>
      </c>
      <c r="E43" s="46">
        <f t="shared" ca="1" si="6"/>
        <v>0.37999999999999989</v>
      </c>
      <c r="F43" s="46">
        <f t="shared" ca="1" si="6"/>
        <v>145.17999999999998</v>
      </c>
      <c r="G43" s="29">
        <f>'Monthly Data'!BG43</f>
        <v>42</v>
      </c>
      <c r="H43" s="29">
        <f>'Monthly Data'!W43</f>
        <v>6815.2</v>
      </c>
      <c r="I43" s="29">
        <f>'Monthly Data'!BF43</f>
        <v>0</v>
      </c>
      <c r="K43" s="29">
        <f>'Res PW'!$B$6</f>
        <v>-4.4351669087570498</v>
      </c>
      <c r="L43" s="29">
        <f ca="1">E43*'Res PW'!$B$7</f>
        <v>3.0053957943506709E-3</v>
      </c>
      <c r="M43" s="29">
        <f ca="1">F43*'Res PW'!$B$8</f>
        <v>5.6247233086211725</v>
      </c>
      <c r="N43" s="29">
        <f>G43*'Res PW'!$B$9</f>
        <v>-1.8708052818536129</v>
      </c>
      <c r="O43" s="163">
        <f>H43*'Res PW'!$B$10</f>
        <v>28.315052180835188</v>
      </c>
      <c r="P43" s="29">
        <f>I43*'Res PW'!$B$11</f>
        <v>0</v>
      </c>
      <c r="Q43" s="44">
        <f>'Monthly Data'!F43</f>
        <v>59259</v>
      </c>
      <c r="R43" s="46">
        <f>'Monthly Data'!BH43</f>
        <v>30</v>
      </c>
      <c r="S43" s="44">
        <f t="shared" ca="1" si="4"/>
        <v>49131889.393070243</v>
      </c>
      <c r="T43" s="44">
        <f t="shared" ca="1" si="2"/>
        <v>1286397.6721854806</v>
      </c>
      <c r="U43" s="48">
        <f t="shared" ca="1" si="3"/>
        <v>2.6886497053680868E-2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44">
        <f>'Monthly Data'!E44</f>
        <v>56314814.720884763</v>
      </c>
      <c r="E44" s="46">
        <f t="shared" ca="1" si="6"/>
        <v>0</v>
      </c>
      <c r="F44" s="46">
        <f t="shared" ca="1" si="6"/>
        <v>268.18999999999994</v>
      </c>
      <c r="G44" s="29">
        <f>'Monthly Data'!BG44</f>
        <v>43</v>
      </c>
      <c r="H44" s="29">
        <f>'Monthly Data'!W44</f>
        <v>6826.2</v>
      </c>
      <c r="I44" s="29">
        <f>'Monthly Data'!BF44</f>
        <v>0</v>
      </c>
      <c r="K44" s="29">
        <f>'Res PW'!$B$6</f>
        <v>-4.4351669087570498</v>
      </c>
      <c r="L44" s="29">
        <f ca="1">E44*'Res PW'!$B$7</f>
        <v>0</v>
      </c>
      <c r="M44" s="29">
        <f ca="1">F44*'Res PW'!$B$8</f>
        <v>10.390512082512139</v>
      </c>
      <c r="N44" s="29">
        <f>G44*'Res PW'!$B$9</f>
        <v>-1.9153482647548894</v>
      </c>
      <c r="O44" s="163">
        <f>H44*'Res PW'!$B$10</f>
        <v>28.360753785188571</v>
      </c>
      <c r="P44" s="29">
        <f>I44*'Res PW'!$B$11</f>
        <v>0</v>
      </c>
      <c r="Q44" s="44">
        <f>'Monthly Data'!F44</f>
        <v>59290</v>
      </c>
      <c r="R44" s="46">
        <f>'Monthly Data'!BH44</f>
        <v>31</v>
      </c>
      <c r="S44" s="44">
        <f t="shared" ca="1" si="4"/>
        <v>59552255.768412024</v>
      </c>
      <c r="T44" s="44">
        <f t="shared" ca="1" si="2"/>
        <v>3237441.0475272611</v>
      </c>
      <c r="U44" s="48">
        <f t="shared" ca="1" si="3"/>
        <v>5.7488265984237223E-2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44">
        <f>'Monthly Data'!E45</f>
        <v>53136083.720884763</v>
      </c>
      <c r="E45" s="46">
        <f t="shared" ca="1" si="6"/>
        <v>0</v>
      </c>
      <c r="F45" s="46">
        <f t="shared" ca="1" si="6"/>
        <v>239.59000000000006</v>
      </c>
      <c r="G45" s="29">
        <f>'Monthly Data'!BG45</f>
        <v>44</v>
      </c>
      <c r="H45" s="29">
        <f>'Monthly Data'!W45</f>
        <v>6833.9</v>
      </c>
      <c r="I45" s="29">
        <f>'Monthly Data'!BF45</f>
        <v>0</v>
      </c>
      <c r="K45" s="29">
        <f>'Res PW'!$B$6</f>
        <v>-4.4351669087570498</v>
      </c>
      <c r="L45" s="29">
        <f ca="1">E45*'Res PW'!$B$7</f>
        <v>0</v>
      </c>
      <c r="M45" s="29">
        <f ca="1">F45*'Res PW'!$B$8</f>
        <v>9.2824594125399322</v>
      </c>
      <c r="N45" s="29">
        <f>G45*'Res PW'!$B$9</f>
        <v>-1.9598912476561661</v>
      </c>
      <c r="O45" s="163">
        <f>H45*'Res PW'!$B$10</f>
        <v>28.39274490823594</v>
      </c>
      <c r="P45" s="29">
        <f>I45*'Res PW'!$B$11</f>
        <v>0</v>
      </c>
      <c r="Q45" s="44">
        <f>'Monthly Data'!F45</f>
        <v>59297</v>
      </c>
      <c r="R45" s="46">
        <f>'Monthly Data'!BH45</f>
        <v>31</v>
      </c>
      <c r="S45" s="44">
        <f t="shared" ca="1" si="4"/>
        <v>57499383.640354581</v>
      </c>
      <c r="T45" s="44">
        <f t="shared" ca="1" si="2"/>
        <v>4363299.9194698185</v>
      </c>
      <c r="U45" s="48">
        <f t="shared" ca="1" si="3"/>
        <v>8.211557220493565E-2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44">
        <f>'Monthly Data'!E46</f>
        <v>45426909.720884763</v>
      </c>
      <c r="E46" s="46">
        <f t="shared" ca="1" si="6"/>
        <v>0.49000000000000005</v>
      </c>
      <c r="F46" s="46">
        <f t="shared" ca="1" si="6"/>
        <v>132.95000000000002</v>
      </c>
      <c r="G46" s="29">
        <f>'Monthly Data'!BG46</f>
        <v>45</v>
      </c>
      <c r="H46" s="29">
        <f>'Monthly Data'!W46</f>
        <v>6843.3</v>
      </c>
      <c r="I46" s="29">
        <f>'Monthly Data'!BF46</f>
        <v>1</v>
      </c>
      <c r="K46" s="29">
        <f>'Res PW'!$B$6</f>
        <v>-4.4351669087570498</v>
      </c>
      <c r="L46" s="29">
        <f ca="1">E46*'Res PW'!$B$7</f>
        <v>3.8753787874521821E-3</v>
      </c>
      <c r="M46" s="29">
        <f ca="1">F46*'Res PW'!$B$8</f>
        <v>5.1508951913568337</v>
      </c>
      <c r="N46" s="29">
        <f>G46*'Res PW'!$B$9</f>
        <v>-2.0044342305574423</v>
      </c>
      <c r="O46" s="163">
        <f>H46*'Res PW'!$B$10</f>
        <v>28.431799006501564</v>
      </c>
      <c r="P46" s="29">
        <f>I46*'Res PW'!$B$11</f>
        <v>-1.18560218277844</v>
      </c>
      <c r="Q46" s="44">
        <f>'Monthly Data'!F46</f>
        <v>59374</v>
      </c>
      <c r="R46" s="46">
        <f>'Monthly Data'!BH46</f>
        <v>30</v>
      </c>
      <c r="S46" s="44">
        <f t="shared" ca="1" si="4"/>
        <v>46242904.799934752</v>
      </c>
      <c r="T46" s="44">
        <f t="shared" ca="1" si="2"/>
        <v>815995.07904998958</v>
      </c>
      <c r="U46" s="48">
        <f t="shared" ca="1" si="3"/>
        <v>1.7962812880376065E-2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44">
        <f>'Monthly Data'!E47</f>
        <v>42344925.720884763</v>
      </c>
      <c r="E47" s="46">
        <f t="shared" ref="E47:F62" ca="1" si="7">E35</f>
        <v>53.33000000000002</v>
      </c>
      <c r="F47" s="46">
        <f t="shared" ca="1" si="7"/>
        <v>27.9</v>
      </c>
      <c r="G47" s="29">
        <f>'Monthly Data'!BG47</f>
        <v>46</v>
      </c>
      <c r="H47" s="29">
        <f>'Monthly Data'!W47</f>
        <v>6850.3</v>
      </c>
      <c r="I47" s="29">
        <f>'Monthly Data'!BF47</f>
        <v>1</v>
      </c>
      <c r="K47" s="29">
        <f>'Res PW'!$B$6</f>
        <v>-4.4351669087570498</v>
      </c>
      <c r="L47" s="29">
        <f ca="1">E47*'Res PW'!$B$7</f>
        <v>0.42178357292821411</v>
      </c>
      <c r="M47" s="29">
        <f ca="1">F47*'Res PW'!$B$8</f>
        <v>1.0809324997281358</v>
      </c>
      <c r="N47" s="29">
        <f>G47*'Res PW'!$B$9</f>
        <v>-2.048977213458719</v>
      </c>
      <c r="O47" s="163">
        <f>H47*'Res PW'!$B$10</f>
        <v>28.460881845635534</v>
      </c>
      <c r="P47" s="29">
        <f>I47*'Res PW'!$B$11</f>
        <v>-1.18560218277844</v>
      </c>
      <c r="Q47" s="44">
        <f>'Monthly Data'!F47</f>
        <v>59424</v>
      </c>
      <c r="R47" s="46">
        <f>'Monthly Data'!BH47</f>
        <v>31</v>
      </c>
      <c r="S47" s="44">
        <f t="shared" ca="1" si="4"/>
        <v>41068484.986326635</v>
      </c>
      <c r="T47" s="44">
        <f t="shared" ca="1" si="2"/>
        <v>-1276440.7345581278</v>
      </c>
      <c r="U47" s="48">
        <f t="shared" ca="1" si="3"/>
        <v>3.0143888856288156E-2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44">
        <f>'Monthly Data'!E48</f>
        <v>41292979.720884763</v>
      </c>
      <c r="E48" s="46">
        <f t="shared" ca="1" si="7"/>
        <v>207.66000000000003</v>
      </c>
      <c r="F48" s="46">
        <f t="shared" ca="1" si="7"/>
        <v>0.69000000000000006</v>
      </c>
      <c r="G48" s="29">
        <f>'Monthly Data'!BG48</f>
        <v>47</v>
      </c>
      <c r="H48" s="29">
        <f>'Monthly Data'!W48</f>
        <v>6854</v>
      </c>
      <c r="I48" s="29">
        <f>'Monthly Data'!BF48</f>
        <v>1</v>
      </c>
      <c r="K48" s="29">
        <f>'Res PW'!$B$6</f>
        <v>-4.4351669087570498</v>
      </c>
      <c r="L48" s="29">
        <f ca="1">E48*'Res PW'!$B$7</f>
        <v>1.642369712249633</v>
      </c>
      <c r="M48" s="29">
        <f ca="1">F48*'Res PW'!$B$8</f>
        <v>2.6732739240588305E-2</v>
      </c>
      <c r="N48" s="29">
        <f>G48*'Res PW'!$B$9</f>
        <v>-2.0935201963599956</v>
      </c>
      <c r="O48" s="163">
        <f>H48*'Res PW'!$B$10</f>
        <v>28.47625420346349</v>
      </c>
      <c r="P48" s="29">
        <f>I48*'Res PW'!$B$11</f>
        <v>-1.18560218277844</v>
      </c>
      <c r="Q48" s="44">
        <f>'Monthly Data'!F48</f>
        <v>59441</v>
      </c>
      <c r="R48" s="46">
        <f>'Monthly Data'!BH48</f>
        <v>30</v>
      </c>
      <c r="S48" s="44">
        <f t="shared" ca="1" si="4"/>
        <v>39999752.260959238</v>
      </c>
      <c r="T48" s="44">
        <f t="shared" ca="1" si="2"/>
        <v>-1293227.4599255249</v>
      </c>
      <c r="U48" s="48">
        <f t="shared" ca="1" si="3"/>
        <v>3.1318337128174084E-2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44">
        <f>'Monthly Data'!E49</f>
        <v>46594417.720884763</v>
      </c>
      <c r="E49" s="46">
        <f t="shared" ca="1" si="7"/>
        <v>351.65000000000003</v>
      </c>
      <c r="F49" s="46">
        <f t="shared" ca="1" si="7"/>
        <v>0</v>
      </c>
      <c r="G49" s="29">
        <f>'Monthly Data'!BG49</f>
        <v>48</v>
      </c>
      <c r="H49" s="29">
        <f>'Monthly Data'!W49</f>
        <v>6850.4</v>
      </c>
      <c r="I49" s="29">
        <f>'Monthly Data'!BF49</f>
        <v>0</v>
      </c>
      <c r="K49" s="29">
        <f>'Res PW'!$B$6</f>
        <v>-4.4351669087570498</v>
      </c>
      <c r="L49" s="29">
        <f ca="1">E49*'Res PW'!$B$7</f>
        <v>2.7811774502195097</v>
      </c>
      <c r="M49" s="29">
        <f ca="1">F49*'Res PW'!$B$8</f>
        <v>0</v>
      </c>
      <c r="N49" s="29">
        <f>G49*'Res PW'!$B$9</f>
        <v>-2.1380631792612719</v>
      </c>
      <c r="O49" s="163">
        <f>H49*'Res PW'!$B$10</f>
        <v>28.461297314766018</v>
      </c>
      <c r="P49" s="29">
        <f>I49*'Res PW'!$B$11</f>
        <v>0</v>
      </c>
      <c r="Q49" s="44">
        <f>'Monthly Data'!F49</f>
        <v>59649</v>
      </c>
      <c r="R49" s="46">
        <f>'Monthly Data'!BH49</f>
        <v>31</v>
      </c>
      <c r="S49" s="44">
        <f t="shared" ca="1" si="4"/>
        <v>45616369.047828928</v>
      </c>
      <c r="T49" s="44">
        <f t="shared" ca="1" si="2"/>
        <v>-978048.67305583507</v>
      </c>
      <c r="U49" s="48">
        <f t="shared" ca="1" si="3"/>
        <v>2.0990683452997625E-2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44">
        <f>'Monthly Data'!E50</f>
        <v>51200778.571841165</v>
      </c>
      <c r="E50" s="46">
        <f t="shared" ca="1" si="7"/>
        <v>477.14</v>
      </c>
      <c r="F50" s="46">
        <f t="shared" ca="1" si="7"/>
        <v>0</v>
      </c>
      <c r="G50" s="29">
        <f>'Monthly Data'!BG50</f>
        <v>49</v>
      </c>
      <c r="H50" s="29">
        <f>'Monthly Data'!W50</f>
        <v>6848.3</v>
      </c>
      <c r="I50" s="29">
        <f>'Monthly Data'!BF50</f>
        <v>0</v>
      </c>
      <c r="K50" s="29">
        <f>'Res PW'!$B$6</f>
        <v>-4.4351669087570498</v>
      </c>
      <c r="L50" s="29">
        <f ca="1">E50*'Res PW'!$B$7</f>
        <v>3.7736698666223143</v>
      </c>
      <c r="M50" s="29">
        <f ca="1">F50*'Res PW'!$B$8</f>
        <v>0</v>
      </c>
      <c r="N50" s="29">
        <f>G50*'Res PW'!$B$9</f>
        <v>-2.1826061621625485</v>
      </c>
      <c r="O50" s="163">
        <f>H50*'Res PW'!$B$10</f>
        <v>28.452572463025827</v>
      </c>
      <c r="P50" s="29">
        <f>I50*'Res PW'!$B$11</f>
        <v>0</v>
      </c>
      <c r="Q50" s="44">
        <f>'Monthly Data'!F50</f>
        <v>59671</v>
      </c>
      <c r="R50" s="46">
        <f>'Monthly Data'!BH50</f>
        <v>31</v>
      </c>
      <c r="S50" s="44">
        <f t="shared" ca="1" si="4"/>
        <v>47370572.04326532</v>
      </c>
      <c r="T50" s="44">
        <f t="shared" ca="1" si="2"/>
        <v>-3830206.5285758451</v>
      </c>
      <c r="U50" s="48">
        <f t="shared" ca="1" si="3"/>
        <v>7.4807583701126362E-2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44">
        <f>'Monthly Data'!E51</f>
        <v>43486614.571841165</v>
      </c>
      <c r="E51" s="46">
        <f t="shared" ca="1" si="7"/>
        <v>417.05</v>
      </c>
      <c r="F51" s="46">
        <f t="shared" ca="1" si="7"/>
        <v>0</v>
      </c>
      <c r="G51" s="29">
        <f>'Monthly Data'!BG51</f>
        <v>50</v>
      </c>
      <c r="H51" s="29">
        <f>'Monthly Data'!W51</f>
        <v>6850</v>
      </c>
      <c r="I51" s="29">
        <f>'Monthly Data'!BF51</f>
        <v>0</v>
      </c>
      <c r="K51" s="29">
        <f>'Res PW'!$B$6</f>
        <v>-4.4351669087570498</v>
      </c>
      <c r="L51" s="29">
        <f ca="1">E51*'Res PW'!$B$7</f>
        <v>3.2984218842998621</v>
      </c>
      <c r="M51" s="29">
        <f ca="1">F51*'Res PW'!$B$8</f>
        <v>0</v>
      </c>
      <c r="N51" s="29">
        <f>G51*'Res PW'!$B$9</f>
        <v>-2.2271491450638248</v>
      </c>
      <c r="O51" s="163">
        <f>H51*'Res PW'!$B$10</f>
        <v>28.459635438244078</v>
      </c>
      <c r="P51" s="29">
        <f>I51*'Res PW'!$B$11</f>
        <v>0</v>
      </c>
      <c r="Q51" s="44">
        <f>'Monthly Data'!F51</f>
        <v>59674</v>
      </c>
      <c r="R51" s="46">
        <f>'Monthly Data'!BH51</f>
        <v>28</v>
      </c>
      <c r="S51" s="44">
        <f t="shared" ca="1" si="4"/>
        <v>41931771.405153848</v>
      </c>
      <c r="T51" s="44">
        <f t="shared" ca="1" si="2"/>
        <v>-1554843.1666873172</v>
      </c>
      <c r="U51" s="48">
        <f t="shared" ca="1" si="3"/>
        <v>3.5754523133059039E-2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44">
        <f>'Monthly Data'!E52</f>
        <v>44184194.571841165</v>
      </c>
      <c r="E52" s="46">
        <f t="shared" ca="1" si="7"/>
        <v>332.70999999999992</v>
      </c>
      <c r="F52" s="46">
        <f t="shared" ca="1" si="7"/>
        <v>3.0000000000000072E-2</v>
      </c>
      <c r="G52" s="29">
        <f>'Monthly Data'!BG52</f>
        <v>51</v>
      </c>
      <c r="H52" s="29">
        <f>'Monthly Data'!W52</f>
        <v>6856.4</v>
      </c>
      <c r="I52" s="29">
        <f>'Monthly Data'!BF52</f>
        <v>1</v>
      </c>
      <c r="K52" s="29">
        <f>'Res PW'!$B$6</f>
        <v>-4.4351669087570498</v>
      </c>
      <c r="L52" s="29">
        <f ca="1">E52*'Res PW'!$B$7</f>
        <v>2.6313821966800308</v>
      </c>
      <c r="M52" s="29">
        <f ca="1">F52*'Res PW'!$B$8</f>
        <v>1.1622930104603637E-3</v>
      </c>
      <c r="N52" s="29">
        <f>G52*'Res PW'!$B$9</f>
        <v>-2.2716921279651014</v>
      </c>
      <c r="O52" s="163">
        <f>H52*'Res PW'!$B$10</f>
        <v>28.486225462595137</v>
      </c>
      <c r="P52" s="29">
        <f>I52*'Res PW'!$B$11</f>
        <v>-1.18560218277844</v>
      </c>
      <c r="Q52" s="44">
        <f>'Monthly Data'!F52</f>
        <v>59687</v>
      </c>
      <c r="R52" s="46">
        <f>'Monthly Data'!BH52</f>
        <v>31</v>
      </c>
      <c r="S52" s="44">
        <f t="shared" ca="1" si="4"/>
        <v>42975569.369345956</v>
      </c>
      <c r="T52" s="44">
        <f t="shared" ca="1" si="2"/>
        <v>-1208625.2024952099</v>
      </c>
      <c r="U52" s="48">
        <f t="shared" ca="1" si="3"/>
        <v>2.7354243167883239E-2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44">
        <f>'Monthly Data'!E53</f>
        <v>38731453.571841165</v>
      </c>
      <c r="E53" s="46">
        <f t="shared" ca="1" si="7"/>
        <v>164.53999999999996</v>
      </c>
      <c r="F53" s="46">
        <f t="shared" ca="1" si="7"/>
        <v>1.45</v>
      </c>
      <c r="G53" s="29">
        <f>'Monthly Data'!BG53</f>
        <v>52</v>
      </c>
      <c r="H53" s="29">
        <f>'Monthly Data'!W53</f>
        <v>6869.6</v>
      </c>
      <c r="I53" s="29">
        <f>'Monthly Data'!BF53</f>
        <v>1</v>
      </c>
      <c r="K53" s="29">
        <f>'Res PW'!$B$6</f>
        <v>-4.4351669087570498</v>
      </c>
      <c r="L53" s="29">
        <f ca="1">E53*'Res PW'!$B$7</f>
        <v>1.3013363789538406</v>
      </c>
      <c r="M53" s="29">
        <f ca="1">F53*'Res PW'!$B$8</f>
        <v>5.617749550558411E-2</v>
      </c>
      <c r="N53" s="29">
        <f>G53*'Res PW'!$B$9</f>
        <v>-2.3162351108663781</v>
      </c>
      <c r="O53" s="163">
        <f>H53*'Res PW'!$B$10</f>
        <v>28.541067387819201</v>
      </c>
      <c r="P53" s="29">
        <f>I53*'Res PW'!$B$11</f>
        <v>-1.18560218277844</v>
      </c>
      <c r="Q53" s="44">
        <f>'Monthly Data'!F53</f>
        <v>59679</v>
      </c>
      <c r="R53" s="46">
        <f>'Monthly Data'!BH53</f>
        <v>30</v>
      </c>
      <c r="S53" s="44">
        <f t="shared" ca="1" si="4"/>
        <v>39319348.720691554</v>
      </c>
      <c r="T53" s="44">
        <f t="shared" ca="1" si="2"/>
        <v>587895.14885038882</v>
      </c>
      <c r="U53" s="48">
        <f t="shared" ca="1" si="3"/>
        <v>1.5178752528869839E-2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44">
        <f>'Monthly Data'!E54</f>
        <v>40675001.571841165</v>
      </c>
      <c r="E54" s="46">
        <f t="shared" ca="1" si="7"/>
        <v>35.92</v>
      </c>
      <c r="F54" s="46">
        <f t="shared" ca="1" si="7"/>
        <v>50.69</v>
      </c>
      <c r="G54" s="29">
        <f>'Monthly Data'!BG54</f>
        <v>53</v>
      </c>
      <c r="H54" s="29">
        <f>'Monthly Data'!W54</f>
        <v>6870.6</v>
      </c>
      <c r="I54" s="29">
        <f>'Monthly Data'!BF54</f>
        <v>1</v>
      </c>
      <c r="K54" s="29">
        <f>'Res PW'!$B$6</f>
        <v>-4.4351669087570498</v>
      </c>
      <c r="L54" s="29">
        <f ca="1">E54*'Res PW'!$B$7</f>
        <v>0.28408899192914772</v>
      </c>
      <c r="M54" s="29">
        <f ca="1">F54*'Res PW'!$B$8</f>
        <v>1.9638877566745232</v>
      </c>
      <c r="N54" s="29">
        <f>G54*'Res PW'!$B$9</f>
        <v>-2.3607780937676544</v>
      </c>
      <c r="O54" s="163">
        <f>H54*'Res PW'!$B$10</f>
        <v>28.545222079124052</v>
      </c>
      <c r="P54" s="29">
        <f>I54*'Res PW'!$B$11</f>
        <v>-1.18560218277844</v>
      </c>
      <c r="Q54" s="44">
        <f>'Monthly Data'!F54</f>
        <v>59689</v>
      </c>
      <c r="R54" s="46">
        <f>'Monthly Data'!BH54</f>
        <v>31</v>
      </c>
      <c r="S54" s="44">
        <f t="shared" ca="1" si="4"/>
        <v>42209744.921425104</v>
      </c>
      <c r="T54" s="44">
        <f t="shared" ca="1" si="2"/>
        <v>1534743.3495839387</v>
      </c>
      <c r="U54" s="48">
        <f t="shared" ca="1" si="3"/>
        <v>3.7731857167189978E-2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44">
        <f>'Monthly Data'!E55</f>
        <v>45459103.571841165</v>
      </c>
      <c r="E55" s="46">
        <f t="shared" ca="1" si="7"/>
        <v>0.37999999999999989</v>
      </c>
      <c r="F55" s="46">
        <f t="shared" ca="1" si="7"/>
        <v>145.17999999999998</v>
      </c>
      <c r="G55" s="29">
        <f>'Monthly Data'!BG55</f>
        <v>54</v>
      </c>
      <c r="H55" s="29">
        <f>'Monthly Data'!W55</f>
        <v>6865.4</v>
      </c>
      <c r="I55" s="29">
        <f>'Monthly Data'!BF55</f>
        <v>0</v>
      </c>
      <c r="K55" s="29">
        <f>'Res PW'!$B$6</f>
        <v>-4.4351669087570498</v>
      </c>
      <c r="L55" s="29">
        <f ca="1">E55*'Res PW'!$B$7</f>
        <v>3.0053957943506709E-3</v>
      </c>
      <c r="M55" s="29">
        <f ca="1">F55*'Res PW'!$B$8</f>
        <v>5.6247233086211725</v>
      </c>
      <c r="N55" s="29">
        <f>G55*'Res PW'!$B$9</f>
        <v>-2.405321076668931</v>
      </c>
      <c r="O55" s="163">
        <f>H55*'Res PW'!$B$10</f>
        <v>28.523617684338813</v>
      </c>
      <c r="P55" s="29">
        <f>I55*'Res PW'!$B$11</f>
        <v>0</v>
      </c>
      <c r="Q55" s="44">
        <f>'Monthly Data'!F55</f>
        <v>59798</v>
      </c>
      <c r="R55" s="46">
        <f>'Monthly Data'!BH55</f>
        <v>30</v>
      </c>
      <c r="S55" s="44">
        <f t="shared" ca="1" si="4"/>
        <v>48994041.32406687</v>
      </c>
      <c r="T55" s="44">
        <f t="shared" ca="1" si="2"/>
        <v>3534937.7522257045</v>
      </c>
      <c r="U55" s="48">
        <f t="shared" ca="1" si="3"/>
        <v>7.7760832803033073E-2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44">
        <f>'Monthly Data'!E56</f>
        <v>51897622.571841165</v>
      </c>
      <c r="E56" s="46">
        <f t="shared" ca="1" si="7"/>
        <v>0</v>
      </c>
      <c r="F56" s="46">
        <f t="shared" ca="1" si="7"/>
        <v>268.18999999999994</v>
      </c>
      <c r="G56" s="29">
        <f>'Monthly Data'!BG56</f>
        <v>55</v>
      </c>
      <c r="H56" s="29">
        <f>'Monthly Data'!W56</f>
        <v>6864.4</v>
      </c>
      <c r="I56" s="29">
        <f>'Monthly Data'!BF56</f>
        <v>0</v>
      </c>
      <c r="K56" s="29">
        <f>'Res PW'!$B$6</f>
        <v>-4.4351669087570498</v>
      </c>
      <c r="L56" s="29">
        <f ca="1">E56*'Res PW'!$B$7</f>
        <v>0</v>
      </c>
      <c r="M56" s="29">
        <f ca="1">F56*'Res PW'!$B$8</f>
        <v>10.390512082512139</v>
      </c>
      <c r="N56" s="29">
        <f>G56*'Res PW'!$B$9</f>
        <v>-2.4498640595702077</v>
      </c>
      <c r="O56" s="163">
        <f>H56*'Res PW'!$B$10</f>
        <v>28.519462993033962</v>
      </c>
      <c r="P56" s="29">
        <f>I56*'Res PW'!$B$11</f>
        <v>0</v>
      </c>
      <c r="Q56" s="44">
        <f>'Monthly Data'!F56</f>
        <v>59907</v>
      </c>
      <c r="R56" s="46">
        <f>'Monthly Data'!BH56</f>
        <v>31</v>
      </c>
      <c r="S56" s="44">
        <f t="shared" ca="1" si="4"/>
        <v>59474068.125565939</v>
      </c>
      <c r="T56" s="44">
        <f t="shared" ca="1" si="2"/>
        <v>7576445.5537247732</v>
      </c>
      <c r="U56" s="48">
        <f t="shared" ca="1" si="3"/>
        <v>0.14598829731047513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44">
        <f>'Monthly Data'!E57</f>
        <v>50248064.571841165</v>
      </c>
      <c r="E57" s="46">
        <f t="shared" ca="1" si="7"/>
        <v>0</v>
      </c>
      <c r="F57" s="46">
        <f t="shared" ca="1" si="7"/>
        <v>239.59000000000006</v>
      </c>
      <c r="G57" s="29">
        <f>'Monthly Data'!BG57</f>
        <v>56</v>
      </c>
      <c r="H57" s="29">
        <f>'Monthly Data'!W57</f>
        <v>6869.9</v>
      </c>
      <c r="I57" s="29">
        <f>'Monthly Data'!BF57</f>
        <v>0</v>
      </c>
      <c r="K57" s="29">
        <f>'Res PW'!$B$6</f>
        <v>-4.4351669087570498</v>
      </c>
      <c r="L57" s="29">
        <f ca="1">E57*'Res PW'!$B$7</f>
        <v>0</v>
      </c>
      <c r="M57" s="29">
        <f ca="1">F57*'Res PW'!$B$8</f>
        <v>9.2824594125399322</v>
      </c>
      <c r="N57" s="29">
        <f>G57*'Res PW'!$B$9</f>
        <v>-2.4944070424714839</v>
      </c>
      <c r="O57" s="163">
        <f>H57*'Res PW'!$B$10</f>
        <v>28.542313795210653</v>
      </c>
      <c r="P57" s="29">
        <f>I57*'Res PW'!$B$11</f>
        <v>0</v>
      </c>
      <c r="Q57" s="44">
        <f>'Monthly Data'!F57</f>
        <v>59924</v>
      </c>
      <c r="R57" s="46">
        <f>'Monthly Data'!BH57</f>
        <v>31</v>
      </c>
      <c r="S57" s="44">
        <f t="shared" ca="1" si="4"/>
        <v>57392281.527682655</v>
      </c>
      <c r="T57" s="44">
        <f t="shared" ca="1" si="2"/>
        <v>7144216.9558414891</v>
      </c>
      <c r="U57" s="48">
        <f t="shared" ca="1" si="3"/>
        <v>0.14217894792001765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44">
        <f>'Monthly Data'!E58</f>
        <v>43927568.571841165</v>
      </c>
      <c r="E58" s="46">
        <f t="shared" ca="1" si="7"/>
        <v>0.49000000000000005</v>
      </c>
      <c r="F58" s="46">
        <f t="shared" ca="1" si="7"/>
        <v>132.95000000000002</v>
      </c>
      <c r="G58" s="29">
        <f>'Monthly Data'!BG58</f>
        <v>57</v>
      </c>
      <c r="H58" s="29">
        <f>'Monthly Data'!W58</f>
        <v>6884.5</v>
      </c>
      <c r="I58" s="29">
        <f>'Monthly Data'!BF58</f>
        <v>1</v>
      </c>
      <c r="K58" s="29">
        <f>'Res PW'!$B$6</f>
        <v>-4.4351669087570498</v>
      </c>
      <c r="L58" s="29">
        <f ca="1">E58*'Res PW'!$B$7</f>
        <v>3.8753787874521821E-3</v>
      </c>
      <c r="M58" s="29">
        <f ca="1">F58*'Res PW'!$B$8</f>
        <v>5.1508951913568337</v>
      </c>
      <c r="N58" s="29">
        <f>G58*'Res PW'!$B$9</f>
        <v>-2.5389500253727606</v>
      </c>
      <c r="O58" s="163">
        <f>H58*'Res PW'!$B$10</f>
        <v>28.602972288261512</v>
      </c>
      <c r="P58" s="29">
        <f>I58*'Res PW'!$B$11</f>
        <v>-1.18560218277844</v>
      </c>
      <c r="Q58" s="44">
        <f>'Monthly Data'!F58</f>
        <v>59924</v>
      </c>
      <c r="R58" s="46">
        <f>'Monthly Data'!BH58</f>
        <v>30</v>
      </c>
      <c r="S58" s="44">
        <f t="shared" ca="1" si="4"/>
        <v>46018079.240564972</v>
      </c>
      <c r="T58" s="44">
        <f t="shared" ca="1" si="2"/>
        <v>2090510.6687238067</v>
      </c>
      <c r="U58" s="48">
        <f t="shared" ca="1" si="3"/>
        <v>4.7589947194661808E-2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44">
        <f>'Monthly Data'!E59</f>
        <v>41698922.571841165</v>
      </c>
      <c r="E59" s="46">
        <f t="shared" ca="1" si="7"/>
        <v>53.33000000000002</v>
      </c>
      <c r="F59" s="46">
        <f t="shared" ca="1" si="7"/>
        <v>27.9</v>
      </c>
      <c r="G59" s="29">
        <f>'Monthly Data'!BG59</f>
        <v>58</v>
      </c>
      <c r="H59" s="29">
        <f>'Monthly Data'!W59</f>
        <v>6901.5</v>
      </c>
      <c r="I59" s="29">
        <f>'Monthly Data'!BF59</f>
        <v>1</v>
      </c>
      <c r="K59" s="29">
        <f>'Res PW'!$B$6</f>
        <v>-4.4351669087570498</v>
      </c>
      <c r="L59" s="29">
        <f ca="1">E59*'Res PW'!$B$7</f>
        <v>0.42178357292821411</v>
      </c>
      <c r="M59" s="29">
        <f ca="1">F59*'Res PW'!$B$8</f>
        <v>1.0809324997281358</v>
      </c>
      <c r="N59" s="29">
        <f>G59*'Res PW'!$B$9</f>
        <v>-2.5834930082740368</v>
      </c>
      <c r="O59" s="163">
        <f>H59*'Res PW'!$B$10</f>
        <v>28.673602040444013</v>
      </c>
      <c r="P59" s="29">
        <f>I59*'Res PW'!$B$11</f>
        <v>-1.18560218277844</v>
      </c>
      <c r="Q59" s="44">
        <f>'Monthly Data'!F59</f>
        <v>59943</v>
      </c>
      <c r="R59" s="46">
        <f>'Monthly Data'!BH59</f>
        <v>31</v>
      </c>
      <c r="S59" s="44">
        <f t="shared" ca="1" si="4"/>
        <v>40829199.561745472</v>
      </c>
      <c r="T59" s="44">
        <f t="shared" ca="1" si="2"/>
        <v>-869723.01009569317</v>
      </c>
      <c r="U59" s="48">
        <f t="shared" ca="1" si="3"/>
        <v>2.0857205809029892E-2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44">
        <f>'Monthly Data'!E60</f>
        <v>40599034.571841165</v>
      </c>
      <c r="E60" s="46">
        <f t="shared" ca="1" si="7"/>
        <v>207.66000000000003</v>
      </c>
      <c r="F60" s="46">
        <f t="shared" ca="1" si="7"/>
        <v>0.69000000000000006</v>
      </c>
      <c r="G60" s="29">
        <f>'Monthly Data'!BG60</f>
        <v>59</v>
      </c>
      <c r="H60" s="29">
        <f>'Monthly Data'!W60</f>
        <v>6907.5</v>
      </c>
      <c r="I60" s="29">
        <f>'Monthly Data'!BF60</f>
        <v>1</v>
      </c>
      <c r="K60" s="29">
        <f>'Res PW'!$B$6</f>
        <v>-4.4351669087570498</v>
      </c>
      <c r="L60" s="29">
        <f ca="1">E60*'Res PW'!$B$7</f>
        <v>1.642369712249633</v>
      </c>
      <c r="M60" s="29">
        <f ca="1">F60*'Res PW'!$B$8</f>
        <v>2.6732739240588305E-2</v>
      </c>
      <c r="N60" s="29">
        <f>G60*'Res PW'!$B$9</f>
        <v>-2.6280359911753135</v>
      </c>
      <c r="O60" s="163">
        <f>H60*'Res PW'!$B$10</f>
        <v>28.698530188273132</v>
      </c>
      <c r="P60" s="29">
        <f>I60*'Res PW'!$B$11</f>
        <v>-1.18560218277844</v>
      </c>
      <c r="Q60" s="44">
        <f>'Monthly Data'!F60</f>
        <v>59983</v>
      </c>
      <c r="R60" s="46">
        <f>'Monthly Data'!BH60</f>
        <v>30</v>
      </c>
      <c r="S60" s="44">
        <f t="shared" ca="1" si="4"/>
        <v>39802609.000640497</v>
      </c>
      <c r="T60" s="44">
        <f t="shared" ca="1" si="2"/>
        <v>-796425.57120066881</v>
      </c>
      <c r="U60" s="48">
        <f t="shared" ca="1" si="3"/>
        <v>1.9616859849003816E-2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44">
        <f>'Monthly Data'!E61</f>
        <v>45189588.571841165</v>
      </c>
      <c r="E61" s="46">
        <f t="shared" ca="1" si="7"/>
        <v>351.65000000000003</v>
      </c>
      <c r="F61" s="46">
        <f t="shared" ca="1" si="7"/>
        <v>0</v>
      </c>
      <c r="G61" s="29">
        <f>'Monthly Data'!BG61</f>
        <v>60</v>
      </c>
      <c r="H61" s="29">
        <f>'Monthly Data'!W61</f>
        <v>6903.1</v>
      </c>
      <c r="I61" s="29">
        <f>'Monthly Data'!BF61</f>
        <v>0</v>
      </c>
      <c r="K61" s="29">
        <f>'Res PW'!$B$6</f>
        <v>-4.4351669087570498</v>
      </c>
      <c r="L61" s="29">
        <f ca="1">E61*'Res PW'!$B$7</f>
        <v>2.7811774502195097</v>
      </c>
      <c r="M61" s="29">
        <f ca="1">F61*'Res PW'!$B$8</f>
        <v>0</v>
      </c>
      <c r="N61" s="29">
        <f>G61*'Res PW'!$B$9</f>
        <v>-2.6725789740765902</v>
      </c>
      <c r="O61" s="163">
        <f>H61*'Res PW'!$B$10</f>
        <v>28.68024954653178</v>
      </c>
      <c r="P61" s="29">
        <f>I61*'Res PW'!$B$11</f>
        <v>0</v>
      </c>
      <c r="Q61" s="44">
        <f>'Monthly Data'!F61</f>
        <v>60014</v>
      </c>
      <c r="R61" s="46">
        <f>'Monthly Data'!BH61</f>
        <v>31</v>
      </c>
      <c r="S61" s="44">
        <f t="shared" ca="1" si="4"/>
        <v>45308416.369490266</v>
      </c>
      <c r="T61" s="44">
        <f t="shared" ca="1" si="2"/>
        <v>118827.79764910042</v>
      </c>
      <c r="U61" s="48">
        <f t="shared" ca="1" si="3"/>
        <v>2.6295392678822747E-3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44">
        <f>'Monthly Data'!E62</f>
        <v>49884340.383905195</v>
      </c>
      <c r="E62" s="46">
        <f t="shared" ca="1" si="7"/>
        <v>477.14</v>
      </c>
      <c r="F62" s="46">
        <f t="shared" ca="1" si="7"/>
        <v>0</v>
      </c>
      <c r="G62" s="29">
        <f>'Monthly Data'!BG62</f>
        <v>61</v>
      </c>
      <c r="H62" s="29">
        <f>'Monthly Data'!W62</f>
        <v>6885.7</v>
      </c>
      <c r="I62" s="29">
        <f>'Monthly Data'!BF62</f>
        <v>0</v>
      </c>
      <c r="K62" s="29">
        <f>'Res PW'!$B$6</f>
        <v>-4.4351669087570498</v>
      </c>
      <c r="L62" s="29">
        <f ca="1">E62*'Res PW'!$B$7</f>
        <v>3.7736698666223143</v>
      </c>
      <c r="M62" s="29">
        <f ca="1">F62*'Res PW'!$B$8</f>
        <v>0</v>
      </c>
      <c r="N62" s="29">
        <f>G62*'Res PW'!$B$9</f>
        <v>-2.7171219569778664</v>
      </c>
      <c r="O62" s="163">
        <f>H62*'Res PW'!$B$10</f>
        <v>28.607957917827335</v>
      </c>
      <c r="P62" s="29">
        <f>I62*'Res PW'!$B$11</f>
        <v>0</v>
      </c>
      <c r="Q62" s="44">
        <f>'Monthly Data'!F62</f>
        <v>60019</v>
      </c>
      <c r="R62" s="46">
        <f>'Monthly Data'!BH62</f>
        <v>31</v>
      </c>
      <c r="S62" s="44">
        <f t="shared" ca="1" si="4"/>
        <v>46941430.469432525</v>
      </c>
      <c r="T62" s="44">
        <f t="shared" ca="1" si="2"/>
        <v>-2942909.9144726694</v>
      </c>
      <c r="U62" s="48">
        <f t="shared" ca="1" si="3"/>
        <v>5.8994664293930944E-2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44">
        <f>'Monthly Data'!E63</f>
        <v>42980985.383905195</v>
      </c>
      <c r="E63" s="46">
        <f t="shared" ref="E63:F78" ca="1" si="8">E51</f>
        <v>417.05</v>
      </c>
      <c r="F63" s="46">
        <f t="shared" ca="1" si="8"/>
        <v>0</v>
      </c>
      <c r="G63" s="29">
        <f>'Monthly Data'!BG63</f>
        <v>62</v>
      </c>
      <c r="H63" s="29">
        <f>'Monthly Data'!W63</f>
        <v>6885.3</v>
      </c>
      <c r="I63" s="29">
        <f>'Monthly Data'!BF63</f>
        <v>0</v>
      </c>
      <c r="K63" s="29">
        <f>'Res PW'!$B$6</f>
        <v>-4.4351669087570498</v>
      </c>
      <c r="L63" s="29">
        <f ca="1">E63*'Res PW'!$B$7</f>
        <v>3.2984218842998621</v>
      </c>
      <c r="M63" s="29">
        <f ca="1">F63*'Res PW'!$B$8</f>
        <v>0</v>
      </c>
      <c r="N63" s="29">
        <f>G63*'Res PW'!$B$9</f>
        <v>-2.7616649398791431</v>
      </c>
      <c r="O63" s="163">
        <f>H63*'Res PW'!$B$10</f>
        <v>28.606296041305395</v>
      </c>
      <c r="P63" s="29">
        <f>I63*'Res PW'!$B$11</f>
        <v>0</v>
      </c>
      <c r="Q63" s="44">
        <f>'Monthly Data'!F63</f>
        <v>60029</v>
      </c>
      <c r="R63" s="46">
        <f>'Monthly Data'!BH63</f>
        <v>28</v>
      </c>
      <c r="S63" s="44">
        <f t="shared" ca="1" si="4"/>
        <v>41529311.412802525</v>
      </c>
      <c r="T63" s="44">
        <f t="shared" ca="1" si="2"/>
        <v>-1451673.9711026698</v>
      </c>
      <c r="U63" s="48">
        <f t="shared" ca="1" si="3"/>
        <v>3.3774795020085055E-2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44">
        <f>'Monthly Data'!E64</f>
        <v>43419024.383905195</v>
      </c>
      <c r="E64" s="46">
        <f t="shared" ca="1" si="8"/>
        <v>332.70999999999992</v>
      </c>
      <c r="F64" s="46">
        <f t="shared" ca="1" si="8"/>
        <v>3.0000000000000072E-2</v>
      </c>
      <c r="G64" s="29">
        <f>'Monthly Data'!BG64</f>
        <v>63</v>
      </c>
      <c r="H64" s="29">
        <f>'Monthly Data'!W64</f>
        <v>6892.1</v>
      </c>
      <c r="I64" s="29">
        <f>'Monthly Data'!BF64</f>
        <v>1</v>
      </c>
      <c r="K64" s="29">
        <f>'Res PW'!$B$6</f>
        <v>-4.4351669087570498</v>
      </c>
      <c r="L64" s="29">
        <f ca="1">E64*'Res PW'!$B$7</f>
        <v>2.6313821966800308</v>
      </c>
      <c r="M64" s="29">
        <f ca="1">F64*'Res PW'!$B$8</f>
        <v>1.1622930104603637E-3</v>
      </c>
      <c r="N64" s="29">
        <f>G64*'Res PW'!$B$9</f>
        <v>-2.8062079227804193</v>
      </c>
      <c r="O64" s="163">
        <f>H64*'Res PW'!$B$10</f>
        <v>28.634547942178397</v>
      </c>
      <c r="P64" s="29">
        <f>I64*'Res PW'!$B$11</f>
        <v>-1.18560218277844</v>
      </c>
      <c r="Q64" s="44">
        <f>'Monthly Data'!F64</f>
        <v>60053</v>
      </c>
      <c r="R64" s="46">
        <f>'Monthly Data'!BH64</f>
        <v>31</v>
      </c>
      <c r="S64" s="44">
        <f t="shared" ca="1" si="4"/>
        <v>42520140.986279584</v>
      </c>
      <c r="T64" s="44">
        <f t="shared" ca="1" si="2"/>
        <v>-898883.39762561023</v>
      </c>
      <c r="U64" s="48">
        <f t="shared" ca="1" si="3"/>
        <v>2.070252407511057E-2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44">
        <f>'Monthly Data'!E65</f>
        <v>38613457.383905195</v>
      </c>
      <c r="E65" s="46">
        <f t="shared" ca="1" si="8"/>
        <v>164.53999999999996</v>
      </c>
      <c r="F65" s="46">
        <f t="shared" ca="1" si="8"/>
        <v>1.45</v>
      </c>
      <c r="G65" s="29">
        <f>'Monthly Data'!BG65</f>
        <v>64</v>
      </c>
      <c r="H65" s="29">
        <f>'Monthly Data'!W65</f>
        <v>6897.3</v>
      </c>
      <c r="I65" s="29">
        <f>'Monthly Data'!BF65</f>
        <v>1</v>
      </c>
      <c r="K65" s="29">
        <f>'Res PW'!$B$6</f>
        <v>-4.4351669087570498</v>
      </c>
      <c r="L65" s="29">
        <f ca="1">E65*'Res PW'!$B$7</f>
        <v>1.3013363789538406</v>
      </c>
      <c r="M65" s="29">
        <f ca="1">F65*'Res PW'!$B$8</f>
        <v>5.617749550558411E-2</v>
      </c>
      <c r="N65" s="29">
        <f>G65*'Res PW'!$B$9</f>
        <v>-2.850750905681696</v>
      </c>
      <c r="O65" s="163">
        <f>H65*'Res PW'!$B$10</f>
        <v>28.656152336963633</v>
      </c>
      <c r="P65" s="29">
        <f>I65*'Res PW'!$B$11</f>
        <v>-1.18560218277844</v>
      </c>
      <c r="Q65" s="44">
        <f>'Monthly Data'!F65</f>
        <v>60058</v>
      </c>
      <c r="R65" s="46">
        <f>'Monthly Data'!BH65</f>
        <v>30</v>
      </c>
      <c r="S65" s="44">
        <f t="shared" ca="1" si="4"/>
        <v>38813346.519983284</v>
      </c>
      <c r="T65" s="44">
        <f t="shared" ca="1" si="2"/>
        <v>199889.13607808948</v>
      </c>
      <c r="U65" s="48">
        <f t="shared" ca="1" si="3"/>
        <v>5.1766702497199066E-3</v>
      </c>
    </row>
    <row r="66" spans="1:21" x14ac:dyDescent="0.2">
      <c r="A66" s="45">
        <f>'Monthly Data'!A66</f>
        <v>42125</v>
      </c>
      <c r="B66" s="29">
        <f t="shared" ref="B66:B129" si="9">YEAR(A66)</f>
        <v>2015</v>
      </c>
      <c r="C66" s="29">
        <f t="shared" ref="C66:C129" si="10">MONTH(A66)</f>
        <v>5</v>
      </c>
      <c r="D66" s="44">
        <f>'Monthly Data'!E66</f>
        <v>40763108.383905195</v>
      </c>
      <c r="E66" s="46">
        <f t="shared" ca="1" si="8"/>
        <v>35.92</v>
      </c>
      <c r="F66" s="46">
        <f t="shared" ca="1" si="8"/>
        <v>50.69</v>
      </c>
      <c r="G66" s="29">
        <f>'Monthly Data'!BG66</f>
        <v>65</v>
      </c>
      <c r="H66" s="29">
        <f>'Monthly Data'!W66</f>
        <v>6906.5</v>
      </c>
      <c r="I66" s="29">
        <f>'Monthly Data'!BF66</f>
        <v>1</v>
      </c>
      <c r="K66" s="29">
        <f>'Res PW'!$B$6</f>
        <v>-4.4351669087570498</v>
      </c>
      <c r="L66" s="29">
        <f ca="1">E66*'Res PW'!$B$7</f>
        <v>0.28408899192914772</v>
      </c>
      <c r="M66" s="29">
        <f ca="1">F66*'Res PW'!$B$8</f>
        <v>1.9638877566745232</v>
      </c>
      <c r="N66" s="29">
        <f>G66*'Res PW'!$B$9</f>
        <v>-2.8952938885829727</v>
      </c>
      <c r="O66" s="163">
        <f>H66*'Res PW'!$B$10</f>
        <v>28.694375496968281</v>
      </c>
      <c r="P66" s="29">
        <f>I66*'Res PW'!$B$11</f>
        <v>-1.18560218277844</v>
      </c>
      <c r="Q66" s="44">
        <f>'Monthly Data'!F66</f>
        <v>60068</v>
      </c>
      <c r="R66" s="46">
        <f>'Monthly Data'!BH66</f>
        <v>31</v>
      </c>
      <c r="S66" s="44">
        <f t="shared" ca="1" si="4"/>
        <v>41760172.651515067</v>
      </c>
      <c r="T66" s="44">
        <f t="shared" ca="1" si="2"/>
        <v>997064.26760987192</v>
      </c>
      <c r="U66" s="48">
        <f t="shared" ca="1" si="3"/>
        <v>2.4459966551607492E-2</v>
      </c>
    </row>
    <row r="67" spans="1:21" x14ac:dyDescent="0.2">
      <c r="A67" s="45">
        <f>'Monthly Data'!A67</f>
        <v>42156</v>
      </c>
      <c r="B67" s="29">
        <f t="shared" si="9"/>
        <v>2015</v>
      </c>
      <c r="C67" s="29">
        <f t="shared" si="10"/>
        <v>6</v>
      </c>
      <c r="D67" s="44">
        <f>'Monthly Data'!E67</f>
        <v>46119249.383905195</v>
      </c>
      <c r="E67" s="46">
        <f t="shared" ca="1" si="8"/>
        <v>0.37999999999999989</v>
      </c>
      <c r="F67" s="46">
        <f t="shared" ca="1" si="8"/>
        <v>145.17999999999998</v>
      </c>
      <c r="G67" s="29">
        <f>'Monthly Data'!BG67</f>
        <v>66</v>
      </c>
      <c r="H67" s="29">
        <f>'Monthly Data'!W67</f>
        <v>6921.3</v>
      </c>
      <c r="I67" s="29">
        <f>'Monthly Data'!BF67</f>
        <v>0</v>
      </c>
      <c r="K67" s="29">
        <f>'Res PW'!$B$6</f>
        <v>-4.4351669087570498</v>
      </c>
      <c r="L67" s="29">
        <f ca="1">E67*'Res PW'!$B$7</f>
        <v>3.0053957943506709E-3</v>
      </c>
      <c r="M67" s="29">
        <f ca="1">F67*'Res PW'!$B$8</f>
        <v>5.6247233086211725</v>
      </c>
      <c r="N67" s="29">
        <f>G67*'Res PW'!$B$9</f>
        <v>-2.9398368714842489</v>
      </c>
      <c r="O67" s="163">
        <f>H67*'Res PW'!$B$10</f>
        <v>28.755864928280108</v>
      </c>
      <c r="P67" s="29">
        <f>I67*'Res PW'!$B$11</f>
        <v>0</v>
      </c>
      <c r="Q67" s="44">
        <f>'Monthly Data'!F67</f>
        <v>60094</v>
      </c>
      <c r="R67" s="46">
        <f>'Monthly Data'!BH67</f>
        <v>30</v>
      </c>
      <c r="S67" s="44">
        <f t="shared" ca="1" si="4"/>
        <v>48691625.957801715</v>
      </c>
      <c r="T67" s="44">
        <f t="shared" ca="1" si="2"/>
        <v>2572376.5738965198</v>
      </c>
      <c r="U67" s="48">
        <f t="shared" ca="1" si="3"/>
        <v>5.5776635748851409E-2</v>
      </c>
    </row>
    <row r="68" spans="1:21" x14ac:dyDescent="0.2">
      <c r="A68" s="45">
        <f>'Monthly Data'!A68</f>
        <v>42186</v>
      </c>
      <c r="B68" s="29">
        <f t="shared" si="9"/>
        <v>2015</v>
      </c>
      <c r="C68" s="29">
        <f t="shared" si="10"/>
        <v>7</v>
      </c>
      <c r="D68" s="44">
        <f>'Monthly Data'!E68</f>
        <v>54424085.383905195</v>
      </c>
      <c r="E68" s="46">
        <f t="shared" ca="1" si="8"/>
        <v>0</v>
      </c>
      <c r="F68" s="46">
        <f t="shared" ca="1" si="8"/>
        <v>268.18999999999994</v>
      </c>
      <c r="G68" s="29">
        <f>'Monthly Data'!BG68</f>
        <v>67</v>
      </c>
      <c r="H68" s="29">
        <f>'Monthly Data'!W68</f>
        <v>6941.2</v>
      </c>
      <c r="I68" s="29">
        <f>'Monthly Data'!BF68</f>
        <v>0</v>
      </c>
      <c r="K68" s="29">
        <f>'Res PW'!$B$6</f>
        <v>-4.4351669087570498</v>
      </c>
      <c r="L68" s="29">
        <f ca="1">E68*'Res PW'!$B$7</f>
        <v>0</v>
      </c>
      <c r="M68" s="29">
        <f ca="1">F68*'Res PW'!$B$8</f>
        <v>10.390512082512139</v>
      </c>
      <c r="N68" s="29">
        <f>G68*'Res PW'!$B$9</f>
        <v>-2.9843798543855256</v>
      </c>
      <c r="O68" s="163">
        <f>H68*'Res PW'!$B$10</f>
        <v>28.838543285246683</v>
      </c>
      <c r="P68" s="29">
        <f>I68*'Res PW'!$B$11</f>
        <v>0</v>
      </c>
      <c r="Q68" s="44">
        <f>'Monthly Data'!F68</f>
        <v>60096</v>
      </c>
      <c r="R68" s="46">
        <f>'Monthly Data'!BH68</f>
        <v>31</v>
      </c>
      <c r="S68" s="44">
        <f t="shared" ref="S68:S127" ca="1" si="11">SUM(K68:P68)*R68*Q68</f>
        <v>59260351.102193564</v>
      </c>
      <c r="T68" s="44">
        <f t="shared" ref="T68:T121" ca="1" si="12">S68-D68</f>
        <v>4836265.7182883695</v>
      </c>
      <c r="U68" s="48">
        <f t="shared" ref="U68:U121" ca="1" si="13">ABS(T68/D68)</f>
        <v>8.886259978782475E-2</v>
      </c>
    </row>
    <row r="69" spans="1:21" x14ac:dyDescent="0.2">
      <c r="A69" s="45">
        <f>'Monthly Data'!A69</f>
        <v>42217</v>
      </c>
      <c r="B69" s="29">
        <f t="shared" si="9"/>
        <v>2015</v>
      </c>
      <c r="C69" s="29">
        <f t="shared" si="10"/>
        <v>8</v>
      </c>
      <c r="D69" s="44">
        <f>'Monthly Data'!E69</f>
        <v>55134636.383905195</v>
      </c>
      <c r="E69" s="46">
        <f t="shared" ca="1" si="8"/>
        <v>0</v>
      </c>
      <c r="F69" s="46">
        <f t="shared" ca="1" si="8"/>
        <v>239.59000000000006</v>
      </c>
      <c r="G69" s="29">
        <f>'Monthly Data'!BG69</f>
        <v>68</v>
      </c>
      <c r="H69" s="29">
        <f>'Monthly Data'!W69</f>
        <v>6949.2</v>
      </c>
      <c r="I69" s="29">
        <f>'Monthly Data'!BF69</f>
        <v>0</v>
      </c>
      <c r="K69" s="29">
        <f>'Res PW'!$B$6</f>
        <v>-4.4351669087570498</v>
      </c>
      <c r="L69" s="29">
        <f ca="1">E69*'Res PW'!$B$7</f>
        <v>0</v>
      </c>
      <c r="M69" s="29">
        <f ca="1">F69*'Res PW'!$B$8</f>
        <v>9.2824594125399322</v>
      </c>
      <c r="N69" s="29">
        <f>G69*'Res PW'!$B$9</f>
        <v>-3.0289228372868018</v>
      </c>
      <c r="O69" s="163">
        <f>H69*'Res PW'!$B$10</f>
        <v>28.871780815685508</v>
      </c>
      <c r="P69" s="29">
        <f>I69*'Res PW'!$B$11</f>
        <v>0</v>
      </c>
      <c r="Q69" s="44">
        <f>'Monthly Data'!F69</f>
        <v>60131</v>
      </c>
      <c r="R69" s="46">
        <f>'Monthly Data'!BH69</f>
        <v>31</v>
      </c>
      <c r="S69" s="44">
        <f t="shared" ca="1" si="11"/>
        <v>57208312.597965896</v>
      </c>
      <c r="T69" s="44">
        <f t="shared" ca="1" si="12"/>
        <v>2073676.2140607014</v>
      </c>
      <c r="U69" s="48">
        <f t="shared" ca="1" si="13"/>
        <v>3.7611134308052595E-2</v>
      </c>
    </row>
    <row r="70" spans="1:21" x14ac:dyDescent="0.2">
      <c r="A70" s="45">
        <f>'Monthly Data'!A70</f>
        <v>42248</v>
      </c>
      <c r="B70" s="29">
        <f t="shared" si="9"/>
        <v>2015</v>
      </c>
      <c r="C70" s="29">
        <f t="shared" si="10"/>
        <v>9</v>
      </c>
      <c r="D70" s="44">
        <f>'Monthly Data'!E70</f>
        <v>47798131.383905195</v>
      </c>
      <c r="E70" s="46">
        <f t="shared" ca="1" si="8"/>
        <v>0.49000000000000005</v>
      </c>
      <c r="F70" s="46">
        <f t="shared" ca="1" si="8"/>
        <v>132.95000000000002</v>
      </c>
      <c r="G70" s="29">
        <f>'Monthly Data'!BG70</f>
        <v>69</v>
      </c>
      <c r="H70" s="29">
        <f>'Monthly Data'!W70</f>
        <v>6941.1</v>
      </c>
      <c r="I70" s="29">
        <f>'Monthly Data'!BF70</f>
        <v>1</v>
      </c>
      <c r="K70" s="29">
        <f>'Res PW'!$B$6</f>
        <v>-4.4351669087570498</v>
      </c>
      <c r="L70" s="29">
        <f ca="1">E70*'Res PW'!$B$7</f>
        <v>3.8753787874521821E-3</v>
      </c>
      <c r="M70" s="29">
        <f ca="1">F70*'Res PW'!$B$8</f>
        <v>5.1508951913568337</v>
      </c>
      <c r="N70" s="29">
        <f>G70*'Res PW'!$B$9</f>
        <v>-3.0734658201880785</v>
      </c>
      <c r="O70" s="163">
        <f>H70*'Res PW'!$B$10</f>
        <v>28.838127816116202</v>
      </c>
      <c r="P70" s="29">
        <f>I70*'Res PW'!$B$11</f>
        <v>-1.18560218277844</v>
      </c>
      <c r="Q70" s="44">
        <f>'Monthly Data'!F70</f>
        <v>60165</v>
      </c>
      <c r="R70" s="46">
        <f>'Monthly Data'!BH70</f>
        <v>30</v>
      </c>
      <c r="S70" s="44">
        <f t="shared" ca="1" si="11"/>
        <v>45662822.638365418</v>
      </c>
      <c r="T70" s="44">
        <f t="shared" ca="1" si="12"/>
        <v>-2135308.745539777</v>
      </c>
      <c r="U70" s="48">
        <f t="shared" ca="1" si="13"/>
        <v>4.4673477471104402E-2</v>
      </c>
    </row>
    <row r="71" spans="1:21" x14ac:dyDescent="0.2">
      <c r="A71" s="45">
        <f>'Monthly Data'!A71</f>
        <v>42278</v>
      </c>
      <c r="B71" s="29">
        <f t="shared" si="9"/>
        <v>2015</v>
      </c>
      <c r="C71" s="29">
        <f t="shared" si="10"/>
        <v>10</v>
      </c>
      <c r="D71" s="44">
        <f>'Monthly Data'!E71</f>
        <v>41883670.383905195</v>
      </c>
      <c r="E71" s="46">
        <f t="shared" ca="1" si="8"/>
        <v>53.33000000000002</v>
      </c>
      <c r="F71" s="46">
        <f t="shared" ca="1" si="8"/>
        <v>27.9</v>
      </c>
      <c r="G71" s="29">
        <f>'Monthly Data'!BG71</f>
        <v>70</v>
      </c>
      <c r="H71" s="29">
        <f>'Monthly Data'!W71</f>
        <v>6934.8</v>
      </c>
      <c r="I71" s="29">
        <f>'Monthly Data'!BF71</f>
        <v>1</v>
      </c>
      <c r="K71" s="29">
        <f>'Res PW'!$B$6</f>
        <v>-4.4351669087570498</v>
      </c>
      <c r="L71" s="29">
        <f ca="1">E71*'Res PW'!$B$7</f>
        <v>0.42178357292821411</v>
      </c>
      <c r="M71" s="29">
        <f ca="1">F71*'Res PW'!$B$8</f>
        <v>1.0809324997281358</v>
      </c>
      <c r="N71" s="29">
        <f>G71*'Res PW'!$B$9</f>
        <v>-3.1180088030893551</v>
      </c>
      <c r="O71" s="163">
        <f>H71*'Res PW'!$B$10</f>
        <v>28.811953260895624</v>
      </c>
      <c r="P71" s="29">
        <f>I71*'Res PW'!$B$11</f>
        <v>-1.18560218277844</v>
      </c>
      <c r="Q71" s="44">
        <f>'Monthly Data'!F71</f>
        <v>60249</v>
      </c>
      <c r="R71" s="46">
        <f>'Monthly Data'!BH71</f>
        <v>31</v>
      </c>
      <c r="S71" s="44">
        <f t="shared" ca="1" si="11"/>
        <v>40297702.382421538</v>
      </c>
      <c r="T71" s="44">
        <f t="shared" ca="1" si="12"/>
        <v>-1585968.0014836565</v>
      </c>
      <c r="U71" s="48">
        <f t="shared" ca="1" si="13"/>
        <v>3.7866022412713446E-2</v>
      </c>
    </row>
    <row r="72" spans="1:21" x14ac:dyDescent="0.2">
      <c r="A72" s="45">
        <f>'Monthly Data'!A72</f>
        <v>42309</v>
      </c>
      <c r="B72" s="29">
        <f t="shared" si="9"/>
        <v>2015</v>
      </c>
      <c r="C72" s="29">
        <f t="shared" si="10"/>
        <v>11</v>
      </c>
      <c r="D72" s="44">
        <f>'Monthly Data'!E72</f>
        <v>38353292.383905195</v>
      </c>
      <c r="E72" s="46">
        <f t="shared" ca="1" si="8"/>
        <v>207.66000000000003</v>
      </c>
      <c r="F72" s="46">
        <f t="shared" ca="1" si="8"/>
        <v>0.69000000000000006</v>
      </c>
      <c r="G72" s="29">
        <f>'Monthly Data'!BG72</f>
        <v>71</v>
      </c>
      <c r="H72" s="29">
        <f>'Monthly Data'!W72</f>
        <v>6928.3</v>
      </c>
      <c r="I72" s="29">
        <f>'Monthly Data'!BF72</f>
        <v>1</v>
      </c>
      <c r="K72" s="29">
        <f>'Res PW'!$B$6</f>
        <v>-4.4351669087570498</v>
      </c>
      <c r="L72" s="29">
        <f ca="1">E72*'Res PW'!$B$7</f>
        <v>1.642369712249633</v>
      </c>
      <c r="M72" s="29">
        <f ca="1">F72*'Res PW'!$B$8</f>
        <v>2.6732739240588305E-2</v>
      </c>
      <c r="N72" s="29">
        <f>G72*'Res PW'!$B$9</f>
        <v>-3.1625517859906314</v>
      </c>
      <c r="O72" s="163">
        <f>H72*'Res PW'!$B$10</f>
        <v>28.784947767414078</v>
      </c>
      <c r="P72" s="29">
        <f>I72*'Res PW'!$B$11</f>
        <v>-1.18560218277844</v>
      </c>
      <c r="Q72" s="44">
        <f>'Monthly Data'!F72</f>
        <v>60255</v>
      </c>
      <c r="R72" s="46">
        <f>'Monthly Data'!BH72</f>
        <v>30</v>
      </c>
      <c r="S72" s="44">
        <f t="shared" ca="1" si="11"/>
        <v>39173093.893942259</v>
      </c>
      <c r="T72" s="44">
        <f t="shared" ca="1" si="12"/>
        <v>819801.51003706455</v>
      </c>
      <c r="U72" s="48">
        <f t="shared" ca="1" si="13"/>
        <v>2.1374997010193863E-2</v>
      </c>
    </row>
    <row r="73" spans="1:21" x14ac:dyDescent="0.2">
      <c r="A73" s="45">
        <f>'Monthly Data'!A73</f>
        <v>42339</v>
      </c>
      <c r="B73" s="29">
        <f t="shared" si="9"/>
        <v>2015</v>
      </c>
      <c r="C73" s="29">
        <f t="shared" si="10"/>
        <v>12</v>
      </c>
      <c r="D73" s="44">
        <f>'Monthly Data'!E73</f>
        <v>41803813.383905195</v>
      </c>
      <c r="E73" s="46">
        <f t="shared" ca="1" si="8"/>
        <v>351.65000000000003</v>
      </c>
      <c r="F73" s="46">
        <f t="shared" ca="1" si="8"/>
        <v>0</v>
      </c>
      <c r="G73" s="29">
        <f>'Monthly Data'!BG73</f>
        <v>72</v>
      </c>
      <c r="H73" s="29">
        <f>'Monthly Data'!W73</f>
        <v>6942.8</v>
      </c>
      <c r="I73" s="29">
        <f>'Monthly Data'!BF73</f>
        <v>0</v>
      </c>
      <c r="K73" s="29">
        <f>'Res PW'!$B$6</f>
        <v>-4.4351669087570498</v>
      </c>
      <c r="L73" s="29">
        <f ca="1">E73*'Res PW'!$B$7</f>
        <v>2.7811774502195097</v>
      </c>
      <c r="M73" s="29">
        <f ca="1">F73*'Res PW'!$B$8</f>
        <v>0</v>
      </c>
      <c r="N73" s="29">
        <f>G73*'Res PW'!$B$9</f>
        <v>-3.207094768891908</v>
      </c>
      <c r="O73" s="163">
        <f>H73*'Res PW'!$B$10</f>
        <v>28.845190791334449</v>
      </c>
      <c r="P73" s="29">
        <f>I73*'Res PW'!$B$11</f>
        <v>0</v>
      </c>
      <c r="Q73" s="44">
        <f>'Monthly Data'!F73</f>
        <v>60262</v>
      </c>
      <c r="R73" s="46">
        <f>'Monthly Data'!BH73</f>
        <v>31</v>
      </c>
      <c r="S73" s="44">
        <f t="shared" ca="1" si="11"/>
        <v>44805237.122375339</v>
      </c>
      <c r="T73" s="44">
        <f t="shared" ca="1" si="12"/>
        <v>3001423.7384701446</v>
      </c>
      <c r="U73" s="48">
        <f t="shared" ca="1" si="13"/>
        <v>7.1797845591419579E-2</v>
      </c>
    </row>
    <row r="74" spans="1:21" x14ac:dyDescent="0.2">
      <c r="A74" s="45">
        <f>'Monthly Data'!A74</f>
        <v>42370</v>
      </c>
      <c r="B74" s="29">
        <f t="shared" si="9"/>
        <v>2016</v>
      </c>
      <c r="C74" s="29">
        <f t="shared" si="10"/>
        <v>1</v>
      </c>
      <c r="D74" s="44">
        <f>'Monthly Data'!E74</f>
        <v>46084693.984221287</v>
      </c>
      <c r="E74" s="46">
        <f t="shared" ca="1" si="8"/>
        <v>477.14</v>
      </c>
      <c r="F74" s="46">
        <f t="shared" ca="1" si="8"/>
        <v>0</v>
      </c>
      <c r="G74" s="29">
        <f>'Monthly Data'!BG74</f>
        <v>73</v>
      </c>
      <c r="H74" s="29">
        <f>'Monthly Data'!W74</f>
        <v>6957.7</v>
      </c>
      <c r="I74" s="29">
        <f>'Monthly Data'!BF74</f>
        <v>0</v>
      </c>
      <c r="K74" s="29">
        <f>'Res PW'!$B$6</f>
        <v>-4.4351669087570498</v>
      </c>
      <c r="L74" s="29">
        <f ca="1">E74*'Res PW'!$B$7</f>
        <v>3.7736698666223143</v>
      </c>
      <c r="M74" s="29">
        <f ca="1">F74*'Res PW'!$B$8</f>
        <v>0</v>
      </c>
      <c r="N74" s="29">
        <f>G74*'Res PW'!$B$9</f>
        <v>-3.2516377517931843</v>
      </c>
      <c r="O74" s="163">
        <f>H74*'Res PW'!$B$10</f>
        <v>28.90709569177676</v>
      </c>
      <c r="P74" s="29">
        <f>I74*'Res PW'!$B$11</f>
        <v>0</v>
      </c>
      <c r="Q74" s="44">
        <f>'Monthly Data'!F74</f>
        <v>60313</v>
      </c>
      <c r="R74" s="46">
        <f>'Monthly Data'!BH74</f>
        <v>31</v>
      </c>
      <c r="S74" s="44">
        <f t="shared" ca="1" si="11"/>
        <v>46731283.672590666</v>
      </c>
      <c r="T74" s="44">
        <f t="shared" ca="1" si="12"/>
        <v>646589.68836937845</v>
      </c>
      <c r="U74" s="48">
        <f t="shared" ca="1" si="13"/>
        <v>1.4030465051818748E-2</v>
      </c>
    </row>
    <row r="75" spans="1:21" x14ac:dyDescent="0.2">
      <c r="A75" s="45">
        <f>'Monthly Data'!A75</f>
        <v>42401</v>
      </c>
      <c r="B75" s="29">
        <f t="shared" si="9"/>
        <v>2016</v>
      </c>
      <c r="C75" s="29">
        <f t="shared" si="10"/>
        <v>2</v>
      </c>
      <c r="D75" s="44">
        <f>'Monthly Data'!E75</f>
        <v>40582823.984221287</v>
      </c>
      <c r="E75" s="46">
        <f t="shared" ca="1" si="8"/>
        <v>417.05</v>
      </c>
      <c r="F75" s="46">
        <f t="shared" ca="1" si="8"/>
        <v>0</v>
      </c>
      <c r="G75" s="29">
        <f>'Monthly Data'!BG75</f>
        <v>74</v>
      </c>
      <c r="H75" s="29">
        <f>'Monthly Data'!W75</f>
        <v>6970.6</v>
      </c>
      <c r="I75" s="29">
        <f>'Monthly Data'!BF75</f>
        <v>0</v>
      </c>
      <c r="K75" s="29">
        <f>'Res PW'!$B$6</f>
        <v>-4.4351669087570498</v>
      </c>
      <c r="L75" s="29">
        <f ca="1">E75*'Res PW'!$B$7</f>
        <v>3.2984218842998621</v>
      </c>
      <c r="M75" s="29">
        <f ca="1">F75*'Res PW'!$B$8</f>
        <v>0</v>
      </c>
      <c r="N75" s="29">
        <f>G75*'Res PW'!$B$9</f>
        <v>-3.2961807346944609</v>
      </c>
      <c r="O75" s="163">
        <f>H75*'Res PW'!$B$10</f>
        <v>28.960691209609369</v>
      </c>
      <c r="P75" s="29">
        <f>I75*'Res PW'!$B$11</f>
        <v>0</v>
      </c>
      <c r="Q75" s="44">
        <f>'Monthly Data'!F75</f>
        <v>60310</v>
      </c>
      <c r="R75" s="46">
        <f>'Monthly Data'!BH75</f>
        <v>29</v>
      </c>
      <c r="S75" s="44">
        <f t="shared" ca="1" si="11"/>
        <v>42898816.495196052</v>
      </c>
      <c r="T75" s="44">
        <f t="shared" ca="1" si="12"/>
        <v>2315992.5109747648</v>
      </c>
      <c r="U75" s="48">
        <f t="shared" ca="1" si="13"/>
        <v>5.7068293519328003E-2</v>
      </c>
    </row>
    <row r="76" spans="1:21" x14ac:dyDescent="0.2">
      <c r="A76" s="45">
        <f>'Monthly Data'!A76</f>
        <v>42430</v>
      </c>
      <c r="B76" s="29">
        <f t="shared" si="9"/>
        <v>2016</v>
      </c>
      <c r="C76" s="29">
        <f t="shared" si="10"/>
        <v>3</v>
      </c>
      <c r="D76" s="44">
        <f>'Monthly Data'!E76</f>
        <v>40648907.984221287</v>
      </c>
      <c r="E76" s="46">
        <f t="shared" ca="1" si="8"/>
        <v>332.70999999999992</v>
      </c>
      <c r="F76" s="46">
        <f t="shared" ca="1" si="8"/>
        <v>3.0000000000000072E-2</v>
      </c>
      <c r="G76" s="29">
        <f>'Monthly Data'!BG76</f>
        <v>75</v>
      </c>
      <c r="H76" s="29">
        <f>'Monthly Data'!W76</f>
        <v>6978.1</v>
      </c>
      <c r="I76" s="29">
        <f>'Monthly Data'!BF76</f>
        <v>1</v>
      </c>
      <c r="K76" s="29">
        <f>'Res PW'!$B$6</f>
        <v>-4.4351669087570498</v>
      </c>
      <c r="L76" s="29">
        <f ca="1">E76*'Res PW'!$B$7</f>
        <v>2.6313821966800308</v>
      </c>
      <c r="M76" s="29">
        <f ca="1">F76*'Res PW'!$B$8</f>
        <v>1.1622930104603637E-3</v>
      </c>
      <c r="N76" s="29">
        <f>G76*'Res PW'!$B$9</f>
        <v>-3.3407237175957376</v>
      </c>
      <c r="O76" s="163">
        <f>H76*'Res PW'!$B$10</f>
        <v>28.991851394395766</v>
      </c>
      <c r="P76" s="29">
        <f>I76*'Res PW'!$B$11</f>
        <v>-1.18560218277844</v>
      </c>
      <c r="Q76" s="44">
        <f>'Monthly Data'!F76</f>
        <v>60323</v>
      </c>
      <c r="R76" s="46">
        <f>'Monthly Data'!BH76</f>
        <v>31</v>
      </c>
      <c r="S76" s="44">
        <f t="shared" ca="1" si="11"/>
        <v>42379923.367905885</v>
      </c>
      <c r="T76" s="44">
        <f t="shared" ca="1" si="12"/>
        <v>1731015.3836845979</v>
      </c>
      <c r="U76" s="48">
        <f t="shared" ca="1" si="13"/>
        <v>4.2584548257889911E-2</v>
      </c>
    </row>
    <row r="77" spans="1:21" x14ac:dyDescent="0.2">
      <c r="A77" s="45">
        <f>'Monthly Data'!A77</f>
        <v>42461</v>
      </c>
      <c r="B77" s="29">
        <f t="shared" si="9"/>
        <v>2016</v>
      </c>
      <c r="C77" s="29">
        <f t="shared" si="10"/>
        <v>4</v>
      </c>
      <c r="D77" s="44">
        <f>'Monthly Data'!E77</f>
        <v>38183247.984221287</v>
      </c>
      <c r="E77" s="46">
        <f t="shared" ca="1" si="8"/>
        <v>164.53999999999996</v>
      </c>
      <c r="F77" s="46">
        <f t="shared" ca="1" si="8"/>
        <v>1.45</v>
      </c>
      <c r="G77" s="29">
        <f>'Monthly Data'!BG77</f>
        <v>76</v>
      </c>
      <c r="H77" s="29">
        <f>'Monthly Data'!W77</f>
        <v>6981.8</v>
      </c>
      <c r="I77" s="29">
        <f>'Monthly Data'!BF77</f>
        <v>1</v>
      </c>
      <c r="K77" s="29">
        <f>'Res PW'!$B$6</f>
        <v>-4.4351669087570498</v>
      </c>
      <c r="L77" s="29">
        <f ca="1">E77*'Res PW'!$B$7</f>
        <v>1.3013363789538406</v>
      </c>
      <c r="M77" s="29">
        <f ca="1">F77*'Res PW'!$B$8</f>
        <v>5.617749550558411E-2</v>
      </c>
      <c r="N77" s="29">
        <f>G77*'Res PW'!$B$9</f>
        <v>-3.3852667004970138</v>
      </c>
      <c r="O77" s="163">
        <f>H77*'Res PW'!$B$10</f>
        <v>29.007223752223723</v>
      </c>
      <c r="P77" s="29">
        <f>I77*'Res PW'!$B$11</f>
        <v>-1.18560218277844</v>
      </c>
      <c r="Q77" s="44">
        <f>'Monthly Data'!F77</f>
        <v>60319</v>
      </c>
      <c r="R77" s="46">
        <f>'Monthly Data'!BH77</f>
        <v>30</v>
      </c>
      <c r="S77" s="44">
        <f t="shared" ca="1" si="11"/>
        <v>38650066.078928769</v>
      </c>
      <c r="T77" s="44">
        <f t="shared" ca="1" si="12"/>
        <v>466818.09470748156</v>
      </c>
      <c r="U77" s="48">
        <f t="shared" ca="1" si="13"/>
        <v>1.2225730375278391E-2</v>
      </c>
    </row>
    <row r="78" spans="1:21" x14ac:dyDescent="0.2">
      <c r="A78" s="45">
        <f>'Monthly Data'!A78</f>
        <v>42491</v>
      </c>
      <c r="B78" s="29">
        <f t="shared" si="9"/>
        <v>2016</v>
      </c>
      <c r="C78" s="29">
        <f t="shared" si="10"/>
        <v>5</v>
      </c>
      <c r="D78" s="44">
        <f>'Monthly Data'!E78</f>
        <v>42648799.984221287</v>
      </c>
      <c r="E78" s="46">
        <f t="shared" ca="1" si="8"/>
        <v>35.92</v>
      </c>
      <c r="F78" s="46">
        <f t="shared" ca="1" si="8"/>
        <v>50.69</v>
      </c>
      <c r="G78" s="29">
        <f>'Monthly Data'!BG78</f>
        <v>77</v>
      </c>
      <c r="H78" s="29">
        <f>'Monthly Data'!W78</f>
        <v>6994.4</v>
      </c>
      <c r="I78" s="29">
        <f>'Monthly Data'!BF78</f>
        <v>1</v>
      </c>
      <c r="K78" s="29">
        <f>'Res PW'!$B$6</f>
        <v>-4.4351669087570498</v>
      </c>
      <c r="L78" s="29">
        <f ca="1">E78*'Res PW'!$B$7</f>
        <v>0.28408899192914772</v>
      </c>
      <c r="M78" s="29">
        <f ca="1">F78*'Res PW'!$B$8</f>
        <v>1.9638877566745232</v>
      </c>
      <c r="N78" s="29">
        <f>G78*'Res PW'!$B$9</f>
        <v>-3.4298096833982905</v>
      </c>
      <c r="O78" s="163">
        <f>H78*'Res PW'!$B$10</f>
        <v>29.059572862664872</v>
      </c>
      <c r="P78" s="29">
        <f>I78*'Res PW'!$B$11</f>
        <v>-1.18560218277844</v>
      </c>
      <c r="Q78" s="44">
        <f>'Monthly Data'!F78</f>
        <v>60305</v>
      </c>
      <c r="R78" s="46">
        <f>'Monthly Data'!BH78</f>
        <v>31</v>
      </c>
      <c r="S78" s="44">
        <f t="shared" ca="1" si="11"/>
        <v>41608405.414840214</v>
      </c>
      <c r="T78" s="44">
        <f t="shared" ca="1" si="12"/>
        <v>-1040394.5693810731</v>
      </c>
      <c r="U78" s="48">
        <f t="shared" ca="1" si="13"/>
        <v>2.4394462910233967E-2</v>
      </c>
    </row>
    <row r="79" spans="1:21" x14ac:dyDescent="0.2">
      <c r="A79" s="45">
        <f>'Monthly Data'!A79</f>
        <v>42522</v>
      </c>
      <c r="B79" s="29">
        <f t="shared" si="9"/>
        <v>2016</v>
      </c>
      <c r="C79" s="29">
        <f t="shared" si="10"/>
        <v>6</v>
      </c>
      <c r="D79" s="44">
        <f>'Monthly Data'!E79</f>
        <v>51837156.984221287</v>
      </c>
      <c r="E79" s="46">
        <f t="shared" ref="E79:F94" ca="1" si="14">E67</f>
        <v>0.37999999999999989</v>
      </c>
      <c r="F79" s="46">
        <f t="shared" ca="1" si="14"/>
        <v>145.17999999999998</v>
      </c>
      <c r="G79" s="29">
        <f>'Monthly Data'!BG79</f>
        <v>78</v>
      </c>
      <c r="H79" s="29">
        <f>'Monthly Data'!W79</f>
        <v>7001.9</v>
      </c>
      <c r="I79" s="29">
        <f>'Monthly Data'!BF79</f>
        <v>0</v>
      </c>
      <c r="K79" s="29">
        <f>'Res PW'!$B$6</f>
        <v>-4.4351669087570498</v>
      </c>
      <c r="L79" s="29">
        <f ca="1">E79*'Res PW'!$B$7</f>
        <v>3.0053957943506709E-3</v>
      </c>
      <c r="M79" s="29">
        <f ca="1">F79*'Res PW'!$B$8</f>
        <v>5.6247233086211725</v>
      </c>
      <c r="N79" s="29">
        <f>G79*'Res PW'!$B$9</f>
        <v>-3.4743526662995672</v>
      </c>
      <c r="O79" s="163">
        <f>H79*'Res PW'!$B$10</f>
        <v>29.09073304745127</v>
      </c>
      <c r="P79" s="29">
        <f>I79*'Res PW'!$B$11</f>
        <v>0</v>
      </c>
      <c r="Q79" s="44">
        <f>'Monthly Data'!F79</f>
        <v>60308</v>
      </c>
      <c r="R79" s="46">
        <f>'Monthly Data'!BH79</f>
        <v>30</v>
      </c>
      <c r="S79" s="44">
        <f t="shared" ca="1" si="11"/>
        <v>48503810.543972045</v>
      </c>
      <c r="T79" s="44">
        <f t="shared" ca="1" si="12"/>
        <v>-3333346.4402492419</v>
      </c>
      <c r="U79" s="48">
        <f t="shared" ca="1" si="13"/>
        <v>6.4304190935160266E-2</v>
      </c>
    </row>
    <row r="80" spans="1:21" x14ac:dyDescent="0.2">
      <c r="A80" s="45">
        <f>'Monthly Data'!A80</f>
        <v>42552</v>
      </c>
      <c r="B80" s="29">
        <f t="shared" si="9"/>
        <v>2016</v>
      </c>
      <c r="C80" s="29">
        <f t="shared" si="10"/>
        <v>7</v>
      </c>
      <c r="D80" s="44">
        <f>'Monthly Data'!E80</f>
        <v>62950910.984221287</v>
      </c>
      <c r="E80" s="46">
        <f t="shared" ca="1" si="14"/>
        <v>0</v>
      </c>
      <c r="F80" s="46">
        <f t="shared" ca="1" si="14"/>
        <v>268.18999999999994</v>
      </c>
      <c r="G80" s="29">
        <f>'Monthly Data'!BG80</f>
        <v>79</v>
      </c>
      <c r="H80" s="29">
        <f>'Monthly Data'!W80</f>
        <v>6995.7</v>
      </c>
      <c r="I80" s="29">
        <f>'Monthly Data'!BF80</f>
        <v>0</v>
      </c>
      <c r="K80" s="29">
        <f>'Res PW'!$B$6</f>
        <v>-4.4351669087570498</v>
      </c>
      <c r="L80" s="29">
        <f ca="1">E80*'Res PW'!$B$7</f>
        <v>0</v>
      </c>
      <c r="M80" s="29">
        <f ca="1">F80*'Res PW'!$B$8</f>
        <v>10.390512082512139</v>
      </c>
      <c r="N80" s="29">
        <f>G80*'Res PW'!$B$9</f>
        <v>-3.5188956492008434</v>
      </c>
      <c r="O80" s="163">
        <f>H80*'Res PW'!$B$10</f>
        <v>29.064973961361179</v>
      </c>
      <c r="P80" s="29">
        <f>I80*'Res PW'!$B$11</f>
        <v>0</v>
      </c>
      <c r="Q80" s="44">
        <f>'Monthly Data'!F80</f>
        <v>60310</v>
      </c>
      <c r="R80" s="46">
        <f>'Monthly Data'!BH80</f>
        <v>31</v>
      </c>
      <c r="S80" s="44">
        <f t="shared" ca="1" si="11"/>
        <v>58895376.363502339</v>
      </c>
      <c r="T80" s="44">
        <f t="shared" ca="1" si="12"/>
        <v>-4055534.6207189485</v>
      </c>
      <c r="U80" s="48">
        <f t="shared" ca="1" si="13"/>
        <v>6.4423763807571782E-2</v>
      </c>
    </row>
    <row r="81" spans="1:21" x14ac:dyDescent="0.2">
      <c r="A81" s="45">
        <f>'Monthly Data'!A81</f>
        <v>42583</v>
      </c>
      <c r="B81" s="29">
        <f t="shared" si="9"/>
        <v>2016</v>
      </c>
      <c r="C81" s="29">
        <f t="shared" si="10"/>
        <v>8</v>
      </c>
      <c r="D81" s="44">
        <f>'Monthly Data'!E81</f>
        <v>61477768.984221287</v>
      </c>
      <c r="E81" s="46">
        <f t="shared" ca="1" si="14"/>
        <v>0</v>
      </c>
      <c r="F81" s="46">
        <f t="shared" ca="1" si="14"/>
        <v>239.59000000000006</v>
      </c>
      <c r="G81" s="29">
        <f>'Monthly Data'!BG81</f>
        <v>80</v>
      </c>
      <c r="H81" s="29">
        <f>'Monthly Data'!W81</f>
        <v>6990.6</v>
      </c>
      <c r="I81" s="29">
        <f>'Monthly Data'!BF81</f>
        <v>0</v>
      </c>
      <c r="K81" s="29">
        <f>'Res PW'!$B$6</f>
        <v>-4.4351669087570498</v>
      </c>
      <c r="L81" s="29">
        <f ca="1">E81*'Res PW'!$B$7</f>
        <v>0</v>
      </c>
      <c r="M81" s="29">
        <f ca="1">F81*'Res PW'!$B$8</f>
        <v>9.2824594125399322</v>
      </c>
      <c r="N81" s="29">
        <f>G81*'Res PW'!$B$9</f>
        <v>-3.5634386321021201</v>
      </c>
      <c r="O81" s="163">
        <f>H81*'Res PW'!$B$10</f>
        <v>29.043785035706431</v>
      </c>
      <c r="P81" s="29">
        <f>I81*'Res PW'!$B$11</f>
        <v>0</v>
      </c>
      <c r="Q81" s="44">
        <f>'Monthly Data'!F81</f>
        <v>60299</v>
      </c>
      <c r="R81" s="46">
        <f>'Monthly Data'!BH81</f>
        <v>31</v>
      </c>
      <c r="S81" s="44">
        <f t="shared" ca="1" si="11"/>
        <v>56690515.252772756</v>
      </c>
      <c r="T81" s="44">
        <f t="shared" ca="1" si="12"/>
        <v>-4787253.7314485312</v>
      </c>
      <c r="U81" s="48">
        <f t="shared" ca="1" si="13"/>
        <v>7.7869672412432769E-2</v>
      </c>
    </row>
    <row r="82" spans="1:21" x14ac:dyDescent="0.2">
      <c r="A82" s="45">
        <f>'Monthly Data'!A82</f>
        <v>42614</v>
      </c>
      <c r="B82" s="29">
        <f t="shared" si="9"/>
        <v>2016</v>
      </c>
      <c r="C82" s="29">
        <f t="shared" si="10"/>
        <v>9</v>
      </c>
      <c r="D82" s="44">
        <f>'Monthly Data'!E82</f>
        <v>50972090.984221287</v>
      </c>
      <c r="E82" s="46">
        <f t="shared" ca="1" si="14"/>
        <v>0.49000000000000005</v>
      </c>
      <c r="F82" s="46">
        <f t="shared" ca="1" si="14"/>
        <v>132.95000000000002</v>
      </c>
      <c r="G82" s="29">
        <f>'Monthly Data'!BG82</f>
        <v>81</v>
      </c>
      <c r="H82" s="29">
        <f>'Monthly Data'!W82</f>
        <v>6988.9</v>
      </c>
      <c r="I82" s="29">
        <f>'Monthly Data'!BF82</f>
        <v>1</v>
      </c>
      <c r="K82" s="29">
        <f>'Res PW'!$B$6</f>
        <v>-4.4351669087570498</v>
      </c>
      <c r="L82" s="29">
        <f ca="1">E82*'Res PW'!$B$7</f>
        <v>3.8753787874521821E-3</v>
      </c>
      <c r="M82" s="29">
        <f ca="1">F82*'Res PW'!$B$8</f>
        <v>5.1508951913568337</v>
      </c>
      <c r="N82" s="29">
        <f>G82*'Res PW'!$B$9</f>
        <v>-3.6079816150033963</v>
      </c>
      <c r="O82" s="163">
        <f>H82*'Res PW'!$B$10</f>
        <v>29.036722060488177</v>
      </c>
      <c r="P82" s="29">
        <f>I82*'Res PW'!$B$11</f>
        <v>-1.18560218277844</v>
      </c>
      <c r="Q82" s="44">
        <f>'Monthly Data'!F82</f>
        <v>60320</v>
      </c>
      <c r="R82" s="46">
        <f>'Monthly Data'!BH82</f>
        <v>30</v>
      </c>
      <c r="S82" s="44">
        <f t="shared" ca="1" si="11"/>
        <v>45172577.785839744</v>
      </c>
      <c r="T82" s="44">
        <f t="shared" ca="1" si="12"/>
        <v>-5799513.1983815432</v>
      </c>
      <c r="U82" s="48">
        <f t="shared" ca="1" si="13"/>
        <v>0.11377820855292785</v>
      </c>
    </row>
    <row r="83" spans="1:21" x14ac:dyDescent="0.2">
      <c r="A83" s="45">
        <f>'Monthly Data'!A83</f>
        <v>42644</v>
      </c>
      <c r="B83" s="29">
        <f t="shared" si="9"/>
        <v>2016</v>
      </c>
      <c r="C83" s="29">
        <f t="shared" si="10"/>
        <v>10</v>
      </c>
      <c r="D83" s="44">
        <f>'Monthly Data'!E83</f>
        <v>42378157.984221287</v>
      </c>
      <c r="E83" s="46">
        <f t="shared" ca="1" si="14"/>
        <v>53.33000000000002</v>
      </c>
      <c r="F83" s="46">
        <f t="shared" ca="1" si="14"/>
        <v>27.9</v>
      </c>
      <c r="G83" s="29">
        <f>'Monthly Data'!BG83</f>
        <v>82</v>
      </c>
      <c r="H83" s="29">
        <f>'Monthly Data'!W83</f>
        <v>7006.2</v>
      </c>
      <c r="I83" s="29">
        <f>'Monthly Data'!BF83</f>
        <v>1</v>
      </c>
      <c r="K83" s="29">
        <f>'Res PW'!$B$6</f>
        <v>-4.4351669087570498</v>
      </c>
      <c r="L83" s="29">
        <f ca="1">E83*'Res PW'!$B$7</f>
        <v>0.42178357292821411</v>
      </c>
      <c r="M83" s="29">
        <f ca="1">F83*'Res PW'!$B$8</f>
        <v>1.0809324997281358</v>
      </c>
      <c r="N83" s="29">
        <f>G83*'Res PW'!$B$9</f>
        <v>-3.652524597904673</v>
      </c>
      <c r="O83" s="163">
        <f>H83*'Res PW'!$B$10</f>
        <v>29.108598220062138</v>
      </c>
      <c r="P83" s="29">
        <f>I83*'Res PW'!$B$11</f>
        <v>-1.18560218277844</v>
      </c>
      <c r="Q83" s="44">
        <f>'Monthly Data'!F83</f>
        <v>60321</v>
      </c>
      <c r="R83" s="46">
        <f>'Monthly Data'!BH83</f>
        <v>31</v>
      </c>
      <c r="S83" s="44">
        <f t="shared" ca="1" si="11"/>
        <v>39901052.965120912</v>
      </c>
      <c r="T83" s="44">
        <f t="shared" ca="1" si="12"/>
        <v>-2477105.0191003755</v>
      </c>
      <c r="U83" s="48">
        <f t="shared" ca="1" si="13"/>
        <v>5.845239946537268E-2</v>
      </c>
    </row>
    <row r="84" spans="1:21" x14ac:dyDescent="0.2">
      <c r="A84" s="45">
        <f>'Monthly Data'!A84</f>
        <v>42675</v>
      </c>
      <c r="B84" s="29">
        <f t="shared" si="9"/>
        <v>2016</v>
      </c>
      <c r="C84" s="29">
        <f t="shared" si="10"/>
        <v>11</v>
      </c>
      <c r="D84" s="44">
        <f>'Monthly Data'!E84</f>
        <v>38434874.984221287</v>
      </c>
      <c r="E84" s="46">
        <f t="shared" ca="1" si="14"/>
        <v>207.66000000000003</v>
      </c>
      <c r="F84" s="46">
        <f t="shared" ca="1" si="14"/>
        <v>0.69000000000000006</v>
      </c>
      <c r="G84" s="29">
        <f>'Monthly Data'!BG84</f>
        <v>83</v>
      </c>
      <c r="H84" s="29">
        <f>'Monthly Data'!W84</f>
        <v>7018.5</v>
      </c>
      <c r="I84" s="29">
        <f>'Monthly Data'!BF84</f>
        <v>1</v>
      </c>
      <c r="K84" s="29">
        <f>'Res PW'!$B$6</f>
        <v>-4.4351669087570498</v>
      </c>
      <c r="L84" s="29">
        <f ca="1">E84*'Res PW'!$B$7</f>
        <v>1.642369712249633</v>
      </c>
      <c r="M84" s="29">
        <f ca="1">F84*'Res PW'!$B$8</f>
        <v>2.6732739240588305E-2</v>
      </c>
      <c r="N84" s="29">
        <f>G84*'Res PW'!$B$9</f>
        <v>-3.6970675808059497</v>
      </c>
      <c r="O84" s="163">
        <f>H84*'Res PW'!$B$10</f>
        <v>29.159700923111831</v>
      </c>
      <c r="P84" s="29">
        <f>I84*'Res PW'!$B$11</f>
        <v>-1.18560218277844</v>
      </c>
      <c r="Q84" s="44">
        <f>'Monthly Data'!F84</f>
        <v>60345</v>
      </c>
      <c r="R84" s="46">
        <f>'Monthly Data'!BH84</f>
        <v>30</v>
      </c>
      <c r="S84" s="44">
        <f t="shared" ca="1" si="11"/>
        <v>38942378.569437504</v>
      </c>
      <c r="T84" s="44">
        <f t="shared" ca="1" si="12"/>
        <v>507503.58521621674</v>
      </c>
      <c r="U84" s="48">
        <f t="shared" ca="1" si="13"/>
        <v>1.3204247065316662E-2</v>
      </c>
    </row>
    <row r="85" spans="1:21" x14ac:dyDescent="0.2">
      <c r="A85" s="45">
        <f>'Monthly Data'!A85</f>
        <v>42705</v>
      </c>
      <c r="B85" s="29">
        <f t="shared" si="9"/>
        <v>2016</v>
      </c>
      <c r="C85" s="29">
        <f t="shared" si="10"/>
        <v>12</v>
      </c>
      <c r="D85" s="44">
        <f>'Monthly Data'!E85</f>
        <v>44072140.984221287</v>
      </c>
      <c r="E85" s="46">
        <f t="shared" ca="1" si="14"/>
        <v>351.65000000000003</v>
      </c>
      <c r="F85" s="46">
        <f t="shared" ca="1" si="14"/>
        <v>0</v>
      </c>
      <c r="G85" s="29">
        <f>'Monthly Data'!BG85</f>
        <v>84</v>
      </c>
      <c r="H85" s="29">
        <f>'Monthly Data'!W85</f>
        <v>7028.8</v>
      </c>
      <c r="I85" s="29">
        <f>'Monthly Data'!BF85</f>
        <v>0</v>
      </c>
      <c r="K85" s="29">
        <f>'Res PW'!$B$6</f>
        <v>-4.4351669087570498</v>
      </c>
      <c r="L85" s="29">
        <f ca="1">E85*'Res PW'!$B$7</f>
        <v>2.7811774502195097</v>
      </c>
      <c r="M85" s="29">
        <f ca="1">F85*'Res PW'!$B$8</f>
        <v>0</v>
      </c>
      <c r="N85" s="29">
        <f>G85*'Res PW'!$B$9</f>
        <v>-3.7416105637072259</v>
      </c>
      <c r="O85" s="163">
        <f>H85*'Res PW'!$B$10</f>
        <v>29.202494243551822</v>
      </c>
      <c r="P85" s="29">
        <f>I85*'Res PW'!$B$11</f>
        <v>0</v>
      </c>
      <c r="Q85" s="44">
        <f>'Monthly Data'!F85</f>
        <v>60353</v>
      </c>
      <c r="R85" s="46">
        <f>'Monthly Data'!BH85</f>
        <v>31</v>
      </c>
      <c r="S85" s="44">
        <f t="shared" ca="1" si="11"/>
        <v>44541342.095094882</v>
      </c>
      <c r="T85" s="44">
        <f t="shared" ca="1" si="12"/>
        <v>469201.11087359488</v>
      </c>
      <c r="U85" s="48">
        <f t="shared" ca="1" si="13"/>
        <v>1.064620643325629E-2</v>
      </c>
    </row>
    <row r="86" spans="1:21" x14ac:dyDescent="0.2">
      <c r="A86" s="45">
        <f>'Monthly Data'!A86</f>
        <v>42736</v>
      </c>
      <c r="B86" s="29">
        <f t="shared" si="9"/>
        <v>2017</v>
      </c>
      <c r="C86" s="29">
        <f t="shared" si="10"/>
        <v>1</v>
      </c>
      <c r="D86" s="44">
        <f>'Monthly Data'!E86</f>
        <v>45513379.429172598</v>
      </c>
      <c r="E86" s="46">
        <f t="shared" ca="1" si="14"/>
        <v>477.14</v>
      </c>
      <c r="F86" s="46">
        <f t="shared" ca="1" si="14"/>
        <v>0</v>
      </c>
      <c r="G86" s="29">
        <f>'Monthly Data'!BG86</f>
        <v>85</v>
      </c>
      <c r="H86" s="29">
        <f>'Monthly Data'!W86</f>
        <v>7045.6</v>
      </c>
      <c r="I86" s="29">
        <f>'Monthly Data'!BF86</f>
        <v>0</v>
      </c>
      <c r="K86" s="29">
        <f>'Res PW'!$B$6</f>
        <v>-4.4351669087570498</v>
      </c>
      <c r="L86" s="29">
        <f ca="1">E86*'Res PW'!$B$7</f>
        <v>3.7736698666223143</v>
      </c>
      <c r="M86" s="29">
        <f ca="1">F86*'Res PW'!$B$8</f>
        <v>0</v>
      </c>
      <c r="N86" s="29">
        <f>G86*'Res PW'!$B$9</f>
        <v>-3.7861535466085026</v>
      </c>
      <c r="O86" s="163">
        <f>H86*'Res PW'!$B$10</f>
        <v>29.272293057473355</v>
      </c>
      <c r="P86" s="29">
        <f>I86*'Res PW'!$B$11</f>
        <v>0</v>
      </c>
      <c r="Q86" s="44">
        <f>'Monthly Data'!F86</f>
        <v>60357</v>
      </c>
      <c r="R86" s="46">
        <f>'Monthly Data'!BH86</f>
        <v>31</v>
      </c>
      <c r="S86" s="44">
        <f t="shared" ca="1" si="11"/>
        <v>46448569.310039461</v>
      </c>
      <c r="T86" s="44">
        <f t="shared" ca="1" si="12"/>
        <v>935189.88086686283</v>
      </c>
      <c r="U86" s="48">
        <f t="shared" ca="1" si="13"/>
        <v>2.0547581669302203E-2</v>
      </c>
    </row>
    <row r="87" spans="1:21" x14ac:dyDescent="0.2">
      <c r="A87" s="45">
        <f>'Monthly Data'!A87</f>
        <v>42767</v>
      </c>
      <c r="B87" s="29">
        <f t="shared" si="9"/>
        <v>2017</v>
      </c>
      <c r="C87" s="29">
        <f t="shared" si="10"/>
        <v>2</v>
      </c>
      <c r="D87" s="44">
        <f>'Monthly Data'!E87</f>
        <v>39003386.429172598</v>
      </c>
      <c r="E87" s="46">
        <f t="shared" ca="1" si="14"/>
        <v>417.05</v>
      </c>
      <c r="F87" s="46">
        <f t="shared" ca="1" si="14"/>
        <v>0</v>
      </c>
      <c r="G87" s="29">
        <f>'Monthly Data'!BG87</f>
        <v>86</v>
      </c>
      <c r="H87" s="29">
        <f>'Monthly Data'!W87</f>
        <v>7060.7</v>
      </c>
      <c r="I87" s="29">
        <f>'Monthly Data'!BF87</f>
        <v>0</v>
      </c>
      <c r="K87" s="29">
        <f>'Res PW'!$B$6</f>
        <v>-4.4351669087570498</v>
      </c>
      <c r="L87" s="29">
        <f ca="1">E87*'Res PW'!$B$7</f>
        <v>3.2984218842998621</v>
      </c>
      <c r="M87" s="29">
        <f ca="1">F87*'Res PW'!$B$8</f>
        <v>0</v>
      </c>
      <c r="N87" s="29">
        <f>G87*'Res PW'!$B$9</f>
        <v>-3.8306965295097788</v>
      </c>
      <c r="O87" s="163">
        <f>H87*'Res PW'!$B$10</f>
        <v>29.335028896176635</v>
      </c>
      <c r="P87" s="29">
        <f>I87*'Res PW'!$B$11</f>
        <v>0</v>
      </c>
      <c r="Q87" s="44">
        <f>'Monthly Data'!F87</f>
        <v>60440</v>
      </c>
      <c r="R87" s="46">
        <f>'Monthly Data'!BH87</f>
        <v>28</v>
      </c>
      <c r="S87" s="44">
        <f t="shared" ca="1" si="11"/>
        <v>41237755.410968259</v>
      </c>
      <c r="T87" s="44">
        <f t="shared" ca="1" si="12"/>
        <v>2234368.9817956612</v>
      </c>
      <c r="U87" s="48">
        <f t="shared" ca="1" si="13"/>
        <v>5.7286538076715923E-2</v>
      </c>
    </row>
    <row r="88" spans="1:21" x14ac:dyDescent="0.2">
      <c r="A88" s="45">
        <f>'Monthly Data'!A88</f>
        <v>42795</v>
      </c>
      <c r="B88" s="29">
        <f t="shared" si="9"/>
        <v>2017</v>
      </c>
      <c r="C88" s="29">
        <f t="shared" si="10"/>
        <v>3</v>
      </c>
      <c r="D88" s="44">
        <f>'Monthly Data'!E88</f>
        <v>40659453.429172598</v>
      </c>
      <c r="E88" s="46">
        <f t="shared" ca="1" si="14"/>
        <v>332.70999999999992</v>
      </c>
      <c r="F88" s="46">
        <f t="shared" ca="1" si="14"/>
        <v>3.0000000000000072E-2</v>
      </c>
      <c r="G88" s="29">
        <f>'Monthly Data'!BG88</f>
        <v>87</v>
      </c>
      <c r="H88" s="29">
        <f>'Monthly Data'!W88</f>
        <v>7074.2</v>
      </c>
      <c r="I88" s="29">
        <f>'Monthly Data'!BF88</f>
        <v>1</v>
      </c>
      <c r="K88" s="29">
        <f>'Res PW'!$B$6</f>
        <v>-4.4351669087570498</v>
      </c>
      <c r="L88" s="29">
        <f ca="1">E88*'Res PW'!$B$7</f>
        <v>2.6313821966800308</v>
      </c>
      <c r="M88" s="29">
        <f ca="1">F88*'Res PW'!$B$8</f>
        <v>1.1622930104603637E-3</v>
      </c>
      <c r="N88" s="29">
        <f>G88*'Res PW'!$B$9</f>
        <v>-3.8752395124110555</v>
      </c>
      <c r="O88" s="163">
        <f>H88*'Res PW'!$B$10</f>
        <v>29.391117228792151</v>
      </c>
      <c r="P88" s="29">
        <f>I88*'Res PW'!$B$11</f>
        <v>-1.18560218277844</v>
      </c>
      <c r="Q88" s="44">
        <f>'Monthly Data'!F88</f>
        <v>60475</v>
      </c>
      <c r="R88" s="46">
        <f>'Monthly Data'!BH88</f>
        <v>31</v>
      </c>
      <c r="S88" s="44">
        <f t="shared" ca="1" si="11"/>
        <v>42233154.485148683</v>
      </c>
      <c r="T88" s="44">
        <f t="shared" ca="1" si="12"/>
        <v>1573701.0559760854</v>
      </c>
      <c r="U88" s="48">
        <f t="shared" ca="1" si="13"/>
        <v>3.8704432136979404E-2</v>
      </c>
    </row>
    <row r="89" spans="1:21" x14ac:dyDescent="0.2">
      <c r="A89" s="45">
        <f>'Monthly Data'!A89</f>
        <v>42826</v>
      </c>
      <c r="B89" s="29">
        <f t="shared" si="9"/>
        <v>2017</v>
      </c>
      <c r="C89" s="29">
        <f t="shared" si="10"/>
        <v>4</v>
      </c>
      <c r="D89" s="44">
        <f>'Monthly Data'!E89</f>
        <v>36365950.429172598</v>
      </c>
      <c r="E89" s="46">
        <f t="shared" ca="1" si="14"/>
        <v>164.53999999999996</v>
      </c>
      <c r="F89" s="46">
        <f t="shared" ca="1" si="14"/>
        <v>1.45</v>
      </c>
      <c r="G89" s="29">
        <f>'Monthly Data'!BG89</f>
        <v>88</v>
      </c>
      <c r="H89" s="29">
        <f>'Monthly Data'!W89</f>
        <v>7074.8</v>
      </c>
      <c r="I89" s="29">
        <f>'Monthly Data'!BF89</f>
        <v>1</v>
      </c>
      <c r="K89" s="29">
        <f>'Res PW'!$B$6</f>
        <v>-4.4351669087570498</v>
      </c>
      <c r="L89" s="29">
        <f ca="1">E89*'Res PW'!$B$7</f>
        <v>1.3013363789538406</v>
      </c>
      <c r="M89" s="29">
        <f ca="1">F89*'Res PW'!$B$8</f>
        <v>5.617749550558411E-2</v>
      </c>
      <c r="N89" s="29">
        <f>G89*'Res PW'!$B$9</f>
        <v>-3.9197824953123321</v>
      </c>
      <c r="O89" s="163">
        <f>H89*'Res PW'!$B$10</f>
        <v>29.393610043575066</v>
      </c>
      <c r="P89" s="29">
        <f>I89*'Res PW'!$B$11</f>
        <v>-1.18560218277844</v>
      </c>
      <c r="Q89" s="44">
        <f>'Monthly Data'!F89</f>
        <v>60471</v>
      </c>
      <c r="R89" s="46">
        <f>'Monthly Data'!BH89</f>
        <v>30</v>
      </c>
      <c r="S89" s="44">
        <f t="shared" ca="1" si="11"/>
        <v>38478735.583175674</v>
      </c>
      <c r="T89" s="44">
        <f t="shared" ca="1" si="12"/>
        <v>2112785.1540030763</v>
      </c>
      <c r="U89" s="48">
        <f t="shared" ca="1" si="13"/>
        <v>5.8097894570856859E-2</v>
      </c>
    </row>
    <row r="90" spans="1:21" x14ac:dyDescent="0.2">
      <c r="A90" s="45">
        <f>'Monthly Data'!A90</f>
        <v>42856</v>
      </c>
      <c r="B90" s="29">
        <f t="shared" si="9"/>
        <v>2017</v>
      </c>
      <c r="C90" s="29">
        <f t="shared" si="10"/>
        <v>5</v>
      </c>
      <c r="D90" s="44">
        <f>'Monthly Data'!E90</f>
        <v>39252711.429172598</v>
      </c>
      <c r="E90" s="46">
        <f t="shared" ca="1" si="14"/>
        <v>35.92</v>
      </c>
      <c r="F90" s="46">
        <f t="shared" ca="1" si="14"/>
        <v>50.69</v>
      </c>
      <c r="G90" s="29">
        <f>'Monthly Data'!BG90</f>
        <v>89</v>
      </c>
      <c r="H90" s="29">
        <f>'Monthly Data'!W90</f>
        <v>7080.7</v>
      </c>
      <c r="I90" s="29">
        <f>'Monthly Data'!BF90</f>
        <v>1</v>
      </c>
      <c r="K90" s="29">
        <f>'Res PW'!$B$6</f>
        <v>-4.4351669087570498</v>
      </c>
      <c r="L90" s="29">
        <f ca="1">E90*'Res PW'!$B$7</f>
        <v>0.28408899192914772</v>
      </c>
      <c r="M90" s="29">
        <f ca="1">F90*'Res PW'!$B$8</f>
        <v>1.9638877566745232</v>
      </c>
      <c r="N90" s="29">
        <f>G90*'Res PW'!$B$9</f>
        <v>-3.9643254782136084</v>
      </c>
      <c r="O90" s="163">
        <f>H90*'Res PW'!$B$10</f>
        <v>29.418122722273697</v>
      </c>
      <c r="P90" s="29">
        <f>I90*'Res PW'!$B$11</f>
        <v>-1.18560218277844</v>
      </c>
      <c r="Q90" s="44">
        <f>'Monthly Data'!F90</f>
        <v>60529</v>
      </c>
      <c r="R90" s="46">
        <f>'Monthly Data'!BH90</f>
        <v>31</v>
      </c>
      <c r="S90" s="44">
        <f t="shared" ca="1" si="11"/>
        <v>41432775.515472189</v>
      </c>
      <c r="T90" s="44">
        <f t="shared" ca="1" si="12"/>
        <v>2180064.0862995908</v>
      </c>
      <c r="U90" s="48">
        <f t="shared" ca="1" si="13"/>
        <v>5.5539197342667344E-2</v>
      </c>
    </row>
    <row r="91" spans="1:21" x14ac:dyDescent="0.2">
      <c r="A91" s="45">
        <f>'Monthly Data'!A91</f>
        <v>42887</v>
      </c>
      <c r="B91" s="29">
        <f t="shared" si="9"/>
        <v>2017</v>
      </c>
      <c r="C91" s="29">
        <f t="shared" si="10"/>
        <v>6</v>
      </c>
      <c r="D91" s="44">
        <f>'Monthly Data'!E91</f>
        <v>47628949.429172598</v>
      </c>
      <c r="E91" s="46">
        <f t="shared" ca="1" si="14"/>
        <v>0.37999999999999989</v>
      </c>
      <c r="F91" s="46">
        <f t="shared" ca="1" si="14"/>
        <v>145.17999999999998</v>
      </c>
      <c r="G91" s="29">
        <f>'Monthly Data'!BG91</f>
        <v>90</v>
      </c>
      <c r="H91" s="29">
        <f>'Monthly Data'!W91</f>
        <v>7085.4</v>
      </c>
      <c r="I91" s="29">
        <f>'Monthly Data'!BF91</f>
        <v>0</v>
      </c>
      <c r="K91" s="29">
        <f>'Res PW'!$B$6</f>
        <v>-4.4351669087570498</v>
      </c>
      <c r="L91" s="29">
        <f ca="1">E91*'Res PW'!$B$7</f>
        <v>3.0053957943506709E-3</v>
      </c>
      <c r="M91" s="29">
        <f ca="1">F91*'Res PW'!$B$8</f>
        <v>5.6247233086211725</v>
      </c>
      <c r="N91" s="29">
        <f>G91*'Res PW'!$B$9</f>
        <v>-4.0088684611148846</v>
      </c>
      <c r="O91" s="163">
        <f>H91*'Res PW'!$B$10</f>
        <v>29.437649771406509</v>
      </c>
      <c r="P91" s="29">
        <f>I91*'Res PW'!$B$11</f>
        <v>0</v>
      </c>
      <c r="Q91" s="44">
        <f>'Monthly Data'!F91</f>
        <v>60518</v>
      </c>
      <c r="R91" s="46">
        <f>'Monthly Data'!BH91</f>
        <v>30</v>
      </c>
      <c r="S91" s="44">
        <f t="shared" ca="1" si="11"/>
        <v>48332113.26257664</v>
      </c>
      <c r="T91" s="44">
        <f t="shared" ca="1" si="12"/>
        <v>703163.83340404183</v>
      </c>
      <c r="U91" s="48">
        <f t="shared" ca="1" si="13"/>
        <v>1.4763370635535285E-2</v>
      </c>
    </row>
    <row r="92" spans="1:21" x14ac:dyDescent="0.2">
      <c r="A92" s="45">
        <f>'Monthly Data'!A92</f>
        <v>42917</v>
      </c>
      <c r="B92" s="29">
        <f t="shared" si="9"/>
        <v>2017</v>
      </c>
      <c r="C92" s="29">
        <f t="shared" si="10"/>
        <v>7</v>
      </c>
      <c r="D92" s="44">
        <f>'Monthly Data'!E92</f>
        <v>55795384.429172598</v>
      </c>
      <c r="E92" s="46">
        <f t="shared" ca="1" si="14"/>
        <v>0</v>
      </c>
      <c r="F92" s="46">
        <f t="shared" ca="1" si="14"/>
        <v>268.18999999999994</v>
      </c>
      <c r="G92" s="29">
        <f>'Monthly Data'!BG92</f>
        <v>91</v>
      </c>
      <c r="H92" s="29">
        <f>'Monthly Data'!W92</f>
        <v>7099.9</v>
      </c>
      <c r="I92" s="29">
        <f>'Monthly Data'!BF92</f>
        <v>0</v>
      </c>
      <c r="K92" s="29">
        <f>'Res PW'!$B$6</f>
        <v>-4.4351669087570498</v>
      </c>
      <c r="L92" s="29">
        <f ca="1">E92*'Res PW'!$B$7</f>
        <v>0</v>
      </c>
      <c r="M92" s="29">
        <f ca="1">F92*'Res PW'!$B$8</f>
        <v>10.390512082512139</v>
      </c>
      <c r="N92" s="29">
        <f>G92*'Res PW'!$B$9</f>
        <v>-4.0534114440161613</v>
      </c>
      <c r="O92" s="163">
        <f>H92*'Res PW'!$B$10</f>
        <v>29.497892795326877</v>
      </c>
      <c r="P92" s="29">
        <f>I92*'Res PW'!$B$11</f>
        <v>0</v>
      </c>
      <c r="Q92" s="44">
        <f>'Monthly Data'!F92</f>
        <v>60509</v>
      </c>
      <c r="R92" s="46">
        <f>'Monthly Data'!BH92</f>
        <v>31</v>
      </c>
      <c r="S92" s="44">
        <f t="shared" ca="1" si="11"/>
        <v>58899135.199361414</v>
      </c>
      <c r="T92" s="44">
        <f t="shared" ca="1" si="12"/>
        <v>3103750.7701888159</v>
      </c>
      <c r="U92" s="48">
        <f t="shared" ca="1" si="13"/>
        <v>5.562737495121587E-2</v>
      </c>
    </row>
    <row r="93" spans="1:21" x14ac:dyDescent="0.2">
      <c r="A93" s="45">
        <f>'Monthly Data'!A93</f>
        <v>42948</v>
      </c>
      <c r="B93" s="29">
        <f t="shared" si="9"/>
        <v>2017</v>
      </c>
      <c r="C93" s="29">
        <f t="shared" si="10"/>
        <v>8</v>
      </c>
      <c r="D93" s="44">
        <f>'Monthly Data'!E93</f>
        <v>52455350.429172598</v>
      </c>
      <c r="E93" s="46">
        <f t="shared" ca="1" si="14"/>
        <v>0</v>
      </c>
      <c r="F93" s="46">
        <f t="shared" ca="1" si="14"/>
        <v>239.59000000000006</v>
      </c>
      <c r="G93" s="29">
        <f>'Monthly Data'!BG93</f>
        <v>92</v>
      </c>
      <c r="H93" s="29">
        <f>'Monthly Data'!W93</f>
        <v>7121.3</v>
      </c>
      <c r="I93" s="29">
        <f>'Monthly Data'!BF93</f>
        <v>0</v>
      </c>
      <c r="K93" s="29">
        <f>'Res PW'!$B$6</f>
        <v>-4.4351669087570498</v>
      </c>
      <c r="L93" s="29">
        <f ca="1">E93*'Res PW'!$B$7</f>
        <v>0</v>
      </c>
      <c r="M93" s="29">
        <f ca="1">F93*'Res PW'!$B$8</f>
        <v>9.2824594125399322</v>
      </c>
      <c r="N93" s="29">
        <f>G93*'Res PW'!$B$9</f>
        <v>-4.0979544269174379</v>
      </c>
      <c r="O93" s="163">
        <f>H93*'Res PW'!$B$10</f>
        <v>29.586803189250737</v>
      </c>
      <c r="P93" s="29">
        <f>I93*'Res PW'!$B$11</f>
        <v>0</v>
      </c>
      <c r="Q93" s="44">
        <f>'Monthly Data'!F93</f>
        <v>60503</v>
      </c>
      <c r="R93" s="46">
        <f>'Monthly Data'!BH93</f>
        <v>31</v>
      </c>
      <c r="S93" s="44">
        <f t="shared" ca="1" si="11"/>
        <v>56898254.205738649</v>
      </c>
      <c r="T93" s="44">
        <f t="shared" ca="1" si="12"/>
        <v>4442903.7765660509</v>
      </c>
      <c r="U93" s="48">
        <f t="shared" ca="1" si="13"/>
        <v>8.4698772197986646E-2</v>
      </c>
    </row>
    <row r="94" spans="1:21" x14ac:dyDescent="0.2">
      <c r="A94" s="45">
        <f>'Monthly Data'!A94</f>
        <v>42979</v>
      </c>
      <c r="B94" s="29">
        <f t="shared" si="9"/>
        <v>2017</v>
      </c>
      <c r="C94" s="29">
        <f t="shared" si="10"/>
        <v>9</v>
      </c>
      <c r="D94" s="44">
        <f>'Monthly Data'!E94</f>
        <v>45869313.429172598</v>
      </c>
      <c r="E94" s="46">
        <f t="shared" ca="1" si="14"/>
        <v>0.49000000000000005</v>
      </c>
      <c r="F94" s="46">
        <f t="shared" ca="1" si="14"/>
        <v>132.95000000000002</v>
      </c>
      <c r="G94" s="29">
        <f>'Monthly Data'!BG94</f>
        <v>93</v>
      </c>
      <c r="H94" s="29">
        <f>'Monthly Data'!W94</f>
        <v>7150.1</v>
      </c>
      <c r="I94" s="29">
        <f>'Monthly Data'!BF94</f>
        <v>1</v>
      </c>
      <c r="K94" s="29">
        <f>'Res PW'!$B$6</f>
        <v>-4.4351669087570498</v>
      </c>
      <c r="L94" s="29">
        <f ca="1">E94*'Res PW'!$B$7</f>
        <v>3.8753787874521821E-3</v>
      </c>
      <c r="M94" s="29">
        <f ca="1">F94*'Res PW'!$B$8</f>
        <v>5.1508951913568337</v>
      </c>
      <c r="N94" s="29">
        <f>G94*'Res PW'!$B$9</f>
        <v>-4.1424974098187146</v>
      </c>
      <c r="O94" s="163">
        <f>H94*'Res PW'!$B$10</f>
        <v>29.706458298830508</v>
      </c>
      <c r="P94" s="29">
        <f>I94*'Res PW'!$B$11</f>
        <v>-1.18560218277844</v>
      </c>
      <c r="Q94" s="44">
        <f>'Monthly Data'!F94</f>
        <v>60533</v>
      </c>
      <c r="R94" s="46">
        <f>'Monthly Data'!BH94</f>
        <v>30</v>
      </c>
      <c r="S94" s="44">
        <f t="shared" ca="1" si="11"/>
        <v>45577648.679975316</v>
      </c>
      <c r="T94" s="44">
        <f t="shared" ca="1" si="12"/>
        <v>-291664.7491972819</v>
      </c>
      <c r="U94" s="48">
        <f t="shared" ca="1" si="13"/>
        <v>6.3586028957604785E-3</v>
      </c>
    </row>
    <row r="95" spans="1:21" x14ac:dyDescent="0.2">
      <c r="A95" s="45">
        <f>'Monthly Data'!A95</f>
        <v>43009</v>
      </c>
      <c r="B95" s="29">
        <f t="shared" si="9"/>
        <v>2017</v>
      </c>
      <c r="C95" s="29">
        <f t="shared" si="10"/>
        <v>10</v>
      </c>
      <c r="D95" s="44">
        <f>'Monthly Data'!E95</f>
        <v>41241719.429172598</v>
      </c>
      <c r="E95" s="46">
        <f t="shared" ref="E95:F110" ca="1" si="15">E83</f>
        <v>53.33000000000002</v>
      </c>
      <c r="F95" s="46">
        <f t="shared" ca="1" si="15"/>
        <v>27.9</v>
      </c>
      <c r="G95" s="29">
        <f>'Monthly Data'!BG95</f>
        <v>94</v>
      </c>
      <c r="H95" s="29">
        <f>'Monthly Data'!W95</f>
        <v>7170.5</v>
      </c>
      <c r="I95" s="29">
        <f>'Monthly Data'!BF95</f>
        <v>1</v>
      </c>
      <c r="K95" s="29">
        <f>'Res PW'!$B$6</f>
        <v>-4.4351669087570498</v>
      </c>
      <c r="L95" s="29">
        <f ca="1">E95*'Res PW'!$B$7</f>
        <v>0.42178357292821411</v>
      </c>
      <c r="M95" s="29">
        <f ca="1">F95*'Res PW'!$B$8</f>
        <v>1.0809324997281358</v>
      </c>
      <c r="N95" s="29">
        <f>G95*'Res PW'!$B$9</f>
        <v>-4.1870403927199913</v>
      </c>
      <c r="O95" s="163">
        <f>H95*'Res PW'!$B$10</f>
        <v>29.791214001449511</v>
      </c>
      <c r="P95" s="29">
        <f>I95*'Res PW'!$B$11</f>
        <v>-1.18560218277844</v>
      </c>
      <c r="Q95" s="44">
        <f>'Monthly Data'!F95</f>
        <v>60537</v>
      </c>
      <c r="R95" s="46">
        <f>'Monthly Data'!BH95</f>
        <v>31</v>
      </c>
      <c r="S95" s="44">
        <f t="shared" ca="1" si="11"/>
        <v>40321863.746580943</v>
      </c>
      <c r="T95" s="44">
        <f t="shared" ca="1" si="12"/>
        <v>-919855.68259165436</v>
      </c>
      <c r="U95" s="48">
        <f t="shared" ca="1" si="13"/>
        <v>2.2304009030743477E-2</v>
      </c>
    </row>
    <row r="96" spans="1:21" x14ac:dyDescent="0.2">
      <c r="A96" s="45">
        <f>'Monthly Data'!A96</f>
        <v>43040</v>
      </c>
      <c r="B96" s="29">
        <f t="shared" si="9"/>
        <v>2017</v>
      </c>
      <c r="C96" s="29">
        <f t="shared" si="10"/>
        <v>11</v>
      </c>
      <c r="D96" s="44">
        <f>'Monthly Data'!E96</f>
        <v>39186241.429172598</v>
      </c>
      <c r="E96" s="46">
        <f t="shared" ca="1" si="15"/>
        <v>207.66000000000003</v>
      </c>
      <c r="F96" s="46">
        <f t="shared" ca="1" si="15"/>
        <v>0.69000000000000006</v>
      </c>
      <c r="G96" s="29">
        <f>'Monthly Data'!BG96</f>
        <v>95</v>
      </c>
      <c r="H96" s="29">
        <f>'Monthly Data'!W96</f>
        <v>7189.6</v>
      </c>
      <c r="I96" s="29">
        <f>'Monthly Data'!BF96</f>
        <v>1</v>
      </c>
      <c r="K96" s="29">
        <f>'Res PW'!$B$6</f>
        <v>-4.4351669087570498</v>
      </c>
      <c r="L96" s="29">
        <f ca="1">E96*'Res PW'!$B$7</f>
        <v>1.642369712249633</v>
      </c>
      <c r="M96" s="29">
        <f ca="1">F96*'Res PW'!$B$8</f>
        <v>2.6732739240588305E-2</v>
      </c>
      <c r="N96" s="29">
        <f>G96*'Res PW'!$B$9</f>
        <v>-4.2315833756212671</v>
      </c>
      <c r="O96" s="163">
        <f>H96*'Res PW'!$B$10</f>
        <v>29.87056860537221</v>
      </c>
      <c r="P96" s="29">
        <f>I96*'Res PW'!$B$11</f>
        <v>-1.18560218277844</v>
      </c>
      <c r="Q96" s="44">
        <f>'Monthly Data'!F96</f>
        <v>60558</v>
      </c>
      <c r="R96" s="46">
        <f>'Monthly Data'!BH96</f>
        <v>30</v>
      </c>
      <c r="S96" s="44">
        <f t="shared" ca="1" si="11"/>
        <v>39400219.17466189</v>
      </c>
      <c r="T96" s="44">
        <f t="shared" ca="1" si="12"/>
        <v>213977.74548929185</v>
      </c>
      <c r="U96" s="48">
        <f t="shared" ca="1" si="13"/>
        <v>5.4605325156291701E-3</v>
      </c>
    </row>
    <row r="97" spans="1:21" x14ac:dyDescent="0.2">
      <c r="A97" s="45">
        <f>'Monthly Data'!A97</f>
        <v>43070</v>
      </c>
      <c r="B97" s="29">
        <f t="shared" si="9"/>
        <v>2017</v>
      </c>
      <c r="C97" s="29">
        <f t="shared" si="10"/>
        <v>12</v>
      </c>
      <c r="D97" s="44">
        <f>'Monthly Data'!E97</f>
        <v>47203108.429172598</v>
      </c>
      <c r="E97" s="46">
        <f t="shared" ca="1" si="15"/>
        <v>351.65000000000003</v>
      </c>
      <c r="F97" s="46">
        <f t="shared" ca="1" si="15"/>
        <v>0</v>
      </c>
      <c r="G97" s="29">
        <f>'Monthly Data'!BG97</f>
        <v>96</v>
      </c>
      <c r="H97" s="29">
        <f>'Monthly Data'!W97</f>
        <v>7203.1</v>
      </c>
      <c r="I97" s="29">
        <f>'Monthly Data'!BF97</f>
        <v>0</v>
      </c>
      <c r="K97" s="29">
        <f>'Res PW'!$B$6</f>
        <v>-4.4351669087570498</v>
      </c>
      <c r="L97" s="29">
        <f ca="1">E97*'Res PW'!$B$7</f>
        <v>2.7811774502195097</v>
      </c>
      <c r="M97" s="29">
        <f ca="1">F97*'Res PW'!$B$8</f>
        <v>0</v>
      </c>
      <c r="N97" s="29">
        <f>G97*'Res PW'!$B$9</f>
        <v>-4.2761263585225437</v>
      </c>
      <c r="O97" s="163">
        <f>H97*'Res PW'!$B$10</f>
        <v>29.926656937987726</v>
      </c>
      <c r="P97" s="29">
        <f>I97*'Res PW'!$B$11</f>
        <v>0</v>
      </c>
      <c r="Q97" s="44">
        <f>'Monthly Data'!F97</f>
        <v>60594</v>
      </c>
      <c r="R97" s="46">
        <f>'Monthly Data'!BH97</f>
        <v>31</v>
      </c>
      <c r="S97" s="44">
        <f t="shared" ca="1" si="11"/>
        <v>45075438.793126173</v>
      </c>
      <c r="T97" s="44">
        <f t="shared" ca="1" si="12"/>
        <v>-2127669.6360464245</v>
      </c>
      <c r="U97" s="48">
        <f t="shared" ca="1" si="13"/>
        <v>4.5074778057020419E-2</v>
      </c>
    </row>
    <row r="98" spans="1:21" x14ac:dyDescent="0.2">
      <c r="A98" s="45">
        <f>'Monthly Data'!A98</f>
        <v>43101</v>
      </c>
      <c r="B98" s="29">
        <f t="shared" si="9"/>
        <v>2018</v>
      </c>
      <c r="C98" s="29">
        <f t="shared" si="10"/>
        <v>1</v>
      </c>
      <c r="D98" s="44">
        <f>'Monthly Data'!E98</f>
        <v>48558249.221446835</v>
      </c>
      <c r="E98" s="46">
        <f t="shared" ca="1" si="15"/>
        <v>477.14</v>
      </c>
      <c r="F98" s="46">
        <f t="shared" ca="1" si="15"/>
        <v>0</v>
      </c>
      <c r="G98" s="29">
        <f>'Monthly Data'!BG98</f>
        <v>97</v>
      </c>
      <c r="H98" s="29">
        <f>'Monthly Data'!W98</f>
        <v>7199.8</v>
      </c>
      <c r="I98" s="29">
        <f>'Monthly Data'!BF98</f>
        <v>0</v>
      </c>
      <c r="K98" s="29">
        <f>'Res PW'!$B$6</f>
        <v>-4.4351669087570498</v>
      </c>
      <c r="L98" s="29">
        <f ca="1">E98*'Res PW'!$B$7</f>
        <v>3.7736698666223143</v>
      </c>
      <c r="M98" s="29">
        <f ca="1">F98*'Res PW'!$B$8</f>
        <v>0</v>
      </c>
      <c r="N98" s="29">
        <f>G98*'Res PW'!$B$9</f>
        <v>-4.3206693414238204</v>
      </c>
      <c r="O98" s="163">
        <f>H98*'Res PW'!$B$10</f>
        <v>29.912946456681709</v>
      </c>
      <c r="P98" s="29">
        <f>I98*'Res PW'!$B$11</f>
        <v>0</v>
      </c>
      <c r="Q98" s="44">
        <f>'Monthly Data'!F98</f>
        <v>60779</v>
      </c>
      <c r="R98" s="46">
        <f>'Monthly Data'!BH98</f>
        <v>31</v>
      </c>
      <c r="S98" s="44">
        <f t="shared" ca="1" si="11"/>
        <v>46973304.343994915</v>
      </c>
      <c r="T98" s="44">
        <f t="shared" ca="1" si="12"/>
        <v>-1584944.877451919</v>
      </c>
      <c r="U98" s="48">
        <f t="shared" ca="1" si="13"/>
        <v>3.2640074608618563E-2</v>
      </c>
    </row>
    <row r="99" spans="1:21" x14ac:dyDescent="0.2">
      <c r="A99" s="45">
        <f>'Monthly Data'!A99</f>
        <v>43132</v>
      </c>
      <c r="B99" s="29">
        <f t="shared" si="9"/>
        <v>2018</v>
      </c>
      <c r="C99" s="29">
        <f t="shared" si="10"/>
        <v>2</v>
      </c>
      <c r="D99" s="44">
        <f>'Monthly Data'!E99</f>
        <v>40484738.221446835</v>
      </c>
      <c r="E99" s="46">
        <f t="shared" ca="1" si="15"/>
        <v>417.05</v>
      </c>
      <c r="F99" s="46">
        <f t="shared" ca="1" si="15"/>
        <v>0</v>
      </c>
      <c r="G99" s="29">
        <f>'Monthly Data'!BG99</f>
        <v>98</v>
      </c>
      <c r="H99" s="29">
        <f>'Monthly Data'!W99</f>
        <v>7189.2</v>
      </c>
      <c r="I99" s="29">
        <f>'Monthly Data'!BF99</f>
        <v>0</v>
      </c>
      <c r="K99" s="29">
        <f>'Res PW'!$B$6</f>
        <v>-4.4351669087570498</v>
      </c>
      <c r="L99" s="29">
        <f ca="1">E99*'Res PW'!$B$7</f>
        <v>3.2984218842998621</v>
      </c>
      <c r="M99" s="29">
        <f ca="1">F99*'Res PW'!$B$8</f>
        <v>0</v>
      </c>
      <c r="N99" s="29">
        <f>G99*'Res PW'!$B$9</f>
        <v>-4.3652123243250971</v>
      </c>
      <c r="O99" s="163">
        <f>H99*'Res PW'!$B$10</f>
        <v>29.868906728850266</v>
      </c>
      <c r="P99" s="29">
        <f>I99*'Res PW'!$B$11</f>
        <v>0</v>
      </c>
      <c r="Q99" s="44">
        <f>'Monthly Data'!F99</f>
        <v>60797</v>
      </c>
      <c r="R99" s="46">
        <f>'Monthly Data'!BH99</f>
        <v>28</v>
      </c>
      <c r="S99" s="44">
        <f t="shared" ca="1" si="11"/>
        <v>41480247.800879806</v>
      </c>
      <c r="T99" s="44">
        <f t="shared" ca="1" si="12"/>
        <v>995509.57943297178</v>
      </c>
      <c r="U99" s="48">
        <f t="shared" ca="1" si="13"/>
        <v>2.4589749697469934E-2</v>
      </c>
    </row>
    <row r="100" spans="1:21" x14ac:dyDescent="0.2">
      <c r="A100" s="45">
        <f>'Monthly Data'!A100</f>
        <v>43160</v>
      </c>
      <c r="B100" s="29">
        <f t="shared" si="9"/>
        <v>2018</v>
      </c>
      <c r="C100" s="29">
        <f t="shared" si="10"/>
        <v>3</v>
      </c>
      <c r="D100" s="44">
        <f>'Monthly Data'!E100</f>
        <v>41820516.221446835</v>
      </c>
      <c r="E100" s="46">
        <f t="shared" ca="1" si="15"/>
        <v>332.70999999999992</v>
      </c>
      <c r="F100" s="46">
        <f t="shared" ca="1" si="15"/>
        <v>3.0000000000000072E-2</v>
      </c>
      <c r="G100" s="29">
        <f>'Monthly Data'!BG100</f>
        <v>99</v>
      </c>
      <c r="H100" s="29">
        <f>'Monthly Data'!W100</f>
        <v>7185</v>
      </c>
      <c r="I100" s="29">
        <f>'Monthly Data'!BF100</f>
        <v>1</v>
      </c>
      <c r="K100" s="29">
        <f>'Res PW'!$B$6</f>
        <v>-4.4351669087570498</v>
      </c>
      <c r="L100" s="29">
        <f ca="1">E100*'Res PW'!$B$7</f>
        <v>2.6313821966800308</v>
      </c>
      <c r="M100" s="29">
        <f ca="1">F100*'Res PW'!$B$8</f>
        <v>1.1622930104603637E-3</v>
      </c>
      <c r="N100" s="29">
        <f>G100*'Res PW'!$B$9</f>
        <v>-4.4097553072263738</v>
      </c>
      <c r="O100" s="163">
        <f>H100*'Res PW'!$B$10</f>
        <v>29.851457025369882</v>
      </c>
      <c r="P100" s="29">
        <f>I100*'Res PW'!$B$11</f>
        <v>-1.18560218277844</v>
      </c>
      <c r="Q100" s="44">
        <f>'Monthly Data'!F100</f>
        <v>60798</v>
      </c>
      <c r="R100" s="46">
        <f>'Monthly Data'!BH100</f>
        <v>31</v>
      </c>
      <c r="S100" s="44">
        <f t="shared" ca="1" si="11"/>
        <v>42318921.553218223</v>
      </c>
      <c r="T100" s="44">
        <f t="shared" ca="1" si="12"/>
        <v>498405.33177138865</v>
      </c>
      <c r="U100" s="48">
        <f t="shared" ca="1" si="13"/>
        <v>1.1917723089123209E-2</v>
      </c>
    </row>
    <row r="101" spans="1:21" x14ac:dyDescent="0.2">
      <c r="A101" s="45">
        <f>'Monthly Data'!A101</f>
        <v>43191</v>
      </c>
      <c r="B101" s="29">
        <f t="shared" si="9"/>
        <v>2018</v>
      </c>
      <c r="C101" s="29">
        <f t="shared" si="10"/>
        <v>4</v>
      </c>
      <c r="D101" s="44">
        <f>'Monthly Data'!E101</f>
        <v>38864052.221446835</v>
      </c>
      <c r="E101" s="46">
        <f t="shared" ca="1" si="15"/>
        <v>164.53999999999996</v>
      </c>
      <c r="F101" s="46">
        <f t="shared" ca="1" si="15"/>
        <v>1.45</v>
      </c>
      <c r="G101" s="29">
        <f>'Monthly Data'!BG101</f>
        <v>100</v>
      </c>
      <c r="H101" s="29">
        <f>'Monthly Data'!W101</f>
        <v>7198.2</v>
      </c>
      <c r="I101" s="29">
        <f>'Monthly Data'!BF101</f>
        <v>1</v>
      </c>
      <c r="K101" s="29">
        <f>'Res PW'!$B$6</f>
        <v>-4.4351669087570498</v>
      </c>
      <c r="L101" s="29">
        <f ca="1">E101*'Res PW'!$B$7</f>
        <v>1.3013363789538406</v>
      </c>
      <c r="M101" s="29">
        <f ca="1">F101*'Res PW'!$B$8</f>
        <v>5.617749550558411E-2</v>
      </c>
      <c r="N101" s="29">
        <f>G101*'Res PW'!$B$9</f>
        <v>-4.4542982901276496</v>
      </c>
      <c r="O101" s="163">
        <f>H101*'Res PW'!$B$10</f>
        <v>29.906298950593943</v>
      </c>
      <c r="P101" s="29">
        <f>I101*'Res PW'!$B$11</f>
        <v>-1.18560218277844</v>
      </c>
      <c r="Q101" s="44">
        <f>'Monthly Data'!F101</f>
        <v>60792</v>
      </c>
      <c r="R101" s="46">
        <f>'Monthly Data'!BH101</f>
        <v>30</v>
      </c>
      <c r="S101" s="44">
        <f t="shared" ca="1" si="11"/>
        <v>38643186.389837362</v>
      </c>
      <c r="T101" s="44">
        <f t="shared" ca="1" si="12"/>
        <v>-220865.83160947263</v>
      </c>
      <c r="U101" s="48">
        <f t="shared" ca="1" si="13"/>
        <v>5.6830366105670646E-3</v>
      </c>
    </row>
    <row r="102" spans="1:21" x14ac:dyDescent="0.2">
      <c r="A102" s="45">
        <f>'Monthly Data'!A102</f>
        <v>43221</v>
      </c>
      <c r="B102" s="29">
        <f t="shared" si="9"/>
        <v>2018</v>
      </c>
      <c r="C102" s="29">
        <f t="shared" si="10"/>
        <v>5</v>
      </c>
      <c r="D102" s="44">
        <f>'Monthly Data'!E102</f>
        <v>41888482.221446835</v>
      </c>
      <c r="E102" s="46">
        <f t="shared" ca="1" si="15"/>
        <v>35.92</v>
      </c>
      <c r="F102" s="46">
        <f t="shared" ca="1" si="15"/>
        <v>50.69</v>
      </c>
      <c r="G102" s="29">
        <f>'Monthly Data'!BG102</f>
        <v>101</v>
      </c>
      <c r="H102" s="29">
        <f>'Monthly Data'!W102</f>
        <v>7208.1</v>
      </c>
      <c r="I102" s="29">
        <f>'Monthly Data'!BF102</f>
        <v>1</v>
      </c>
      <c r="K102" s="29">
        <f>'Res PW'!$B$6</f>
        <v>-4.4351669087570498</v>
      </c>
      <c r="L102" s="29">
        <f ca="1">E102*'Res PW'!$B$7</f>
        <v>0.28408899192914772</v>
      </c>
      <c r="M102" s="29">
        <f ca="1">F102*'Res PW'!$B$8</f>
        <v>1.9638877566745232</v>
      </c>
      <c r="N102" s="29">
        <f>G102*'Res PW'!$B$9</f>
        <v>-4.4988412730289262</v>
      </c>
      <c r="O102" s="163">
        <f>H102*'Res PW'!$B$10</f>
        <v>29.94743039451199</v>
      </c>
      <c r="P102" s="29">
        <f>I102*'Res PW'!$B$11</f>
        <v>-1.18560218277844</v>
      </c>
      <c r="Q102" s="44">
        <f>'Monthly Data'!F102</f>
        <v>60822</v>
      </c>
      <c r="R102" s="46">
        <f>'Monthly Data'!BH102</f>
        <v>31</v>
      </c>
      <c r="S102" s="44">
        <f t="shared" ca="1" si="11"/>
        <v>41623517.46161636</v>
      </c>
      <c r="T102" s="44">
        <f t="shared" ca="1" si="12"/>
        <v>-264964.75983047485</v>
      </c>
      <c r="U102" s="48">
        <f t="shared" ca="1" si="13"/>
        <v>6.3254800789801198E-3</v>
      </c>
    </row>
    <row r="103" spans="1:21" x14ac:dyDescent="0.2">
      <c r="A103" s="45">
        <f>'Monthly Data'!A103</f>
        <v>43252</v>
      </c>
      <c r="B103" s="29">
        <f t="shared" si="9"/>
        <v>2018</v>
      </c>
      <c r="C103" s="29">
        <f t="shared" si="10"/>
        <v>6</v>
      </c>
      <c r="D103" s="44">
        <f>'Monthly Data'!E103</f>
        <v>52737558.221446835</v>
      </c>
      <c r="E103" s="46">
        <f t="shared" ca="1" si="15"/>
        <v>0.37999999999999989</v>
      </c>
      <c r="F103" s="46">
        <f t="shared" ca="1" si="15"/>
        <v>145.17999999999998</v>
      </c>
      <c r="G103" s="29">
        <f>'Monthly Data'!BG103</f>
        <v>102</v>
      </c>
      <c r="H103" s="29">
        <f>'Monthly Data'!W103</f>
        <v>7224.1</v>
      </c>
      <c r="I103" s="29">
        <f>'Monthly Data'!BF103</f>
        <v>0</v>
      </c>
      <c r="K103" s="29">
        <f>'Res PW'!$B$6</f>
        <v>-4.4351669087570498</v>
      </c>
      <c r="L103" s="29">
        <f ca="1">E103*'Res PW'!$B$7</f>
        <v>3.0053957943506709E-3</v>
      </c>
      <c r="M103" s="29">
        <f ca="1">F103*'Res PW'!$B$8</f>
        <v>5.6247233086211725</v>
      </c>
      <c r="N103" s="29">
        <f>G103*'Res PW'!$B$9</f>
        <v>-4.5433842559302029</v>
      </c>
      <c r="O103" s="163">
        <f>H103*'Res PW'!$B$10</f>
        <v>30.013905455389644</v>
      </c>
      <c r="P103" s="29">
        <f>I103*'Res PW'!$B$11</f>
        <v>0</v>
      </c>
      <c r="Q103" s="44">
        <f>'Monthly Data'!F103</f>
        <v>60920</v>
      </c>
      <c r="R103" s="46">
        <f>'Monthly Data'!BH103</f>
        <v>30</v>
      </c>
      <c r="S103" s="44">
        <f t="shared" ca="1" si="11"/>
        <v>48729450.481877498</v>
      </c>
      <c r="T103" s="44">
        <f t="shared" ca="1" si="12"/>
        <v>-4008107.7395693362</v>
      </c>
      <c r="U103" s="48">
        <f t="shared" ca="1" si="13"/>
        <v>7.6001010944404229E-2</v>
      </c>
    </row>
    <row r="104" spans="1:21" x14ac:dyDescent="0.2">
      <c r="A104" s="45">
        <f>'Monthly Data'!A104</f>
        <v>43282</v>
      </c>
      <c r="B104" s="29">
        <f t="shared" si="9"/>
        <v>2018</v>
      </c>
      <c r="C104" s="29">
        <f t="shared" si="10"/>
        <v>7</v>
      </c>
      <c r="D104" s="44">
        <f>'Monthly Data'!E104</f>
        <v>65508403.221446835</v>
      </c>
      <c r="E104" s="46">
        <f t="shared" ca="1" si="15"/>
        <v>0</v>
      </c>
      <c r="F104" s="46">
        <f t="shared" ca="1" si="15"/>
        <v>268.18999999999994</v>
      </c>
      <c r="G104" s="29">
        <f>'Monthly Data'!BG104</f>
        <v>103</v>
      </c>
      <c r="H104" s="29">
        <f>'Monthly Data'!W104</f>
        <v>7258.6</v>
      </c>
      <c r="I104" s="29">
        <f>'Monthly Data'!BF104</f>
        <v>0</v>
      </c>
      <c r="K104" s="29">
        <f>'Res PW'!$B$6</f>
        <v>-4.4351669087570498</v>
      </c>
      <c r="L104" s="29">
        <f ca="1">E104*'Res PW'!$B$7</f>
        <v>0</v>
      </c>
      <c r="M104" s="29">
        <f ca="1">F104*'Res PW'!$B$8</f>
        <v>10.390512082512139</v>
      </c>
      <c r="N104" s="29">
        <f>G104*'Res PW'!$B$9</f>
        <v>-4.5879272388314796</v>
      </c>
      <c r="O104" s="163">
        <f>H104*'Res PW'!$B$10</f>
        <v>30.157242305407078</v>
      </c>
      <c r="P104" s="29">
        <f>I104*'Res PW'!$B$11</f>
        <v>0</v>
      </c>
      <c r="Q104" s="44">
        <f>'Monthly Data'!F104</f>
        <v>60944</v>
      </c>
      <c r="R104" s="46">
        <f>'Monthly Data'!BH104</f>
        <v>31</v>
      </c>
      <c r="S104" s="44">
        <f t="shared" ca="1" si="11"/>
        <v>59558405.70428811</v>
      </c>
      <c r="T104" s="44">
        <f t="shared" ca="1" si="12"/>
        <v>-5949997.5171587244</v>
      </c>
      <c r="U104" s="48">
        <f t="shared" ca="1" si="13"/>
        <v>9.0828004111856459E-2</v>
      </c>
    </row>
    <row r="105" spans="1:21" x14ac:dyDescent="0.2">
      <c r="A105" s="45">
        <f>'Monthly Data'!A105</f>
        <v>43313</v>
      </c>
      <c r="B105" s="29">
        <f t="shared" si="9"/>
        <v>2018</v>
      </c>
      <c r="C105" s="29">
        <f t="shared" si="10"/>
        <v>8</v>
      </c>
      <c r="D105" s="44">
        <f>'Monthly Data'!E105</f>
        <v>63722566.221446835</v>
      </c>
      <c r="E105" s="46">
        <f t="shared" ca="1" si="15"/>
        <v>0</v>
      </c>
      <c r="F105" s="46">
        <f t="shared" ca="1" si="15"/>
        <v>239.59000000000006</v>
      </c>
      <c r="G105" s="29">
        <f>'Monthly Data'!BG105</f>
        <v>104</v>
      </c>
      <c r="H105" s="29">
        <f>'Monthly Data'!W105</f>
        <v>7264.8</v>
      </c>
      <c r="I105" s="29">
        <f>'Monthly Data'!BF105</f>
        <v>0</v>
      </c>
      <c r="K105" s="29">
        <f>'Res PW'!$B$6</f>
        <v>-4.4351669087570498</v>
      </c>
      <c r="L105" s="29">
        <f ca="1">E105*'Res PW'!$B$7</f>
        <v>0</v>
      </c>
      <c r="M105" s="29">
        <f ca="1">F105*'Res PW'!$B$8</f>
        <v>9.2824594125399322</v>
      </c>
      <c r="N105" s="29">
        <f>G105*'Res PW'!$B$9</f>
        <v>-4.6324702217327562</v>
      </c>
      <c r="O105" s="163">
        <f>H105*'Res PW'!$B$10</f>
        <v>30.183001391497164</v>
      </c>
      <c r="P105" s="29">
        <f>I105*'Res PW'!$B$11</f>
        <v>0</v>
      </c>
      <c r="Q105" s="44">
        <f>'Monthly Data'!F105</f>
        <v>60940</v>
      </c>
      <c r="R105" s="46">
        <f>'Monthly Data'!BH105</f>
        <v>31</v>
      </c>
      <c r="S105" s="44">
        <f t="shared" ca="1" si="11"/>
        <v>57425744.614645131</v>
      </c>
      <c r="T105" s="44">
        <f t="shared" ca="1" si="12"/>
        <v>-6296821.6068017036</v>
      </c>
      <c r="U105" s="48">
        <f t="shared" ca="1" si="13"/>
        <v>9.8816196210917959E-2</v>
      </c>
    </row>
    <row r="106" spans="1:21" x14ac:dyDescent="0.2">
      <c r="A106" s="45">
        <f>'Monthly Data'!A106</f>
        <v>43344</v>
      </c>
      <c r="B106" s="29">
        <f t="shared" si="9"/>
        <v>2018</v>
      </c>
      <c r="C106" s="29">
        <f t="shared" si="10"/>
        <v>9</v>
      </c>
      <c r="D106" s="44">
        <f>'Monthly Data'!E106</f>
        <v>51294132.221446835</v>
      </c>
      <c r="E106" s="46">
        <f t="shared" ca="1" si="15"/>
        <v>0.49000000000000005</v>
      </c>
      <c r="F106" s="46">
        <f t="shared" ca="1" si="15"/>
        <v>132.95000000000002</v>
      </c>
      <c r="G106" s="29">
        <f>'Monthly Data'!BG106</f>
        <v>105</v>
      </c>
      <c r="H106" s="29">
        <f>'Monthly Data'!W106</f>
        <v>7268.1</v>
      </c>
      <c r="I106" s="29">
        <f>'Monthly Data'!BF106</f>
        <v>1</v>
      </c>
      <c r="K106" s="29">
        <f>'Res PW'!$B$6</f>
        <v>-4.4351669087570498</v>
      </c>
      <c r="L106" s="29">
        <f ca="1">E106*'Res PW'!$B$7</f>
        <v>3.8753787874521821E-3</v>
      </c>
      <c r="M106" s="29">
        <f ca="1">F106*'Res PW'!$B$8</f>
        <v>5.1508951913568337</v>
      </c>
      <c r="N106" s="29">
        <f>G106*'Res PW'!$B$9</f>
        <v>-4.677013204634032</v>
      </c>
      <c r="O106" s="163">
        <f>H106*'Res PW'!$B$10</f>
        <v>30.196711872803181</v>
      </c>
      <c r="P106" s="29">
        <f>I106*'Res PW'!$B$11</f>
        <v>-1.18560218277844</v>
      </c>
      <c r="Q106" s="44">
        <f>'Monthly Data'!F106</f>
        <v>60973</v>
      </c>
      <c r="R106" s="46">
        <f>'Monthly Data'!BH106</f>
        <v>30</v>
      </c>
      <c r="S106" s="44">
        <f t="shared" ca="1" si="11"/>
        <v>45827977.771484748</v>
      </c>
      <c r="T106" s="44">
        <f t="shared" ca="1" si="12"/>
        <v>-5466154.449962087</v>
      </c>
      <c r="U106" s="48">
        <f t="shared" ca="1" si="13"/>
        <v>0.10656490739259659</v>
      </c>
    </row>
    <row r="107" spans="1:21" x14ac:dyDescent="0.2">
      <c r="A107" s="45">
        <v>43374</v>
      </c>
      <c r="B107" s="29">
        <f t="shared" si="9"/>
        <v>2018</v>
      </c>
      <c r="C107" s="29">
        <f t="shared" si="10"/>
        <v>10</v>
      </c>
      <c r="D107" s="44">
        <f>'Monthly Data'!E107</f>
        <v>41038053.221446835</v>
      </c>
      <c r="E107" s="46">
        <f t="shared" ca="1" si="15"/>
        <v>53.33000000000002</v>
      </c>
      <c r="F107" s="46">
        <f t="shared" ca="1" si="15"/>
        <v>27.9</v>
      </c>
      <c r="G107" s="29">
        <f>'Monthly Data'!BG107</f>
        <v>106</v>
      </c>
      <c r="H107" s="29">
        <f>'Monthly Data'!W107</f>
        <v>7253</v>
      </c>
      <c r="I107" s="29">
        <f>'Monthly Data'!BF107</f>
        <v>1</v>
      </c>
      <c r="K107" s="29">
        <f>'Res PW'!$B$6</f>
        <v>-4.4351669087570498</v>
      </c>
      <c r="L107" s="29">
        <f ca="1">E107*'Res PW'!$B$7</f>
        <v>0.42178357292821411</v>
      </c>
      <c r="M107" s="29">
        <f ca="1">F107*'Res PW'!$B$8</f>
        <v>1.0809324997281358</v>
      </c>
      <c r="N107" s="29">
        <f>G107*'Res PW'!$B$9</f>
        <v>-4.7215561875353087</v>
      </c>
      <c r="O107" s="163">
        <f>H107*'Res PW'!$B$10</f>
        <v>30.133976034099895</v>
      </c>
      <c r="P107" s="29">
        <f>I107*'Res PW'!$B$11</f>
        <v>-1.18560218277844</v>
      </c>
      <c r="Q107" s="44">
        <f>'Monthly Data'!F107</f>
        <v>60992</v>
      </c>
      <c r="R107" s="46">
        <f>'Monthly Data'!BH107</f>
        <v>31</v>
      </c>
      <c r="S107" s="44">
        <f t="shared" ca="1" si="11"/>
        <v>40262366.668179922</v>
      </c>
      <c r="T107" s="44">
        <f t="shared" ca="1" si="12"/>
        <v>-775686.5532669127</v>
      </c>
      <c r="U107" s="48">
        <f t="shared" ca="1" si="13"/>
        <v>1.8901641095916615E-2</v>
      </c>
    </row>
    <row r="108" spans="1:21" x14ac:dyDescent="0.2">
      <c r="A108" s="45">
        <v>43405</v>
      </c>
      <c r="B108" s="29">
        <f t="shared" si="9"/>
        <v>2018</v>
      </c>
      <c r="C108" s="29">
        <f t="shared" si="10"/>
        <v>11</v>
      </c>
      <c r="D108" s="44">
        <f>'Monthly Data'!E108</f>
        <v>41154575.221446835</v>
      </c>
      <c r="E108" s="46">
        <f t="shared" ca="1" si="15"/>
        <v>207.66000000000003</v>
      </c>
      <c r="F108" s="46">
        <f t="shared" ca="1" si="15"/>
        <v>0.69000000000000006</v>
      </c>
      <c r="G108" s="29">
        <f>'Monthly Data'!BG108</f>
        <v>107</v>
      </c>
      <c r="H108" s="29">
        <f>'Monthly Data'!W108</f>
        <v>7273.5</v>
      </c>
      <c r="I108" s="29">
        <f>'Monthly Data'!BF108</f>
        <v>1</v>
      </c>
      <c r="K108" s="29">
        <f>'Res PW'!$B$6</f>
        <v>-4.4351669087570498</v>
      </c>
      <c r="L108" s="29">
        <f ca="1">E108*'Res PW'!$B$7</f>
        <v>1.642369712249633</v>
      </c>
      <c r="M108" s="29">
        <f ca="1">F108*'Res PW'!$B$8</f>
        <v>2.6732739240588305E-2</v>
      </c>
      <c r="N108" s="29">
        <f>G108*'Res PW'!$B$9</f>
        <v>-4.7660991704365854</v>
      </c>
      <c r="O108" s="163">
        <f>H108*'Res PW'!$B$10</f>
        <v>30.219147205849385</v>
      </c>
      <c r="P108" s="29">
        <f>I108*'Res PW'!$B$11</f>
        <v>-1.18560218277844</v>
      </c>
      <c r="Q108" s="44">
        <f>'Monthly Data'!F108</f>
        <v>61031</v>
      </c>
      <c r="R108" s="46">
        <f>'Monthly Data'!BH108</f>
        <v>30</v>
      </c>
      <c r="S108" s="44">
        <f t="shared" ca="1" si="11"/>
        <v>39367524.238220274</v>
      </c>
      <c r="T108" s="44">
        <f t="shared" ca="1" si="12"/>
        <v>-1787050.9832265601</v>
      </c>
      <c r="U108" s="48">
        <f t="shared" ca="1" si="13"/>
        <v>4.3422899485918549E-2</v>
      </c>
    </row>
    <row r="109" spans="1:21" x14ac:dyDescent="0.2">
      <c r="A109" s="45">
        <v>43435</v>
      </c>
      <c r="B109" s="29">
        <f t="shared" si="9"/>
        <v>2018</v>
      </c>
      <c r="C109" s="29">
        <f t="shared" si="10"/>
        <v>12</v>
      </c>
      <c r="D109" s="44">
        <f>'Monthly Data'!E109</f>
        <v>46188029.221446835</v>
      </c>
      <c r="E109" s="46">
        <f t="shared" ca="1" si="15"/>
        <v>351.65000000000003</v>
      </c>
      <c r="F109" s="46">
        <f t="shared" ca="1" si="15"/>
        <v>0</v>
      </c>
      <c r="G109" s="29">
        <f>'Monthly Data'!BG109</f>
        <v>108</v>
      </c>
      <c r="H109" s="29">
        <f>'Monthly Data'!W109</f>
        <v>7289.2</v>
      </c>
      <c r="I109" s="29">
        <f>'Monthly Data'!BF109</f>
        <v>0</v>
      </c>
      <c r="K109" s="29">
        <f>'Res PW'!$B$6</f>
        <v>-4.4351669087570498</v>
      </c>
      <c r="L109" s="29">
        <f ca="1">E109*'Res PW'!$B$7</f>
        <v>2.7811774502195097</v>
      </c>
      <c r="M109" s="29">
        <f ca="1">F109*'Res PW'!$B$8</f>
        <v>0</v>
      </c>
      <c r="N109" s="29">
        <f>G109*'Res PW'!$B$9</f>
        <v>-4.810642153337862</v>
      </c>
      <c r="O109" s="163">
        <f>H109*'Res PW'!$B$10</f>
        <v>30.284375859335579</v>
      </c>
      <c r="P109" s="29">
        <f>I109*'Res PW'!$B$11</f>
        <v>0</v>
      </c>
      <c r="Q109" s="44">
        <f>'Monthly Data'!F109</f>
        <v>61253</v>
      </c>
      <c r="R109" s="46">
        <f>'Monthly Data'!BH109</f>
        <v>31</v>
      </c>
      <c r="S109" s="44">
        <f t="shared" ca="1" si="11"/>
        <v>45229954.626080029</v>
      </c>
      <c r="T109" s="44">
        <f t="shared" ca="1" si="12"/>
        <v>-958074.59536680579</v>
      </c>
      <c r="U109" s="48">
        <f t="shared" ca="1" si="13"/>
        <v>2.0742920005816914E-2</v>
      </c>
    </row>
    <row r="110" spans="1:21" x14ac:dyDescent="0.2">
      <c r="A110" s="45">
        <v>43466</v>
      </c>
      <c r="B110" s="29">
        <f t="shared" si="9"/>
        <v>2019</v>
      </c>
      <c r="C110" s="29">
        <f t="shared" si="10"/>
        <v>1</v>
      </c>
      <c r="D110" s="44">
        <f>'Monthly Data'!E110</f>
        <v>47946223.226718538</v>
      </c>
      <c r="E110" s="46">
        <f t="shared" ca="1" si="15"/>
        <v>477.14</v>
      </c>
      <c r="F110" s="46">
        <f t="shared" ca="1" si="15"/>
        <v>0</v>
      </c>
      <c r="G110" s="29">
        <f>'Monthly Data'!BG110</f>
        <v>109</v>
      </c>
      <c r="H110" s="29">
        <f>'Monthly Data'!W110</f>
        <v>7315.7</v>
      </c>
      <c r="I110" s="29">
        <f>'Monthly Data'!BF110</f>
        <v>0</v>
      </c>
      <c r="K110" s="29">
        <f>'Res PW'!$B$6</f>
        <v>-4.4351669087570498</v>
      </c>
      <c r="L110" s="29">
        <f ca="1">E110*'Res PW'!$B$7</f>
        <v>3.7736698666223143</v>
      </c>
      <c r="M110" s="29">
        <f ca="1">F110*'Res PW'!$B$8</f>
        <v>0</v>
      </c>
      <c r="N110" s="29">
        <f>G110*'Res PW'!$B$9</f>
        <v>-4.8551851362391387</v>
      </c>
      <c r="O110" s="163">
        <f>H110*'Res PW'!$B$10</f>
        <v>30.394475178914188</v>
      </c>
      <c r="P110" s="29">
        <f>I110*'Res PW'!$B$11</f>
        <v>0</v>
      </c>
      <c r="Q110" s="44">
        <f>'Monthly Data'!F110</f>
        <v>61267</v>
      </c>
      <c r="R110" s="46">
        <f>'Monthly Data'!BH110</f>
        <v>31</v>
      </c>
      <c r="S110" s="44">
        <f t="shared" ca="1" si="11"/>
        <v>47249820.056687206</v>
      </c>
      <c r="T110" s="44">
        <f t="shared" ca="1" si="12"/>
        <v>-696403.17003133148</v>
      </c>
      <c r="U110" s="48">
        <f t="shared" ca="1" si="13"/>
        <v>1.4524672083937019E-2</v>
      </c>
    </row>
    <row r="111" spans="1:21" x14ac:dyDescent="0.2">
      <c r="A111" s="45">
        <v>43497</v>
      </c>
      <c r="B111" s="29">
        <f t="shared" si="9"/>
        <v>2019</v>
      </c>
      <c r="C111" s="29">
        <f t="shared" si="10"/>
        <v>2</v>
      </c>
      <c r="D111" s="44">
        <f>'Monthly Data'!E111</f>
        <v>42834954.226718538</v>
      </c>
      <c r="E111" s="46">
        <f t="shared" ref="E111:F121" ca="1" si="16">E99</f>
        <v>417.05</v>
      </c>
      <c r="F111" s="46">
        <f t="shared" ca="1" si="16"/>
        <v>0</v>
      </c>
      <c r="G111" s="29">
        <f>'Monthly Data'!BG111</f>
        <v>110</v>
      </c>
      <c r="H111" s="29">
        <f>'Monthly Data'!W111</f>
        <v>7346.7</v>
      </c>
      <c r="I111" s="29">
        <f>'Monthly Data'!BF111</f>
        <v>0</v>
      </c>
      <c r="K111" s="29">
        <f>'Res PW'!$B$6</f>
        <v>-4.4351669087570498</v>
      </c>
      <c r="L111" s="29">
        <f ca="1">E111*'Res PW'!$B$7</f>
        <v>3.2984218842998621</v>
      </c>
      <c r="M111" s="29">
        <f ca="1">F111*'Res PW'!$B$8</f>
        <v>0</v>
      </c>
      <c r="N111" s="29">
        <f>G111*'Res PW'!$B$9</f>
        <v>-4.8997281191404154</v>
      </c>
      <c r="O111" s="163">
        <f>H111*'Res PW'!$B$10</f>
        <v>30.523270609364637</v>
      </c>
      <c r="P111" s="29">
        <f>I111*'Res PW'!$B$11</f>
        <v>0</v>
      </c>
      <c r="Q111" s="44">
        <f>'Monthly Data'!F111</f>
        <v>61283</v>
      </c>
      <c r="R111" s="46">
        <f>'Monthly Data'!BH111</f>
        <v>28</v>
      </c>
      <c r="S111" s="44">
        <f t="shared" ca="1" si="11"/>
        <v>42017483.45464883</v>
      </c>
      <c r="T111" s="44">
        <f t="shared" ca="1" si="12"/>
        <v>-817470.77206970751</v>
      </c>
      <c r="U111" s="48">
        <f t="shared" ca="1" si="13"/>
        <v>1.9084198566968601E-2</v>
      </c>
    </row>
    <row r="112" spans="1:21" x14ac:dyDescent="0.2">
      <c r="A112" s="45">
        <v>43525</v>
      </c>
      <c r="B112" s="29">
        <f t="shared" si="9"/>
        <v>2019</v>
      </c>
      <c r="C112" s="29">
        <f t="shared" si="10"/>
        <v>3</v>
      </c>
      <c r="D112" s="44">
        <f>'Monthly Data'!E112</f>
        <v>43153575.226718538</v>
      </c>
      <c r="E112" s="46">
        <f t="shared" ca="1" si="16"/>
        <v>332.70999999999992</v>
      </c>
      <c r="F112" s="46">
        <f t="shared" ca="1" si="16"/>
        <v>3.0000000000000072E-2</v>
      </c>
      <c r="G112" s="29">
        <f>'Monthly Data'!BG112</f>
        <v>111</v>
      </c>
      <c r="H112" s="29">
        <f>'Monthly Data'!W112</f>
        <v>7371</v>
      </c>
      <c r="I112" s="29">
        <f>'Monthly Data'!BF112</f>
        <v>1</v>
      </c>
      <c r="K112" s="29">
        <f>'Res PW'!$B$6</f>
        <v>-4.4351669087570498</v>
      </c>
      <c r="L112" s="29">
        <f ca="1">E112*'Res PW'!$B$7</f>
        <v>2.6313821966800308</v>
      </c>
      <c r="M112" s="29">
        <f ca="1">F112*'Res PW'!$B$8</f>
        <v>1.1622930104603637E-3</v>
      </c>
      <c r="N112" s="29">
        <f>G112*'Res PW'!$B$9</f>
        <v>-4.9442711020416912</v>
      </c>
      <c r="O112" s="163">
        <f>H112*'Res PW'!$B$10</f>
        <v>30.624229608072568</v>
      </c>
      <c r="P112" s="29">
        <f>I112*'Res PW'!$B$11</f>
        <v>-1.18560218277844</v>
      </c>
      <c r="Q112" s="44">
        <f>'Monthly Data'!F112</f>
        <v>61278</v>
      </c>
      <c r="R112" s="46">
        <f>'Monthly Data'!BH112</f>
        <v>31</v>
      </c>
      <c r="S112" s="44">
        <f t="shared" ca="1" si="11"/>
        <v>43105626.175601773</v>
      </c>
      <c r="T112" s="44">
        <f t="shared" ca="1" si="12"/>
        <v>-47949.051116764545</v>
      </c>
      <c r="U112" s="48">
        <f t="shared" ca="1" si="13"/>
        <v>1.1111258074180813E-3</v>
      </c>
    </row>
    <row r="113" spans="1:26" x14ac:dyDescent="0.2">
      <c r="A113" s="45">
        <v>43556</v>
      </c>
      <c r="B113" s="29">
        <f t="shared" si="9"/>
        <v>2019</v>
      </c>
      <c r="C113" s="29">
        <f t="shared" si="10"/>
        <v>4</v>
      </c>
      <c r="D113" s="44">
        <f>'Monthly Data'!E113</f>
        <v>38136662.226718538</v>
      </c>
      <c r="E113" s="46">
        <f t="shared" ca="1" si="16"/>
        <v>164.53999999999996</v>
      </c>
      <c r="F113" s="46">
        <f t="shared" ca="1" si="16"/>
        <v>1.45</v>
      </c>
      <c r="G113" s="29">
        <f>'Monthly Data'!BG113</f>
        <v>112</v>
      </c>
      <c r="H113" s="29">
        <f>'Monthly Data'!W113</f>
        <v>7395.4</v>
      </c>
      <c r="I113" s="29">
        <f>'Monthly Data'!BF113</f>
        <v>1</v>
      </c>
      <c r="K113" s="29">
        <f>'Res PW'!$B$6</f>
        <v>-4.4351669087570498</v>
      </c>
      <c r="L113" s="29">
        <f ca="1">E113*'Res PW'!$B$7</f>
        <v>1.3013363789538406</v>
      </c>
      <c r="M113" s="29">
        <f ca="1">F113*'Res PW'!$B$8</f>
        <v>5.617749550558411E-2</v>
      </c>
      <c r="N113" s="29">
        <f>G113*'Res PW'!$B$9</f>
        <v>-4.9888140849429679</v>
      </c>
      <c r="O113" s="163">
        <f>H113*'Res PW'!$B$10</f>
        <v>30.725604075910983</v>
      </c>
      <c r="P113" s="29">
        <f>I113*'Res PW'!$B$11</f>
        <v>-1.18560218277844</v>
      </c>
      <c r="Q113" s="44">
        <f>'Monthly Data'!F113</f>
        <v>61471</v>
      </c>
      <c r="R113" s="46">
        <f>'Monthly Data'!BH113</f>
        <v>30</v>
      </c>
      <c r="S113" s="44">
        <f t="shared" ca="1" si="11"/>
        <v>39599989.682577364</v>
      </c>
      <c r="T113" s="44">
        <f t="shared" ca="1" si="12"/>
        <v>1463327.4558588266</v>
      </c>
      <c r="U113" s="48">
        <f t="shared" ca="1" si="13"/>
        <v>3.8370622136764232E-2</v>
      </c>
    </row>
    <row r="114" spans="1:26" x14ac:dyDescent="0.2">
      <c r="A114" s="45">
        <v>43586</v>
      </c>
      <c r="B114" s="29">
        <f t="shared" si="9"/>
        <v>2019</v>
      </c>
      <c r="C114" s="29">
        <f t="shared" si="10"/>
        <v>5</v>
      </c>
      <c r="D114" s="44">
        <f>'Monthly Data'!E114</f>
        <v>38687980.226718538</v>
      </c>
      <c r="E114" s="46">
        <f t="shared" ca="1" si="16"/>
        <v>35.92</v>
      </c>
      <c r="F114" s="46">
        <f t="shared" ca="1" si="16"/>
        <v>50.69</v>
      </c>
      <c r="G114" s="29">
        <f>'Monthly Data'!BG114</f>
        <v>113</v>
      </c>
      <c r="H114" s="29">
        <f>'Monthly Data'!W114</f>
        <v>7412.6</v>
      </c>
      <c r="I114" s="29">
        <f>'Monthly Data'!BF114</f>
        <v>1</v>
      </c>
      <c r="K114" s="29">
        <f>'Res PW'!$B$6</f>
        <v>-4.4351669087570498</v>
      </c>
      <c r="L114" s="29">
        <f ca="1">E114*'Res PW'!$B$7</f>
        <v>0.28408899192914772</v>
      </c>
      <c r="M114" s="29">
        <f ca="1">F114*'Res PW'!$B$8</f>
        <v>1.9638877566745232</v>
      </c>
      <c r="N114" s="29">
        <f>G114*'Res PW'!$B$9</f>
        <v>-5.0333570678442445</v>
      </c>
      <c r="O114" s="163">
        <f>H114*'Res PW'!$B$10</f>
        <v>30.79706476635446</v>
      </c>
      <c r="P114" s="29">
        <f>I114*'Res PW'!$B$11</f>
        <v>-1.18560218277844</v>
      </c>
      <c r="Q114" s="44">
        <f>'Monthly Data'!F114</f>
        <v>61467</v>
      </c>
      <c r="R114" s="46">
        <f>'Monthly Data'!BH114</f>
        <v>31</v>
      </c>
      <c r="S114" s="44">
        <f t="shared" ca="1" si="11"/>
        <v>42665374.219001457</v>
      </c>
      <c r="T114" s="44">
        <f t="shared" ca="1" si="12"/>
        <v>3977393.9922829196</v>
      </c>
      <c r="U114" s="48">
        <f t="shared" ca="1" si="13"/>
        <v>0.1028069692182087</v>
      </c>
    </row>
    <row r="115" spans="1:26" x14ac:dyDescent="0.2">
      <c r="A115" s="45">
        <v>43617</v>
      </c>
      <c r="B115" s="29">
        <f t="shared" si="9"/>
        <v>2019</v>
      </c>
      <c r="C115" s="29">
        <f t="shared" si="10"/>
        <v>6</v>
      </c>
      <c r="D115" s="44">
        <f>'Monthly Data'!E115</f>
        <v>45809796.226718538</v>
      </c>
      <c r="E115" s="46">
        <f t="shared" ca="1" si="16"/>
        <v>0.37999999999999989</v>
      </c>
      <c r="F115" s="46">
        <f t="shared" ca="1" si="16"/>
        <v>145.17999999999998</v>
      </c>
      <c r="G115" s="29">
        <f>'Monthly Data'!BG115</f>
        <v>114</v>
      </c>
      <c r="H115" s="29">
        <f>'Monthly Data'!W115</f>
        <v>7430.3</v>
      </c>
      <c r="I115" s="29">
        <f>'Monthly Data'!BF115</f>
        <v>0</v>
      </c>
      <c r="K115" s="29">
        <f>'Res PW'!$B$6</f>
        <v>-4.4351669087570498</v>
      </c>
      <c r="L115" s="29">
        <f ca="1">E115*'Res PW'!$B$7</f>
        <v>3.0053957943506709E-3</v>
      </c>
      <c r="M115" s="29">
        <f ca="1">F115*'Res PW'!$B$8</f>
        <v>5.6247233086211725</v>
      </c>
      <c r="N115" s="29">
        <f>G115*'Res PW'!$B$9</f>
        <v>-5.0779000507455212</v>
      </c>
      <c r="O115" s="163">
        <f>H115*'Res PW'!$B$10</f>
        <v>30.87060280245036</v>
      </c>
      <c r="P115" s="29">
        <f>I115*'Res PW'!$B$11</f>
        <v>0</v>
      </c>
      <c r="Q115" s="44">
        <f>'Monthly Data'!F115</f>
        <v>61472</v>
      </c>
      <c r="R115" s="46">
        <f>'Monthly Data'!BH115</f>
        <v>30</v>
      </c>
      <c r="S115" s="44">
        <f t="shared" ca="1" si="11"/>
        <v>49765145.467665531</v>
      </c>
      <c r="T115" s="44">
        <f t="shared" ca="1" si="12"/>
        <v>3955349.2409469932</v>
      </c>
      <c r="U115" s="48">
        <f t="shared" ca="1" si="13"/>
        <v>8.6342869140291836E-2</v>
      </c>
    </row>
    <row r="116" spans="1:26" x14ac:dyDescent="0.2">
      <c r="A116" s="45">
        <v>43647</v>
      </c>
      <c r="B116" s="29">
        <f t="shared" si="9"/>
        <v>2019</v>
      </c>
      <c r="C116" s="29">
        <f t="shared" si="10"/>
        <v>7</v>
      </c>
      <c r="D116" s="44">
        <f>'Monthly Data'!E116</f>
        <v>63707328.226718538</v>
      </c>
      <c r="E116" s="46">
        <f t="shared" ca="1" si="16"/>
        <v>0</v>
      </c>
      <c r="F116" s="46">
        <f t="shared" ca="1" si="16"/>
        <v>268.18999999999994</v>
      </c>
      <c r="G116" s="29">
        <f>'Monthly Data'!BG116</f>
        <v>115</v>
      </c>
      <c r="H116" s="29">
        <f>'Monthly Data'!W116</f>
        <v>7432.9</v>
      </c>
      <c r="I116" s="29">
        <f>'Monthly Data'!BF116</f>
        <v>0</v>
      </c>
      <c r="K116" s="29">
        <f>'Res PW'!$B$6</f>
        <v>-4.4351669087570498</v>
      </c>
      <c r="L116" s="29">
        <f ca="1">E116*'Res PW'!$B$7</f>
        <v>0</v>
      </c>
      <c r="M116" s="29">
        <f ca="1">F116*'Res PW'!$B$8</f>
        <v>10.390512082512139</v>
      </c>
      <c r="N116" s="29">
        <f>G116*'Res PW'!$B$9</f>
        <v>-5.1224430336467979</v>
      </c>
      <c r="O116" s="163">
        <f>H116*'Res PW'!$B$10</f>
        <v>30.881404999842978</v>
      </c>
      <c r="P116" s="29">
        <f>I116*'Res PW'!$B$11</f>
        <v>0</v>
      </c>
      <c r="Q116" s="44">
        <f>'Monthly Data'!F116</f>
        <v>61470</v>
      </c>
      <c r="R116" s="46">
        <f>'Monthly Data'!BH116</f>
        <v>31</v>
      </c>
      <c r="S116" s="44">
        <f t="shared" ca="1" si="11"/>
        <v>60433832.256676942</v>
      </c>
      <c r="T116" s="44">
        <f t="shared" ca="1" si="12"/>
        <v>-3273495.9700415954</v>
      </c>
      <c r="U116" s="48">
        <f t="shared" ca="1" si="13"/>
        <v>5.138335041130649E-2</v>
      </c>
    </row>
    <row r="117" spans="1:26" x14ac:dyDescent="0.2">
      <c r="A117" s="45">
        <v>43678</v>
      </c>
      <c r="B117" s="29">
        <f t="shared" si="9"/>
        <v>2019</v>
      </c>
      <c r="C117" s="29">
        <f t="shared" si="10"/>
        <v>8</v>
      </c>
      <c r="D117" s="44">
        <f>'Monthly Data'!E117</f>
        <v>58791766.226718538</v>
      </c>
      <c r="E117" s="46">
        <f t="shared" ca="1" si="16"/>
        <v>0</v>
      </c>
      <c r="F117" s="46">
        <f t="shared" ca="1" si="16"/>
        <v>239.59000000000006</v>
      </c>
      <c r="G117" s="29">
        <f>'Monthly Data'!BG117</f>
        <v>116</v>
      </c>
      <c r="H117" s="29">
        <f>'Monthly Data'!W117</f>
        <v>7449.6</v>
      </c>
      <c r="I117" s="29">
        <f>'Monthly Data'!BF117</f>
        <v>0</v>
      </c>
      <c r="K117" s="29">
        <f>'Res PW'!$B$6</f>
        <v>-4.4351669087570498</v>
      </c>
      <c r="L117" s="29">
        <f ca="1">E117*'Res PW'!$B$7</f>
        <v>0</v>
      </c>
      <c r="M117" s="29">
        <f ca="1">F117*'Res PW'!$B$8</f>
        <v>9.2824594125399322</v>
      </c>
      <c r="N117" s="29">
        <f>G117*'Res PW'!$B$9</f>
        <v>-5.1669860165480737</v>
      </c>
      <c r="O117" s="163">
        <f>H117*'Res PW'!$B$10</f>
        <v>30.950788344634027</v>
      </c>
      <c r="P117" s="29">
        <f>I117*'Res PW'!$B$11</f>
        <v>0</v>
      </c>
      <c r="Q117" s="44">
        <f>'Monthly Data'!F117</f>
        <v>61464</v>
      </c>
      <c r="R117" s="46">
        <f>'Monthly Data'!BH117</f>
        <v>31</v>
      </c>
      <c r="S117" s="44">
        <f t="shared" ca="1" si="11"/>
        <v>58363997.995125569</v>
      </c>
      <c r="T117" s="44">
        <f t="shared" ca="1" si="12"/>
        <v>-427768.23159296811</v>
      </c>
      <c r="U117" s="48">
        <f t="shared" ca="1" si="13"/>
        <v>7.2759887829082492E-3</v>
      </c>
    </row>
    <row r="118" spans="1:26" x14ac:dyDescent="0.2">
      <c r="A118" s="45">
        <v>43709</v>
      </c>
      <c r="B118" s="29">
        <f t="shared" si="9"/>
        <v>2019</v>
      </c>
      <c r="C118" s="29">
        <f t="shared" si="10"/>
        <v>9</v>
      </c>
      <c r="D118" s="44">
        <f>'Monthly Data'!E118</f>
        <v>44846342.226718538</v>
      </c>
      <c r="E118" s="46">
        <f t="shared" ca="1" si="16"/>
        <v>0.49000000000000005</v>
      </c>
      <c r="F118" s="46">
        <f t="shared" ca="1" si="16"/>
        <v>132.95000000000002</v>
      </c>
      <c r="G118" s="29">
        <f>'Monthly Data'!BG118</f>
        <v>117</v>
      </c>
      <c r="H118" s="29">
        <f>'Monthly Data'!W118</f>
        <v>7478.3</v>
      </c>
      <c r="I118" s="29">
        <f>'Monthly Data'!BF118</f>
        <v>1</v>
      </c>
      <c r="K118" s="29">
        <f>'Res PW'!$B$6</f>
        <v>-4.4351669087570498</v>
      </c>
      <c r="L118" s="29">
        <f ca="1">E118*'Res PW'!$B$7</f>
        <v>3.8753787874521821E-3</v>
      </c>
      <c r="M118" s="29">
        <f ca="1">F118*'Res PW'!$B$8</f>
        <v>5.1508951913568337</v>
      </c>
      <c r="N118" s="29">
        <f>G118*'Res PW'!$B$9</f>
        <v>-5.2115289994493503</v>
      </c>
      <c r="O118" s="163">
        <f>H118*'Res PW'!$B$10</f>
        <v>31.070027985083311</v>
      </c>
      <c r="P118" s="29">
        <f>I118*'Res PW'!$B$11</f>
        <v>-1.18560218277844</v>
      </c>
      <c r="Q118" s="44">
        <f>'Monthly Data'!F118</f>
        <v>61464</v>
      </c>
      <c r="R118" s="46">
        <f>'Monthly Data'!BH118</f>
        <v>30</v>
      </c>
      <c r="S118" s="44">
        <f t="shared" ca="1" si="11"/>
        <v>46821739.456026509</v>
      </c>
      <c r="T118" s="44">
        <f t="shared" ca="1" si="12"/>
        <v>1975397.2293079719</v>
      </c>
      <c r="U118" s="48">
        <f t="shared" ca="1" si="13"/>
        <v>4.4048123686909531E-2</v>
      </c>
    </row>
    <row r="119" spans="1:26" x14ac:dyDescent="0.2">
      <c r="A119" s="45">
        <v>43739</v>
      </c>
      <c r="B119" s="29">
        <f t="shared" si="9"/>
        <v>2019</v>
      </c>
      <c r="C119" s="29">
        <f t="shared" si="10"/>
        <v>10</v>
      </c>
      <c r="D119" s="44">
        <f>'Monthly Data'!E119</f>
        <v>39953556.226718538</v>
      </c>
      <c r="E119" s="46">
        <f t="shared" ca="1" si="16"/>
        <v>53.33000000000002</v>
      </c>
      <c r="F119" s="46">
        <f t="shared" ca="1" si="16"/>
        <v>27.9</v>
      </c>
      <c r="G119" s="29">
        <f>'Monthly Data'!BG119</f>
        <v>118</v>
      </c>
      <c r="H119" s="29">
        <f>'Monthly Data'!W119</f>
        <v>7504</v>
      </c>
      <c r="I119" s="29">
        <f>'Monthly Data'!BF119</f>
        <v>1</v>
      </c>
      <c r="K119" s="29">
        <f>'Res PW'!$B$6</f>
        <v>-4.4351669087570498</v>
      </c>
      <c r="L119" s="29">
        <f ca="1">E119*'Res PW'!$B$7</f>
        <v>0.42178357292821411</v>
      </c>
      <c r="M119" s="29">
        <f ca="1">F119*'Res PW'!$B$8</f>
        <v>1.0809324997281358</v>
      </c>
      <c r="N119" s="29">
        <f>G119*'Res PW'!$B$9</f>
        <v>-5.256071982350627</v>
      </c>
      <c r="O119" s="163">
        <f>H119*'Res PW'!$B$10</f>
        <v>31.176803551618036</v>
      </c>
      <c r="P119" s="29">
        <f>I119*'Res PW'!$B$11</f>
        <v>-1.18560218277844</v>
      </c>
      <c r="Q119" s="44">
        <f>'Monthly Data'!F119</f>
        <v>61500</v>
      </c>
      <c r="R119" s="46">
        <f>'Monthly Data'!BH119</f>
        <v>31</v>
      </c>
      <c r="S119" s="44">
        <f t="shared" ca="1" si="11"/>
        <v>41566806.656315245</v>
      </c>
      <c r="T119" s="44">
        <f t="shared" ca="1" si="12"/>
        <v>1613250.4295967072</v>
      </c>
      <c r="U119" s="48">
        <f t="shared" ca="1" si="13"/>
        <v>4.0378143573559101E-2</v>
      </c>
    </row>
    <row r="120" spans="1:26" x14ac:dyDescent="0.2">
      <c r="A120" s="45">
        <v>43770</v>
      </c>
      <c r="B120" s="29">
        <f t="shared" si="9"/>
        <v>2019</v>
      </c>
      <c r="C120" s="29">
        <f t="shared" si="10"/>
        <v>11</v>
      </c>
      <c r="D120" s="44">
        <f>'Monthly Data'!E120</f>
        <v>40979024.226718538</v>
      </c>
      <c r="E120" s="46">
        <f t="shared" ca="1" si="16"/>
        <v>207.66000000000003</v>
      </c>
      <c r="F120" s="46">
        <f t="shared" ca="1" si="16"/>
        <v>0.69000000000000006</v>
      </c>
      <c r="G120" s="29">
        <f>'Monthly Data'!BG120</f>
        <v>119</v>
      </c>
      <c r="H120" s="29">
        <f>'Monthly Data'!W120</f>
        <v>7517.3</v>
      </c>
      <c r="I120" s="29">
        <f>'Monthly Data'!BF120</f>
        <v>1</v>
      </c>
      <c r="K120" s="29">
        <f>'Res PW'!$B$6</f>
        <v>-4.4351669087570498</v>
      </c>
      <c r="L120" s="29">
        <f ca="1">E120*'Res PW'!$B$7</f>
        <v>1.642369712249633</v>
      </c>
      <c r="M120" s="29">
        <f ca="1">F120*'Res PW'!$B$8</f>
        <v>2.6732739240588305E-2</v>
      </c>
      <c r="N120" s="29">
        <f>G120*'Res PW'!$B$9</f>
        <v>-5.3006149652519037</v>
      </c>
      <c r="O120" s="163">
        <f>H120*'Res PW'!$B$10</f>
        <v>31.232060945972584</v>
      </c>
      <c r="P120" s="29">
        <f>I120*'Res PW'!$B$11</f>
        <v>-1.18560218277844</v>
      </c>
      <c r="Q120" s="44">
        <f>'Monthly Data'!F120</f>
        <v>61496</v>
      </c>
      <c r="R120" s="46">
        <f>'Monthly Data'!BH120</f>
        <v>30</v>
      </c>
      <c r="S120" s="44">
        <f t="shared" ca="1" si="11"/>
        <v>40550055.31002526</v>
      </c>
      <c r="T120" s="44">
        <f t="shared" ca="1" si="12"/>
        <v>-428968.91669327766</v>
      </c>
      <c r="U120" s="48">
        <f t="shared" ca="1" si="13"/>
        <v>1.0468011983886812E-2</v>
      </c>
    </row>
    <row r="121" spans="1:26" x14ac:dyDescent="0.2">
      <c r="A121" s="45">
        <v>43800</v>
      </c>
      <c r="B121" s="29">
        <f t="shared" si="9"/>
        <v>2019</v>
      </c>
      <c r="C121" s="29">
        <f t="shared" si="10"/>
        <v>12</v>
      </c>
      <c r="D121" s="44">
        <f>'Monthly Data'!E121</f>
        <v>46060405.226718538</v>
      </c>
      <c r="E121" s="46">
        <f t="shared" ca="1" si="16"/>
        <v>351.65000000000003</v>
      </c>
      <c r="F121" s="46">
        <f t="shared" ca="1" si="16"/>
        <v>0</v>
      </c>
      <c r="G121" s="29">
        <f>'Monthly Data'!BG121</f>
        <v>120</v>
      </c>
      <c r="H121" s="29">
        <f>'Monthly Data'!W121</f>
        <v>7525</v>
      </c>
      <c r="I121" s="29">
        <f>'Monthly Data'!BF121</f>
        <v>0</v>
      </c>
      <c r="K121" s="29">
        <f>'Res PW'!$B$6</f>
        <v>-4.4351669087570498</v>
      </c>
      <c r="L121" s="29">
        <f ca="1">E121*'Res PW'!$B$7</f>
        <v>2.7811774502195097</v>
      </c>
      <c r="M121" s="29">
        <f ca="1">F121*'Res PW'!$B$8</f>
        <v>0</v>
      </c>
      <c r="N121" s="29">
        <f>G121*'Res PW'!$B$9</f>
        <v>-5.3451579481531803</v>
      </c>
      <c r="O121" s="163">
        <f>H121*'Res PW'!$B$10</f>
        <v>31.264052069019954</v>
      </c>
      <c r="P121" s="29">
        <f>I121*'Res PW'!$B$11</f>
        <v>0</v>
      </c>
      <c r="Q121" s="44">
        <f>'Monthly Data'!F121</f>
        <v>61500</v>
      </c>
      <c r="R121" s="46">
        <f>'Monthly Data'!BH121</f>
        <v>31</v>
      </c>
      <c r="S121" s="44">
        <f t="shared" ca="1" si="11"/>
        <v>46261040.738730676</v>
      </c>
      <c r="T121" s="44">
        <f t="shared" ca="1" si="12"/>
        <v>200635.51201213896</v>
      </c>
      <c r="U121" s="48">
        <f t="shared" ca="1" si="13"/>
        <v>4.3559215561515532E-3</v>
      </c>
      <c r="V121" s="225" t="s">
        <v>41</v>
      </c>
      <c r="W121" s="225" t="s">
        <v>40</v>
      </c>
      <c r="X121" s="225" t="s">
        <v>239</v>
      </c>
      <c r="Y121" s="225" t="s">
        <v>87</v>
      </c>
    </row>
    <row r="122" spans="1:26" x14ac:dyDescent="0.2">
      <c r="A122" s="45">
        <v>43831</v>
      </c>
      <c r="B122" s="29">
        <f t="shared" si="9"/>
        <v>2020</v>
      </c>
      <c r="C122" s="29">
        <f t="shared" si="10"/>
        <v>1</v>
      </c>
      <c r="D122" s="192">
        <f>'Monthly Data (to June 2020)'!E122</f>
        <v>45679000.963918254</v>
      </c>
      <c r="E122" s="241">
        <f ca="1">OFFSET(Weather!BK$26,0,ROW()-ROW($E$122))</f>
        <v>478.94210526315783</v>
      </c>
      <c r="F122" s="241">
        <f ca="1">OFFSET(Weather!$AW$53,0,ROW()-ROW($F$122))</f>
        <v>0</v>
      </c>
      <c r="G122" s="29">
        <f>G121+1</f>
        <v>121</v>
      </c>
      <c r="H122" s="189">
        <f>'Economic (2020 Adj.)'!X134</f>
        <v>7454.6982999999991</v>
      </c>
      <c r="I122" s="29">
        <f>I110</f>
        <v>0</v>
      </c>
      <c r="K122" s="29">
        <f>'Res PW'!$B$6</f>
        <v>-4.4351669087570498</v>
      </c>
      <c r="L122" s="29">
        <f ca="1">E122*'Res PW'!$B$7</f>
        <v>3.7879226023561872</v>
      </c>
      <c r="M122" s="29">
        <f ca="1">F122*'Res PW'!$B$8</f>
        <v>0</v>
      </c>
      <c r="N122" s="29">
        <f>G122*'Res PW'!$B$9</f>
        <v>-5.3897009310544561</v>
      </c>
      <c r="O122" s="163">
        <f>H122*'Res PW'!$B$10</f>
        <v>30.971970207313554</v>
      </c>
      <c r="P122" s="29">
        <f>I122*'Res PW'!$B$11</f>
        <v>0</v>
      </c>
      <c r="Q122" s="44">
        <f>'Customer Count'!C37</f>
        <v>61510</v>
      </c>
      <c r="R122" s="46">
        <f>R74</f>
        <v>31</v>
      </c>
      <c r="S122" s="44">
        <f t="shared" ca="1" si="11"/>
        <v>47546354.962775379</v>
      </c>
      <c r="T122" s="44"/>
      <c r="U122" s="48"/>
      <c r="V122" s="29">
        <f>Weather!M254</f>
        <v>365.8</v>
      </c>
      <c r="W122" s="29">
        <f>Weather!L254</f>
        <v>0</v>
      </c>
      <c r="X122" s="44">
        <f ca="1">D122-(((V122-E122)*'Res PW'!$B$7+(W122-F122)*'Res PW'!$B$8)*Q122*R122)</f>
        <v>47385278.818048321</v>
      </c>
      <c r="Y122" s="158">
        <f t="shared" ref="Y122:Y126" ca="1" si="17">X122-S122</f>
        <v>-161076.14472705871</v>
      </c>
    </row>
    <row r="123" spans="1:26" x14ac:dyDescent="0.2">
      <c r="A123" s="45">
        <v>43862</v>
      </c>
      <c r="B123" s="29">
        <f t="shared" si="9"/>
        <v>2020</v>
      </c>
      <c r="C123" s="29">
        <f t="shared" si="10"/>
        <v>2</v>
      </c>
      <c r="D123" s="192">
        <f>'Monthly Data (to June 2020)'!E123</f>
        <v>41650816.963918254</v>
      </c>
      <c r="E123" s="241">
        <f ca="1">OFFSET(Weather!BK$26,0,ROW()-ROW($E$122))</f>
        <v>421.20631578947371</v>
      </c>
      <c r="F123" s="241">
        <f ca="1">OFFSET(Weather!$AW$53,0,ROW()-ROW($F$122))</f>
        <v>0</v>
      </c>
      <c r="G123" s="29">
        <f t="shared" ref="G123:G145" si="18">G122+1</f>
        <v>122</v>
      </c>
      <c r="H123" s="189">
        <f>'Economic (2020 Adj.)'!X135</f>
        <v>7486.287299999999</v>
      </c>
      <c r="I123" s="29">
        <f t="shared" ref="I123:I145" si="19">I111</f>
        <v>0</v>
      </c>
      <c r="K123" s="29">
        <f>'Res PW'!$B$6</f>
        <v>-4.4351669087570498</v>
      </c>
      <c r="L123" s="29">
        <f ca="1">E123*'Res PW'!$B$7</f>
        <v>3.3312939211253294</v>
      </c>
      <c r="M123" s="29">
        <f ca="1">F123*'Res PW'!$B$8</f>
        <v>0</v>
      </c>
      <c r="N123" s="29">
        <f>G123*'Res PW'!$B$9</f>
        <v>-5.4342439139557328</v>
      </c>
      <c r="O123" s="163">
        <f>H123*'Res PW'!$B$10</f>
        <v>31.103212750942561</v>
      </c>
      <c r="P123" s="29">
        <f>I123*'Res PW'!$B$11</f>
        <v>0</v>
      </c>
      <c r="Q123" s="44">
        <f>'Customer Count'!C38</f>
        <v>61517</v>
      </c>
      <c r="R123" s="46">
        <f t="shared" ref="R123:R145" si="20">R75</f>
        <v>29</v>
      </c>
      <c r="S123" s="44">
        <f t="shared" ca="1" si="11"/>
        <v>43823959.039578564</v>
      </c>
      <c r="T123" s="44"/>
      <c r="U123" s="48"/>
      <c r="V123" s="29">
        <f>Weather!M255</f>
        <v>387.2</v>
      </c>
      <c r="W123" s="29">
        <f>Weather!L255</f>
        <v>0</v>
      </c>
      <c r="X123" s="44">
        <f ca="1">D123-(((V123-E123)*'Res PW'!$B$7+(W123-F123)*'Res PW'!$B$8)*Q123*R123)</f>
        <v>42130628.634409651</v>
      </c>
      <c r="Y123" s="158">
        <f t="shared" ca="1" si="17"/>
        <v>-1693330.4051689133</v>
      </c>
    </row>
    <row r="124" spans="1:26" x14ac:dyDescent="0.2">
      <c r="A124" s="45">
        <v>43891</v>
      </c>
      <c r="B124" s="29">
        <f t="shared" si="9"/>
        <v>2020</v>
      </c>
      <c r="C124" s="29">
        <f t="shared" si="10"/>
        <v>3</v>
      </c>
      <c r="D124" s="192">
        <f>'Monthly Data (to June 2020)'!E124</f>
        <v>42916551.963918254</v>
      </c>
      <c r="E124" s="241">
        <f ca="1">OFFSET(Weather!BK$26,0,ROW()-ROW($E$122))</f>
        <v>354.40736842105298</v>
      </c>
      <c r="F124" s="241">
        <f ca="1">OFFSET(Weather!$AW$53,0,ROW()-ROW($F$122))</f>
        <v>2.6842105263158E-2</v>
      </c>
      <c r="G124" s="29">
        <f t="shared" si="18"/>
        <v>123</v>
      </c>
      <c r="H124" s="189">
        <f>'Economic (2020 Adj.)'!X136</f>
        <v>7511.0489999999991</v>
      </c>
      <c r="I124" s="29">
        <f t="shared" si="19"/>
        <v>1</v>
      </c>
      <c r="K124" s="29">
        <f>'Res PW'!$B$6</f>
        <v>-4.4351669087570498</v>
      </c>
      <c r="L124" s="29">
        <f ca="1">E124*'Res PW'!$B$7</f>
        <v>2.8029853014197936</v>
      </c>
      <c r="M124" s="29">
        <f ca="1">F124*'Res PW'!$B$8</f>
        <v>1.0399463777803271E-3</v>
      </c>
      <c r="N124" s="29">
        <f>G124*'Res PW'!$B$9</f>
        <v>-5.4787868968570095</v>
      </c>
      <c r="O124" s="163">
        <f>H124*'Res PW'!$B$10</f>
        <v>31.206089970625943</v>
      </c>
      <c r="P124" s="29">
        <f>I124*'Res PW'!$B$11</f>
        <v>-1.18560218277844</v>
      </c>
      <c r="Q124" s="44">
        <f>'Customer Count'!C39</f>
        <v>61554</v>
      </c>
      <c r="R124" s="46">
        <f t="shared" si="20"/>
        <v>31</v>
      </c>
      <c r="S124" s="44">
        <f t="shared" ca="1" si="11"/>
        <v>43717333.44820521</v>
      </c>
      <c r="T124" s="44"/>
      <c r="U124" s="48"/>
      <c r="V124" s="29">
        <f>Weather!M256</f>
        <v>254.00000000000006</v>
      </c>
      <c r="W124" s="29">
        <f>Weather!L256</f>
        <v>0</v>
      </c>
      <c r="X124" s="44">
        <f ca="1">D124-(((V124-E124)*'Res PW'!$B$7+(W124-F124)*'Res PW'!$B$8)*Q124*R124)</f>
        <v>44433846.876371555</v>
      </c>
      <c r="Y124" s="158">
        <f t="shared" ca="1" si="17"/>
        <v>716513.42816634476</v>
      </c>
    </row>
    <row r="125" spans="1:26" x14ac:dyDescent="0.2">
      <c r="A125" s="45">
        <v>43922</v>
      </c>
      <c r="B125" s="29">
        <f t="shared" si="9"/>
        <v>2020</v>
      </c>
      <c r="C125" s="29">
        <f t="shared" si="10"/>
        <v>4</v>
      </c>
      <c r="D125" s="192">
        <f>'Monthly Data (to June 2020)'!E125</f>
        <v>41294428.963918254</v>
      </c>
      <c r="E125" s="241">
        <f ca="1">OFFSET(Weather!BK$26,0,ROW()-ROW($E$122))</f>
        <v>171.06947368421061</v>
      </c>
      <c r="F125" s="241">
        <f ca="1">OFFSET(Weather!$AW$53,0,ROW()-ROW($F$122))</f>
        <v>0</v>
      </c>
      <c r="G125" s="29">
        <f t="shared" si="18"/>
        <v>124</v>
      </c>
      <c r="H125" s="189">
        <f>'Economic (2020 Adj.)'!X137</f>
        <v>7535.9125999999987</v>
      </c>
      <c r="I125" s="29">
        <f t="shared" si="19"/>
        <v>1</v>
      </c>
      <c r="K125" s="29">
        <f>'Res PW'!$B$6</f>
        <v>-4.4351669087570498</v>
      </c>
      <c r="L125" s="29">
        <f ca="1">E125*'Res PW'!$B$7</f>
        <v>1.3529775704008142</v>
      </c>
      <c r="M125" s="29">
        <f ca="1">F125*'Res PW'!$B$8</f>
        <v>0</v>
      </c>
      <c r="N125" s="29">
        <f>G125*'Res PW'!$B$9</f>
        <v>-5.5233298797582862</v>
      </c>
      <c r="O125" s="163">
        <f>H125*'Res PW'!$B$10</f>
        <v>31.309390553353289</v>
      </c>
      <c r="P125" s="29">
        <f>I125*'Res PW'!$B$11</f>
        <v>-1.18560218277844</v>
      </c>
      <c r="Q125" s="44">
        <f>'Customer Count'!C40</f>
        <v>61567</v>
      </c>
      <c r="R125" s="46">
        <f t="shared" si="20"/>
        <v>30</v>
      </c>
      <c r="S125" s="44">
        <f t="shared" ca="1" si="11"/>
        <v>39744458.307285748</v>
      </c>
      <c r="T125" s="44"/>
      <c r="U125" s="48"/>
      <c r="V125" s="29">
        <f>Weather!M257</f>
        <v>181.00000000000003</v>
      </c>
      <c r="W125" s="29">
        <f>Weather!L257</f>
        <v>0</v>
      </c>
      <c r="X125" s="44">
        <f ca="1">D125-(((V125-E125)*'Res PW'!$B$7+(W125-F125)*'Res PW'!$B$8)*Q125*R125)</f>
        <v>41149364.98309695</v>
      </c>
      <c r="Y125" s="158">
        <f t="shared" ca="1" si="17"/>
        <v>1404906.6758112013</v>
      </c>
    </row>
    <row r="126" spans="1:26" x14ac:dyDescent="0.2">
      <c r="A126" s="45">
        <v>43952</v>
      </c>
      <c r="B126" s="29">
        <f t="shared" si="9"/>
        <v>2020</v>
      </c>
      <c r="C126" s="29">
        <f t="shared" si="10"/>
        <v>5</v>
      </c>
      <c r="D126" s="192">
        <f>'Monthly Data (to June 2020)'!E126</f>
        <v>46424125.963918254</v>
      </c>
      <c r="E126" s="241">
        <f ca="1">OFFSET(Weather!BK$26,0,ROW()-ROW($E$122))</f>
        <v>36.737368421052622</v>
      </c>
      <c r="F126" s="241">
        <f ca="1">OFFSET(Weather!$AW$53,0,ROW()-ROW($F$122))</f>
        <v>53.264210526315765</v>
      </c>
      <c r="G126" s="29">
        <f t="shared" si="18"/>
        <v>125</v>
      </c>
      <c r="H126" s="189">
        <f>'Economic (2020 Adj.)'!X138</f>
        <v>7553.4393999999993</v>
      </c>
      <c r="I126" s="29">
        <f t="shared" si="19"/>
        <v>1</v>
      </c>
      <c r="K126" s="29">
        <f>'Res PW'!$B$6</f>
        <v>-4.4351669087570498</v>
      </c>
      <c r="L126" s="29">
        <f ca="1">E126*'Res PW'!$B$7</f>
        <v>0.29055350670563873</v>
      </c>
      <c r="M126" s="29">
        <f ca="1">F126*'Res PW'!$B$8</f>
        <v>2.0636206534141999</v>
      </c>
      <c r="N126" s="29">
        <f>G126*'Res PW'!$B$9</f>
        <v>-5.5678728626595628</v>
      </c>
      <c r="O126" s="163">
        <f>H126*'Res PW'!$B$10</f>
        <v>31.382208996915193</v>
      </c>
      <c r="P126" s="29">
        <f>I126*'Res PW'!$B$11</f>
        <v>-1.18560218277844</v>
      </c>
      <c r="Q126" s="44">
        <f>'Customer Count'!C41</f>
        <v>61593</v>
      </c>
      <c r="R126" s="46">
        <f t="shared" si="20"/>
        <v>31</v>
      </c>
      <c r="S126" s="44">
        <f t="shared" ca="1" si="11"/>
        <v>43052273.741102204</v>
      </c>
      <c r="T126" s="44"/>
      <c r="U126" s="48"/>
      <c r="V126" s="29">
        <f>Weather!M258</f>
        <v>83.199999999999989</v>
      </c>
      <c r="W126" s="29">
        <f>Weather!L258</f>
        <v>35.1</v>
      </c>
      <c r="X126" s="44">
        <f ca="1">D126-(((V126-E126)*'Res PW'!$B$7+(W126-F126)*'Res PW'!$B$8)*Q126*R126)</f>
        <v>47066190.056563303</v>
      </c>
      <c r="Y126" s="158">
        <f t="shared" ca="1" si="17"/>
        <v>4013916.3154610991</v>
      </c>
    </row>
    <row r="127" spans="1:26" x14ac:dyDescent="0.2">
      <c r="A127" s="45">
        <v>43983</v>
      </c>
      <c r="B127" s="29">
        <f t="shared" si="9"/>
        <v>2020</v>
      </c>
      <c r="C127" s="29">
        <f t="shared" si="10"/>
        <v>6</v>
      </c>
      <c r="D127" s="192">
        <f>'Monthly Data (to June 2020)'!E127</f>
        <v>59123962.963918254</v>
      </c>
      <c r="E127" s="241">
        <f ca="1">OFFSET(Weather!BK$26,0,ROW()-ROW($E$122))</f>
        <v>0</v>
      </c>
      <c r="F127" s="241">
        <f ca="1">OFFSET(Weather!$AW$53,0,ROW()-ROW($F$122))</f>
        <v>141.64473684210543</v>
      </c>
      <c r="G127" s="29">
        <f t="shared" si="18"/>
        <v>126</v>
      </c>
      <c r="H127" s="189">
        <f>'Economic (2020 Adj.)'!X139</f>
        <v>7571.4756999999991</v>
      </c>
      <c r="I127" s="29">
        <f t="shared" si="19"/>
        <v>0</v>
      </c>
      <c r="K127" s="29">
        <f>'Res PW'!$B$6</f>
        <v>-4.4351669087570498</v>
      </c>
      <c r="L127" s="29">
        <f ca="1">E127*'Res PW'!$B$7</f>
        <v>0</v>
      </c>
      <c r="M127" s="29">
        <f ca="1">F127*'Res PW'!$B$8</f>
        <v>5.4877562533358777</v>
      </c>
      <c r="N127" s="29">
        <f>G127*'Res PW'!$B$9</f>
        <v>-5.6124158455608386</v>
      </c>
      <c r="O127" s="163">
        <f>H127*'Res PW'!$B$10</f>
        <v>31.457144255696914</v>
      </c>
      <c r="P127" s="29">
        <f>I127*'Res PW'!$B$11</f>
        <v>0</v>
      </c>
      <c r="Q127" s="44">
        <f>'Customer Count'!C42</f>
        <v>61616</v>
      </c>
      <c r="R127" s="46">
        <f t="shared" si="20"/>
        <v>30</v>
      </c>
      <c r="S127" s="44">
        <f t="shared" ca="1" si="11"/>
        <v>49719153.923235409</v>
      </c>
      <c r="T127" s="44"/>
      <c r="U127" s="48"/>
      <c r="V127" s="29">
        <f>Weather!M259</f>
        <v>0</v>
      </c>
      <c r="W127" s="29">
        <f>Weather!L259</f>
        <v>182.39999999999995</v>
      </c>
      <c r="X127" s="44">
        <f ca="1">D127-(((V127-E127)*'Res PW'!$B$7+(W127-F127)*'Res PW'!$B$8)*Q127*R127)</f>
        <v>56205240.30851189</v>
      </c>
      <c r="Y127" s="158">
        <f ca="1">X127-S127</f>
        <v>6486086.3852764815</v>
      </c>
    </row>
    <row r="128" spans="1:26" x14ac:dyDescent="0.2">
      <c r="A128" s="45">
        <v>44013</v>
      </c>
      <c r="B128" s="29">
        <f t="shared" si="9"/>
        <v>2020</v>
      </c>
      <c r="C128" s="29">
        <f t="shared" si="10"/>
        <v>7</v>
      </c>
      <c r="D128" s="44"/>
      <c r="E128" s="241">
        <f ca="1">OFFSET(Weather!BK$26,0,ROW()-ROW($E$122))</f>
        <v>0</v>
      </c>
      <c r="F128" s="241">
        <f ca="1">OFFSET(Weather!$AW$53,0,ROW()-ROW($F$122))</f>
        <v>274.96789473684203</v>
      </c>
      <c r="G128" s="29">
        <f t="shared" si="18"/>
        <v>127</v>
      </c>
      <c r="H128" s="189">
        <f>'Economic (2020 Adj.)'!X140</f>
        <v>7574.1250999999993</v>
      </c>
      <c r="I128" s="29">
        <f t="shared" si="19"/>
        <v>0</v>
      </c>
      <c r="K128" s="29">
        <f>'Res PW'!$B$6</f>
        <v>-4.4351669087570498</v>
      </c>
      <c r="L128" s="29">
        <f ca="1">E128*'Res PW'!$B$7</f>
        <v>0</v>
      </c>
      <c r="M128" s="29">
        <f ca="1">F128*'Res PW'!$B$8</f>
        <v>10.653108738454392</v>
      </c>
      <c r="N128" s="29">
        <f>G128*'Res PW'!$B$9</f>
        <v>-5.6569588284621153</v>
      </c>
      <c r="O128" s="163">
        <f>H128*'Res PW'!$B$10</f>
        <v>31.468151694839992</v>
      </c>
      <c r="P128" s="29">
        <f>I128*'Res PW'!$B$11</f>
        <v>0</v>
      </c>
      <c r="Q128" s="44">
        <f>'Customer Count'!C43</f>
        <v>61659</v>
      </c>
      <c r="R128" s="46">
        <f t="shared" si="20"/>
        <v>31</v>
      </c>
      <c r="S128" s="44">
        <f ca="1">SUM(K128:P128)*R128*Q128+Y128*Z128</f>
        <v>67707503.288260847</v>
      </c>
      <c r="T128" s="44"/>
      <c r="U128" s="48"/>
      <c r="W128" s="44"/>
      <c r="Y128" s="226">
        <f ca="1">Y127</f>
        <v>6486086.3852764815</v>
      </c>
      <c r="Z128" s="29">
        <v>1</v>
      </c>
    </row>
    <row r="129" spans="1:26" x14ac:dyDescent="0.2">
      <c r="A129" s="45">
        <v>44044</v>
      </c>
      <c r="B129" s="29">
        <f t="shared" si="9"/>
        <v>2020</v>
      </c>
      <c r="C129" s="29">
        <f t="shared" si="10"/>
        <v>8</v>
      </c>
      <c r="D129" s="44"/>
      <c r="E129" s="241">
        <f ca="1">OFFSET(Weather!BK$26,0,ROW()-ROW($E$122))</f>
        <v>0</v>
      </c>
      <c r="F129" s="241">
        <f ca="1">OFFSET(Weather!$AW$53,0,ROW()-ROW($F$122))</f>
        <v>237.02947368421053</v>
      </c>
      <c r="G129" s="29">
        <f t="shared" si="18"/>
        <v>128</v>
      </c>
      <c r="H129" s="189">
        <f>'Economic (2020 Adj.)'!X141</f>
        <v>7591.1423999999997</v>
      </c>
      <c r="I129" s="29">
        <f t="shared" si="19"/>
        <v>0</v>
      </c>
      <c r="K129" s="29">
        <f>'Res PW'!$B$6</f>
        <v>-4.4351669087570498</v>
      </c>
      <c r="L129" s="29">
        <f ca="1">E129*'Res PW'!$B$7</f>
        <v>0</v>
      </c>
      <c r="M129" s="29">
        <f ca="1">F129*'Res PW'!$B$8</f>
        <v>9.1832566845418651</v>
      </c>
      <c r="N129" s="29">
        <f>G129*'Res PW'!$B$9</f>
        <v>-5.701501811363392</v>
      </c>
      <c r="O129" s="163">
        <f>H129*'Res PW'!$B$10</f>
        <v>31.538853323182071</v>
      </c>
      <c r="P129" s="29">
        <f>I129*'Res PW'!$B$11</f>
        <v>0</v>
      </c>
      <c r="Q129" s="44">
        <f>'Customer Count'!C44</f>
        <v>61692.603959562686</v>
      </c>
      <c r="R129" s="46">
        <f t="shared" si="20"/>
        <v>31</v>
      </c>
      <c r="S129" s="44">
        <f t="shared" ref="S129:S132" ca="1" si="21">SUM(K129:P129)*R129*Q129+Y129*Z129</f>
        <v>64331238.751570791</v>
      </c>
      <c r="T129" s="44"/>
      <c r="U129" s="48"/>
      <c r="W129" s="44"/>
      <c r="Y129" s="226">
        <f ca="1">Y128</f>
        <v>6486086.3852764815</v>
      </c>
      <c r="Z129" s="29">
        <v>0.9</v>
      </c>
    </row>
    <row r="130" spans="1:26" x14ac:dyDescent="0.2">
      <c r="A130" s="45">
        <v>44075</v>
      </c>
      <c r="B130" s="29">
        <f t="shared" ref="B130:B145" si="22">YEAR(A130)</f>
        <v>2020</v>
      </c>
      <c r="C130" s="29">
        <f t="shared" ref="C130:C145" si="23">MONTH(A130)</f>
        <v>9</v>
      </c>
      <c r="D130" s="44"/>
      <c r="E130" s="241">
        <f ca="1">OFFSET(Weather!BK$26,0,ROW()-ROW($E$122))</f>
        <v>0</v>
      </c>
      <c r="F130" s="241">
        <f ca="1">OFFSET(Weather!$AW$53,0,ROW()-ROW($F$122))</f>
        <v>141.84894736842102</v>
      </c>
      <c r="G130" s="29">
        <f t="shared" si="18"/>
        <v>129</v>
      </c>
      <c r="H130" s="189">
        <f>'Economic (2020 Adj.)'!X142</f>
        <v>7620.3876999999993</v>
      </c>
      <c r="I130" s="29">
        <f t="shared" si="19"/>
        <v>1</v>
      </c>
      <c r="K130" s="29">
        <f>'Res PW'!$B$6</f>
        <v>-4.4351669087570498</v>
      </c>
      <c r="L130" s="29">
        <f ca="1">E130*'Res PW'!$B$7</f>
        <v>0</v>
      </c>
      <c r="M130" s="29">
        <f ca="1">F130*'Res PW'!$B$8</f>
        <v>5.4956680022491788</v>
      </c>
      <c r="N130" s="29">
        <f>G130*'Res PW'!$B$9</f>
        <v>-5.7460447942646686</v>
      </c>
      <c r="O130" s="163">
        <f>H130*'Res PW'!$B$10</f>
        <v>31.660358516799892</v>
      </c>
      <c r="P130" s="29">
        <f>I130*'Res PW'!$B$11</f>
        <v>-1.18560218277844</v>
      </c>
      <c r="Q130" s="44">
        <f>'Customer Count'!C45</f>
        <v>61726.226233176814</v>
      </c>
      <c r="R130" s="46">
        <f t="shared" si="20"/>
        <v>30</v>
      </c>
      <c r="S130" s="44">
        <f t="shared" ca="1" si="21"/>
        <v>51956124.281557761</v>
      </c>
      <c r="T130" s="44"/>
      <c r="U130" s="48"/>
      <c r="Y130" s="226">
        <f ca="1">AVERAGE(Y126,Y127)</f>
        <v>5250001.3503687903</v>
      </c>
      <c r="Z130" s="29">
        <v>0.8</v>
      </c>
    </row>
    <row r="131" spans="1:26" x14ac:dyDescent="0.2">
      <c r="A131" s="45">
        <v>44105</v>
      </c>
      <c r="B131" s="29">
        <f t="shared" si="22"/>
        <v>2020</v>
      </c>
      <c r="C131" s="29">
        <f t="shared" si="23"/>
        <v>10</v>
      </c>
      <c r="D131" s="44"/>
      <c r="E131" s="241">
        <f ca="1">OFFSET(Weather!BK$26,0,ROW()-ROW($E$122))</f>
        <v>46.248421052631329</v>
      </c>
      <c r="F131" s="241">
        <f ca="1">OFFSET(Weather!$AW$53,0,ROW()-ROW($F$122))</f>
        <v>32.161578947368525</v>
      </c>
      <c r="G131" s="29">
        <f t="shared" si="18"/>
        <v>130</v>
      </c>
      <c r="H131" s="189">
        <f>'Economic (2020 Adj.)'!X143</f>
        <v>7646.5759999999991</v>
      </c>
      <c r="I131" s="29">
        <f t="shared" si="19"/>
        <v>1</v>
      </c>
      <c r="K131" s="29">
        <f>'Res PW'!$B$6</f>
        <v>-4.4351669087570498</v>
      </c>
      <c r="L131" s="29">
        <f ca="1">E131*'Res PW'!$B$7</f>
        <v>0.36577581612351906</v>
      </c>
      <c r="M131" s="29">
        <f ca="1">F131*'Res PW'!$B$8</f>
        <v>1.246039280529851</v>
      </c>
      <c r="N131" s="29">
        <f>G131*'Res PW'!$B$9</f>
        <v>-5.7905877771659453</v>
      </c>
      <c r="O131" s="163">
        <f>H131*'Res PW'!$B$10</f>
        <v>31.769162819098778</v>
      </c>
      <c r="P131" s="29">
        <f>I131*'Res PW'!$B$11</f>
        <v>-1.18560218277844</v>
      </c>
      <c r="Q131" s="44">
        <f>'Customer Count'!C46</f>
        <v>61759.866830823492</v>
      </c>
      <c r="R131" s="46">
        <f t="shared" si="20"/>
        <v>31</v>
      </c>
      <c r="S131" s="44">
        <f t="shared" ca="1" si="21"/>
        <v>44871808.396697551</v>
      </c>
      <c r="T131" s="44"/>
      <c r="U131" s="48"/>
      <c r="Y131" s="226">
        <f ca="1">Y126</f>
        <v>4013916.3154610991</v>
      </c>
      <c r="Z131" s="29">
        <v>0.7</v>
      </c>
    </row>
    <row r="132" spans="1:26" x14ac:dyDescent="0.2">
      <c r="A132" s="45">
        <v>44136</v>
      </c>
      <c r="B132" s="29">
        <f t="shared" si="22"/>
        <v>2020</v>
      </c>
      <c r="C132" s="29">
        <f t="shared" si="23"/>
        <v>11</v>
      </c>
      <c r="E132" s="241">
        <f ca="1">OFFSET(Weather!BK$26,0,ROW()-ROW($E$122))</f>
        <v>225.6036842105259</v>
      </c>
      <c r="F132" s="241">
        <f ca="1">OFFSET(Weather!$AW$53,0,ROW()-ROW($F$122))</f>
        <v>0.7242105263157903</v>
      </c>
      <c r="G132" s="29">
        <f t="shared" si="18"/>
        <v>131</v>
      </c>
      <c r="H132" s="189">
        <f>'Economic (2020 Adj.)'!X144</f>
        <v>7660.1286999999993</v>
      </c>
      <c r="I132" s="29">
        <f t="shared" si="19"/>
        <v>1</v>
      </c>
      <c r="K132" s="29">
        <f>'Res PW'!$B$6</f>
        <v>-4.4351669087570498</v>
      </c>
      <c r="L132" s="29">
        <f ca="1">E132*'Res PW'!$B$7</f>
        <v>1.7842851676745566</v>
      </c>
      <c r="M132" s="29">
        <f ca="1">F132*'Res PW'!$B$8</f>
        <v>2.8058161094622079E-2</v>
      </c>
      <c r="N132" s="29">
        <f>G132*'Res PW'!$B$9</f>
        <v>-5.8351307600672211</v>
      </c>
      <c r="O132" s="163">
        <f>H132*'Res PW'!$B$10</f>
        <v>31.82547010394606</v>
      </c>
      <c r="P132" s="29">
        <f>I132*'Res PW'!$B$11</f>
        <v>-1.18560218277844</v>
      </c>
      <c r="Q132" s="44">
        <f>'Customer Count'!C47</f>
        <v>61793.525762489262</v>
      </c>
      <c r="R132" s="46">
        <f t="shared" si="20"/>
        <v>30</v>
      </c>
      <c r="S132" s="44">
        <f t="shared" ca="1" si="21"/>
        <v>41963903.455560341</v>
      </c>
      <c r="T132" s="44"/>
      <c r="U132" s="48"/>
      <c r="Y132" s="226">
        <f ca="1">Y125</f>
        <v>1404906.6758112013</v>
      </c>
      <c r="Z132" s="29">
        <v>0.6</v>
      </c>
    </row>
    <row r="133" spans="1:26" x14ac:dyDescent="0.2">
      <c r="A133" s="45">
        <v>44166</v>
      </c>
      <c r="B133" s="29">
        <f t="shared" si="22"/>
        <v>2020</v>
      </c>
      <c r="C133" s="29">
        <f t="shared" si="23"/>
        <v>12</v>
      </c>
      <c r="E133" s="241">
        <f ca="1">OFFSET(Weather!BK$26,0,ROW()-ROW($E$122))</f>
        <v>337.18684210526317</v>
      </c>
      <c r="F133" s="241">
        <f ca="1">OFFSET(Weather!$AW$53,0,ROW()-ROW($F$122))</f>
        <v>0</v>
      </c>
      <c r="G133" s="29">
        <f t="shared" si="18"/>
        <v>132</v>
      </c>
      <c r="H133" s="189">
        <f>'Economic (2020 Adj.)'!X145</f>
        <v>7667.9749999999995</v>
      </c>
      <c r="I133" s="29">
        <f t="shared" si="19"/>
        <v>0</v>
      </c>
      <c r="K133" s="29">
        <f>'Res PW'!$B$6</f>
        <v>-4.4351669087570498</v>
      </c>
      <c r="L133" s="29">
        <f ca="1">E133*'Res PW'!$B$7</f>
        <v>2.6667892557198472</v>
      </c>
      <c r="M133" s="29">
        <f ca="1">F133*'Res PW'!$B$8</f>
        <v>0</v>
      </c>
      <c r="N133" s="29">
        <f>G133*'Res PW'!$B$9</f>
        <v>-5.8796737429684978</v>
      </c>
      <c r="O133" s="163">
        <f>H133*'Res PW'!$B$10</f>
        <v>31.858069058331331</v>
      </c>
      <c r="P133" s="29">
        <f>I133*'Res PW'!$B$11</f>
        <v>0</v>
      </c>
      <c r="Q133" s="44">
        <f>'Customer Count'!C48</f>
        <v>61827.203038166102</v>
      </c>
      <c r="R133" s="46">
        <f t="shared" si="20"/>
        <v>31</v>
      </c>
      <c r="S133" s="44">
        <f ca="1">SUM(K133:P133)*R133*Q133+Y133*Z133</f>
        <v>47104421.34245763</v>
      </c>
      <c r="T133" s="44"/>
      <c r="U133" s="48"/>
      <c r="Y133" s="226">
        <f ca="1">Y125</f>
        <v>1404906.6758112013</v>
      </c>
      <c r="Z133" s="29">
        <v>0.5</v>
      </c>
    </row>
    <row r="134" spans="1:26" x14ac:dyDescent="0.2">
      <c r="A134" s="45">
        <v>44197</v>
      </c>
      <c r="B134" s="29">
        <f t="shared" si="22"/>
        <v>2021</v>
      </c>
      <c r="C134" s="29">
        <f t="shared" si="23"/>
        <v>1</v>
      </c>
      <c r="E134" s="241">
        <f ca="1">Weather!BQ61</f>
        <v>479.53278195488724</v>
      </c>
      <c r="F134" s="241">
        <f ca="1">Weather!BD61</f>
        <v>0</v>
      </c>
      <c r="G134" s="29">
        <f t="shared" si="18"/>
        <v>133</v>
      </c>
      <c r="H134" s="189">
        <f>'Economic (2020 Adj.)'!X146</f>
        <v>7544.1546795999993</v>
      </c>
      <c r="I134" s="29">
        <f t="shared" si="19"/>
        <v>0</v>
      </c>
      <c r="K134" s="29">
        <f>'Res PW'!$B$6</f>
        <v>-4.4351669087570498</v>
      </c>
      <c r="L134" s="29">
        <f ca="1">E134*'Res PW'!$B$7</f>
        <v>3.792594226685515</v>
      </c>
      <c r="M134" s="29">
        <f ca="1">F134*'Res PW'!$B$8</f>
        <v>0</v>
      </c>
      <c r="N134" s="29">
        <f>G134*'Res PW'!$B$9</f>
        <v>-5.9242167258697744</v>
      </c>
      <c r="O134" s="163">
        <f>H134*'Res PW'!$B$10</f>
        <v>31.343633849801318</v>
      </c>
      <c r="P134" s="29">
        <f>I134*'Res PW'!$B$11</f>
        <v>0</v>
      </c>
      <c r="Q134" s="44">
        <f>'Customer Count'!C49</f>
        <v>61869.926572140103</v>
      </c>
      <c r="R134" s="46">
        <f t="shared" si="20"/>
        <v>31</v>
      </c>
      <c r="S134" s="44">
        <f t="shared" ref="S134:S145" ca="1" si="24">SUM(K134:P134)*R134*Q134</f>
        <v>47521187.935523704</v>
      </c>
      <c r="T134" s="44"/>
      <c r="U134" s="48"/>
    </row>
    <row r="135" spans="1:26" x14ac:dyDescent="0.2">
      <c r="A135" s="45">
        <v>44228</v>
      </c>
      <c r="B135" s="29">
        <f t="shared" si="22"/>
        <v>2021</v>
      </c>
      <c r="C135" s="29">
        <f t="shared" si="23"/>
        <v>2</v>
      </c>
      <c r="E135" s="241">
        <f ca="1">Weather!BQ62</f>
        <v>421.68406015037601</v>
      </c>
      <c r="F135" s="241">
        <f ca="1">Weather!BD62</f>
        <v>0</v>
      </c>
      <c r="G135" s="29">
        <f t="shared" si="18"/>
        <v>134</v>
      </c>
      <c r="H135" s="189">
        <f>'Economic (2020 Adj.)'!X147</f>
        <v>7576.1227475999995</v>
      </c>
      <c r="I135" s="29">
        <f t="shared" si="19"/>
        <v>0</v>
      </c>
      <c r="K135" s="29">
        <f>'Res PW'!$B$6</f>
        <v>-4.4351669087570498</v>
      </c>
      <c r="L135" s="29">
        <f ca="1">E135*'Res PW'!$B$7</f>
        <v>3.3350723708438306</v>
      </c>
      <c r="M135" s="29">
        <f ca="1">F135*'Res PW'!$B$8</f>
        <v>0</v>
      </c>
      <c r="N135" s="29">
        <f>G135*'Res PW'!$B$9</f>
        <v>-5.9687597087710511</v>
      </c>
      <c r="O135" s="163">
        <f>H135*'Res PW'!$B$10</f>
        <v>31.476451303953873</v>
      </c>
      <c r="P135" s="29">
        <f>I135*'Res PW'!$B$11</f>
        <v>0</v>
      </c>
      <c r="Q135" s="44">
        <f>'Customer Count'!C50</f>
        <v>61903.645486016037</v>
      </c>
      <c r="R135" s="46">
        <f t="shared" si="20"/>
        <v>28</v>
      </c>
      <c r="S135" s="44">
        <f t="shared" ca="1" si="24"/>
        <v>42305738.59116488</v>
      </c>
      <c r="T135" s="44"/>
      <c r="U135" s="48"/>
    </row>
    <row r="136" spans="1:26" x14ac:dyDescent="0.2">
      <c r="A136" s="45">
        <v>44256</v>
      </c>
      <c r="B136" s="29">
        <f t="shared" si="22"/>
        <v>2021</v>
      </c>
      <c r="C136" s="29">
        <f t="shared" si="23"/>
        <v>3</v>
      </c>
      <c r="E136" s="241">
        <f ca="1">Weather!BQ63</f>
        <v>356.48759398496304</v>
      </c>
      <c r="F136" s="241">
        <f ca="1">Weather!BD63</f>
        <v>2.79699248120302E-2</v>
      </c>
      <c r="G136" s="29">
        <f t="shared" si="18"/>
        <v>135</v>
      </c>
      <c r="H136" s="189">
        <f>'Economic (2020 Adj.)'!X148</f>
        <v>7601.1815879999995</v>
      </c>
      <c r="I136" s="29">
        <f t="shared" si="19"/>
        <v>1</v>
      </c>
      <c r="K136" s="29">
        <f>'Res PW'!$B$6</f>
        <v>-4.4351669087570498</v>
      </c>
      <c r="L136" s="29">
        <f ca="1">E136*'Res PW'!$B$7</f>
        <v>2.8194376728963095</v>
      </c>
      <c r="M136" s="29">
        <f ca="1">F136*'Res PW'!$B$8</f>
        <v>1.0836416037374843E-3</v>
      </c>
      <c r="N136" s="29">
        <f>G136*'Res PW'!$B$9</f>
        <v>-6.0133026916723278</v>
      </c>
      <c r="O136" s="163">
        <f>H136*'Res PW'!$B$10</f>
        <v>31.580563050273458</v>
      </c>
      <c r="P136" s="29">
        <f>I136*'Res PW'!$B$11</f>
        <v>-1.18560218277844</v>
      </c>
      <c r="Q136" s="44">
        <f>'Customer Count'!C51</f>
        <v>61937.382776593156</v>
      </c>
      <c r="R136" s="46">
        <f t="shared" si="20"/>
        <v>31</v>
      </c>
      <c r="S136" s="44">
        <f t="shared" ca="1" si="24"/>
        <v>43714004.361262336</v>
      </c>
      <c r="T136" s="44"/>
      <c r="U136" s="48"/>
    </row>
    <row r="137" spans="1:26" x14ac:dyDescent="0.2">
      <c r="A137" s="45">
        <v>44287</v>
      </c>
      <c r="B137" s="29">
        <f t="shared" si="22"/>
        <v>2021</v>
      </c>
      <c r="C137" s="29">
        <f t="shared" si="23"/>
        <v>4</v>
      </c>
      <c r="E137" s="241">
        <f ca="1">Weather!BQ64</f>
        <v>171.77466165413534</v>
      </c>
      <c r="F137" s="241">
        <f ca="1">Weather!BD64</f>
        <v>0</v>
      </c>
      <c r="G137" s="29">
        <f t="shared" si="18"/>
        <v>136</v>
      </c>
      <c r="H137" s="189">
        <f>'Economic (2020 Adj.)'!X149</f>
        <v>7626.3435511999987</v>
      </c>
      <c r="I137" s="29">
        <f t="shared" si="19"/>
        <v>1</v>
      </c>
      <c r="K137" s="29">
        <f>'Res PW'!$B$6</f>
        <v>-4.4351669087570498</v>
      </c>
      <c r="L137" s="29">
        <f ca="1">E137*'Res PW'!$B$7</f>
        <v>1.358554857135126</v>
      </c>
      <c r="M137" s="29">
        <f ca="1">F137*'Res PW'!$B$8</f>
        <v>0</v>
      </c>
      <c r="N137" s="29">
        <f>G137*'Res PW'!$B$9</f>
        <v>-6.0578456745736036</v>
      </c>
      <c r="O137" s="163">
        <f>H137*'Res PW'!$B$10</f>
        <v>31.685103239993527</v>
      </c>
      <c r="P137" s="29">
        <f>I137*'Res PW'!$B$11</f>
        <v>-1.18560218277844</v>
      </c>
      <c r="Q137" s="44">
        <f>'Customer Count'!C52</f>
        <v>61971.138453886706</v>
      </c>
      <c r="R137" s="46">
        <f t="shared" si="20"/>
        <v>30</v>
      </c>
      <c r="S137" s="44">
        <f t="shared" ca="1" si="24"/>
        <v>39720481.75019706</v>
      </c>
      <c r="T137" s="44"/>
      <c r="U137" s="48"/>
    </row>
    <row r="138" spans="1:26" x14ac:dyDescent="0.2">
      <c r="A138" s="45">
        <v>44317</v>
      </c>
      <c r="B138" s="29">
        <f t="shared" si="22"/>
        <v>2021</v>
      </c>
      <c r="C138" s="29">
        <f t="shared" si="23"/>
        <v>5</v>
      </c>
      <c r="E138" s="241">
        <f ca="1">Weather!BQ65</f>
        <v>36.57473684210521</v>
      </c>
      <c r="F138" s="241">
        <f ca="1">Weather!BD65</f>
        <v>54.539849624060025</v>
      </c>
      <c r="G138" s="29">
        <f t="shared" si="18"/>
        <v>137</v>
      </c>
      <c r="H138" s="189">
        <f>'Economic (2020 Adj.)'!X150</f>
        <v>7644.0806727999998</v>
      </c>
      <c r="I138" s="29">
        <f t="shared" si="19"/>
        <v>1</v>
      </c>
      <c r="K138" s="29">
        <f>'Res PW'!$B$6</f>
        <v>-4.4351669087570498</v>
      </c>
      <c r="L138" s="29">
        <f ca="1">E138*'Res PW'!$B$7</f>
        <v>0.28926726390722518</v>
      </c>
      <c r="M138" s="29">
        <f ca="1">F138*'Res PW'!$B$8</f>
        <v>2.1130428669868038</v>
      </c>
      <c r="N138" s="29">
        <f>G138*'Res PW'!$B$9</f>
        <v>-6.1023886574748802</v>
      </c>
      <c r="O138" s="163">
        <f>H138*'Res PW'!$B$10</f>
        <v>31.758795504878176</v>
      </c>
      <c r="P138" s="29">
        <f>I138*'Res PW'!$B$11</f>
        <v>-1.18560218277844</v>
      </c>
      <c r="Q138" s="44">
        <f>'Customer Count'!C53</f>
        <v>62004.91252791739</v>
      </c>
      <c r="R138" s="46">
        <f t="shared" si="20"/>
        <v>31</v>
      </c>
      <c r="S138" s="44">
        <f t="shared" ca="1" si="24"/>
        <v>43129152.876763731</v>
      </c>
      <c r="T138" s="44"/>
      <c r="U138" s="48"/>
    </row>
    <row r="139" spans="1:26" x14ac:dyDescent="0.2">
      <c r="A139" s="45">
        <v>44348</v>
      </c>
      <c r="B139" s="29">
        <f t="shared" si="22"/>
        <v>2021</v>
      </c>
      <c r="C139" s="29">
        <f t="shared" si="23"/>
        <v>6</v>
      </c>
      <c r="E139" s="241">
        <f ca="1">Weather!BQ66</f>
        <v>0</v>
      </c>
      <c r="F139" s="241">
        <f ca="1">Weather!BD66</f>
        <v>140.98947368421068</v>
      </c>
      <c r="G139" s="29">
        <f t="shared" si="18"/>
        <v>138</v>
      </c>
      <c r="H139" s="189">
        <f>'Economic (2020 Adj.)'!X151</f>
        <v>7662.3334083999989</v>
      </c>
      <c r="I139" s="29">
        <f t="shared" si="19"/>
        <v>0</v>
      </c>
      <c r="K139" s="29">
        <f>'Res PW'!$B$6</f>
        <v>-4.4351669087570498</v>
      </c>
      <c r="L139" s="29">
        <f ca="1">E139*'Res PW'!$B$7</f>
        <v>0</v>
      </c>
      <c r="M139" s="29">
        <f ca="1">F139*'Res PW'!$B$8</f>
        <v>5.4623693270547689</v>
      </c>
      <c r="N139" s="29">
        <f>G139*'Res PW'!$B$9</f>
        <v>-6.1469316403761569</v>
      </c>
      <c r="O139" s="163">
        <f>H139*'Res PW'!$B$10</f>
        <v>31.834629986765275</v>
      </c>
      <c r="P139" s="29">
        <f>I139*'Res PW'!$B$11</f>
        <v>0</v>
      </c>
      <c r="Q139" s="44">
        <f>'Customer Count'!C54</f>
        <v>62038.705008711368</v>
      </c>
      <c r="R139" s="46">
        <f t="shared" si="20"/>
        <v>30</v>
      </c>
      <c r="S139" s="44">
        <f t="shared" ca="1" si="24"/>
        <v>49720735.436322138</v>
      </c>
      <c r="T139" s="44"/>
      <c r="U139" s="48"/>
    </row>
    <row r="140" spans="1:26" x14ac:dyDescent="0.2">
      <c r="A140" s="45">
        <v>44378</v>
      </c>
      <c r="B140" s="29">
        <f t="shared" si="22"/>
        <v>2021</v>
      </c>
      <c r="C140" s="29">
        <f t="shared" si="23"/>
        <v>7</v>
      </c>
      <c r="E140" s="241">
        <f ca="1">Weather!BQ67</f>
        <v>0</v>
      </c>
      <c r="F140" s="241">
        <f ca="1">Weather!BD67</f>
        <v>277.61864661654181</v>
      </c>
      <c r="G140" s="29">
        <f t="shared" si="18"/>
        <v>139</v>
      </c>
      <c r="H140" s="189">
        <f>'Economic (2020 Adj.)'!X152</f>
        <v>7665.0146011999996</v>
      </c>
      <c r="I140" s="29">
        <f t="shared" si="19"/>
        <v>0</v>
      </c>
      <c r="K140" s="29">
        <f>'Res PW'!$B$6</f>
        <v>-4.4351669087570498</v>
      </c>
      <c r="L140" s="29">
        <f ca="1">E140*'Res PW'!$B$7</f>
        <v>0</v>
      </c>
      <c r="M140" s="29">
        <f ca="1">F140*'Res PW'!$B$8</f>
        <v>10.755807084529049</v>
      </c>
      <c r="N140" s="29">
        <f>G140*'Res PW'!$B$9</f>
        <v>-6.1914746232774336</v>
      </c>
      <c r="O140" s="163">
        <f>H140*'Res PW'!$B$10</f>
        <v>31.845769515178073</v>
      </c>
      <c r="P140" s="29">
        <f>I140*'Res PW'!$B$11</f>
        <v>0</v>
      </c>
      <c r="Q140" s="44">
        <f>'Customer Count'!C55</f>
        <v>62072.515906300265</v>
      </c>
      <c r="R140" s="46">
        <f t="shared" si="20"/>
        <v>31</v>
      </c>
      <c r="S140" s="44">
        <f t="shared" ca="1" si="24"/>
        <v>61527704.633321874</v>
      </c>
      <c r="T140" s="44"/>
      <c r="U140" s="48"/>
    </row>
    <row r="141" spans="1:26" x14ac:dyDescent="0.2">
      <c r="A141" s="45">
        <v>44409</v>
      </c>
      <c r="B141" s="29">
        <f t="shared" si="22"/>
        <v>2021</v>
      </c>
      <c r="C141" s="29">
        <f t="shared" si="23"/>
        <v>8</v>
      </c>
      <c r="E141" s="241">
        <f ca="1">Weather!BQ68</f>
        <v>0</v>
      </c>
      <c r="F141" s="241">
        <f ca="1">Weather!BD68</f>
        <v>237.04037593984961</v>
      </c>
      <c r="G141" s="29">
        <f t="shared" si="18"/>
        <v>140</v>
      </c>
      <c r="H141" s="189">
        <f>'Economic (2020 Adj.)'!X153</f>
        <v>7682.2361087999998</v>
      </c>
      <c r="I141" s="29">
        <f t="shared" si="19"/>
        <v>0</v>
      </c>
      <c r="K141" s="29">
        <f>'Res PW'!$B$6</f>
        <v>-4.4351669087570498</v>
      </c>
      <c r="L141" s="29">
        <f ca="1">E141*'Res PW'!$B$7</f>
        <v>0</v>
      </c>
      <c r="M141" s="29">
        <f ca="1">F141*'Res PW'!$B$8</f>
        <v>9.1836790717261181</v>
      </c>
      <c r="N141" s="29">
        <f>G141*'Res PW'!$B$9</f>
        <v>-6.2360176061787103</v>
      </c>
      <c r="O141" s="163">
        <f>H141*'Res PW'!$B$10</f>
        <v>31.917319563060257</v>
      </c>
      <c r="P141" s="29">
        <f>I141*'Res PW'!$B$11</f>
        <v>0</v>
      </c>
      <c r="Q141" s="44">
        <f>'Customer Count'!C56</f>
        <v>62106.345230721185</v>
      </c>
      <c r="R141" s="46">
        <f t="shared" si="20"/>
        <v>31</v>
      </c>
      <c r="S141" s="44">
        <f t="shared" ca="1" si="24"/>
        <v>58586420.772057615</v>
      </c>
      <c r="T141" s="44"/>
      <c r="U141" s="48"/>
    </row>
    <row r="142" spans="1:26" x14ac:dyDescent="0.2">
      <c r="A142" s="45">
        <v>44440</v>
      </c>
      <c r="B142" s="29">
        <f t="shared" si="22"/>
        <v>2021</v>
      </c>
      <c r="C142" s="29">
        <f t="shared" si="23"/>
        <v>9</v>
      </c>
      <c r="E142" s="241">
        <f ca="1">Weather!BQ69</f>
        <v>0</v>
      </c>
      <c r="F142" s="241">
        <f ca="1">Weather!BD69</f>
        <v>142.7893233082707</v>
      </c>
      <c r="G142" s="29">
        <f t="shared" si="18"/>
        <v>141</v>
      </c>
      <c r="H142" s="189">
        <f>'Economic (2020 Adj.)'!X154</f>
        <v>7711.8323523999998</v>
      </c>
      <c r="I142" s="29">
        <f t="shared" si="19"/>
        <v>1</v>
      </c>
      <c r="K142" s="29">
        <f>'Res PW'!$B$6</f>
        <v>-4.4351669087570498</v>
      </c>
      <c r="L142" s="29">
        <f ca="1">E142*'Res PW'!$B$7</f>
        <v>0</v>
      </c>
      <c r="M142" s="29">
        <f ca="1">F142*'Res PW'!$B$8</f>
        <v>5.5321010816522582</v>
      </c>
      <c r="N142" s="29">
        <f>G142*'Res PW'!$B$9</f>
        <v>-6.280560589079986</v>
      </c>
      <c r="O142" s="163">
        <f>H142*'Res PW'!$B$10</f>
        <v>32.04028281900149</v>
      </c>
      <c r="P142" s="29">
        <f>I142*'Res PW'!$B$11</f>
        <v>-1.18560218277844</v>
      </c>
      <c r="Q142" s="44">
        <f>'Customer Count'!C57</f>
        <v>62140.19299201668</v>
      </c>
      <c r="R142" s="46">
        <f t="shared" si="20"/>
        <v>30</v>
      </c>
      <c r="S142" s="44">
        <f t="shared" ca="1" si="24"/>
        <v>47856127.906251073</v>
      </c>
      <c r="T142" s="44"/>
      <c r="U142" s="48"/>
    </row>
    <row r="143" spans="1:26" x14ac:dyDescent="0.2">
      <c r="A143" s="45">
        <v>44470</v>
      </c>
      <c r="B143" s="29">
        <f t="shared" si="22"/>
        <v>2021</v>
      </c>
      <c r="C143" s="29">
        <f t="shared" si="23"/>
        <v>10</v>
      </c>
      <c r="E143" s="241">
        <f ca="1">Weather!BQ70</f>
        <v>44.825413533834308</v>
      </c>
      <c r="F143" s="241">
        <f ca="1">Weather!BD70</f>
        <v>32.903157894736978</v>
      </c>
      <c r="G143" s="29">
        <f t="shared" si="18"/>
        <v>142</v>
      </c>
      <c r="H143" s="189">
        <f>'Economic (2020 Adj.)'!X155</f>
        <v>7738.3349119999993</v>
      </c>
      <c r="I143" s="29">
        <f t="shared" si="19"/>
        <v>1</v>
      </c>
      <c r="K143" s="29">
        <f>'Res PW'!$B$6</f>
        <v>-4.4351669087570498</v>
      </c>
      <c r="L143" s="29">
        <f ca="1">E143*'Res PW'!$B$7</f>
        <v>0.35452134030161919</v>
      </c>
      <c r="M143" s="29">
        <f ca="1">F143*'Res PW'!$B$8</f>
        <v>1.2747703481042145</v>
      </c>
      <c r="N143" s="29">
        <f>G143*'Res PW'!$B$9</f>
        <v>-6.3251035719812627</v>
      </c>
      <c r="O143" s="163">
        <f>H143*'Res PW'!$B$10</f>
        <v>32.150392772927965</v>
      </c>
      <c r="P143" s="29">
        <f>I143*'Res PW'!$B$11</f>
        <v>-1.18560218277844</v>
      </c>
      <c r="Q143" s="44">
        <f>'Customer Count'!C58</f>
        <v>62174.059200234798</v>
      </c>
      <c r="R143" s="46">
        <f t="shared" si="20"/>
        <v>31</v>
      </c>
      <c r="S143" s="44">
        <f t="shared" ca="1" si="24"/>
        <v>42082397.925812125</v>
      </c>
      <c r="T143" s="44"/>
      <c r="U143" s="48"/>
    </row>
    <row r="144" spans="1:26" x14ac:dyDescent="0.2">
      <c r="A144" s="45">
        <v>44501</v>
      </c>
      <c r="B144" s="29">
        <f t="shared" si="22"/>
        <v>2021</v>
      </c>
      <c r="C144" s="29">
        <f t="shared" si="23"/>
        <v>11</v>
      </c>
      <c r="E144" s="241">
        <f ca="1">Weather!BQ71</f>
        <v>228.39593984962357</v>
      </c>
      <c r="F144" s="241">
        <f ca="1">Weather!BD71</f>
        <v>0.73984962406014887</v>
      </c>
      <c r="G144" s="29">
        <f t="shared" si="18"/>
        <v>143</v>
      </c>
      <c r="H144" s="189">
        <f>'Economic (2020 Adj.)'!X156</f>
        <v>7752.0502443999994</v>
      </c>
      <c r="I144" s="29">
        <f t="shared" si="19"/>
        <v>1</v>
      </c>
      <c r="K144" s="29">
        <f>'Res PW'!$B$6</f>
        <v>-4.4351669087570498</v>
      </c>
      <c r="L144" s="29">
        <f ca="1">E144*'Res PW'!$B$7</f>
        <v>1.8063689396600726</v>
      </c>
      <c r="M144" s="29">
        <f ca="1">F144*'Res PW'!$B$8</f>
        <v>2.8664068227894558E-2</v>
      </c>
      <c r="N144" s="29">
        <f>G144*'Res PW'!$B$9</f>
        <v>-6.3696465548825394</v>
      </c>
      <c r="O144" s="163">
        <f>H144*'Res PW'!$B$10</f>
        <v>32.207375745193417</v>
      </c>
      <c r="P144" s="29">
        <f>I144*'Res PW'!$B$11</f>
        <v>-1.18560218277844</v>
      </c>
      <c r="Q144" s="44">
        <f>'Customer Count'!C59</f>
        <v>62207.94386542905</v>
      </c>
      <c r="R144" s="46">
        <f t="shared" si="20"/>
        <v>30</v>
      </c>
      <c r="S144" s="44">
        <f t="shared" ca="1" si="24"/>
        <v>41154274.479004271</v>
      </c>
      <c r="T144" s="44"/>
      <c r="U144" s="48"/>
    </row>
    <row r="145" spans="1:21" x14ac:dyDescent="0.2">
      <c r="A145" s="45">
        <v>44531</v>
      </c>
      <c r="B145" s="29">
        <f t="shared" si="22"/>
        <v>2021</v>
      </c>
      <c r="C145" s="29">
        <f t="shared" si="23"/>
        <v>12</v>
      </c>
      <c r="E145" s="241">
        <f ca="1">Weather!BQ72</f>
        <v>334.3351127819551</v>
      </c>
      <c r="F145" s="241">
        <f ca="1">Weather!BD72</f>
        <v>0</v>
      </c>
      <c r="G145" s="29">
        <f t="shared" si="18"/>
        <v>144</v>
      </c>
      <c r="H145" s="189">
        <f>'Economic (2020 Adj.)'!X157</f>
        <v>7759.9906999999994</v>
      </c>
      <c r="I145" s="29">
        <f t="shared" si="19"/>
        <v>0</v>
      </c>
      <c r="K145" s="29">
        <f>'Res PW'!$B$6</f>
        <v>-4.4351669087570498</v>
      </c>
      <c r="L145" s="29">
        <f ca="1">E145*'Res PW'!$B$7</f>
        <v>2.6442351101543298</v>
      </c>
      <c r="M145" s="29">
        <f ca="1">F145*'Res PW'!$B$8</f>
        <v>0</v>
      </c>
      <c r="N145" s="29">
        <f>G145*'Res PW'!$B$9</f>
        <v>-6.4141895377838161</v>
      </c>
      <c r="O145" s="163">
        <f>H145*'Res PW'!$B$10</f>
        <v>32.240365887031309</v>
      </c>
      <c r="P145" s="29">
        <f>I145*'Res PW'!$B$11</f>
        <v>0</v>
      </c>
      <c r="Q145" s="44">
        <f>'Customer Count'!C60</f>
        <v>62241.846997658431</v>
      </c>
      <c r="R145" s="46">
        <f t="shared" si="20"/>
        <v>31</v>
      </c>
      <c r="S145" s="44">
        <f t="shared" ca="1" si="24"/>
        <v>46375938.430048607</v>
      </c>
      <c r="T145" s="44"/>
      <c r="U145" s="48"/>
    </row>
    <row r="146" spans="1:21" x14ac:dyDescent="0.2">
      <c r="A146" s="45"/>
    </row>
    <row r="147" spans="1:21" x14ac:dyDescent="0.2">
      <c r="A147" s="45"/>
    </row>
    <row r="148" spans="1:21" x14ac:dyDescent="0.2">
      <c r="A148" s="45"/>
    </row>
    <row r="149" spans="1:21" x14ac:dyDescent="0.2">
      <c r="A149" s="45"/>
    </row>
    <row r="150" spans="1:21" x14ac:dyDescent="0.2">
      <c r="A150" s="45"/>
    </row>
    <row r="151" spans="1:21" x14ac:dyDescent="0.2">
      <c r="A151" s="45"/>
    </row>
    <row r="152" spans="1:21" x14ac:dyDescent="0.2">
      <c r="A152" s="45"/>
    </row>
    <row r="153" spans="1:21" x14ac:dyDescent="0.2">
      <c r="A153" s="45"/>
    </row>
    <row r="154" spans="1:21" x14ac:dyDescent="0.2">
      <c r="A154" s="45"/>
    </row>
    <row r="155" spans="1:21" x14ac:dyDescent="0.2">
      <c r="A155" s="45"/>
    </row>
    <row r="156" spans="1:21" x14ac:dyDescent="0.2">
      <c r="A156" s="45"/>
    </row>
    <row r="157" spans="1:21" x14ac:dyDescent="0.2">
      <c r="A157" s="45"/>
    </row>
    <row r="158" spans="1:21" x14ac:dyDescent="0.2">
      <c r="A158" s="45"/>
    </row>
    <row r="159" spans="1:21" x14ac:dyDescent="0.2">
      <c r="A159" s="45"/>
    </row>
    <row r="160" spans="1:21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">
    <tabColor theme="8" tint="0.59999389629810485"/>
  </sheetPr>
  <dimension ref="A1:W183"/>
  <sheetViews>
    <sheetView topLeftCell="F1" workbookViewId="0"/>
  </sheetViews>
  <sheetFormatPr defaultRowHeight="12.75" x14ac:dyDescent="0.2"/>
  <cols>
    <col min="1" max="3" width="9.33203125" style="29"/>
    <col min="4" max="4" width="17.5" style="29" customWidth="1"/>
    <col min="5" max="7" width="9.33203125" style="29"/>
    <col min="8" max="8" width="10.6640625" style="29" customWidth="1"/>
    <col min="9" max="10" width="9.33203125" style="29"/>
    <col min="11" max="11" width="11.83203125" style="29" bestFit="1" customWidth="1"/>
    <col min="12" max="14" width="9.33203125" style="29"/>
    <col min="15" max="15" width="12.5" style="29" bestFit="1" customWidth="1"/>
    <col min="16" max="17" width="12.5" style="29" customWidth="1"/>
    <col min="18" max="18" width="9.33203125" style="29"/>
    <col min="19" max="19" width="14.1640625" style="29" bestFit="1" customWidth="1"/>
    <col min="20" max="20" width="9.33203125" style="29"/>
    <col min="21" max="21" width="13.83203125" style="29" bestFit="1" customWidth="1"/>
    <col min="22" max="22" width="12.5" style="29" bestFit="1" customWidth="1"/>
    <col min="23" max="16384" width="9.33203125" style="29"/>
  </cols>
  <sheetData>
    <row r="1" spans="1:19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Data'!J1</f>
        <v>GS_lt_50_NoCDM</v>
      </c>
      <c r="E1" s="46" t="str">
        <f>'Monthly Data'!AL1</f>
        <v>HDD12</v>
      </c>
      <c r="F1" s="46" t="str">
        <f>'Monthly Data'!AI1</f>
        <v>CDD16</v>
      </c>
      <c r="G1" s="29" t="str">
        <f>'Monthly Data'!BG1</f>
        <v>Trend</v>
      </c>
      <c r="H1" s="29" t="str">
        <f>'Monthly Data'!X1</f>
        <v>Tor_FTEAdj</v>
      </c>
      <c r="I1" s="44" t="str">
        <f>'Monthly Data'!BF1</f>
        <v>Shoulder</v>
      </c>
      <c r="K1" s="29" t="s">
        <v>76</v>
      </c>
      <c r="L1" s="46" t="str">
        <f>E1</f>
        <v>HDD12</v>
      </c>
      <c r="M1" s="46" t="str">
        <f t="shared" ref="M1:P1" si="0">F1</f>
        <v>CDD16</v>
      </c>
      <c r="N1" s="46" t="str">
        <f t="shared" si="0"/>
        <v>Trend</v>
      </c>
      <c r="O1" s="46" t="str">
        <f t="shared" si="0"/>
        <v>Tor_FTEAdj</v>
      </c>
      <c r="P1" s="46" t="str">
        <f t="shared" si="0"/>
        <v>Shoulder</v>
      </c>
      <c r="Q1" s="44" t="str">
        <f>'Monthly Data'!H1</f>
        <v>GS_lt_50_Customersomers</v>
      </c>
      <c r="R1" s="29" t="str">
        <f>'Monthly Data'!BH1</f>
        <v>Month Days</v>
      </c>
      <c r="S1" s="29" t="s">
        <v>123</v>
      </c>
    </row>
    <row r="2" spans="1:19" x14ac:dyDescent="0.2">
      <c r="A2" s="45">
        <f>'Monthly Data'!A2</f>
        <v>40179</v>
      </c>
      <c r="B2" s="29">
        <f t="shared" ref="B2:B65" si="1">YEAR(A2)</f>
        <v>2010</v>
      </c>
      <c r="C2" s="29">
        <f t="shared" ref="C2:C65" si="2">MONTH(A2)</f>
        <v>1</v>
      </c>
      <c r="D2" s="44">
        <f>'Monthly Data'!J2</f>
        <v>15762767</v>
      </c>
      <c r="E2" s="46">
        <f ca="1">Weather!BL61</f>
        <v>477.14</v>
      </c>
      <c r="F2" s="46">
        <f ca="1">Weather!AK61</f>
        <v>0</v>
      </c>
      <c r="G2" s="29">
        <f>'Monthly Data'!BG2</f>
        <v>1</v>
      </c>
      <c r="H2" s="29">
        <f>'Monthly Data'!X2</f>
        <v>2836.8</v>
      </c>
      <c r="I2" s="44">
        <f>'Monthly Data'!BF2</f>
        <v>0</v>
      </c>
      <c r="K2" s="29">
        <f>'GS&lt;50 PW'!$B$6</f>
        <v>50.759309292559799</v>
      </c>
      <c r="L2" s="29">
        <f ca="1">E2*'GS&lt;50 PW'!$B$7</f>
        <v>14.652770308649437</v>
      </c>
      <c r="M2" s="29">
        <f ca="1">F2*'GS&lt;50 PW'!$B$8</f>
        <v>0</v>
      </c>
      <c r="N2" s="29">
        <f>G2*'GS&lt;50 PW'!$B$9</f>
        <v>-9.6359804914303293E-2</v>
      </c>
      <c r="O2" s="29">
        <f>H2*'GS&lt;50 PW'!$B$10</f>
        <v>36.060638975663302</v>
      </c>
      <c r="P2" s="44">
        <f>I2*'GS&lt;50 PW'!$B$11</f>
        <v>0</v>
      </c>
      <c r="Q2" s="44">
        <f>'Monthly Data'!H2</f>
        <v>4982</v>
      </c>
      <c r="R2" s="29">
        <f>'Monthly Data'!BH2</f>
        <v>31</v>
      </c>
      <c r="S2" s="28">
        <f ca="1">SUM(K2:P2)*Q2*R2</f>
        <v>15656767.601458771</v>
      </c>
    </row>
    <row r="3" spans="1:19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44">
        <f>'Monthly Data'!J3</f>
        <v>14456043</v>
      </c>
      <c r="E3" s="46">
        <f ca="1">Weather!BL62</f>
        <v>417.05</v>
      </c>
      <c r="F3" s="46">
        <f ca="1">Weather!AK62</f>
        <v>0</v>
      </c>
      <c r="G3" s="29">
        <f>'Monthly Data'!BG3</f>
        <v>2</v>
      </c>
      <c r="H3" s="29">
        <f>'Monthly Data'!X3</f>
        <v>2842.3</v>
      </c>
      <c r="I3" s="44">
        <f>'Monthly Data'!BF3</f>
        <v>0</v>
      </c>
      <c r="K3" s="29">
        <f>'GS&lt;50 PW'!$B$6</f>
        <v>50.759309292559799</v>
      </c>
      <c r="L3" s="29">
        <f ca="1">E3*'GS&lt;50 PW'!$B$7</f>
        <v>12.807431481792028</v>
      </c>
      <c r="M3" s="29">
        <f ca="1">F3*'GS&lt;50 PW'!$B$8</f>
        <v>0</v>
      </c>
      <c r="N3" s="29">
        <f>G3*'GS&lt;50 PW'!$B$9</f>
        <v>-0.19271960982860659</v>
      </c>
      <c r="O3" s="29">
        <f>H3*'GS&lt;50 PW'!$B$10</f>
        <v>36.130553497083966</v>
      </c>
      <c r="P3" s="44">
        <f>I3*'GS&lt;50 PW'!$B$11</f>
        <v>0</v>
      </c>
      <c r="Q3" s="44">
        <f>'Monthly Data'!H3</f>
        <v>4991</v>
      </c>
      <c r="R3" s="29">
        <f>'Monthly Data'!BH3</f>
        <v>28</v>
      </c>
      <c r="S3" s="28">
        <f t="shared" ref="S3:S66" ca="1" si="3">SUM(K3:P3)*Q3*R3</f>
        <v>13905565.299810283</v>
      </c>
    </row>
    <row r="4" spans="1:19" x14ac:dyDescent="0.2">
      <c r="A4" s="45">
        <f>'Monthly Data'!A4</f>
        <v>40238</v>
      </c>
      <c r="B4" s="29">
        <f t="shared" si="1"/>
        <v>2010</v>
      </c>
      <c r="C4" s="29">
        <f t="shared" si="2"/>
        <v>3</v>
      </c>
      <c r="D4" s="44">
        <f>'Monthly Data'!J4</f>
        <v>14266604</v>
      </c>
      <c r="E4" s="46">
        <f ca="1">Weather!BL63</f>
        <v>332.70999999999992</v>
      </c>
      <c r="F4" s="46">
        <f ca="1">Weather!AK63</f>
        <v>0</v>
      </c>
      <c r="G4" s="29">
        <f>'Monthly Data'!BG4</f>
        <v>3</v>
      </c>
      <c r="H4" s="29">
        <f>'Monthly Data'!X4</f>
        <v>2849.8</v>
      </c>
      <c r="I4" s="44">
        <f>'Monthly Data'!BF4</f>
        <v>1</v>
      </c>
      <c r="K4" s="29">
        <f>'GS&lt;50 PW'!$B$6</f>
        <v>50.759309292559799</v>
      </c>
      <c r="L4" s="29">
        <f ca="1">E4*'GS&lt;50 PW'!$B$7</f>
        <v>10.217385273485252</v>
      </c>
      <c r="M4" s="29">
        <f ca="1">F4*'GS&lt;50 PW'!$B$8</f>
        <v>0</v>
      </c>
      <c r="N4" s="29">
        <f>G4*'GS&lt;50 PW'!$B$9</f>
        <v>-0.28907941474290988</v>
      </c>
      <c r="O4" s="29">
        <f>H4*'GS&lt;50 PW'!$B$10</f>
        <v>36.225891480839422</v>
      </c>
      <c r="P4" s="44">
        <f>I4*'GS&lt;50 PW'!$B$11</f>
        <v>-1.9723066266223299</v>
      </c>
      <c r="Q4" s="44">
        <f>'Monthly Data'!H4</f>
        <v>4993</v>
      </c>
      <c r="R4" s="29">
        <f>'Monthly Data'!BH4</f>
        <v>31</v>
      </c>
      <c r="S4" s="28">
        <f t="shared" ca="1" si="3"/>
        <v>14695283.760454286</v>
      </c>
    </row>
    <row r="5" spans="1:19" x14ac:dyDescent="0.2">
      <c r="A5" s="45">
        <f>'Monthly Data'!A5</f>
        <v>40269</v>
      </c>
      <c r="B5" s="29">
        <f t="shared" si="1"/>
        <v>2010</v>
      </c>
      <c r="C5" s="29">
        <f t="shared" si="2"/>
        <v>4</v>
      </c>
      <c r="D5" s="44">
        <f>'Monthly Data'!J5</f>
        <v>12709245</v>
      </c>
      <c r="E5" s="46">
        <f ca="1">Weather!BL64</f>
        <v>164.53999999999996</v>
      </c>
      <c r="F5" s="46">
        <f ca="1">Weather!AK64</f>
        <v>0.16999999999999993</v>
      </c>
      <c r="G5" s="29">
        <f>'Monthly Data'!BG5</f>
        <v>4</v>
      </c>
      <c r="H5" s="29">
        <f>'Monthly Data'!X5</f>
        <v>2844.4</v>
      </c>
      <c r="I5" s="44">
        <f>'Monthly Data'!BF5</f>
        <v>1</v>
      </c>
      <c r="K5" s="29">
        <f>'GS&lt;50 PW'!$B$6</f>
        <v>50.759309292559799</v>
      </c>
      <c r="L5" s="29">
        <f ca="1">E5*'GS&lt;50 PW'!$B$7</f>
        <v>5.0529547440691998</v>
      </c>
      <c r="M5" s="29">
        <f ca="1">F5*'GS&lt;50 PW'!$B$8</f>
        <v>1.3395135197872927E-2</v>
      </c>
      <c r="N5" s="29">
        <f>G5*'GS&lt;50 PW'!$B$9</f>
        <v>-0.38543921965721317</v>
      </c>
      <c r="O5" s="29">
        <f>H5*'GS&lt;50 PW'!$B$10</f>
        <v>36.157248132535493</v>
      </c>
      <c r="P5" s="44">
        <f>I5*'GS&lt;50 PW'!$B$11</f>
        <v>-1.9723066266223299</v>
      </c>
      <c r="Q5" s="44">
        <f>'Monthly Data'!H5</f>
        <v>4962</v>
      </c>
      <c r="R5" s="29">
        <f>'Monthly Data'!BH5</f>
        <v>30</v>
      </c>
      <c r="S5" s="28">
        <f t="shared" ca="1" si="3"/>
        <v>13341601.53465021</v>
      </c>
    </row>
    <row r="6" spans="1:19" x14ac:dyDescent="0.2">
      <c r="A6" s="45">
        <f>'Monthly Data'!A6</f>
        <v>40299</v>
      </c>
      <c r="B6" s="29">
        <f t="shared" si="1"/>
        <v>2010</v>
      </c>
      <c r="C6" s="29">
        <f t="shared" si="2"/>
        <v>5</v>
      </c>
      <c r="D6" s="44">
        <f>'Monthly Data'!J6</f>
        <v>13617876</v>
      </c>
      <c r="E6" s="46">
        <f ca="1">Weather!BL65</f>
        <v>35.92</v>
      </c>
      <c r="F6" s="46">
        <f ca="1">Weather!AK65</f>
        <v>30.080000000000002</v>
      </c>
      <c r="G6" s="29">
        <f>'Monthly Data'!BG6</f>
        <v>5</v>
      </c>
      <c r="H6" s="29">
        <f>'Monthly Data'!X6</f>
        <v>2847.5</v>
      </c>
      <c r="I6" s="44">
        <f>'Monthly Data'!BF6</f>
        <v>1</v>
      </c>
      <c r="K6" s="29">
        <f>'GS&lt;50 PW'!$B$6</f>
        <v>50.759309292559799</v>
      </c>
      <c r="L6" s="29">
        <f ca="1">E6*'GS&lt;50 PW'!$B$7</f>
        <v>1.103088212027262</v>
      </c>
      <c r="M6" s="29">
        <f ca="1">F6*'GS&lt;50 PW'!$B$8</f>
        <v>2.3701509808942225</v>
      </c>
      <c r="N6" s="29">
        <f>G6*'GS&lt;50 PW'!$B$9</f>
        <v>-0.48179902457151647</v>
      </c>
      <c r="O6" s="29">
        <f>H6*'GS&lt;50 PW'!$B$10</f>
        <v>36.196654499154413</v>
      </c>
      <c r="P6" s="44">
        <f>I6*'GS&lt;50 PW'!$B$11</f>
        <v>-1.9723066266223299</v>
      </c>
      <c r="Q6" s="44">
        <f>'Monthly Data'!H6</f>
        <v>4969</v>
      </c>
      <c r="R6" s="29">
        <f>'Monthly Data'!BH6</f>
        <v>31</v>
      </c>
      <c r="S6" s="28">
        <f t="shared" ca="1" si="3"/>
        <v>13551596.018146049</v>
      </c>
    </row>
    <row r="7" spans="1:19" x14ac:dyDescent="0.2">
      <c r="A7" s="45">
        <f>'Monthly Data'!A7</f>
        <v>40330</v>
      </c>
      <c r="B7" s="29">
        <f t="shared" si="1"/>
        <v>2010</v>
      </c>
      <c r="C7" s="29">
        <f t="shared" si="2"/>
        <v>6</v>
      </c>
      <c r="D7" s="44">
        <f>'Monthly Data'!J7</f>
        <v>14352297</v>
      </c>
      <c r="E7" s="46">
        <f ca="1">Weather!BL66</f>
        <v>0.37999999999999989</v>
      </c>
      <c r="F7" s="46">
        <f ca="1">Weather!AK66</f>
        <v>94.58</v>
      </c>
      <c r="G7" s="29">
        <f>'Monthly Data'!BG7</f>
        <v>6</v>
      </c>
      <c r="H7" s="29">
        <f>'Monthly Data'!X7</f>
        <v>2859.9</v>
      </c>
      <c r="I7" s="44">
        <f>'Monthly Data'!BF7</f>
        <v>0</v>
      </c>
      <c r="K7" s="29">
        <f>'GS&lt;50 PW'!$B$6</f>
        <v>50.759309292559799</v>
      </c>
      <c r="L7" s="29">
        <f ca="1">E7*'GS&lt;50 PW'!$B$7</f>
        <v>1.1669641441268358E-2</v>
      </c>
      <c r="M7" s="29">
        <f ca="1">F7*'GS&lt;50 PW'!$B$8</f>
        <v>7.4524228647930704</v>
      </c>
      <c r="N7" s="29">
        <f>G7*'GS&lt;50 PW'!$B$9</f>
        <v>-0.57815882948581976</v>
      </c>
      <c r="O7" s="29">
        <f>H7*'GS&lt;50 PW'!$B$10</f>
        <v>36.354279965630099</v>
      </c>
      <c r="P7" s="44">
        <f>I7*'GS&lt;50 PW'!$B$11</f>
        <v>0</v>
      </c>
      <c r="Q7" s="44">
        <f>'Monthly Data'!H7</f>
        <v>4976</v>
      </c>
      <c r="R7" s="29">
        <f>'Monthly Data'!BH7</f>
        <v>30</v>
      </c>
      <c r="S7" s="28">
        <f t="shared" ca="1" si="3"/>
        <v>14032248.783727607</v>
      </c>
    </row>
    <row r="8" spans="1:19" x14ac:dyDescent="0.2">
      <c r="A8" s="45">
        <f>'Monthly Data'!A8</f>
        <v>40360</v>
      </c>
      <c r="B8" s="29">
        <f t="shared" si="1"/>
        <v>2010</v>
      </c>
      <c r="C8" s="29">
        <f t="shared" si="2"/>
        <v>7</v>
      </c>
      <c r="D8" s="44">
        <f>'Monthly Data'!J8</f>
        <v>16022256</v>
      </c>
      <c r="E8" s="46">
        <f ca="1">Weather!BL67</f>
        <v>0</v>
      </c>
      <c r="F8" s="46">
        <f ca="1">Weather!AK67</f>
        <v>206.28000000000003</v>
      </c>
      <c r="G8" s="29">
        <f>'Monthly Data'!BG8</f>
        <v>7</v>
      </c>
      <c r="H8" s="29">
        <f>'Monthly Data'!X8</f>
        <v>2878.7</v>
      </c>
      <c r="I8" s="44">
        <f>'Monthly Data'!BF8</f>
        <v>0</v>
      </c>
      <c r="K8" s="29">
        <f>'GS&lt;50 PW'!$B$6</f>
        <v>50.759309292559799</v>
      </c>
      <c r="L8" s="29">
        <f ca="1">E8*'GS&lt;50 PW'!$B$7</f>
        <v>0</v>
      </c>
      <c r="M8" s="29">
        <f ca="1">F8*'GS&lt;50 PW'!$B$8</f>
        <v>16.253814638924876</v>
      </c>
      <c r="N8" s="29">
        <f>G8*'GS&lt;50 PW'!$B$9</f>
        <v>-0.67451863440012305</v>
      </c>
      <c r="O8" s="29">
        <f>H8*'GS&lt;50 PW'!$B$10</f>
        <v>36.593260511577107</v>
      </c>
      <c r="P8" s="44">
        <f>I8*'GS&lt;50 PW'!$B$11</f>
        <v>0</v>
      </c>
      <c r="Q8" s="44">
        <f>'Monthly Data'!H8</f>
        <v>4982</v>
      </c>
      <c r="R8" s="29">
        <f>'Monthly Data'!BH8</f>
        <v>31</v>
      </c>
      <c r="S8" s="28">
        <f t="shared" ca="1" si="3"/>
        <v>15897003.219221324</v>
      </c>
    </row>
    <row r="9" spans="1:19" x14ac:dyDescent="0.2">
      <c r="A9" s="45">
        <f>'Monthly Data'!A9</f>
        <v>40391</v>
      </c>
      <c r="B9" s="29">
        <f t="shared" si="1"/>
        <v>2010</v>
      </c>
      <c r="C9" s="29">
        <f t="shared" si="2"/>
        <v>8</v>
      </c>
      <c r="D9" s="44">
        <f>'Monthly Data'!J9</f>
        <v>15750964</v>
      </c>
      <c r="E9" s="46">
        <f ca="1">Weather!BL68</f>
        <v>0</v>
      </c>
      <c r="F9" s="46">
        <f ca="1">Weather!AK68</f>
        <v>177.64000000000001</v>
      </c>
      <c r="G9" s="29">
        <f>'Monthly Data'!BG9</f>
        <v>8</v>
      </c>
      <c r="H9" s="29">
        <f>'Monthly Data'!X9</f>
        <v>2895.3</v>
      </c>
      <c r="I9" s="44">
        <f>'Monthly Data'!BF9</f>
        <v>0</v>
      </c>
      <c r="K9" s="29">
        <f>'GS&lt;50 PW'!$B$6</f>
        <v>50.759309292559799</v>
      </c>
      <c r="L9" s="29">
        <f ca="1">E9*'GS&lt;50 PW'!$B$7</f>
        <v>0</v>
      </c>
      <c r="M9" s="29">
        <f ca="1">F9*'GS&lt;50 PW'!$B$8</f>
        <v>13.997128332647929</v>
      </c>
      <c r="N9" s="29">
        <f>G9*'GS&lt;50 PW'!$B$9</f>
        <v>-0.77087843931442634</v>
      </c>
      <c r="O9" s="29">
        <f>H9*'GS&lt;50 PW'!$B$10</f>
        <v>36.804275248955854</v>
      </c>
      <c r="P9" s="44">
        <f>I9*'GS&lt;50 PW'!$B$11</f>
        <v>0</v>
      </c>
      <c r="Q9" s="44">
        <f>'Monthly Data'!H9</f>
        <v>4983</v>
      </c>
      <c r="R9" s="29">
        <f>'Monthly Data'!BH9</f>
        <v>31</v>
      </c>
      <c r="S9" s="28">
        <f t="shared" ca="1" si="3"/>
        <v>15569308.094654454</v>
      </c>
    </row>
    <row r="10" spans="1:19" x14ac:dyDescent="0.2">
      <c r="A10" s="45">
        <f>'Monthly Data'!A10</f>
        <v>40422</v>
      </c>
      <c r="B10" s="29">
        <f t="shared" si="1"/>
        <v>2010</v>
      </c>
      <c r="C10" s="29">
        <f t="shared" si="2"/>
        <v>9</v>
      </c>
      <c r="D10" s="44">
        <f>'Monthly Data'!J10</f>
        <v>13403453</v>
      </c>
      <c r="E10" s="46">
        <f ca="1">Weather!BL69</f>
        <v>0.49000000000000005</v>
      </c>
      <c r="F10" s="46">
        <f ca="1">Weather!AK69</f>
        <v>85.65</v>
      </c>
      <c r="G10" s="29">
        <f>'Monthly Data'!BG10</f>
        <v>9</v>
      </c>
      <c r="H10" s="29">
        <f>'Monthly Data'!X10</f>
        <v>2891.8</v>
      </c>
      <c r="I10" s="44">
        <f>'Monthly Data'!BF10</f>
        <v>1</v>
      </c>
      <c r="K10" s="29">
        <f>'GS&lt;50 PW'!$B$6</f>
        <v>50.759309292559799</v>
      </c>
      <c r="L10" s="29">
        <f ca="1">E10*'GS&lt;50 PW'!$B$7</f>
        <v>1.5047695542688151E-2</v>
      </c>
      <c r="M10" s="29">
        <f ca="1">F10*'GS&lt;50 PW'!$B$8</f>
        <v>6.7487842923400985</v>
      </c>
      <c r="N10" s="29">
        <f>G10*'GS&lt;50 PW'!$B$9</f>
        <v>-0.86723824422872964</v>
      </c>
      <c r="O10" s="29">
        <f>H10*'GS&lt;50 PW'!$B$10</f>
        <v>36.759784189869968</v>
      </c>
      <c r="P10" s="44">
        <f>I10*'GS&lt;50 PW'!$B$11</f>
        <v>-1.9723066266223299</v>
      </c>
      <c r="Q10" s="44">
        <f>'Monthly Data'!H10</f>
        <v>4981</v>
      </c>
      <c r="R10" s="29">
        <f>'Monthly Data'!BH10</f>
        <v>30</v>
      </c>
      <c r="S10" s="28">
        <f t="shared" ca="1" si="3"/>
        <v>13664384.362977533</v>
      </c>
    </row>
    <row r="11" spans="1:19" x14ac:dyDescent="0.2">
      <c r="A11" s="45">
        <f>'Monthly Data'!A11</f>
        <v>40452</v>
      </c>
      <c r="B11" s="29">
        <f t="shared" si="1"/>
        <v>2010</v>
      </c>
      <c r="C11" s="29">
        <f t="shared" si="2"/>
        <v>10</v>
      </c>
      <c r="D11" s="44">
        <f>'Monthly Data'!J11</f>
        <v>13142565</v>
      </c>
      <c r="E11" s="46">
        <f ca="1">Weather!BL70</f>
        <v>53.33000000000002</v>
      </c>
      <c r="F11" s="46">
        <f ca="1">Weather!AK70</f>
        <v>12.219999999999999</v>
      </c>
      <c r="G11" s="29">
        <f>'Monthly Data'!BG11</f>
        <v>10</v>
      </c>
      <c r="H11" s="29">
        <f>'Monthly Data'!X11</f>
        <v>2893.7</v>
      </c>
      <c r="I11" s="44">
        <f>'Monthly Data'!BF11</f>
        <v>1</v>
      </c>
      <c r="K11" s="29">
        <f>'GS&lt;50 PW'!$B$6</f>
        <v>50.759309292559799</v>
      </c>
      <c r="L11" s="29">
        <f ca="1">E11*'GS&lt;50 PW'!$B$7</f>
        <v>1.6377420475337947</v>
      </c>
      <c r="M11" s="29">
        <f ca="1">F11*'GS&lt;50 PW'!$B$8</f>
        <v>0.96287383598827769</v>
      </c>
      <c r="N11" s="29">
        <f>G11*'GS&lt;50 PW'!$B$9</f>
        <v>-0.96359804914303293</v>
      </c>
      <c r="O11" s="29">
        <f>H11*'GS&lt;50 PW'!$B$10</f>
        <v>36.783936479088013</v>
      </c>
      <c r="P11" s="44">
        <f>I11*'GS&lt;50 PW'!$B$11</f>
        <v>-1.9723066266223299</v>
      </c>
      <c r="Q11" s="44">
        <f>'Monthly Data'!H11</f>
        <v>4981</v>
      </c>
      <c r="R11" s="29">
        <f>'Monthly Data'!BH11</f>
        <v>31</v>
      </c>
      <c r="S11" s="28">
        <f t="shared" ca="1" si="3"/>
        <v>13465867.845146829</v>
      </c>
    </row>
    <row r="12" spans="1:19" x14ac:dyDescent="0.2">
      <c r="A12" s="45">
        <f>'Monthly Data'!A12</f>
        <v>40483</v>
      </c>
      <c r="B12" s="29">
        <f t="shared" si="1"/>
        <v>2010</v>
      </c>
      <c r="C12" s="29">
        <f t="shared" si="2"/>
        <v>11</v>
      </c>
      <c r="D12" s="44">
        <f>'Monthly Data'!J12</f>
        <v>13574075</v>
      </c>
      <c r="E12" s="46">
        <f ca="1">Weather!BL71</f>
        <v>207.66000000000003</v>
      </c>
      <c r="F12" s="46">
        <f ca="1">Weather!AK71</f>
        <v>1.0000000000000142E-2</v>
      </c>
      <c r="G12" s="29">
        <f>'Monthly Data'!BG12</f>
        <v>11</v>
      </c>
      <c r="H12" s="29">
        <f>'Monthly Data'!X12</f>
        <v>2893.6</v>
      </c>
      <c r="I12" s="44">
        <f>'Monthly Data'!BF12</f>
        <v>1</v>
      </c>
      <c r="K12" s="29">
        <f>'GS&lt;50 PW'!$B$6</f>
        <v>50.759309292559799</v>
      </c>
      <c r="L12" s="29">
        <f ca="1">E12*'GS&lt;50 PW'!$B$7</f>
        <v>6.3771519518257582</v>
      </c>
      <c r="M12" s="29">
        <f ca="1">F12*'GS&lt;50 PW'!$B$8</f>
        <v>7.8794912928665433E-4</v>
      </c>
      <c r="N12" s="29">
        <f>G12*'GS&lt;50 PW'!$B$9</f>
        <v>-1.0599578540573362</v>
      </c>
      <c r="O12" s="29">
        <f>H12*'GS&lt;50 PW'!$B$10</f>
        <v>36.782665305971278</v>
      </c>
      <c r="P12" s="44">
        <f>I12*'GS&lt;50 PW'!$B$11</f>
        <v>-1.9723066266223299</v>
      </c>
      <c r="Q12" s="44">
        <f>'Monthly Data'!H12</f>
        <v>5023</v>
      </c>
      <c r="R12" s="29">
        <f>'Monthly Data'!BH12</f>
        <v>30</v>
      </c>
      <c r="S12" s="28">
        <f t="shared" ca="1" si="3"/>
        <v>13695859.981333945</v>
      </c>
    </row>
    <row r="13" spans="1:19" x14ac:dyDescent="0.2">
      <c r="A13" s="45">
        <f>'Monthly Data'!A13</f>
        <v>40513</v>
      </c>
      <c r="B13" s="29">
        <f t="shared" si="1"/>
        <v>2010</v>
      </c>
      <c r="C13" s="29">
        <f t="shared" si="2"/>
        <v>12</v>
      </c>
      <c r="D13" s="44">
        <f>'Monthly Data'!J13</f>
        <v>15142180</v>
      </c>
      <c r="E13" s="46">
        <f ca="1">Weather!BL72</f>
        <v>351.65000000000003</v>
      </c>
      <c r="F13" s="46">
        <f ca="1">Weather!AK72</f>
        <v>0</v>
      </c>
      <c r="G13" s="29">
        <f>'Monthly Data'!BG13</f>
        <v>12</v>
      </c>
      <c r="H13" s="29">
        <f>'Monthly Data'!X13</f>
        <v>2918.5</v>
      </c>
      <c r="I13" s="44">
        <f>'Monthly Data'!BF13</f>
        <v>0</v>
      </c>
      <c r="K13" s="29">
        <f>'GS&lt;50 PW'!$B$6</f>
        <v>50.759309292559799</v>
      </c>
      <c r="L13" s="29">
        <f ca="1">E13*'GS&lt;50 PW'!$B$7</f>
        <v>10.799024770584262</v>
      </c>
      <c r="M13" s="29">
        <f ca="1">F13*'GS&lt;50 PW'!$B$8</f>
        <v>0</v>
      </c>
      <c r="N13" s="29">
        <f>G13*'GS&lt;50 PW'!$B$9</f>
        <v>-1.1563176589716395</v>
      </c>
      <c r="O13" s="29">
        <f>H13*'GS&lt;50 PW'!$B$10</f>
        <v>37.099187412039392</v>
      </c>
      <c r="P13" s="44">
        <f>I13*'GS&lt;50 PW'!$B$11</f>
        <v>0</v>
      </c>
      <c r="Q13" s="44">
        <f>'Monthly Data'!H13</f>
        <v>5036</v>
      </c>
      <c r="R13" s="29">
        <f>'Monthly Data'!BH13</f>
        <v>31</v>
      </c>
      <c r="S13" s="28">
        <f t="shared" ca="1" si="3"/>
        <v>15221497.934971724</v>
      </c>
    </row>
    <row r="14" spans="1:19" x14ac:dyDescent="0.2">
      <c r="A14" s="45">
        <f>'Monthly Data'!A14</f>
        <v>40544</v>
      </c>
      <c r="B14" s="29">
        <f t="shared" si="1"/>
        <v>2011</v>
      </c>
      <c r="C14" s="29">
        <f t="shared" si="2"/>
        <v>1</v>
      </c>
      <c r="D14" s="44">
        <f>'Monthly Data'!J14</f>
        <v>15995127.334936943</v>
      </c>
      <c r="E14" s="46">
        <f t="shared" ref="E14:F29" ca="1" si="4">E2</f>
        <v>477.14</v>
      </c>
      <c r="F14" s="46">
        <f t="shared" ca="1" si="4"/>
        <v>0</v>
      </c>
      <c r="G14" s="29">
        <f>'Monthly Data'!BG14</f>
        <v>13</v>
      </c>
      <c r="H14" s="29">
        <f>'Monthly Data'!X14</f>
        <v>2938.5</v>
      </c>
      <c r="I14" s="44">
        <f>'Monthly Data'!BF14</f>
        <v>0</v>
      </c>
      <c r="K14" s="29">
        <f>'GS&lt;50 PW'!$B$6</f>
        <v>50.759309292559799</v>
      </c>
      <c r="L14" s="29">
        <f ca="1">E14*'GS&lt;50 PW'!$B$7</f>
        <v>14.652770308649437</v>
      </c>
      <c r="M14" s="29">
        <f ca="1">F14*'GS&lt;50 PW'!$B$8</f>
        <v>0</v>
      </c>
      <c r="N14" s="29">
        <f>G14*'GS&lt;50 PW'!$B$9</f>
        <v>-1.2526774638859428</v>
      </c>
      <c r="O14" s="29">
        <f>H14*'GS&lt;50 PW'!$B$10</f>
        <v>37.353422035387268</v>
      </c>
      <c r="P14" s="44">
        <f>I14*'GS&lt;50 PW'!$B$11</f>
        <v>0</v>
      </c>
      <c r="Q14" s="44">
        <f>'Monthly Data'!H14</f>
        <v>5045</v>
      </c>
      <c r="R14" s="29">
        <f>'Monthly Data'!BH14</f>
        <v>31</v>
      </c>
      <c r="S14" s="28">
        <f t="shared" ca="1" si="3"/>
        <v>15876098.136491068</v>
      </c>
    </row>
    <row r="15" spans="1:19" x14ac:dyDescent="0.2">
      <c r="A15" s="45">
        <f>'Monthly Data'!A15</f>
        <v>40575</v>
      </c>
      <c r="B15" s="29">
        <f t="shared" si="1"/>
        <v>2011</v>
      </c>
      <c r="C15" s="29">
        <f t="shared" si="2"/>
        <v>2</v>
      </c>
      <c r="D15" s="44">
        <f>'Monthly Data'!J15</f>
        <v>14555084.334936943</v>
      </c>
      <c r="E15" s="46">
        <f t="shared" ca="1" si="4"/>
        <v>417.05</v>
      </c>
      <c r="F15" s="46">
        <f t="shared" ca="1" si="4"/>
        <v>0</v>
      </c>
      <c r="G15" s="29">
        <f>'Monthly Data'!BG15</f>
        <v>14</v>
      </c>
      <c r="H15" s="29">
        <f>'Monthly Data'!X15</f>
        <v>2947.4</v>
      </c>
      <c r="I15" s="44">
        <f>'Monthly Data'!BF15</f>
        <v>0</v>
      </c>
      <c r="K15" s="29">
        <f>'GS&lt;50 PW'!$B$6</f>
        <v>50.759309292559799</v>
      </c>
      <c r="L15" s="29">
        <f ca="1">E15*'GS&lt;50 PW'!$B$7</f>
        <v>12.807431481792028</v>
      </c>
      <c r="M15" s="29">
        <f ca="1">F15*'GS&lt;50 PW'!$B$8</f>
        <v>0</v>
      </c>
      <c r="N15" s="29">
        <f>G15*'GS&lt;50 PW'!$B$9</f>
        <v>-1.3490372688002461</v>
      </c>
      <c r="O15" s="29">
        <f>H15*'GS&lt;50 PW'!$B$10</f>
        <v>37.466556442777076</v>
      </c>
      <c r="P15" s="44">
        <f>I15*'GS&lt;50 PW'!$B$11</f>
        <v>0</v>
      </c>
      <c r="Q15" s="44">
        <f>'Monthly Data'!H15</f>
        <v>5089</v>
      </c>
      <c r="R15" s="29">
        <f>'Monthly Data'!BH15</f>
        <v>28</v>
      </c>
      <c r="S15" s="28">
        <f t="shared" ca="1" si="3"/>
        <v>14204209.568557248</v>
      </c>
    </row>
    <row r="16" spans="1:19" x14ac:dyDescent="0.2">
      <c r="A16" s="45">
        <f>'Monthly Data'!A16</f>
        <v>40603</v>
      </c>
      <c r="B16" s="29">
        <f t="shared" si="1"/>
        <v>2011</v>
      </c>
      <c r="C16" s="29">
        <f t="shared" si="2"/>
        <v>3</v>
      </c>
      <c r="D16" s="44">
        <f>'Monthly Data'!J16</f>
        <v>15164745.334936943</v>
      </c>
      <c r="E16" s="46">
        <f t="shared" ca="1" si="4"/>
        <v>332.70999999999992</v>
      </c>
      <c r="F16" s="46">
        <f t="shared" ca="1" si="4"/>
        <v>0</v>
      </c>
      <c r="G16" s="29">
        <f>'Monthly Data'!BG16</f>
        <v>15</v>
      </c>
      <c r="H16" s="29">
        <f>'Monthly Data'!X16</f>
        <v>2938.7</v>
      </c>
      <c r="I16" s="44">
        <f>'Monthly Data'!BF16</f>
        <v>1</v>
      </c>
      <c r="K16" s="29">
        <f>'GS&lt;50 PW'!$B$6</f>
        <v>50.759309292559799</v>
      </c>
      <c r="L16" s="29">
        <f ca="1">E16*'GS&lt;50 PW'!$B$7</f>
        <v>10.217385273485252</v>
      </c>
      <c r="M16" s="29">
        <f ca="1">F16*'GS&lt;50 PW'!$B$8</f>
        <v>0</v>
      </c>
      <c r="N16" s="29">
        <f>G16*'GS&lt;50 PW'!$B$9</f>
        <v>-1.4453970737145494</v>
      </c>
      <c r="O16" s="29">
        <f>H16*'GS&lt;50 PW'!$B$10</f>
        <v>37.355964381620744</v>
      </c>
      <c r="P16" s="44">
        <f>I16*'GS&lt;50 PW'!$B$11</f>
        <v>-1.9723066266223299</v>
      </c>
      <c r="Q16" s="44">
        <f>'Monthly Data'!H16</f>
        <v>5088</v>
      </c>
      <c r="R16" s="29">
        <f>'Monthly Data'!BH16</f>
        <v>31</v>
      </c>
      <c r="S16" s="28">
        <f t="shared" ca="1" si="3"/>
        <v>14970746.061250696</v>
      </c>
    </row>
    <row r="17" spans="1:19" x14ac:dyDescent="0.2">
      <c r="A17" s="45">
        <f>'Monthly Data'!A17</f>
        <v>40634</v>
      </c>
      <c r="B17" s="29">
        <f t="shared" si="1"/>
        <v>2011</v>
      </c>
      <c r="C17" s="29">
        <f t="shared" si="2"/>
        <v>4</v>
      </c>
      <c r="D17" s="44">
        <f>'Monthly Data'!J17</f>
        <v>13518631.334936943</v>
      </c>
      <c r="E17" s="46">
        <f t="shared" ca="1" si="4"/>
        <v>164.53999999999996</v>
      </c>
      <c r="F17" s="46">
        <f t="shared" ca="1" si="4"/>
        <v>0.16999999999999993</v>
      </c>
      <c r="G17" s="29">
        <f>'Monthly Data'!BG17</f>
        <v>16</v>
      </c>
      <c r="H17" s="29">
        <f>'Monthly Data'!X17</f>
        <v>2929.9</v>
      </c>
      <c r="I17" s="44">
        <f>'Monthly Data'!BF17</f>
        <v>1</v>
      </c>
      <c r="K17" s="29">
        <f>'GS&lt;50 PW'!$B$6</f>
        <v>50.759309292559799</v>
      </c>
      <c r="L17" s="29">
        <f ca="1">E17*'GS&lt;50 PW'!$B$7</f>
        <v>5.0529547440691998</v>
      </c>
      <c r="M17" s="29">
        <f ca="1">F17*'GS&lt;50 PW'!$B$8</f>
        <v>1.3395135197872927E-2</v>
      </c>
      <c r="N17" s="29">
        <f>G17*'GS&lt;50 PW'!$B$9</f>
        <v>-1.5417568786288527</v>
      </c>
      <c r="O17" s="29">
        <f>H17*'GS&lt;50 PW'!$B$10</f>
        <v>37.244101147347685</v>
      </c>
      <c r="P17" s="44">
        <f>I17*'GS&lt;50 PW'!$B$11</f>
        <v>-1.9723066266223299</v>
      </c>
      <c r="Q17" s="44">
        <f>'Monthly Data'!H17</f>
        <v>5085</v>
      </c>
      <c r="R17" s="29">
        <f>'Monthly Data'!BH17</f>
        <v>30</v>
      </c>
      <c r="S17" s="28">
        <f t="shared" ca="1" si="3"/>
        <v>13661721.548964011</v>
      </c>
    </row>
    <row r="18" spans="1:19" x14ac:dyDescent="0.2">
      <c r="A18" s="45">
        <f>'Monthly Data'!A18</f>
        <v>40664</v>
      </c>
      <c r="B18" s="29">
        <f t="shared" si="1"/>
        <v>2011</v>
      </c>
      <c r="C18" s="29">
        <f t="shared" si="2"/>
        <v>5</v>
      </c>
      <c r="D18" s="44">
        <f>'Monthly Data'!J18</f>
        <v>13626861.334936943</v>
      </c>
      <c r="E18" s="46">
        <f t="shared" ca="1" si="4"/>
        <v>35.92</v>
      </c>
      <c r="F18" s="46">
        <f t="shared" ca="1" si="4"/>
        <v>30.080000000000002</v>
      </c>
      <c r="G18" s="29">
        <f>'Monthly Data'!BG18</f>
        <v>17</v>
      </c>
      <c r="H18" s="29">
        <f>'Monthly Data'!X18</f>
        <v>2930.2</v>
      </c>
      <c r="I18" s="44">
        <f>'Monthly Data'!BF18</f>
        <v>1</v>
      </c>
      <c r="K18" s="29">
        <f>'GS&lt;50 PW'!$B$6</f>
        <v>50.759309292559799</v>
      </c>
      <c r="L18" s="29">
        <f ca="1">E18*'GS&lt;50 PW'!$B$7</f>
        <v>1.103088212027262</v>
      </c>
      <c r="M18" s="29">
        <f ca="1">F18*'GS&lt;50 PW'!$B$8</f>
        <v>2.3701509808942225</v>
      </c>
      <c r="N18" s="29">
        <f>G18*'GS&lt;50 PW'!$B$9</f>
        <v>-1.638116683543156</v>
      </c>
      <c r="O18" s="29">
        <f>H18*'GS&lt;50 PW'!$B$10</f>
        <v>37.247914666697895</v>
      </c>
      <c r="P18" s="44">
        <f>I18*'GS&lt;50 PW'!$B$11</f>
        <v>-1.9723066266223299</v>
      </c>
      <c r="Q18" s="44">
        <f>'Monthly Data'!H18</f>
        <v>5078</v>
      </c>
      <c r="R18" s="29">
        <f>'Monthly Data'!BH18</f>
        <v>31</v>
      </c>
      <c r="S18" s="28">
        <f t="shared" ca="1" si="3"/>
        <v>13832325.931850111</v>
      </c>
    </row>
    <row r="19" spans="1:19" x14ac:dyDescent="0.2">
      <c r="A19" s="45">
        <f>'Monthly Data'!A19</f>
        <v>40695</v>
      </c>
      <c r="B19" s="29">
        <f t="shared" si="1"/>
        <v>2011</v>
      </c>
      <c r="C19" s="29">
        <f t="shared" si="2"/>
        <v>6</v>
      </c>
      <c r="D19" s="44">
        <f>'Monthly Data'!J19</f>
        <v>14487788.334936943</v>
      </c>
      <c r="E19" s="46">
        <f t="shared" ca="1" si="4"/>
        <v>0.37999999999999989</v>
      </c>
      <c r="F19" s="46">
        <f t="shared" ca="1" si="4"/>
        <v>94.58</v>
      </c>
      <c r="G19" s="29">
        <f>'Monthly Data'!BG19</f>
        <v>18</v>
      </c>
      <c r="H19" s="29">
        <f>'Monthly Data'!X19</f>
        <v>2934.9</v>
      </c>
      <c r="I19" s="44">
        <f>'Monthly Data'!BF19</f>
        <v>0</v>
      </c>
      <c r="K19" s="29">
        <f>'GS&lt;50 PW'!$B$6</f>
        <v>50.759309292559799</v>
      </c>
      <c r="L19" s="29">
        <f ca="1">E19*'GS&lt;50 PW'!$B$7</f>
        <v>1.1669641441268358E-2</v>
      </c>
      <c r="M19" s="29">
        <f ca="1">F19*'GS&lt;50 PW'!$B$8</f>
        <v>7.4524228647930704</v>
      </c>
      <c r="N19" s="29">
        <f>G19*'GS&lt;50 PW'!$B$9</f>
        <v>-1.7344764884574593</v>
      </c>
      <c r="O19" s="29">
        <f>H19*'GS&lt;50 PW'!$B$10</f>
        <v>37.307659803184649</v>
      </c>
      <c r="P19" s="44">
        <f>I19*'GS&lt;50 PW'!$B$11</f>
        <v>0</v>
      </c>
      <c r="Q19" s="44">
        <f>'Monthly Data'!H19</f>
        <v>5082</v>
      </c>
      <c r="R19" s="29">
        <f>'Monthly Data'!BH19</f>
        <v>30</v>
      </c>
      <c r="S19" s="28">
        <f t="shared" ca="1" si="3"/>
        <v>14300227.366407461</v>
      </c>
    </row>
    <row r="20" spans="1:19" x14ac:dyDescent="0.2">
      <c r="A20" s="45">
        <f>'Monthly Data'!A20</f>
        <v>40725</v>
      </c>
      <c r="B20" s="29">
        <f t="shared" si="1"/>
        <v>2011</v>
      </c>
      <c r="C20" s="29">
        <f t="shared" si="2"/>
        <v>7</v>
      </c>
      <c r="D20" s="44">
        <f>'Monthly Data'!J20</f>
        <v>16609782.334936943</v>
      </c>
      <c r="E20" s="46">
        <f t="shared" ca="1" si="4"/>
        <v>0</v>
      </c>
      <c r="F20" s="46">
        <f t="shared" ca="1" si="4"/>
        <v>206.28000000000003</v>
      </c>
      <c r="G20" s="29">
        <f>'Monthly Data'!BG20</f>
        <v>19</v>
      </c>
      <c r="H20" s="29">
        <f>'Monthly Data'!X20</f>
        <v>2928.1</v>
      </c>
      <c r="I20" s="44">
        <f>'Monthly Data'!BF20</f>
        <v>0</v>
      </c>
      <c r="K20" s="29">
        <f>'GS&lt;50 PW'!$B$6</f>
        <v>50.759309292559799</v>
      </c>
      <c r="L20" s="29">
        <f ca="1">E20*'GS&lt;50 PW'!$B$7</f>
        <v>0</v>
      </c>
      <c r="M20" s="29">
        <f ca="1">F20*'GS&lt;50 PW'!$B$8</f>
        <v>16.253814638924876</v>
      </c>
      <c r="N20" s="29">
        <f>G20*'GS&lt;50 PW'!$B$9</f>
        <v>-1.8308362933717626</v>
      </c>
      <c r="O20" s="29">
        <f>H20*'GS&lt;50 PW'!$B$10</f>
        <v>37.221220031246368</v>
      </c>
      <c r="P20" s="44">
        <f>I20*'GS&lt;50 PW'!$B$11</f>
        <v>0</v>
      </c>
      <c r="Q20" s="44">
        <f>'Monthly Data'!H20</f>
        <v>5096</v>
      </c>
      <c r="R20" s="29">
        <f>'Monthly Data'!BH20</f>
        <v>31</v>
      </c>
      <c r="S20" s="28">
        <f t="shared" ca="1" si="3"/>
        <v>16177296.527574699</v>
      </c>
    </row>
    <row r="21" spans="1:19" x14ac:dyDescent="0.2">
      <c r="A21" s="45">
        <f>'Monthly Data'!A21</f>
        <v>40756</v>
      </c>
      <c r="B21" s="29">
        <f t="shared" si="1"/>
        <v>2011</v>
      </c>
      <c r="C21" s="29">
        <f t="shared" si="2"/>
        <v>8</v>
      </c>
      <c r="D21" s="44">
        <f>'Monthly Data'!J21</f>
        <v>15863299.334936943</v>
      </c>
      <c r="E21" s="46">
        <f t="shared" ca="1" si="4"/>
        <v>0</v>
      </c>
      <c r="F21" s="46">
        <f t="shared" ca="1" si="4"/>
        <v>177.64000000000001</v>
      </c>
      <c r="G21" s="29">
        <f>'Monthly Data'!BG21</f>
        <v>20</v>
      </c>
      <c r="H21" s="29">
        <f>'Monthly Data'!X21</f>
        <v>2922.7</v>
      </c>
      <c r="I21" s="44">
        <f>'Monthly Data'!BF21</f>
        <v>0</v>
      </c>
      <c r="K21" s="29">
        <f>'GS&lt;50 PW'!$B$6</f>
        <v>50.759309292559799</v>
      </c>
      <c r="L21" s="29">
        <f ca="1">E21*'GS&lt;50 PW'!$B$7</f>
        <v>0</v>
      </c>
      <c r="M21" s="29">
        <f ca="1">F21*'GS&lt;50 PW'!$B$8</f>
        <v>13.997128332647929</v>
      </c>
      <c r="N21" s="29">
        <f>G21*'GS&lt;50 PW'!$B$9</f>
        <v>-1.9271960982860659</v>
      </c>
      <c r="O21" s="29">
        <f>H21*'GS&lt;50 PW'!$B$10</f>
        <v>37.152576682942438</v>
      </c>
      <c r="P21" s="44">
        <f>I21*'GS&lt;50 PW'!$B$11</f>
        <v>0</v>
      </c>
      <c r="Q21" s="44">
        <f>'Monthly Data'!H21</f>
        <v>5089</v>
      </c>
      <c r="R21" s="29">
        <f>'Monthly Data'!BH21</f>
        <v>31</v>
      </c>
      <c r="S21" s="28">
        <f t="shared" ca="1" si="3"/>
        <v>15773031.65896995</v>
      </c>
    </row>
    <row r="22" spans="1:19" x14ac:dyDescent="0.2">
      <c r="A22" s="45">
        <f>'Monthly Data'!A22</f>
        <v>40787</v>
      </c>
      <c r="B22" s="29">
        <f t="shared" si="1"/>
        <v>2011</v>
      </c>
      <c r="C22" s="29">
        <f t="shared" si="2"/>
        <v>9</v>
      </c>
      <c r="D22" s="44">
        <f>'Monthly Data'!J22</f>
        <v>13532144.334936943</v>
      </c>
      <c r="E22" s="46">
        <f t="shared" ca="1" si="4"/>
        <v>0.49000000000000005</v>
      </c>
      <c r="F22" s="46">
        <f t="shared" ca="1" si="4"/>
        <v>85.65</v>
      </c>
      <c r="G22" s="29">
        <f>'Monthly Data'!BG22</f>
        <v>21</v>
      </c>
      <c r="H22" s="29">
        <f>'Monthly Data'!X22</f>
        <v>2918.3</v>
      </c>
      <c r="I22" s="44">
        <f>'Monthly Data'!BF22</f>
        <v>1</v>
      </c>
      <c r="K22" s="29">
        <f>'GS&lt;50 PW'!$B$6</f>
        <v>50.759309292559799</v>
      </c>
      <c r="L22" s="29">
        <f ca="1">E22*'GS&lt;50 PW'!$B$7</f>
        <v>1.5047695542688151E-2</v>
      </c>
      <c r="M22" s="29">
        <f ca="1">F22*'GS&lt;50 PW'!$B$8</f>
        <v>6.7487842923400985</v>
      </c>
      <c r="N22" s="29">
        <f>G22*'GS&lt;50 PW'!$B$9</f>
        <v>-2.0235559032003692</v>
      </c>
      <c r="O22" s="29">
        <f>H22*'GS&lt;50 PW'!$B$10</f>
        <v>37.096645065805916</v>
      </c>
      <c r="P22" s="44">
        <f>I22*'GS&lt;50 PW'!$B$11</f>
        <v>-1.9723066266223299</v>
      </c>
      <c r="Q22" s="44">
        <f>'Monthly Data'!H22</f>
        <v>5088</v>
      </c>
      <c r="R22" s="29">
        <f>'Monthly Data'!BH22</f>
        <v>30</v>
      </c>
      <c r="S22" s="28">
        <f t="shared" ca="1" si="3"/>
        <v>13832835.731339237</v>
      </c>
    </row>
    <row r="23" spans="1:19" x14ac:dyDescent="0.2">
      <c r="A23" s="45">
        <f>'Monthly Data'!A23</f>
        <v>40817</v>
      </c>
      <c r="B23" s="29">
        <f t="shared" si="1"/>
        <v>2011</v>
      </c>
      <c r="C23" s="29">
        <f t="shared" si="2"/>
        <v>10</v>
      </c>
      <c r="D23" s="44">
        <f>'Monthly Data'!J23</f>
        <v>13280230.334936943</v>
      </c>
      <c r="E23" s="46">
        <f t="shared" ca="1" si="4"/>
        <v>53.33000000000002</v>
      </c>
      <c r="F23" s="46">
        <f t="shared" ca="1" si="4"/>
        <v>12.219999999999999</v>
      </c>
      <c r="G23" s="29">
        <f>'Monthly Data'!BG23</f>
        <v>22</v>
      </c>
      <c r="H23" s="29">
        <f>'Monthly Data'!X23</f>
        <v>2912.1</v>
      </c>
      <c r="I23" s="44">
        <f>'Monthly Data'!BF23</f>
        <v>1</v>
      </c>
      <c r="K23" s="29">
        <f>'GS&lt;50 PW'!$B$6</f>
        <v>50.759309292559799</v>
      </c>
      <c r="L23" s="29">
        <f ca="1">E23*'GS&lt;50 PW'!$B$7</f>
        <v>1.6377420475337947</v>
      </c>
      <c r="M23" s="29">
        <f ca="1">F23*'GS&lt;50 PW'!$B$8</f>
        <v>0.96287383598827769</v>
      </c>
      <c r="N23" s="29">
        <f>G23*'GS&lt;50 PW'!$B$9</f>
        <v>-2.1199157081146724</v>
      </c>
      <c r="O23" s="29">
        <f>H23*'GS&lt;50 PW'!$B$10</f>
        <v>37.017832332568069</v>
      </c>
      <c r="P23" s="44">
        <f>I23*'GS&lt;50 PW'!$B$11</f>
        <v>-1.9723066266223299</v>
      </c>
      <c r="Q23" s="44">
        <f>'Monthly Data'!H23</f>
        <v>5102</v>
      </c>
      <c r="R23" s="29">
        <f>'Monthly Data'!BH23</f>
        <v>31</v>
      </c>
      <c r="S23" s="28">
        <f t="shared" ca="1" si="3"/>
        <v>13647092.814176416</v>
      </c>
    </row>
    <row r="24" spans="1:19" x14ac:dyDescent="0.2">
      <c r="A24" s="45">
        <f>'Monthly Data'!A24</f>
        <v>40848</v>
      </c>
      <c r="B24" s="29">
        <f t="shared" si="1"/>
        <v>2011</v>
      </c>
      <c r="C24" s="29">
        <f t="shared" si="2"/>
        <v>11</v>
      </c>
      <c r="D24" s="44">
        <f>'Monthly Data'!J24</f>
        <v>13582759.334936943</v>
      </c>
      <c r="E24" s="46">
        <f t="shared" ca="1" si="4"/>
        <v>207.66000000000003</v>
      </c>
      <c r="F24" s="46">
        <f t="shared" ca="1" si="4"/>
        <v>1.0000000000000142E-2</v>
      </c>
      <c r="G24" s="29">
        <f>'Monthly Data'!BG24</f>
        <v>23</v>
      </c>
      <c r="H24" s="29">
        <f>'Monthly Data'!X24</f>
        <v>2908.5</v>
      </c>
      <c r="I24" s="44">
        <f>'Monthly Data'!BF24</f>
        <v>1</v>
      </c>
      <c r="K24" s="29">
        <f>'GS&lt;50 PW'!$B$6</f>
        <v>50.759309292559799</v>
      </c>
      <c r="L24" s="29">
        <f ca="1">E24*'GS&lt;50 PW'!$B$7</f>
        <v>6.3771519518257582</v>
      </c>
      <c r="M24" s="29">
        <f ca="1">F24*'GS&lt;50 PW'!$B$8</f>
        <v>7.8794912928665433E-4</v>
      </c>
      <c r="N24" s="29">
        <f>G24*'GS&lt;50 PW'!$B$9</f>
        <v>-2.2162755130289757</v>
      </c>
      <c r="O24" s="29">
        <f>H24*'GS&lt;50 PW'!$B$10</f>
        <v>36.97207010036545</v>
      </c>
      <c r="P24" s="44">
        <f>I24*'GS&lt;50 PW'!$B$11</f>
        <v>-1.9723066266223299</v>
      </c>
      <c r="Q24" s="44">
        <f>'Monthly Data'!H24</f>
        <v>5122</v>
      </c>
      <c r="R24" s="29">
        <f>'Monthly Data'!BH24</f>
        <v>30</v>
      </c>
      <c r="S24" s="28">
        <f t="shared" ca="1" si="3"/>
        <v>13817220.471118826</v>
      </c>
    </row>
    <row r="25" spans="1:19" x14ac:dyDescent="0.2">
      <c r="A25" s="45">
        <f>'Monthly Data'!A25</f>
        <v>40878</v>
      </c>
      <c r="B25" s="29">
        <f t="shared" si="1"/>
        <v>2011</v>
      </c>
      <c r="C25" s="29">
        <f t="shared" si="2"/>
        <v>12</v>
      </c>
      <c r="D25" s="44">
        <f>'Monthly Data'!J25</f>
        <v>14822411.334936943</v>
      </c>
      <c r="E25" s="46">
        <f t="shared" ca="1" si="4"/>
        <v>351.65000000000003</v>
      </c>
      <c r="F25" s="46">
        <f t="shared" ca="1" si="4"/>
        <v>0</v>
      </c>
      <c r="G25" s="29">
        <f>'Monthly Data'!BG25</f>
        <v>24</v>
      </c>
      <c r="H25" s="29">
        <f>'Monthly Data'!X25</f>
        <v>2903</v>
      </c>
      <c r="I25" s="44">
        <f>'Monthly Data'!BF25</f>
        <v>0</v>
      </c>
      <c r="K25" s="29">
        <f>'GS&lt;50 PW'!$B$6</f>
        <v>50.759309292559799</v>
      </c>
      <c r="L25" s="29">
        <f ca="1">E25*'GS&lt;50 PW'!$B$7</f>
        <v>10.799024770584262</v>
      </c>
      <c r="M25" s="29">
        <f ca="1">F25*'GS&lt;50 PW'!$B$8</f>
        <v>0</v>
      </c>
      <c r="N25" s="29">
        <f>G25*'GS&lt;50 PW'!$B$9</f>
        <v>-2.312635317943279</v>
      </c>
      <c r="O25" s="29">
        <f>H25*'GS&lt;50 PW'!$B$10</f>
        <v>36.902155578944779</v>
      </c>
      <c r="P25" s="44">
        <f>I25*'GS&lt;50 PW'!$B$11</f>
        <v>0</v>
      </c>
      <c r="Q25" s="44">
        <f>'Monthly Data'!H25</f>
        <v>5123</v>
      </c>
      <c r="R25" s="29">
        <f>'Monthly Data'!BH25</f>
        <v>31</v>
      </c>
      <c r="S25" s="28">
        <f t="shared" ca="1" si="3"/>
        <v>15269529.188780528</v>
      </c>
    </row>
    <row r="26" spans="1:19" x14ac:dyDescent="0.2">
      <c r="A26" s="45">
        <f>'Monthly Data'!A26</f>
        <v>40909</v>
      </c>
      <c r="B26" s="29">
        <f t="shared" si="1"/>
        <v>2012</v>
      </c>
      <c r="C26" s="29">
        <f t="shared" si="2"/>
        <v>1</v>
      </c>
      <c r="D26" s="44">
        <f>'Monthly Data'!J26</f>
        <v>15492130.281657217</v>
      </c>
      <c r="E26" s="46">
        <f t="shared" ca="1" si="4"/>
        <v>477.14</v>
      </c>
      <c r="F26" s="46">
        <f t="shared" ca="1" si="4"/>
        <v>0</v>
      </c>
      <c r="G26" s="29">
        <f>'Monthly Data'!BG26</f>
        <v>25</v>
      </c>
      <c r="H26" s="29">
        <f>'Monthly Data'!X26</f>
        <v>2903.3</v>
      </c>
      <c r="I26" s="44">
        <f>'Monthly Data'!BF26</f>
        <v>0</v>
      </c>
      <c r="K26" s="29">
        <f>'GS&lt;50 PW'!$B$6</f>
        <v>50.759309292559799</v>
      </c>
      <c r="L26" s="29">
        <f ca="1">E26*'GS&lt;50 PW'!$B$7</f>
        <v>14.652770308649437</v>
      </c>
      <c r="M26" s="29">
        <f ca="1">F26*'GS&lt;50 PW'!$B$8</f>
        <v>0</v>
      </c>
      <c r="N26" s="29">
        <f>G26*'GS&lt;50 PW'!$B$9</f>
        <v>-2.4089951228575823</v>
      </c>
      <c r="O26" s="29">
        <f>H26*'GS&lt;50 PW'!$B$10</f>
        <v>36.905969098295003</v>
      </c>
      <c r="P26" s="44">
        <f>I26*'GS&lt;50 PW'!$B$11</f>
        <v>0</v>
      </c>
      <c r="Q26" s="44">
        <f>'Monthly Data'!H26</f>
        <v>5121</v>
      </c>
      <c r="R26" s="29">
        <f>'Monthly Data'!BH26</f>
        <v>31</v>
      </c>
      <c r="S26" s="28">
        <f t="shared" ca="1" si="3"/>
        <v>15860662.164346231</v>
      </c>
    </row>
    <row r="27" spans="1:19" x14ac:dyDescent="0.2">
      <c r="A27" s="45">
        <f>'Monthly Data'!A27</f>
        <v>40940</v>
      </c>
      <c r="B27" s="29">
        <f t="shared" si="1"/>
        <v>2012</v>
      </c>
      <c r="C27" s="29">
        <f t="shared" si="2"/>
        <v>2</v>
      </c>
      <c r="D27" s="44">
        <f>'Monthly Data'!J27</f>
        <v>14445977.281657217</v>
      </c>
      <c r="E27" s="46">
        <f t="shared" ca="1" si="4"/>
        <v>417.05</v>
      </c>
      <c r="F27" s="46">
        <f t="shared" ca="1" si="4"/>
        <v>0</v>
      </c>
      <c r="G27" s="29">
        <f>'Monthly Data'!BG27</f>
        <v>26</v>
      </c>
      <c r="H27" s="29">
        <f>'Monthly Data'!X27</f>
        <v>2901.2</v>
      </c>
      <c r="I27" s="44">
        <f>'Monthly Data'!BF27</f>
        <v>0</v>
      </c>
      <c r="K27" s="29">
        <f>'GS&lt;50 PW'!$B$6</f>
        <v>50.759309292559799</v>
      </c>
      <c r="L27" s="29">
        <f ca="1">E27*'GS&lt;50 PW'!$B$7</f>
        <v>12.807431481792028</v>
      </c>
      <c r="M27" s="29">
        <f ca="1">F27*'GS&lt;50 PW'!$B$8</f>
        <v>0</v>
      </c>
      <c r="N27" s="29">
        <f>G27*'GS&lt;50 PW'!$B$9</f>
        <v>-2.5053549277718856</v>
      </c>
      <c r="O27" s="29">
        <f>H27*'GS&lt;50 PW'!$B$10</f>
        <v>36.879274462843469</v>
      </c>
      <c r="P27" s="44">
        <f>I27*'GS&lt;50 PW'!$B$11</f>
        <v>0</v>
      </c>
      <c r="Q27" s="44">
        <f>'Monthly Data'!H27</f>
        <v>5127</v>
      </c>
      <c r="R27" s="29">
        <f>'Monthly Data'!BH27</f>
        <v>29</v>
      </c>
      <c r="S27" s="28">
        <f t="shared" ca="1" si="3"/>
        <v>14562111.196786001</v>
      </c>
    </row>
    <row r="28" spans="1:19" x14ac:dyDescent="0.2">
      <c r="A28" s="45">
        <f>'Monthly Data'!A28</f>
        <v>40969</v>
      </c>
      <c r="B28" s="29">
        <f t="shared" si="1"/>
        <v>2012</v>
      </c>
      <c r="C28" s="29">
        <f t="shared" si="2"/>
        <v>3</v>
      </c>
      <c r="D28" s="44">
        <f>'Monthly Data'!J28</f>
        <v>14326333.281657217</v>
      </c>
      <c r="E28" s="46">
        <f t="shared" ca="1" si="4"/>
        <v>332.70999999999992</v>
      </c>
      <c r="F28" s="46">
        <f t="shared" ca="1" si="4"/>
        <v>0</v>
      </c>
      <c r="G28" s="29">
        <f>'Monthly Data'!BG28</f>
        <v>27</v>
      </c>
      <c r="H28" s="29">
        <f>'Monthly Data'!X28</f>
        <v>2907.4</v>
      </c>
      <c r="I28" s="44">
        <f>'Monthly Data'!BF28</f>
        <v>1</v>
      </c>
      <c r="K28" s="29">
        <f>'GS&lt;50 PW'!$B$6</f>
        <v>50.759309292559799</v>
      </c>
      <c r="L28" s="29">
        <f ca="1">E28*'GS&lt;50 PW'!$B$7</f>
        <v>10.217385273485252</v>
      </c>
      <c r="M28" s="29">
        <f ca="1">F28*'GS&lt;50 PW'!$B$8</f>
        <v>0</v>
      </c>
      <c r="N28" s="29">
        <f>G28*'GS&lt;50 PW'!$B$9</f>
        <v>-2.6017147326861889</v>
      </c>
      <c r="O28" s="29">
        <f>H28*'GS&lt;50 PW'!$B$10</f>
        <v>36.958087196081316</v>
      </c>
      <c r="P28" s="44">
        <f>I28*'GS&lt;50 PW'!$B$11</f>
        <v>-1.9723066266223299</v>
      </c>
      <c r="Q28" s="44">
        <f>'Monthly Data'!H28</f>
        <v>5122</v>
      </c>
      <c r="R28" s="29">
        <f>'Monthly Data'!BH28</f>
        <v>31</v>
      </c>
      <c r="S28" s="28">
        <f t="shared" ca="1" si="3"/>
        <v>14824008.258280223</v>
      </c>
    </row>
    <row r="29" spans="1:19" x14ac:dyDescent="0.2">
      <c r="A29" s="45">
        <f>'Monthly Data'!A29</f>
        <v>41000</v>
      </c>
      <c r="B29" s="29">
        <f t="shared" si="1"/>
        <v>2012</v>
      </c>
      <c r="C29" s="29">
        <f t="shared" si="2"/>
        <v>4</v>
      </c>
      <c r="D29" s="44">
        <f>'Monthly Data'!J29</f>
        <v>13184039.281657217</v>
      </c>
      <c r="E29" s="46">
        <f t="shared" ca="1" si="4"/>
        <v>164.53999999999996</v>
      </c>
      <c r="F29" s="46">
        <f t="shared" ca="1" si="4"/>
        <v>0.16999999999999993</v>
      </c>
      <c r="G29" s="29">
        <f>'Monthly Data'!BG29</f>
        <v>28</v>
      </c>
      <c r="H29" s="29">
        <f>'Monthly Data'!X29</f>
        <v>2912.5</v>
      </c>
      <c r="I29" s="44">
        <f>'Monthly Data'!BF29</f>
        <v>1</v>
      </c>
      <c r="K29" s="29">
        <f>'GS&lt;50 PW'!$B$6</f>
        <v>50.759309292559799</v>
      </c>
      <c r="L29" s="29">
        <f ca="1">E29*'GS&lt;50 PW'!$B$7</f>
        <v>5.0529547440691998</v>
      </c>
      <c r="M29" s="29">
        <f ca="1">F29*'GS&lt;50 PW'!$B$8</f>
        <v>1.3395135197872927E-2</v>
      </c>
      <c r="N29" s="29">
        <f>G29*'GS&lt;50 PW'!$B$9</f>
        <v>-2.6980745376004922</v>
      </c>
      <c r="O29" s="29">
        <f>H29*'GS&lt;50 PW'!$B$10</f>
        <v>37.022917025035028</v>
      </c>
      <c r="P29" s="44">
        <f>I29*'GS&lt;50 PW'!$B$11</f>
        <v>-1.9723066266223299</v>
      </c>
      <c r="Q29" s="44">
        <f>'Monthly Data'!H29</f>
        <v>5123</v>
      </c>
      <c r="R29" s="29">
        <f>'Monthly Data'!BH29</f>
        <v>30</v>
      </c>
      <c r="S29" s="28">
        <f t="shared" ca="1" si="3"/>
        <v>13552106.7945663</v>
      </c>
    </row>
    <row r="30" spans="1:19" x14ac:dyDescent="0.2">
      <c r="A30" s="45">
        <f>'Monthly Data'!A30</f>
        <v>41030</v>
      </c>
      <c r="B30" s="29">
        <f t="shared" si="1"/>
        <v>2012</v>
      </c>
      <c r="C30" s="29">
        <f t="shared" si="2"/>
        <v>5</v>
      </c>
      <c r="D30" s="44">
        <f>'Monthly Data'!J30</f>
        <v>13982977.281657217</v>
      </c>
      <c r="E30" s="46">
        <f t="shared" ref="E30:F45" ca="1" si="5">E18</f>
        <v>35.92</v>
      </c>
      <c r="F30" s="46">
        <f t="shared" ca="1" si="5"/>
        <v>30.080000000000002</v>
      </c>
      <c r="G30" s="29">
        <f>'Monthly Data'!BG30</f>
        <v>29</v>
      </c>
      <c r="H30" s="29">
        <f>'Monthly Data'!X30</f>
        <v>2917.9</v>
      </c>
      <c r="I30" s="44">
        <f>'Monthly Data'!BF30</f>
        <v>1</v>
      </c>
      <c r="K30" s="29">
        <f>'GS&lt;50 PW'!$B$6</f>
        <v>50.759309292559799</v>
      </c>
      <c r="L30" s="29">
        <f ca="1">E30*'GS&lt;50 PW'!$B$7</f>
        <v>1.103088212027262</v>
      </c>
      <c r="M30" s="29">
        <f ca="1">F30*'GS&lt;50 PW'!$B$8</f>
        <v>2.3701509808942225</v>
      </c>
      <c r="N30" s="29">
        <f>G30*'GS&lt;50 PW'!$B$9</f>
        <v>-2.7944343425147955</v>
      </c>
      <c r="O30" s="29">
        <f>H30*'GS&lt;50 PW'!$B$10</f>
        <v>37.091560373338957</v>
      </c>
      <c r="P30" s="44">
        <f>I30*'GS&lt;50 PW'!$B$11</f>
        <v>-1.9723066266223299</v>
      </c>
      <c r="Q30" s="44">
        <f>'Monthly Data'!H30</f>
        <v>5123</v>
      </c>
      <c r="R30" s="29">
        <f>'Monthly Data'!BH30</f>
        <v>31</v>
      </c>
      <c r="S30" s="28">
        <f t="shared" ca="1" si="3"/>
        <v>13746435.266664244</v>
      </c>
    </row>
    <row r="31" spans="1:19" x14ac:dyDescent="0.2">
      <c r="A31" s="45">
        <f>'Monthly Data'!A31</f>
        <v>41061</v>
      </c>
      <c r="B31" s="29">
        <f t="shared" si="1"/>
        <v>2012</v>
      </c>
      <c r="C31" s="29">
        <f t="shared" si="2"/>
        <v>6</v>
      </c>
      <c r="D31" s="44">
        <f>'Monthly Data'!J31</f>
        <v>14982710.281657217</v>
      </c>
      <c r="E31" s="46">
        <f t="shared" ca="1" si="5"/>
        <v>0.37999999999999989</v>
      </c>
      <c r="F31" s="46">
        <f t="shared" ca="1" si="5"/>
        <v>94.58</v>
      </c>
      <c r="G31" s="29">
        <f>'Monthly Data'!BG31</f>
        <v>30</v>
      </c>
      <c r="H31" s="29">
        <f>'Monthly Data'!X31</f>
        <v>2928.6</v>
      </c>
      <c r="I31" s="44">
        <f>'Monthly Data'!BF31</f>
        <v>0</v>
      </c>
      <c r="K31" s="29">
        <f>'GS&lt;50 PW'!$B$6</f>
        <v>50.759309292559799</v>
      </c>
      <c r="L31" s="29">
        <f ca="1">E31*'GS&lt;50 PW'!$B$7</f>
        <v>1.1669641441268358E-2</v>
      </c>
      <c r="M31" s="29">
        <f ca="1">F31*'GS&lt;50 PW'!$B$8</f>
        <v>7.4524228647930704</v>
      </c>
      <c r="N31" s="29">
        <f>G31*'GS&lt;50 PW'!$B$9</f>
        <v>-2.8907941474290988</v>
      </c>
      <c r="O31" s="29">
        <f>H31*'GS&lt;50 PW'!$B$10</f>
        <v>37.227575896830068</v>
      </c>
      <c r="P31" s="44">
        <f>I31*'GS&lt;50 PW'!$B$11</f>
        <v>0</v>
      </c>
      <c r="Q31" s="44">
        <f>'Monthly Data'!H31</f>
        <v>5127</v>
      </c>
      <c r="R31" s="29">
        <f>'Monthly Data'!BH31</f>
        <v>30</v>
      </c>
      <c r="S31" s="28">
        <f t="shared" ca="1" si="3"/>
        <v>14236681.831547892</v>
      </c>
    </row>
    <row r="32" spans="1:19" x14ac:dyDescent="0.2">
      <c r="A32" s="45">
        <f>'Monthly Data'!A32</f>
        <v>41091</v>
      </c>
      <c r="B32" s="29">
        <f t="shared" si="1"/>
        <v>2012</v>
      </c>
      <c r="C32" s="29">
        <f t="shared" si="2"/>
        <v>7</v>
      </c>
      <c r="D32" s="44">
        <f>'Monthly Data'!J32</f>
        <v>16737303.281657217</v>
      </c>
      <c r="E32" s="46">
        <f t="shared" ca="1" si="5"/>
        <v>0</v>
      </c>
      <c r="F32" s="46">
        <f t="shared" ca="1" si="5"/>
        <v>206.28000000000003</v>
      </c>
      <c r="G32" s="29">
        <f>'Monthly Data'!BG32</f>
        <v>31</v>
      </c>
      <c r="H32" s="29">
        <f>'Monthly Data'!X32</f>
        <v>2949.2</v>
      </c>
      <c r="I32" s="44">
        <f>'Monthly Data'!BF32</f>
        <v>0</v>
      </c>
      <c r="K32" s="29">
        <f>'GS&lt;50 PW'!$B$6</f>
        <v>50.759309292559799</v>
      </c>
      <c r="L32" s="29">
        <f ca="1">E32*'GS&lt;50 PW'!$B$7</f>
        <v>0</v>
      </c>
      <c r="M32" s="29">
        <f ca="1">F32*'GS&lt;50 PW'!$B$8</f>
        <v>16.253814638924876</v>
      </c>
      <c r="N32" s="29">
        <f>G32*'GS&lt;50 PW'!$B$9</f>
        <v>-2.9871539523434021</v>
      </c>
      <c r="O32" s="29">
        <f>H32*'GS&lt;50 PW'!$B$10</f>
        <v>37.489437558878386</v>
      </c>
      <c r="P32" s="44">
        <f>I32*'GS&lt;50 PW'!$B$11</f>
        <v>0</v>
      </c>
      <c r="Q32" s="44">
        <f>'Monthly Data'!H32</f>
        <v>5135</v>
      </c>
      <c r="R32" s="29">
        <f>'Monthly Data'!BH32</f>
        <v>31</v>
      </c>
      <c r="S32" s="28">
        <f t="shared" ca="1" si="3"/>
        <v>16159730.148939656</v>
      </c>
    </row>
    <row r="33" spans="1:19" x14ac:dyDescent="0.2">
      <c r="A33" s="45">
        <f>'Monthly Data'!A33</f>
        <v>41122</v>
      </c>
      <c r="B33" s="29">
        <f t="shared" si="1"/>
        <v>2012</v>
      </c>
      <c r="C33" s="29">
        <f t="shared" si="2"/>
        <v>8</v>
      </c>
      <c r="D33" s="44">
        <f>'Monthly Data'!J33</f>
        <v>15895184.281657217</v>
      </c>
      <c r="E33" s="46">
        <f t="shared" ca="1" si="5"/>
        <v>0</v>
      </c>
      <c r="F33" s="46">
        <f t="shared" ca="1" si="5"/>
        <v>177.64000000000001</v>
      </c>
      <c r="G33" s="29">
        <f>'Monthly Data'!BG33</f>
        <v>32</v>
      </c>
      <c r="H33" s="29">
        <f>'Monthly Data'!X33</f>
        <v>2968.4</v>
      </c>
      <c r="I33" s="44">
        <f>'Monthly Data'!BF33</f>
        <v>0</v>
      </c>
      <c r="K33" s="29">
        <f>'GS&lt;50 PW'!$B$6</f>
        <v>50.759309292559799</v>
      </c>
      <c r="L33" s="29">
        <f ca="1">E33*'GS&lt;50 PW'!$B$7</f>
        <v>0</v>
      </c>
      <c r="M33" s="29">
        <f ca="1">F33*'GS&lt;50 PW'!$B$8</f>
        <v>13.997128332647929</v>
      </c>
      <c r="N33" s="29">
        <f>G33*'GS&lt;50 PW'!$B$9</f>
        <v>-3.0835137572577054</v>
      </c>
      <c r="O33" s="29">
        <f>H33*'GS&lt;50 PW'!$B$10</f>
        <v>37.733502797292353</v>
      </c>
      <c r="P33" s="44">
        <f>I33*'GS&lt;50 PW'!$B$11</f>
        <v>0</v>
      </c>
      <c r="Q33" s="44">
        <f>'Monthly Data'!H33</f>
        <v>5147</v>
      </c>
      <c r="R33" s="29">
        <f>'Monthly Data'!BH33</f>
        <v>31</v>
      </c>
      <c r="S33" s="28">
        <f t="shared" ca="1" si="3"/>
        <v>15860991.219426079</v>
      </c>
    </row>
    <row r="34" spans="1:19" x14ac:dyDescent="0.2">
      <c r="A34" s="45">
        <f>'Monthly Data'!A34</f>
        <v>41153</v>
      </c>
      <c r="B34" s="29">
        <f t="shared" si="1"/>
        <v>2012</v>
      </c>
      <c r="C34" s="29">
        <f t="shared" si="2"/>
        <v>9</v>
      </c>
      <c r="D34" s="44">
        <f>'Monthly Data'!J34</f>
        <v>14172207.281657217</v>
      </c>
      <c r="E34" s="46">
        <f t="shared" ca="1" si="5"/>
        <v>0.49000000000000005</v>
      </c>
      <c r="F34" s="46">
        <f t="shared" ca="1" si="5"/>
        <v>85.65</v>
      </c>
      <c r="G34" s="29">
        <f>'Monthly Data'!BG34</f>
        <v>33</v>
      </c>
      <c r="H34" s="29">
        <f>'Monthly Data'!X34</f>
        <v>2985.6</v>
      </c>
      <c r="I34" s="44">
        <f>'Monthly Data'!BF34</f>
        <v>1</v>
      </c>
      <c r="K34" s="29">
        <f>'GS&lt;50 PW'!$B$6</f>
        <v>50.759309292559799</v>
      </c>
      <c r="L34" s="29">
        <f ca="1">E34*'GS&lt;50 PW'!$B$7</f>
        <v>1.5047695542688151E-2</v>
      </c>
      <c r="M34" s="29">
        <f ca="1">F34*'GS&lt;50 PW'!$B$8</f>
        <v>6.7487842923400985</v>
      </c>
      <c r="N34" s="29">
        <f>G34*'GS&lt;50 PW'!$B$9</f>
        <v>-3.1798735621720087</v>
      </c>
      <c r="O34" s="29">
        <f>H34*'GS&lt;50 PW'!$B$10</f>
        <v>37.952144573371527</v>
      </c>
      <c r="P34" s="44">
        <f>I34*'GS&lt;50 PW'!$B$11</f>
        <v>-1.9723066266223299</v>
      </c>
      <c r="Q34" s="44">
        <f>'Monthly Data'!H34</f>
        <v>5148</v>
      </c>
      <c r="R34" s="29">
        <f>'Monthly Data'!BH34</f>
        <v>30</v>
      </c>
      <c r="S34" s="28">
        <f t="shared" ca="1" si="3"/>
        <v>13949500.438905654</v>
      </c>
    </row>
    <row r="35" spans="1:19" x14ac:dyDescent="0.2">
      <c r="A35" s="45">
        <f>'Monthly Data'!A35</f>
        <v>41183</v>
      </c>
      <c r="B35" s="29">
        <f t="shared" si="1"/>
        <v>2012</v>
      </c>
      <c r="C35" s="29">
        <f t="shared" si="2"/>
        <v>10</v>
      </c>
      <c r="D35" s="44">
        <f>'Monthly Data'!J35</f>
        <v>13656586.281657217</v>
      </c>
      <c r="E35" s="46">
        <f t="shared" ca="1" si="5"/>
        <v>53.33000000000002</v>
      </c>
      <c r="F35" s="46">
        <f t="shared" ca="1" si="5"/>
        <v>12.219999999999999</v>
      </c>
      <c r="G35" s="29">
        <f>'Monthly Data'!BG35</f>
        <v>34</v>
      </c>
      <c r="H35" s="29">
        <f>'Monthly Data'!X35</f>
        <v>3002.1</v>
      </c>
      <c r="I35" s="44">
        <f>'Monthly Data'!BF35</f>
        <v>1</v>
      </c>
      <c r="K35" s="29">
        <f>'GS&lt;50 PW'!$B$6</f>
        <v>50.759309292559799</v>
      </c>
      <c r="L35" s="29">
        <f ca="1">E35*'GS&lt;50 PW'!$B$7</f>
        <v>1.6377420475337947</v>
      </c>
      <c r="M35" s="29">
        <f ca="1">F35*'GS&lt;50 PW'!$B$8</f>
        <v>0.96287383598827769</v>
      </c>
      <c r="N35" s="29">
        <f>G35*'GS&lt;50 PW'!$B$9</f>
        <v>-3.276233367086312</v>
      </c>
      <c r="O35" s="29">
        <f>H35*'GS&lt;50 PW'!$B$10</f>
        <v>38.161888137633525</v>
      </c>
      <c r="P35" s="44">
        <f>I35*'GS&lt;50 PW'!$B$11</f>
        <v>-1.9723066266223299</v>
      </c>
      <c r="Q35" s="44">
        <f>'Monthly Data'!H35</f>
        <v>5150</v>
      </c>
      <c r="R35" s="29">
        <f>'Monthly Data'!BH35</f>
        <v>31</v>
      </c>
      <c r="S35" s="28">
        <f t="shared" ca="1" si="3"/>
        <v>13773528.085539078</v>
      </c>
    </row>
    <row r="36" spans="1:19" x14ac:dyDescent="0.2">
      <c r="A36" s="45">
        <f>'Monthly Data'!A36</f>
        <v>41214</v>
      </c>
      <c r="B36" s="29">
        <f t="shared" si="1"/>
        <v>2012</v>
      </c>
      <c r="C36" s="29">
        <f t="shared" si="2"/>
        <v>11</v>
      </c>
      <c r="D36" s="44">
        <f>'Monthly Data'!J36</f>
        <v>14160121.281657217</v>
      </c>
      <c r="E36" s="46">
        <f t="shared" ca="1" si="5"/>
        <v>207.66000000000003</v>
      </c>
      <c r="F36" s="46">
        <f t="shared" ca="1" si="5"/>
        <v>1.0000000000000142E-2</v>
      </c>
      <c r="G36" s="29">
        <f>'Monthly Data'!BG36</f>
        <v>35</v>
      </c>
      <c r="H36" s="29">
        <f>'Monthly Data'!X36</f>
        <v>3019.5</v>
      </c>
      <c r="I36" s="44">
        <f>'Monthly Data'!BF36</f>
        <v>1</v>
      </c>
      <c r="K36" s="29">
        <f>'GS&lt;50 PW'!$B$6</f>
        <v>50.759309292559799</v>
      </c>
      <c r="L36" s="29">
        <f ca="1">E36*'GS&lt;50 PW'!$B$7</f>
        <v>6.3771519518257582</v>
      </c>
      <c r="M36" s="29">
        <f ca="1">F36*'GS&lt;50 PW'!$B$8</f>
        <v>7.8794912928665433E-4</v>
      </c>
      <c r="N36" s="29">
        <f>G36*'GS&lt;50 PW'!$B$9</f>
        <v>-3.3725931720006153</v>
      </c>
      <c r="O36" s="29">
        <f>H36*'GS&lt;50 PW'!$B$10</f>
        <v>38.383072259946182</v>
      </c>
      <c r="P36" s="44">
        <f>I36*'GS&lt;50 PW'!$B$11</f>
        <v>-1.9723066266223299</v>
      </c>
      <c r="Q36" s="44">
        <f>'Monthly Data'!H36</f>
        <v>5162</v>
      </c>
      <c r="R36" s="29">
        <f>'Monthly Data'!BH36</f>
        <v>30</v>
      </c>
      <c r="S36" s="28">
        <f t="shared" ca="1" si="3"/>
        <v>13964565.797468226</v>
      </c>
    </row>
    <row r="37" spans="1:19" x14ac:dyDescent="0.2">
      <c r="A37" s="45">
        <f>'Monthly Data'!A37</f>
        <v>41244</v>
      </c>
      <c r="B37" s="29">
        <f t="shared" si="1"/>
        <v>2012</v>
      </c>
      <c r="C37" s="29">
        <f t="shared" si="2"/>
        <v>12</v>
      </c>
      <c r="D37" s="44">
        <f>'Monthly Data'!J37</f>
        <v>15041472.281657217</v>
      </c>
      <c r="E37" s="46">
        <f t="shared" ca="1" si="5"/>
        <v>351.65000000000003</v>
      </c>
      <c r="F37" s="46">
        <f t="shared" ca="1" si="5"/>
        <v>0</v>
      </c>
      <c r="G37" s="29">
        <f>'Monthly Data'!BG37</f>
        <v>36</v>
      </c>
      <c r="H37" s="29">
        <f>'Monthly Data'!X37</f>
        <v>3030.3</v>
      </c>
      <c r="I37" s="44">
        <f>'Monthly Data'!BF37</f>
        <v>0</v>
      </c>
      <c r="K37" s="29">
        <f>'GS&lt;50 PW'!$B$6</f>
        <v>50.759309292559799</v>
      </c>
      <c r="L37" s="29">
        <f ca="1">E37*'GS&lt;50 PW'!$B$7</f>
        <v>10.799024770584262</v>
      </c>
      <c r="M37" s="29">
        <f ca="1">F37*'GS&lt;50 PW'!$B$8</f>
        <v>0</v>
      </c>
      <c r="N37" s="29">
        <f>G37*'GS&lt;50 PW'!$B$9</f>
        <v>-3.4689529769149186</v>
      </c>
      <c r="O37" s="29">
        <f>H37*'GS&lt;50 PW'!$B$10</f>
        <v>38.520358956554041</v>
      </c>
      <c r="P37" s="44">
        <f>I37*'GS&lt;50 PW'!$B$11</f>
        <v>0</v>
      </c>
      <c r="Q37" s="44">
        <f>'Monthly Data'!H37</f>
        <v>5168</v>
      </c>
      <c r="R37" s="29">
        <f>'Monthly Data'!BH37</f>
        <v>31</v>
      </c>
      <c r="S37" s="28">
        <f t="shared" ca="1" si="3"/>
        <v>15477653.232774209</v>
      </c>
    </row>
    <row r="38" spans="1:19" x14ac:dyDescent="0.2">
      <c r="A38" s="45">
        <f>'Monthly Data'!A38</f>
        <v>41275</v>
      </c>
      <c r="B38" s="29">
        <f t="shared" si="1"/>
        <v>2013</v>
      </c>
      <c r="C38" s="29">
        <f t="shared" si="2"/>
        <v>1</v>
      </c>
      <c r="D38" s="44">
        <f>'Monthly Data'!J38</f>
        <v>15838016.622677803</v>
      </c>
      <c r="E38" s="46">
        <f t="shared" ca="1" si="5"/>
        <v>477.14</v>
      </c>
      <c r="F38" s="46">
        <f t="shared" ca="1" si="5"/>
        <v>0</v>
      </c>
      <c r="G38" s="29">
        <f>'Monthly Data'!BG38</f>
        <v>37</v>
      </c>
      <c r="H38" s="29">
        <f>'Monthly Data'!X38</f>
        <v>3038</v>
      </c>
      <c r="I38" s="44">
        <f>'Monthly Data'!BF38</f>
        <v>0</v>
      </c>
      <c r="K38" s="29">
        <f>'GS&lt;50 PW'!$B$6</f>
        <v>50.759309292559799</v>
      </c>
      <c r="L38" s="29">
        <f ca="1">E38*'GS&lt;50 PW'!$B$7</f>
        <v>14.652770308649437</v>
      </c>
      <c r="M38" s="29">
        <f ca="1">F38*'GS&lt;50 PW'!$B$8</f>
        <v>0</v>
      </c>
      <c r="N38" s="29">
        <f>G38*'GS&lt;50 PW'!$B$9</f>
        <v>-3.5653127818292218</v>
      </c>
      <c r="O38" s="29">
        <f>H38*'GS&lt;50 PW'!$B$10</f>
        <v>38.618239286542973</v>
      </c>
      <c r="P38" s="44">
        <f>I38*'GS&lt;50 PW'!$B$11</f>
        <v>0</v>
      </c>
      <c r="Q38" s="44">
        <f>'Monthly Data'!H38</f>
        <v>5177</v>
      </c>
      <c r="R38" s="29">
        <f>'Monthly Data'!BH38</f>
        <v>31</v>
      </c>
      <c r="S38" s="28">
        <f t="shared" ca="1" si="3"/>
        <v>16123327.434921261</v>
      </c>
    </row>
    <row r="39" spans="1:19" x14ac:dyDescent="0.2">
      <c r="A39" s="45">
        <f>'Monthly Data'!A39</f>
        <v>41306</v>
      </c>
      <c r="B39" s="29">
        <f t="shared" si="1"/>
        <v>2013</v>
      </c>
      <c r="C39" s="29">
        <f t="shared" si="2"/>
        <v>2</v>
      </c>
      <c r="D39" s="44">
        <f>'Monthly Data'!J39</f>
        <v>14586196.622677803</v>
      </c>
      <c r="E39" s="46">
        <f t="shared" ca="1" si="5"/>
        <v>417.05</v>
      </c>
      <c r="F39" s="46">
        <f t="shared" ca="1" si="5"/>
        <v>0</v>
      </c>
      <c r="G39" s="29">
        <f>'Monthly Data'!BG39</f>
        <v>38</v>
      </c>
      <c r="H39" s="29">
        <f>'Monthly Data'!X39</f>
        <v>3041.7</v>
      </c>
      <c r="I39" s="44">
        <f>'Monthly Data'!BF39</f>
        <v>0</v>
      </c>
      <c r="K39" s="29">
        <f>'GS&lt;50 PW'!$B$6</f>
        <v>50.759309292559799</v>
      </c>
      <c r="L39" s="29">
        <f ca="1">E39*'GS&lt;50 PW'!$B$7</f>
        <v>12.807431481792028</v>
      </c>
      <c r="M39" s="29">
        <f ca="1">F39*'GS&lt;50 PW'!$B$8</f>
        <v>0</v>
      </c>
      <c r="N39" s="29">
        <f>G39*'GS&lt;50 PW'!$B$9</f>
        <v>-3.6616725867435251</v>
      </c>
      <c r="O39" s="29">
        <f>H39*'GS&lt;50 PW'!$B$10</f>
        <v>38.665272691862327</v>
      </c>
      <c r="P39" s="44">
        <f>I39*'GS&lt;50 PW'!$B$11</f>
        <v>0</v>
      </c>
      <c r="Q39" s="44">
        <f>'Monthly Data'!H39</f>
        <v>5175</v>
      </c>
      <c r="R39" s="29">
        <f>'Monthly Data'!BH39</f>
        <v>28</v>
      </c>
      <c r="S39" s="28">
        <f t="shared" ca="1" si="3"/>
        <v>14282842.393435294</v>
      </c>
    </row>
    <row r="40" spans="1:19" x14ac:dyDescent="0.2">
      <c r="A40" s="45">
        <f>'Monthly Data'!A40</f>
        <v>41334</v>
      </c>
      <c r="B40" s="29">
        <f t="shared" si="1"/>
        <v>2013</v>
      </c>
      <c r="C40" s="29">
        <f t="shared" si="2"/>
        <v>3</v>
      </c>
      <c r="D40" s="44">
        <f>'Monthly Data'!J40</f>
        <v>15372207.622677803</v>
      </c>
      <c r="E40" s="46">
        <f t="shared" ca="1" si="5"/>
        <v>332.70999999999992</v>
      </c>
      <c r="F40" s="46">
        <f t="shared" ca="1" si="5"/>
        <v>0</v>
      </c>
      <c r="G40" s="29">
        <f>'Monthly Data'!BG40</f>
        <v>39</v>
      </c>
      <c r="H40" s="29">
        <f>'Monthly Data'!X40</f>
        <v>3045.3</v>
      </c>
      <c r="I40" s="44">
        <f>'Monthly Data'!BF40</f>
        <v>1</v>
      </c>
      <c r="K40" s="29">
        <f>'GS&lt;50 PW'!$B$6</f>
        <v>50.759309292559799</v>
      </c>
      <c r="L40" s="29">
        <f ca="1">E40*'GS&lt;50 PW'!$B$7</f>
        <v>10.217385273485252</v>
      </c>
      <c r="M40" s="29">
        <f ca="1">F40*'GS&lt;50 PW'!$B$8</f>
        <v>0</v>
      </c>
      <c r="N40" s="29">
        <f>G40*'GS&lt;50 PW'!$B$9</f>
        <v>-3.7580323916578284</v>
      </c>
      <c r="O40" s="29">
        <f>H40*'GS&lt;50 PW'!$B$10</f>
        <v>38.711034924064954</v>
      </c>
      <c r="P40" s="44">
        <f>I40*'GS&lt;50 PW'!$B$11</f>
        <v>-1.9723066266223299</v>
      </c>
      <c r="Q40" s="44">
        <f>'Monthly Data'!H40</f>
        <v>5178</v>
      </c>
      <c r="R40" s="29">
        <f>'Monthly Data'!BH40</f>
        <v>31</v>
      </c>
      <c r="S40" s="28">
        <f t="shared" ca="1" si="3"/>
        <v>15081852.403757185</v>
      </c>
    </row>
    <row r="41" spans="1:19" x14ac:dyDescent="0.2">
      <c r="A41" s="45">
        <f>'Monthly Data'!A41</f>
        <v>41365</v>
      </c>
      <c r="B41" s="29">
        <f t="shared" si="1"/>
        <v>2013</v>
      </c>
      <c r="C41" s="29">
        <f t="shared" si="2"/>
        <v>4</v>
      </c>
      <c r="D41" s="44">
        <f>'Monthly Data'!J41</f>
        <v>13920639.622677803</v>
      </c>
      <c r="E41" s="46">
        <f t="shared" ca="1" si="5"/>
        <v>164.53999999999996</v>
      </c>
      <c r="F41" s="46">
        <f t="shared" ca="1" si="5"/>
        <v>0.16999999999999993</v>
      </c>
      <c r="G41" s="29">
        <f>'Monthly Data'!BG41</f>
        <v>40</v>
      </c>
      <c r="H41" s="29">
        <f>'Monthly Data'!X41</f>
        <v>3057</v>
      </c>
      <c r="I41" s="44">
        <f>'Monthly Data'!BF41</f>
        <v>1</v>
      </c>
      <c r="K41" s="29">
        <f>'GS&lt;50 PW'!$B$6</f>
        <v>50.759309292559799</v>
      </c>
      <c r="L41" s="29">
        <f ca="1">E41*'GS&lt;50 PW'!$B$7</f>
        <v>5.0529547440691998</v>
      </c>
      <c r="M41" s="29">
        <f ca="1">F41*'GS&lt;50 PW'!$B$8</f>
        <v>1.3395135197872927E-2</v>
      </c>
      <c r="N41" s="29">
        <f>G41*'GS&lt;50 PW'!$B$9</f>
        <v>-3.8543921965721317</v>
      </c>
      <c r="O41" s="29">
        <f>H41*'GS&lt;50 PW'!$B$10</f>
        <v>38.859762178723457</v>
      </c>
      <c r="P41" s="44">
        <f>I41*'GS&lt;50 PW'!$B$11</f>
        <v>-1.9723066266223299</v>
      </c>
      <c r="Q41" s="44">
        <f>'Monthly Data'!H41</f>
        <v>5137</v>
      </c>
      <c r="R41" s="29">
        <f>'Monthly Data'!BH41</f>
        <v>30</v>
      </c>
      <c r="S41" s="28">
        <f t="shared" ca="1" si="3"/>
        <v>13694017.728690812</v>
      </c>
    </row>
    <row r="42" spans="1:19" x14ac:dyDescent="0.2">
      <c r="A42" s="45">
        <f>'Monthly Data'!A42</f>
        <v>41395</v>
      </c>
      <c r="B42" s="29">
        <f t="shared" si="1"/>
        <v>2013</v>
      </c>
      <c r="C42" s="29">
        <f t="shared" si="2"/>
        <v>5</v>
      </c>
      <c r="D42" s="44">
        <f>'Monthly Data'!J42</f>
        <v>13887530.622677803</v>
      </c>
      <c r="E42" s="46">
        <f t="shared" ca="1" si="5"/>
        <v>35.92</v>
      </c>
      <c r="F42" s="46">
        <f t="shared" ca="1" si="5"/>
        <v>30.080000000000002</v>
      </c>
      <c r="G42" s="29">
        <f>'Monthly Data'!BG42</f>
        <v>41</v>
      </c>
      <c r="H42" s="29">
        <f>'Monthly Data'!X42</f>
        <v>3073.7</v>
      </c>
      <c r="I42" s="44">
        <f>'Monthly Data'!BF42</f>
        <v>1</v>
      </c>
      <c r="K42" s="29">
        <f>'GS&lt;50 PW'!$B$6</f>
        <v>50.759309292559799</v>
      </c>
      <c r="L42" s="29">
        <f ca="1">E42*'GS&lt;50 PW'!$B$7</f>
        <v>1.103088212027262</v>
      </c>
      <c r="M42" s="29">
        <f ca="1">F42*'GS&lt;50 PW'!$B$8</f>
        <v>2.3701509808942225</v>
      </c>
      <c r="N42" s="29">
        <f>G42*'GS&lt;50 PW'!$B$9</f>
        <v>-3.950752001486435</v>
      </c>
      <c r="O42" s="29">
        <f>H42*'GS&lt;50 PW'!$B$10</f>
        <v>39.072048089218939</v>
      </c>
      <c r="P42" s="44">
        <f>I42*'GS&lt;50 PW'!$B$11</f>
        <v>-1.9723066266223299</v>
      </c>
      <c r="Q42" s="44">
        <f>'Monthly Data'!H42</f>
        <v>5144</v>
      </c>
      <c r="R42" s="29">
        <f>'Monthly Data'!BH42</f>
        <v>31</v>
      </c>
      <c r="S42" s="28">
        <f t="shared" ca="1" si="3"/>
        <v>13934209.567115262</v>
      </c>
    </row>
    <row r="43" spans="1:19" x14ac:dyDescent="0.2">
      <c r="A43" s="45">
        <f>'Monthly Data'!A43</f>
        <v>41426</v>
      </c>
      <c r="B43" s="29">
        <f t="shared" si="1"/>
        <v>2013</v>
      </c>
      <c r="C43" s="29">
        <f t="shared" si="2"/>
        <v>6</v>
      </c>
      <c r="D43" s="44">
        <f>'Monthly Data'!J43</f>
        <v>14423533.622677803</v>
      </c>
      <c r="E43" s="46">
        <f t="shared" ca="1" si="5"/>
        <v>0.37999999999999989</v>
      </c>
      <c r="F43" s="46">
        <f t="shared" ca="1" si="5"/>
        <v>94.58</v>
      </c>
      <c r="G43" s="29">
        <f>'Monthly Data'!BG43</f>
        <v>42</v>
      </c>
      <c r="H43" s="29">
        <f>'Monthly Data'!X43</f>
        <v>3092.4</v>
      </c>
      <c r="I43" s="44">
        <f>'Monthly Data'!BF43</f>
        <v>0</v>
      </c>
      <c r="K43" s="29">
        <f>'GS&lt;50 PW'!$B$6</f>
        <v>50.759309292559799</v>
      </c>
      <c r="L43" s="29">
        <f ca="1">E43*'GS&lt;50 PW'!$B$7</f>
        <v>1.1669641441268358E-2</v>
      </c>
      <c r="M43" s="29">
        <f ca="1">F43*'GS&lt;50 PW'!$B$8</f>
        <v>7.4524228647930704</v>
      </c>
      <c r="N43" s="29">
        <f>G43*'GS&lt;50 PW'!$B$9</f>
        <v>-4.0471118064007383</v>
      </c>
      <c r="O43" s="29">
        <f>H43*'GS&lt;50 PW'!$B$10</f>
        <v>39.309757462049205</v>
      </c>
      <c r="P43" s="44">
        <f>I43*'GS&lt;50 PW'!$B$11</f>
        <v>0</v>
      </c>
      <c r="Q43" s="44">
        <f>'Monthly Data'!H43</f>
        <v>5144</v>
      </c>
      <c r="R43" s="29">
        <f>'Monthly Data'!BH43</f>
        <v>30</v>
      </c>
      <c r="S43" s="28">
        <f t="shared" ca="1" si="3"/>
        <v>14426766.843169581</v>
      </c>
    </row>
    <row r="44" spans="1:19" x14ac:dyDescent="0.2">
      <c r="A44" s="45">
        <f>'Monthly Data'!A44</f>
        <v>41456</v>
      </c>
      <c r="B44" s="29">
        <f t="shared" si="1"/>
        <v>2013</v>
      </c>
      <c r="C44" s="29">
        <f t="shared" si="2"/>
        <v>7</v>
      </c>
      <c r="D44" s="44">
        <f>'Monthly Data'!J44</f>
        <v>16236138.622677803</v>
      </c>
      <c r="E44" s="46">
        <f t="shared" ca="1" si="5"/>
        <v>0</v>
      </c>
      <c r="F44" s="46">
        <f t="shared" ca="1" si="5"/>
        <v>206.28000000000003</v>
      </c>
      <c r="G44" s="29">
        <f>'Monthly Data'!BG44</f>
        <v>43</v>
      </c>
      <c r="H44" s="29">
        <f>'Monthly Data'!X44</f>
        <v>3100</v>
      </c>
      <c r="I44" s="44">
        <f>'Monthly Data'!BF44</f>
        <v>0</v>
      </c>
      <c r="K44" s="29">
        <f>'GS&lt;50 PW'!$B$6</f>
        <v>50.759309292559799</v>
      </c>
      <c r="L44" s="29">
        <f ca="1">E44*'GS&lt;50 PW'!$B$7</f>
        <v>0</v>
      </c>
      <c r="M44" s="29">
        <f ca="1">F44*'GS&lt;50 PW'!$B$8</f>
        <v>16.253814638924876</v>
      </c>
      <c r="N44" s="29">
        <f>G44*'GS&lt;50 PW'!$B$9</f>
        <v>-4.1434716113150412</v>
      </c>
      <c r="O44" s="29">
        <f>H44*'GS&lt;50 PW'!$B$10</f>
        <v>39.406366618921403</v>
      </c>
      <c r="P44" s="44">
        <f>I44*'GS&lt;50 PW'!$B$11</f>
        <v>0</v>
      </c>
      <c r="Q44" s="44">
        <f>'Monthly Data'!H44</f>
        <v>5148</v>
      </c>
      <c r="R44" s="29">
        <f>'Monthly Data'!BH44</f>
        <v>31</v>
      </c>
      <c r="S44" s="28">
        <f t="shared" ca="1" si="3"/>
        <v>16322025.31045166</v>
      </c>
    </row>
    <row r="45" spans="1:19" x14ac:dyDescent="0.2">
      <c r="A45" s="45">
        <f>'Monthly Data'!A45</f>
        <v>41487</v>
      </c>
      <c r="B45" s="29">
        <f t="shared" si="1"/>
        <v>2013</v>
      </c>
      <c r="C45" s="29">
        <f t="shared" si="2"/>
        <v>8</v>
      </c>
      <c r="D45" s="44">
        <f>'Monthly Data'!J45</f>
        <v>15500151.622677803</v>
      </c>
      <c r="E45" s="46">
        <f t="shared" ca="1" si="5"/>
        <v>0</v>
      </c>
      <c r="F45" s="46">
        <f t="shared" ca="1" si="5"/>
        <v>177.64000000000001</v>
      </c>
      <c r="G45" s="29">
        <f>'Monthly Data'!BG45</f>
        <v>44</v>
      </c>
      <c r="H45" s="29">
        <f>'Monthly Data'!X45</f>
        <v>3110.2</v>
      </c>
      <c r="I45" s="44">
        <f>'Monthly Data'!BF45</f>
        <v>0</v>
      </c>
      <c r="K45" s="29">
        <f>'GS&lt;50 PW'!$B$6</f>
        <v>50.759309292559799</v>
      </c>
      <c r="L45" s="29">
        <f ca="1">E45*'GS&lt;50 PW'!$B$7</f>
        <v>0</v>
      </c>
      <c r="M45" s="29">
        <f ca="1">F45*'GS&lt;50 PW'!$B$8</f>
        <v>13.997128332647929</v>
      </c>
      <c r="N45" s="29">
        <f>G45*'GS&lt;50 PW'!$B$9</f>
        <v>-4.2398314162293449</v>
      </c>
      <c r="O45" s="29">
        <f>H45*'GS&lt;50 PW'!$B$10</f>
        <v>39.536026276828814</v>
      </c>
      <c r="P45" s="44">
        <f>I45*'GS&lt;50 PW'!$B$11</f>
        <v>0</v>
      </c>
      <c r="Q45" s="44">
        <f>'Monthly Data'!H45</f>
        <v>5147</v>
      </c>
      <c r="R45" s="29">
        <f>'Monthly Data'!BH45</f>
        <v>31</v>
      </c>
      <c r="S45" s="28">
        <f t="shared" ca="1" si="3"/>
        <v>15964097.881537938</v>
      </c>
    </row>
    <row r="46" spans="1:19" x14ac:dyDescent="0.2">
      <c r="A46" s="45">
        <f>'Monthly Data'!A46</f>
        <v>41518</v>
      </c>
      <c r="B46" s="29">
        <f t="shared" si="1"/>
        <v>2013</v>
      </c>
      <c r="C46" s="29">
        <f t="shared" si="2"/>
        <v>9</v>
      </c>
      <c r="D46" s="44">
        <f>'Monthly Data'!J46</f>
        <v>14135606.622677803</v>
      </c>
      <c r="E46" s="46">
        <f t="shared" ref="E46:F61" ca="1" si="6">E34</f>
        <v>0.49000000000000005</v>
      </c>
      <c r="F46" s="46">
        <f t="shared" ca="1" si="6"/>
        <v>85.65</v>
      </c>
      <c r="G46" s="29">
        <f>'Monthly Data'!BG46</f>
        <v>45</v>
      </c>
      <c r="H46" s="29">
        <f>'Monthly Data'!X46</f>
        <v>3116.8</v>
      </c>
      <c r="I46" s="44">
        <f>'Monthly Data'!BF46</f>
        <v>1</v>
      </c>
      <c r="K46" s="29">
        <f>'GS&lt;50 PW'!$B$6</f>
        <v>50.759309292559799</v>
      </c>
      <c r="L46" s="29">
        <f ca="1">E46*'GS&lt;50 PW'!$B$7</f>
        <v>1.5047695542688151E-2</v>
      </c>
      <c r="M46" s="29">
        <f ca="1">F46*'GS&lt;50 PW'!$B$8</f>
        <v>6.7487842923400985</v>
      </c>
      <c r="N46" s="29">
        <f>G46*'GS&lt;50 PW'!$B$9</f>
        <v>-4.3361912211436486</v>
      </c>
      <c r="O46" s="29">
        <f>H46*'GS&lt;50 PW'!$B$10</f>
        <v>39.619923702533619</v>
      </c>
      <c r="P46" s="44">
        <f>I46*'GS&lt;50 PW'!$B$11</f>
        <v>-1.9723066266223299</v>
      </c>
      <c r="Q46" s="44">
        <f>'Monthly Data'!H46</f>
        <v>5152</v>
      </c>
      <c r="R46" s="29">
        <f>'Monthly Data'!BH46</f>
        <v>30</v>
      </c>
      <c r="S46" s="28">
        <f t="shared" ca="1" si="3"/>
        <v>14039390.696418092</v>
      </c>
    </row>
    <row r="47" spans="1:19" x14ac:dyDescent="0.2">
      <c r="A47" s="45">
        <f>'Monthly Data'!A47</f>
        <v>41548</v>
      </c>
      <c r="B47" s="29">
        <f t="shared" si="1"/>
        <v>2013</v>
      </c>
      <c r="C47" s="29">
        <f t="shared" si="2"/>
        <v>10</v>
      </c>
      <c r="D47" s="44">
        <f>'Monthly Data'!J47</f>
        <v>13724627.622677803</v>
      </c>
      <c r="E47" s="46">
        <f t="shared" ca="1" si="6"/>
        <v>53.33000000000002</v>
      </c>
      <c r="F47" s="46">
        <f t="shared" ca="1" si="6"/>
        <v>12.219999999999999</v>
      </c>
      <c r="G47" s="29">
        <f>'Monthly Data'!BG47</f>
        <v>46</v>
      </c>
      <c r="H47" s="29">
        <f>'Monthly Data'!X47</f>
        <v>3116</v>
      </c>
      <c r="I47" s="44">
        <f>'Monthly Data'!BF47</f>
        <v>1</v>
      </c>
      <c r="K47" s="29">
        <f>'GS&lt;50 PW'!$B$6</f>
        <v>50.759309292559799</v>
      </c>
      <c r="L47" s="29">
        <f ca="1">E47*'GS&lt;50 PW'!$B$7</f>
        <v>1.6377420475337947</v>
      </c>
      <c r="M47" s="29">
        <f ca="1">F47*'GS&lt;50 PW'!$B$8</f>
        <v>0.96287383598827769</v>
      </c>
      <c r="N47" s="29">
        <f>G47*'GS&lt;50 PW'!$B$9</f>
        <v>-4.4325510260579515</v>
      </c>
      <c r="O47" s="29">
        <f>H47*'GS&lt;50 PW'!$B$10</f>
        <v>39.609754317599702</v>
      </c>
      <c r="P47" s="44">
        <f>I47*'GS&lt;50 PW'!$B$11</f>
        <v>-1.9723066266223299</v>
      </c>
      <c r="Q47" s="44">
        <f>'Monthly Data'!H47</f>
        <v>5151</v>
      </c>
      <c r="R47" s="29">
        <f>'Monthly Data'!BH47</f>
        <v>31</v>
      </c>
      <c r="S47" s="28">
        <f t="shared" ca="1" si="3"/>
        <v>13822757.316392926</v>
      </c>
    </row>
    <row r="48" spans="1:19" x14ac:dyDescent="0.2">
      <c r="A48" s="45">
        <f>'Monthly Data'!A48</f>
        <v>41579</v>
      </c>
      <c r="B48" s="29">
        <f t="shared" si="1"/>
        <v>2013</v>
      </c>
      <c r="C48" s="29">
        <f t="shared" si="2"/>
        <v>11</v>
      </c>
      <c r="D48" s="44">
        <f>'Monthly Data'!J48</f>
        <v>14236916.622677803</v>
      </c>
      <c r="E48" s="46">
        <f t="shared" ca="1" si="6"/>
        <v>207.66000000000003</v>
      </c>
      <c r="F48" s="46">
        <f t="shared" ca="1" si="6"/>
        <v>1.0000000000000142E-2</v>
      </c>
      <c r="G48" s="29">
        <f>'Monthly Data'!BG48</f>
        <v>47</v>
      </c>
      <c r="H48" s="29">
        <f>'Monthly Data'!X48</f>
        <v>3113.4</v>
      </c>
      <c r="I48" s="44">
        <f>'Monthly Data'!BF48</f>
        <v>1</v>
      </c>
      <c r="K48" s="29">
        <f>'GS&lt;50 PW'!$B$6</f>
        <v>50.759309292559799</v>
      </c>
      <c r="L48" s="29">
        <f ca="1">E48*'GS&lt;50 PW'!$B$7</f>
        <v>6.3771519518257582</v>
      </c>
      <c r="M48" s="29">
        <f ca="1">F48*'GS&lt;50 PW'!$B$8</f>
        <v>7.8794912928665433E-4</v>
      </c>
      <c r="N48" s="29">
        <f>G48*'GS&lt;50 PW'!$B$9</f>
        <v>-4.5289108309722543</v>
      </c>
      <c r="O48" s="29">
        <f>H48*'GS&lt;50 PW'!$B$10</f>
        <v>39.576703816564482</v>
      </c>
      <c r="P48" s="44">
        <f>I48*'GS&lt;50 PW'!$B$11</f>
        <v>-1.9723066266223299</v>
      </c>
      <c r="Q48" s="44">
        <f>'Monthly Data'!H48</f>
        <v>5173</v>
      </c>
      <c r="R48" s="29">
        <f>'Monthly Data'!BH48</f>
        <v>30</v>
      </c>
      <c r="S48" s="28">
        <f t="shared" ca="1" si="3"/>
        <v>14000114.43039011</v>
      </c>
    </row>
    <row r="49" spans="1:19" x14ac:dyDescent="0.2">
      <c r="A49" s="45">
        <f>'Monthly Data'!A49</f>
        <v>41609</v>
      </c>
      <c r="B49" s="29">
        <f t="shared" si="1"/>
        <v>2013</v>
      </c>
      <c r="C49" s="29">
        <f t="shared" si="2"/>
        <v>12</v>
      </c>
      <c r="D49" s="44">
        <f>'Monthly Data'!J49</f>
        <v>15780327.622677803</v>
      </c>
      <c r="E49" s="46">
        <f t="shared" ca="1" si="6"/>
        <v>351.65000000000003</v>
      </c>
      <c r="F49" s="46">
        <f t="shared" ca="1" si="6"/>
        <v>0</v>
      </c>
      <c r="G49" s="29">
        <f>'Monthly Data'!BG49</f>
        <v>48</v>
      </c>
      <c r="H49" s="29">
        <f>'Monthly Data'!X49</f>
        <v>3108.4</v>
      </c>
      <c r="I49" s="44">
        <f>'Monthly Data'!BF49</f>
        <v>0</v>
      </c>
      <c r="K49" s="29">
        <f>'GS&lt;50 PW'!$B$6</f>
        <v>50.759309292559799</v>
      </c>
      <c r="L49" s="29">
        <f ca="1">E49*'GS&lt;50 PW'!$B$7</f>
        <v>10.799024770584262</v>
      </c>
      <c r="M49" s="29">
        <f ca="1">F49*'GS&lt;50 PW'!$B$8</f>
        <v>0</v>
      </c>
      <c r="N49" s="29">
        <f>G49*'GS&lt;50 PW'!$B$9</f>
        <v>-4.6252706358865581</v>
      </c>
      <c r="O49" s="29">
        <f>H49*'GS&lt;50 PW'!$B$10</f>
        <v>39.513145160727511</v>
      </c>
      <c r="P49" s="44">
        <f>I49*'GS&lt;50 PW'!$B$11</f>
        <v>0</v>
      </c>
      <c r="Q49" s="44">
        <f>'Monthly Data'!H49</f>
        <v>5176</v>
      </c>
      <c r="R49" s="29">
        <f>'Monthly Data'!BH49</f>
        <v>31</v>
      </c>
      <c r="S49" s="28">
        <f t="shared" ca="1" si="3"/>
        <v>15475372.845193723</v>
      </c>
    </row>
    <row r="50" spans="1:19" x14ac:dyDescent="0.2">
      <c r="A50" s="45">
        <f>'Monthly Data'!A50</f>
        <v>41640</v>
      </c>
      <c r="B50" s="29">
        <f t="shared" si="1"/>
        <v>2014</v>
      </c>
      <c r="C50" s="29">
        <f t="shared" si="2"/>
        <v>1</v>
      </c>
      <c r="D50" s="44">
        <f>'Monthly Data'!J50</f>
        <v>16666551.644145023</v>
      </c>
      <c r="E50" s="46">
        <f t="shared" ca="1" si="6"/>
        <v>477.14</v>
      </c>
      <c r="F50" s="46">
        <f t="shared" ca="1" si="6"/>
        <v>0</v>
      </c>
      <c r="G50" s="29">
        <f>'Monthly Data'!BG50</f>
        <v>49</v>
      </c>
      <c r="H50" s="29">
        <f>'Monthly Data'!X50</f>
        <v>3105.1</v>
      </c>
      <c r="I50" s="44">
        <f>'Monthly Data'!BF50</f>
        <v>0</v>
      </c>
      <c r="K50" s="29">
        <f>'GS&lt;50 PW'!$B$6</f>
        <v>50.759309292559799</v>
      </c>
      <c r="L50" s="29">
        <f ca="1">E50*'GS&lt;50 PW'!$B$7</f>
        <v>14.652770308649437</v>
      </c>
      <c r="M50" s="29">
        <f ca="1">F50*'GS&lt;50 PW'!$B$8</f>
        <v>0</v>
      </c>
      <c r="N50" s="29">
        <f>G50*'GS&lt;50 PW'!$B$9</f>
        <v>-4.7216304408008618</v>
      </c>
      <c r="O50" s="29">
        <f>H50*'GS&lt;50 PW'!$B$10</f>
        <v>39.471196447875109</v>
      </c>
      <c r="P50" s="44">
        <f>I50*'GS&lt;50 PW'!$B$11</f>
        <v>0</v>
      </c>
      <c r="Q50" s="44">
        <f>'Monthly Data'!H50</f>
        <v>5174</v>
      </c>
      <c r="R50" s="29">
        <f>'Monthly Data'!BH50</f>
        <v>31</v>
      </c>
      <c r="S50" s="28">
        <f t="shared" ca="1" si="3"/>
        <v>16065326.985695018</v>
      </c>
    </row>
    <row r="51" spans="1:19" x14ac:dyDescent="0.2">
      <c r="A51" s="45">
        <f>'Monthly Data'!A51</f>
        <v>41671</v>
      </c>
      <c r="B51" s="29">
        <f t="shared" si="1"/>
        <v>2014</v>
      </c>
      <c r="C51" s="29">
        <f t="shared" si="2"/>
        <v>2</v>
      </c>
      <c r="D51" s="44">
        <f>'Monthly Data'!J51</f>
        <v>15212265.644145023</v>
      </c>
      <c r="E51" s="46">
        <f t="shared" ca="1" si="6"/>
        <v>417.05</v>
      </c>
      <c r="F51" s="46">
        <f t="shared" ca="1" si="6"/>
        <v>0</v>
      </c>
      <c r="G51" s="29">
        <f>'Monthly Data'!BG51</f>
        <v>50</v>
      </c>
      <c r="H51" s="29">
        <f>'Monthly Data'!X51</f>
        <v>3109.9</v>
      </c>
      <c r="I51" s="44">
        <f>'Monthly Data'!BF51</f>
        <v>0</v>
      </c>
      <c r="K51" s="29">
        <f>'GS&lt;50 PW'!$B$6</f>
        <v>50.759309292559799</v>
      </c>
      <c r="L51" s="29">
        <f ca="1">E51*'GS&lt;50 PW'!$B$7</f>
        <v>12.807431481792028</v>
      </c>
      <c r="M51" s="29">
        <f ca="1">F51*'GS&lt;50 PW'!$B$8</f>
        <v>0</v>
      </c>
      <c r="N51" s="29">
        <f>G51*'GS&lt;50 PW'!$B$9</f>
        <v>-4.8179902457151647</v>
      </c>
      <c r="O51" s="29">
        <f>H51*'GS&lt;50 PW'!$B$10</f>
        <v>39.532212757478604</v>
      </c>
      <c r="P51" s="44">
        <f>I51*'GS&lt;50 PW'!$B$11</f>
        <v>0</v>
      </c>
      <c r="Q51" s="44">
        <f>'Monthly Data'!H51</f>
        <v>5177</v>
      </c>
      <c r="R51" s="29">
        <f>'Monthly Data'!BH51</f>
        <v>28</v>
      </c>
      <c r="S51" s="28">
        <f t="shared" ca="1" si="3"/>
        <v>14246415.314102124</v>
      </c>
    </row>
    <row r="52" spans="1:19" x14ac:dyDescent="0.2">
      <c r="A52" s="45">
        <f>'Monthly Data'!A52</f>
        <v>41699</v>
      </c>
      <c r="B52" s="29">
        <f t="shared" si="1"/>
        <v>2014</v>
      </c>
      <c r="C52" s="29">
        <f t="shared" si="2"/>
        <v>3</v>
      </c>
      <c r="D52" s="44">
        <f>'Monthly Data'!J52</f>
        <v>15928487.644145023</v>
      </c>
      <c r="E52" s="46">
        <f t="shared" ca="1" si="6"/>
        <v>332.70999999999992</v>
      </c>
      <c r="F52" s="46">
        <f t="shared" ca="1" si="6"/>
        <v>0</v>
      </c>
      <c r="G52" s="29">
        <f>'Monthly Data'!BG52</f>
        <v>51</v>
      </c>
      <c r="H52" s="29">
        <f>'Monthly Data'!X52</f>
        <v>3115.2</v>
      </c>
      <c r="I52" s="44">
        <f>'Monthly Data'!BF52</f>
        <v>1</v>
      </c>
      <c r="K52" s="29">
        <f>'GS&lt;50 PW'!$B$6</f>
        <v>50.759309292559799</v>
      </c>
      <c r="L52" s="29">
        <f ca="1">E52*'GS&lt;50 PW'!$B$7</f>
        <v>10.217385273485252</v>
      </c>
      <c r="M52" s="29">
        <f ca="1">F52*'GS&lt;50 PW'!$B$8</f>
        <v>0</v>
      </c>
      <c r="N52" s="29">
        <f>G52*'GS&lt;50 PW'!$B$9</f>
        <v>-4.9143500506294675</v>
      </c>
      <c r="O52" s="29">
        <f>H52*'GS&lt;50 PW'!$B$10</f>
        <v>39.599584932665785</v>
      </c>
      <c r="P52" s="44">
        <f>I52*'GS&lt;50 PW'!$B$11</f>
        <v>-1.9723066266223299</v>
      </c>
      <c r="Q52" s="44">
        <f>'Monthly Data'!H52</f>
        <v>5180</v>
      </c>
      <c r="R52" s="29">
        <f>'Monthly Data'!BH52</f>
        <v>31</v>
      </c>
      <c r="S52" s="28">
        <f t="shared" ca="1" si="3"/>
        <v>15044679.632669894</v>
      </c>
    </row>
    <row r="53" spans="1:19" x14ac:dyDescent="0.2">
      <c r="A53" s="45">
        <f>'Monthly Data'!A53</f>
        <v>41730</v>
      </c>
      <c r="B53" s="29">
        <f t="shared" si="1"/>
        <v>2014</v>
      </c>
      <c r="C53" s="29">
        <f t="shared" si="2"/>
        <v>4</v>
      </c>
      <c r="D53" s="44">
        <f>'Monthly Data'!J53</f>
        <v>13755808.644145023</v>
      </c>
      <c r="E53" s="46">
        <f t="shared" ca="1" si="6"/>
        <v>164.53999999999996</v>
      </c>
      <c r="F53" s="46">
        <f t="shared" ca="1" si="6"/>
        <v>0.16999999999999993</v>
      </c>
      <c r="G53" s="29">
        <f>'Monthly Data'!BG53</f>
        <v>52</v>
      </c>
      <c r="H53" s="29">
        <f>'Monthly Data'!X53</f>
        <v>3126.8</v>
      </c>
      <c r="I53" s="44">
        <f>'Monthly Data'!BF53</f>
        <v>1</v>
      </c>
      <c r="K53" s="29">
        <f>'GS&lt;50 PW'!$B$6</f>
        <v>50.759309292559799</v>
      </c>
      <c r="L53" s="29">
        <f ca="1">E53*'GS&lt;50 PW'!$B$7</f>
        <v>5.0529547440691998</v>
      </c>
      <c r="M53" s="29">
        <f ca="1">F53*'GS&lt;50 PW'!$B$8</f>
        <v>1.3395135197872927E-2</v>
      </c>
      <c r="N53" s="29">
        <f>G53*'GS&lt;50 PW'!$B$9</f>
        <v>-5.0107098555437712</v>
      </c>
      <c r="O53" s="29">
        <f>H53*'GS&lt;50 PW'!$B$10</f>
        <v>39.747041014207561</v>
      </c>
      <c r="P53" s="44">
        <f>I53*'GS&lt;50 PW'!$B$11</f>
        <v>-1.9723066266223299</v>
      </c>
      <c r="Q53" s="44">
        <f>'Monthly Data'!H53</f>
        <v>5185</v>
      </c>
      <c r="R53" s="29">
        <f>'Monthly Data'!BH53</f>
        <v>30</v>
      </c>
      <c r="S53" s="28">
        <f t="shared" ca="1" si="3"/>
        <v>13780125.300136719</v>
      </c>
    </row>
    <row r="54" spans="1:19" x14ac:dyDescent="0.2">
      <c r="A54" s="45">
        <f>'Monthly Data'!A54</f>
        <v>41760</v>
      </c>
      <c r="B54" s="29">
        <f t="shared" si="1"/>
        <v>2014</v>
      </c>
      <c r="C54" s="29">
        <f t="shared" si="2"/>
        <v>5</v>
      </c>
      <c r="D54" s="44">
        <f>'Monthly Data'!J54</f>
        <v>13728640.644145023</v>
      </c>
      <c r="E54" s="46">
        <f t="shared" ca="1" si="6"/>
        <v>35.92</v>
      </c>
      <c r="F54" s="46">
        <f t="shared" ca="1" si="6"/>
        <v>30.080000000000002</v>
      </c>
      <c r="G54" s="29">
        <f>'Monthly Data'!BG54</f>
        <v>53</v>
      </c>
      <c r="H54" s="29">
        <f>'Monthly Data'!X54</f>
        <v>3114.3</v>
      </c>
      <c r="I54" s="44">
        <f>'Monthly Data'!BF54</f>
        <v>1</v>
      </c>
      <c r="K54" s="29">
        <f>'GS&lt;50 PW'!$B$6</f>
        <v>50.759309292559799</v>
      </c>
      <c r="L54" s="29">
        <f ca="1">E54*'GS&lt;50 PW'!$B$7</f>
        <v>1.103088212027262</v>
      </c>
      <c r="M54" s="29">
        <f ca="1">F54*'GS&lt;50 PW'!$B$8</f>
        <v>2.3701509808942225</v>
      </c>
      <c r="N54" s="29">
        <f>G54*'GS&lt;50 PW'!$B$9</f>
        <v>-5.107069660458075</v>
      </c>
      <c r="O54" s="29">
        <f>H54*'GS&lt;50 PW'!$B$10</f>
        <v>39.588144374615133</v>
      </c>
      <c r="P54" s="44">
        <f>I54*'GS&lt;50 PW'!$B$11</f>
        <v>-1.9723066266223299</v>
      </c>
      <c r="Q54" s="44">
        <f>'Monthly Data'!H54</f>
        <v>5182</v>
      </c>
      <c r="R54" s="29">
        <f>'Monthly Data'!BH54</f>
        <v>31</v>
      </c>
      <c r="S54" s="28">
        <f t="shared" ca="1" si="3"/>
        <v>13934298.576922437</v>
      </c>
    </row>
    <row r="55" spans="1:19" x14ac:dyDescent="0.2">
      <c r="A55" s="45">
        <f>'Monthly Data'!A55</f>
        <v>41791</v>
      </c>
      <c r="B55" s="29">
        <f t="shared" si="1"/>
        <v>2014</v>
      </c>
      <c r="C55" s="29">
        <f t="shared" si="2"/>
        <v>6</v>
      </c>
      <c r="D55" s="44">
        <f>'Monthly Data'!J55</f>
        <v>14380195.644145023</v>
      </c>
      <c r="E55" s="46">
        <f t="shared" ca="1" si="6"/>
        <v>0.37999999999999989</v>
      </c>
      <c r="F55" s="46">
        <f t="shared" ca="1" si="6"/>
        <v>94.58</v>
      </c>
      <c r="G55" s="29">
        <f>'Monthly Data'!BG55</f>
        <v>54</v>
      </c>
      <c r="H55" s="29">
        <f>'Monthly Data'!X55</f>
        <v>3091.8</v>
      </c>
      <c r="I55" s="44">
        <f>'Monthly Data'!BF55</f>
        <v>0</v>
      </c>
      <c r="K55" s="29">
        <f>'GS&lt;50 PW'!$B$6</f>
        <v>50.759309292559799</v>
      </c>
      <c r="L55" s="29">
        <f ca="1">E55*'GS&lt;50 PW'!$B$7</f>
        <v>1.1669641441268358E-2</v>
      </c>
      <c r="M55" s="29">
        <f ca="1">F55*'GS&lt;50 PW'!$B$8</f>
        <v>7.4524228647930704</v>
      </c>
      <c r="N55" s="29">
        <f>G55*'GS&lt;50 PW'!$B$9</f>
        <v>-5.2034294653723778</v>
      </c>
      <c r="O55" s="29">
        <f>H55*'GS&lt;50 PW'!$B$10</f>
        <v>39.302130423348771</v>
      </c>
      <c r="P55" s="44">
        <f>I55*'GS&lt;50 PW'!$B$11</f>
        <v>0</v>
      </c>
      <c r="Q55" s="44">
        <f>'Monthly Data'!H55</f>
        <v>5192.5</v>
      </c>
      <c r="R55" s="29">
        <f>'Monthly Data'!BH55</f>
        <v>30</v>
      </c>
      <c r="S55" s="28">
        <f t="shared" ca="1" si="3"/>
        <v>14381475.556935931</v>
      </c>
    </row>
    <row r="56" spans="1:19" x14ac:dyDescent="0.2">
      <c r="A56" s="45">
        <f>'Monthly Data'!A56</f>
        <v>41821</v>
      </c>
      <c r="B56" s="29">
        <f t="shared" si="1"/>
        <v>2014</v>
      </c>
      <c r="C56" s="29">
        <f t="shared" si="2"/>
        <v>7</v>
      </c>
      <c r="D56" s="44">
        <f>'Monthly Data'!J56</f>
        <v>15171411.644145023</v>
      </c>
      <c r="E56" s="46">
        <f t="shared" ca="1" si="6"/>
        <v>0</v>
      </c>
      <c r="F56" s="46">
        <f t="shared" ca="1" si="6"/>
        <v>206.28000000000003</v>
      </c>
      <c r="G56" s="29">
        <f>'Monthly Data'!BG56</f>
        <v>55</v>
      </c>
      <c r="H56" s="29">
        <f>'Monthly Data'!X56</f>
        <v>3067.1</v>
      </c>
      <c r="I56" s="44">
        <f>'Monthly Data'!BF56</f>
        <v>0</v>
      </c>
      <c r="K56" s="29">
        <f>'GS&lt;50 PW'!$B$6</f>
        <v>50.759309292559799</v>
      </c>
      <c r="L56" s="29">
        <f ca="1">E56*'GS&lt;50 PW'!$B$7</f>
        <v>0</v>
      </c>
      <c r="M56" s="29">
        <f ca="1">F56*'GS&lt;50 PW'!$B$8</f>
        <v>16.253814638924876</v>
      </c>
      <c r="N56" s="29">
        <f>G56*'GS&lt;50 PW'!$B$9</f>
        <v>-5.2997892702866807</v>
      </c>
      <c r="O56" s="29">
        <f>H56*'GS&lt;50 PW'!$B$10</f>
        <v>38.988150663514133</v>
      </c>
      <c r="P56" s="44">
        <f>I56*'GS&lt;50 PW'!$B$11</f>
        <v>0</v>
      </c>
      <c r="Q56" s="44">
        <f>'Monthly Data'!H56</f>
        <v>5203</v>
      </c>
      <c r="R56" s="29">
        <f>'Monthly Data'!BH56</f>
        <v>31</v>
      </c>
      <c r="S56" s="28">
        <f t="shared" ca="1" si="3"/>
        <v>16242444.672478791</v>
      </c>
    </row>
    <row r="57" spans="1:19" x14ac:dyDescent="0.2">
      <c r="A57" s="45">
        <f>'Monthly Data'!A57</f>
        <v>41852</v>
      </c>
      <c r="B57" s="29">
        <f t="shared" si="1"/>
        <v>2014</v>
      </c>
      <c r="C57" s="29">
        <f t="shared" si="2"/>
        <v>8</v>
      </c>
      <c r="D57" s="44">
        <f>'Monthly Data'!J57</f>
        <v>14799566.644145023</v>
      </c>
      <c r="E57" s="46">
        <f t="shared" ca="1" si="6"/>
        <v>0</v>
      </c>
      <c r="F57" s="46">
        <f t="shared" ca="1" si="6"/>
        <v>177.64000000000001</v>
      </c>
      <c r="G57" s="29">
        <f>'Monthly Data'!BG57</f>
        <v>56</v>
      </c>
      <c r="H57" s="29">
        <f>'Monthly Data'!X57</f>
        <v>3056.5</v>
      </c>
      <c r="I57" s="44">
        <f>'Monthly Data'!BF57</f>
        <v>0</v>
      </c>
      <c r="K57" s="29">
        <f>'GS&lt;50 PW'!$B$6</f>
        <v>50.759309292559799</v>
      </c>
      <c r="L57" s="29">
        <f ca="1">E57*'GS&lt;50 PW'!$B$7</f>
        <v>0</v>
      </c>
      <c r="M57" s="29">
        <f ca="1">F57*'GS&lt;50 PW'!$B$8</f>
        <v>13.997128332647929</v>
      </c>
      <c r="N57" s="29">
        <f>G57*'GS&lt;50 PW'!$B$9</f>
        <v>-5.3961490752009844</v>
      </c>
      <c r="O57" s="29">
        <f>H57*'GS&lt;50 PW'!$B$10</f>
        <v>38.853406313139764</v>
      </c>
      <c r="P57" s="44">
        <f>I57*'GS&lt;50 PW'!$B$11</f>
        <v>0</v>
      </c>
      <c r="Q57" s="44">
        <f>'Monthly Data'!H57</f>
        <v>5210</v>
      </c>
      <c r="R57" s="29">
        <f>'Monthly Data'!BH57</f>
        <v>31</v>
      </c>
      <c r="S57" s="28">
        <f t="shared" ca="1" si="3"/>
        <v>15862493.857346794</v>
      </c>
    </row>
    <row r="58" spans="1:19" x14ac:dyDescent="0.2">
      <c r="A58" s="45">
        <f>'Monthly Data'!A58</f>
        <v>41883</v>
      </c>
      <c r="B58" s="29">
        <f t="shared" si="1"/>
        <v>2014</v>
      </c>
      <c r="C58" s="29">
        <f t="shared" si="2"/>
        <v>9</v>
      </c>
      <c r="D58" s="44">
        <f>'Monthly Data'!J58</f>
        <v>13670813.644145023</v>
      </c>
      <c r="E58" s="46">
        <f t="shared" ca="1" si="6"/>
        <v>0.49000000000000005</v>
      </c>
      <c r="F58" s="46">
        <f t="shared" ca="1" si="6"/>
        <v>85.65</v>
      </c>
      <c r="G58" s="29">
        <f>'Monthly Data'!BG58</f>
        <v>57</v>
      </c>
      <c r="H58" s="29">
        <f>'Monthly Data'!X58</f>
        <v>3058.5</v>
      </c>
      <c r="I58" s="44">
        <f>'Monthly Data'!BF58</f>
        <v>1</v>
      </c>
      <c r="K58" s="29">
        <f>'GS&lt;50 PW'!$B$6</f>
        <v>50.759309292559799</v>
      </c>
      <c r="L58" s="29">
        <f ca="1">E58*'GS&lt;50 PW'!$B$7</f>
        <v>1.5047695542688151E-2</v>
      </c>
      <c r="M58" s="29">
        <f ca="1">F58*'GS&lt;50 PW'!$B$8</f>
        <v>6.7487842923400985</v>
      </c>
      <c r="N58" s="29">
        <f>G58*'GS&lt;50 PW'!$B$9</f>
        <v>-5.4925088801152882</v>
      </c>
      <c r="O58" s="29">
        <f>H58*'GS&lt;50 PW'!$B$10</f>
        <v>38.87882977547455</v>
      </c>
      <c r="P58" s="44">
        <f>I58*'GS&lt;50 PW'!$B$11</f>
        <v>-1.9723066266223299</v>
      </c>
      <c r="Q58" s="44">
        <f>'Monthly Data'!H58</f>
        <v>5214</v>
      </c>
      <c r="R58" s="29">
        <f>'Monthly Data'!BH58</f>
        <v>30</v>
      </c>
      <c r="S58" s="28">
        <f t="shared" ca="1" si="3"/>
        <v>13911549.871002661</v>
      </c>
    </row>
    <row r="59" spans="1:19" x14ac:dyDescent="0.2">
      <c r="A59" s="45">
        <f>'Monthly Data'!A59</f>
        <v>41913</v>
      </c>
      <c r="B59" s="29">
        <f t="shared" si="1"/>
        <v>2014</v>
      </c>
      <c r="C59" s="29">
        <f t="shared" si="2"/>
        <v>10</v>
      </c>
      <c r="D59" s="44">
        <f>'Monthly Data'!J59</f>
        <v>13266929.644145023</v>
      </c>
      <c r="E59" s="46">
        <f t="shared" ca="1" si="6"/>
        <v>53.33000000000002</v>
      </c>
      <c r="F59" s="46">
        <f t="shared" ca="1" si="6"/>
        <v>12.219999999999999</v>
      </c>
      <c r="G59" s="29">
        <f>'Monthly Data'!BG59</f>
        <v>58</v>
      </c>
      <c r="H59" s="29">
        <f>'Monthly Data'!X59</f>
        <v>3072.7</v>
      </c>
      <c r="I59" s="44">
        <f>'Monthly Data'!BF59</f>
        <v>1</v>
      </c>
      <c r="K59" s="29">
        <f>'GS&lt;50 PW'!$B$6</f>
        <v>50.759309292559799</v>
      </c>
      <c r="L59" s="29">
        <f ca="1">E59*'GS&lt;50 PW'!$B$7</f>
        <v>1.6377420475337947</v>
      </c>
      <c r="M59" s="29">
        <f ca="1">F59*'GS&lt;50 PW'!$B$8</f>
        <v>0.96287383598827769</v>
      </c>
      <c r="N59" s="29">
        <f>G59*'GS&lt;50 PW'!$B$9</f>
        <v>-5.588868685029591</v>
      </c>
      <c r="O59" s="29">
        <f>H59*'GS&lt;50 PW'!$B$10</f>
        <v>39.059336358051539</v>
      </c>
      <c r="P59" s="44">
        <f>I59*'GS&lt;50 PW'!$B$11</f>
        <v>-1.9723066266223299</v>
      </c>
      <c r="Q59" s="44">
        <f>'Monthly Data'!H59</f>
        <v>5215</v>
      </c>
      <c r="R59" s="29">
        <f>'Monthly Data'!BH59</f>
        <v>31</v>
      </c>
      <c r="S59" s="28">
        <f t="shared" ca="1" si="3"/>
        <v>13718582.509157469</v>
      </c>
    </row>
    <row r="60" spans="1:19" x14ac:dyDescent="0.2">
      <c r="A60" s="45">
        <f>'Monthly Data'!A60</f>
        <v>41944</v>
      </c>
      <c r="B60" s="29">
        <f t="shared" si="1"/>
        <v>2014</v>
      </c>
      <c r="C60" s="29">
        <f t="shared" si="2"/>
        <v>11</v>
      </c>
      <c r="D60" s="44">
        <f>'Monthly Data'!J60</f>
        <v>14011300.644145023</v>
      </c>
      <c r="E60" s="46">
        <f t="shared" ca="1" si="6"/>
        <v>207.66000000000003</v>
      </c>
      <c r="F60" s="46">
        <f t="shared" ca="1" si="6"/>
        <v>1.0000000000000142E-2</v>
      </c>
      <c r="G60" s="29">
        <f>'Monthly Data'!BG60</f>
        <v>59</v>
      </c>
      <c r="H60" s="29">
        <f>'Monthly Data'!X60</f>
        <v>3082</v>
      </c>
      <c r="I60" s="44">
        <f>'Monthly Data'!BF60</f>
        <v>1</v>
      </c>
      <c r="K60" s="29">
        <f>'GS&lt;50 PW'!$B$6</f>
        <v>50.759309292559799</v>
      </c>
      <c r="L60" s="29">
        <f ca="1">E60*'GS&lt;50 PW'!$B$7</f>
        <v>6.3771519518257582</v>
      </c>
      <c r="M60" s="29">
        <f ca="1">F60*'GS&lt;50 PW'!$B$8</f>
        <v>7.8794912928665433E-4</v>
      </c>
      <c r="N60" s="29">
        <f>G60*'GS&lt;50 PW'!$B$9</f>
        <v>-5.6852284899438938</v>
      </c>
      <c r="O60" s="29">
        <f>H60*'GS&lt;50 PW'!$B$10</f>
        <v>39.177555457908305</v>
      </c>
      <c r="P60" s="44">
        <f>I60*'GS&lt;50 PW'!$B$11</f>
        <v>-1.9723066266223299</v>
      </c>
      <c r="Q60" s="44">
        <f>'Monthly Data'!H60</f>
        <v>5219</v>
      </c>
      <c r="R60" s="29">
        <f>'Monthly Data'!BH60</f>
        <v>30</v>
      </c>
      <c r="S60" s="28">
        <f t="shared" ca="1" si="3"/>
        <v>13881068.691072552</v>
      </c>
    </row>
    <row r="61" spans="1:19" x14ac:dyDescent="0.2">
      <c r="A61" s="45">
        <f>'Monthly Data'!A61</f>
        <v>41974</v>
      </c>
      <c r="B61" s="29">
        <f t="shared" si="1"/>
        <v>2014</v>
      </c>
      <c r="C61" s="29">
        <f t="shared" si="2"/>
        <v>12</v>
      </c>
      <c r="D61" s="44">
        <f>'Monthly Data'!J61</f>
        <v>15136895.644145023</v>
      </c>
      <c r="E61" s="46">
        <f t="shared" ca="1" si="6"/>
        <v>351.65000000000003</v>
      </c>
      <c r="F61" s="46">
        <f t="shared" ca="1" si="6"/>
        <v>0</v>
      </c>
      <c r="G61" s="29">
        <f>'Monthly Data'!BG61</f>
        <v>60</v>
      </c>
      <c r="H61" s="29">
        <f>'Monthly Data'!X61</f>
        <v>3080.1</v>
      </c>
      <c r="I61" s="44">
        <f>'Monthly Data'!BF61</f>
        <v>0</v>
      </c>
      <c r="K61" s="29">
        <f>'GS&lt;50 PW'!$B$6</f>
        <v>50.759309292559799</v>
      </c>
      <c r="L61" s="29">
        <f ca="1">E61*'GS&lt;50 PW'!$B$7</f>
        <v>10.799024770584262</v>
      </c>
      <c r="M61" s="29">
        <f ca="1">F61*'GS&lt;50 PW'!$B$8</f>
        <v>0</v>
      </c>
      <c r="N61" s="29">
        <f>G61*'GS&lt;50 PW'!$B$9</f>
        <v>-5.7815882948581976</v>
      </c>
      <c r="O61" s="29">
        <f>H61*'GS&lt;50 PW'!$B$10</f>
        <v>39.153403168690261</v>
      </c>
      <c r="P61" s="44">
        <f>I61*'GS&lt;50 PW'!$B$11</f>
        <v>0</v>
      </c>
      <c r="Q61" s="44">
        <f>'Monthly Data'!H61</f>
        <v>5230</v>
      </c>
      <c r="R61" s="29">
        <f>'Monthly Data'!BH61</f>
        <v>31</v>
      </c>
      <c r="S61" s="28">
        <f t="shared" ca="1" si="3"/>
        <v>15391025.047151938</v>
      </c>
    </row>
    <row r="62" spans="1:19" x14ac:dyDescent="0.2">
      <c r="A62" s="45">
        <f>'Monthly Data'!A62</f>
        <v>42005</v>
      </c>
      <c r="B62" s="29">
        <f t="shared" si="1"/>
        <v>2015</v>
      </c>
      <c r="C62" s="29">
        <f t="shared" si="2"/>
        <v>1</v>
      </c>
      <c r="D62" s="44">
        <f>'Monthly Data'!J62</f>
        <v>16182556.699089883</v>
      </c>
      <c r="E62" s="46">
        <f t="shared" ref="E62:F77" ca="1" si="7">E50</f>
        <v>477.14</v>
      </c>
      <c r="F62" s="46">
        <f t="shared" ca="1" si="7"/>
        <v>0</v>
      </c>
      <c r="G62" s="29">
        <f>'Monthly Data'!BG62</f>
        <v>61</v>
      </c>
      <c r="H62" s="29">
        <f>'Monthly Data'!X62</f>
        <v>3076.8</v>
      </c>
      <c r="I62" s="44">
        <f>'Monthly Data'!BF62</f>
        <v>0</v>
      </c>
      <c r="K62" s="29">
        <f>'GS&lt;50 PW'!$B$6</f>
        <v>50.759309292559799</v>
      </c>
      <c r="L62" s="29">
        <f ca="1">E62*'GS&lt;50 PW'!$B$7</f>
        <v>14.652770308649437</v>
      </c>
      <c r="M62" s="29">
        <f ca="1">F62*'GS&lt;50 PW'!$B$8</f>
        <v>0</v>
      </c>
      <c r="N62" s="29">
        <f>G62*'GS&lt;50 PW'!$B$9</f>
        <v>-5.8779480997725013</v>
      </c>
      <c r="O62" s="29">
        <f>H62*'GS&lt;50 PW'!$B$10</f>
        <v>39.111454455837865</v>
      </c>
      <c r="P62" s="44">
        <f>I62*'GS&lt;50 PW'!$B$11</f>
        <v>0</v>
      </c>
      <c r="Q62" s="44">
        <f>'Monthly Data'!H62</f>
        <v>5230</v>
      </c>
      <c r="R62" s="29">
        <f>'Monthly Data'!BH62</f>
        <v>31</v>
      </c>
      <c r="S62" s="28">
        <f t="shared" ca="1" si="3"/>
        <v>15993408.85125293</v>
      </c>
    </row>
    <row r="63" spans="1:19" x14ac:dyDescent="0.2">
      <c r="A63" s="45">
        <f>'Monthly Data'!A63</f>
        <v>42036</v>
      </c>
      <c r="B63" s="29">
        <f t="shared" si="1"/>
        <v>2015</v>
      </c>
      <c r="C63" s="29">
        <f t="shared" si="2"/>
        <v>2</v>
      </c>
      <c r="D63" s="44">
        <f>'Monthly Data'!J63</f>
        <v>15130034.699089883</v>
      </c>
      <c r="E63" s="46">
        <f t="shared" ca="1" si="7"/>
        <v>417.05</v>
      </c>
      <c r="F63" s="46">
        <f t="shared" ca="1" si="7"/>
        <v>0</v>
      </c>
      <c r="G63" s="29">
        <f>'Monthly Data'!BG63</f>
        <v>62</v>
      </c>
      <c r="H63" s="29">
        <f>'Monthly Data'!X63</f>
        <v>3085.5</v>
      </c>
      <c r="I63" s="44">
        <f>'Monthly Data'!BF63</f>
        <v>0</v>
      </c>
      <c r="K63" s="29">
        <f>'GS&lt;50 PW'!$B$6</f>
        <v>50.759309292559799</v>
      </c>
      <c r="L63" s="29">
        <f ca="1">E63*'GS&lt;50 PW'!$B$7</f>
        <v>12.807431481792028</v>
      </c>
      <c r="M63" s="29">
        <f ca="1">F63*'GS&lt;50 PW'!$B$8</f>
        <v>0</v>
      </c>
      <c r="N63" s="29">
        <f>G63*'GS&lt;50 PW'!$B$9</f>
        <v>-5.9743079046868042</v>
      </c>
      <c r="O63" s="29">
        <f>H63*'GS&lt;50 PW'!$B$10</f>
        <v>39.22204651699419</v>
      </c>
      <c r="P63" s="44">
        <f>I63*'GS&lt;50 PW'!$B$11</f>
        <v>0</v>
      </c>
      <c r="Q63" s="44">
        <f>'Monthly Data'!H63</f>
        <v>5234</v>
      </c>
      <c r="R63" s="29">
        <f>'Monthly Data'!BH63</f>
        <v>28</v>
      </c>
      <c r="S63" s="28">
        <f t="shared" ca="1" si="3"/>
        <v>14188355.583073681</v>
      </c>
    </row>
    <row r="64" spans="1:19" x14ac:dyDescent="0.2">
      <c r="A64" s="45">
        <f>'Monthly Data'!A64</f>
        <v>42064</v>
      </c>
      <c r="B64" s="29">
        <f t="shared" si="1"/>
        <v>2015</v>
      </c>
      <c r="C64" s="29">
        <f t="shared" si="2"/>
        <v>3</v>
      </c>
      <c r="D64" s="44">
        <f>'Monthly Data'!J64</f>
        <v>15540011.699089883</v>
      </c>
      <c r="E64" s="46">
        <f t="shared" ca="1" si="7"/>
        <v>332.70999999999992</v>
      </c>
      <c r="F64" s="46">
        <f t="shared" ca="1" si="7"/>
        <v>0</v>
      </c>
      <c r="G64" s="29">
        <f>'Monthly Data'!BG64</f>
        <v>63</v>
      </c>
      <c r="H64" s="29">
        <f>'Monthly Data'!X64</f>
        <v>3108.7</v>
      </c>
      <c r="I64" s="44">
        <f>'Monthly Data'!BF64</f>
        <v>1</v>
      </c>
      <c r="K64" s="29">
        <f>'GS&lt;50 PW'!$B$6</f>
        <v>50.759309292559799</v>
      </c>
      <c r="L64" s="29">
        <f ca="1">E64*'GS&lt;50 PW'!$B$7</f>
        <v>10.217385273485252</v>
      </c>
      <c r="M64" s="29">
        <f ca="1">F64*'GS&lt;50 PW'!$B$8</f>
        <v>0</v>
      </c>
      <c r="N64" s="29">
        <f>G64*'GS&lt;50 PW'!$B$9</f>
        <v>-6.070667709601107</v>
      </c>
      <c r="O64" s="29">
        <f>H64*'GS&lt;50 PW'!$B$10</f>
        <v>39.516958680077728</v>
      </c>
      <c r="P64" s="44">
        <f>I64*'GS&lt;50 PW'!$B$11</f>
        <v>-1.9723066266223299</v>
      </c>
      <c r="Q64" s="44">
        <f>'Monthly Data'!H64</f>
        <v>5236</v>
      </c>
      <c r="R64" s="29">
        <f>'Monthly Data'!BH64</f>
        <v>31</v>
      </c>
      <c r="S64" s="28">
        <f t="shared" ca="1" si="3"/>
        <v>15006224.397939224</v>
      </c>
    </row>
    <row r="65" spans="1:19" x14ac:dyDescent="0.2">
      <c r="A65" s="45">
        <f>'Monthly Data'!A65</f>
        <v>42095</v>
      </c>
      <c r="B65" s="29">
        <f t="shared" si="1"/>
        <v>2015</v>
      </c>
      <c r="C65" s="29">
        <f t="shared" si="2"/>
        <v>4</v>
      </c>
      <c r="D65" s="44">
        <f>'Monthly Data'!J65</f>
        <v>13711956.699089883</v>
      </c>
      <c r="E65" s="46">
        <f t="shared" ca="1" si="7"/>
        <v>164.53999999999996</v>
      </c>
      <c r="F65" s="46">
        <f t="shared" ca="1" si="7"/>
        <v>0.16999999999999993</v>
      </c>
      <c r="G65" s="29">
        <f>'Monthly Data'!BG65</f>
        <v>64</v>
      </c>
      <c r="H65" s="29">
        <f>'Monthly Data'!X65</f>
        <v>3122.7</v>
      </c>
      <c r="I65" s="44">
        <f>'Monthly Data'!BF65</f>
        <v>1</v>
      </c>
      <c r="K65" s="29">
        <f>'GS&lt;50 PW'!$B$6</f>
        <v>50.759309292559799</v>
      </c>
      <c r="L65" s="29">
        <f ca="1">E65*'GS&lt;50 PW'!$B$7</f>
        <v>5.0529547440691998</v>
      </c>
      <c r="M65" s="29">
        <f ca="1">F65*'GS&lt;50 PW'!$B$8</f>
        <v>1.3395135197872927E-2</v>
      </c>
      <c r="N65" s="29">
        <f>G65*'GS&lt;50 PW'!$B$9</f>
        <v>-6.1670275145154108</v>
      </c>
      <c r="O65" s="29">
        <f>H65*'GS&lt;50 PW'!$B$10</f>
        <v>39.694922916421241</v>
      </c>
      <c r="P65" s="44">
        <f>I65*'GS&lt;50 PW'!$B$11</f>
        <v>-1.9723066266223299</v>
      </c>
      <c r="Q65" s="44">
        <f>'Monthly Data'!H65</f>
        <v>5236</v>
      </c>
      <c r="R65" s="29">
        <f>'Monthly Data'!BH65</f>
        <v>30</v>
      </c>
      <c r="S65" s="28">
        <f t="shared" ca="1" si="3"/>
        <v>13725846.427532097</v>
      </c>
    </row>
    <row r="66" spans="1:19" x14ac:dyDescent="0.2">
      <c r="A66" s="45">
        <f>'Monthly Data'!A66</f>
        <v>42125</v>
      </c>
      <c r="B66" s="29">
        <f t="shared" ref="B66:B129" si="8">YEAR(A66)</f>
        <v>2015</v>
      </c>
      <c r="C66" s="29">
        <f t="shared" ref="C66:C129" si="9">MONTH(A66)</f>
        <v>5</v>
      </c>
      <c r="D66" s="44">
        <f>'Monthly Data'!J66</f>
        <v>13844626.699089883</v>
      </c>
      <c r="E66" s="46">
        <f t="shared" ca="1" si="7"/>
        <v>35.92</v>
      </c>
      <c r="F66" s="46">
        <f t="shared" ca="1" si="7"/>
        <v>30.080000000000002</v>
      </c>
      <c r="G66" s="29">
        <f>'Monthly Data'!BG66</f>
        <v>65</v>
      </c>
      <c r="H66" s="29">
        <f>'Monthly Data'!X66</f>
        <v>3142.3</v>
      </c>
      <c r="I66" s="44">
        <f>'Monthly Data'!BF66</f>
        <v>1</v>
      </c>
      <c r="K66" s="29">
        <f>'GS&lt;50 PW'!$B$6</f>
        <v>50.759309292559799</v>
      </c>
      <c r="L66" s="29">
        <f ca="1">E66*'GS&lt;50 PW'!$B$7</f>
        <v>1.103088212027262</v>
      </c>
      <c r="M66" s="29">
        <f ca="1">F66*'GS&lt;50 PW'!$B$8</f>
        <v>2.3701509808942225</v>
      </c>
      <c r="N66" s="29">
        <f>G66*'GS&lt;50 PW'!$B$9</f>
        <v>-6.2633873194297145</v>
      </c>
      <c r="O66" s="29">
        <f>H66*'GS&lt;50 PW'!$B$10</f>
        <v>39.944072847302166</v>
      </c>
      <c r="P66" s="44">
        <f>I66*'GS&lt;50 PW'!$B$11</f>
        <v>-1.9723066266223299</v>
      </c>
      <c r="Q66" s="44">
        <f>'Monthly Data'!H66</f>
        <v>5250</v>
      </c>
      <c r="R66" s="29">
        <f>'Monthly Data'!BH66</f>
        <v>31</v>
      </c>
      <c r="S66" s="28">
        <f t="shared" ca="1" si="3"/>
        <v>13986885.932190537</v>
      </c>
    </row>
    <row r="67" spans="1:19" x14ac:dyDescent="0.2">
      <c r="A67" s="45">
        <f>'Monthly Data'!A67</f>
        <v>42156</v>
      </c>
      <c r="B67" s="29">
        <f t="shared" si="8"/>
        <v>2015</v>
      </c>
      <c r="C67" s="29">
        <f t="shared" si="9"/>
        <v>6</v>
      </c>
      <c r="D67" s="44">
        <f>'Monthly Data'!J67</f>
        <v>14160686.699089883</v>
      </c>
      <c r="E67" s="46">
        <f t="shared" ca="1" si="7"/>
        <v>0.37999999999999989</v>
      </c>
      <c r="F67" s="46">
        <f t="shared" ca="1" si="7"/>
        <v>94.58</v>
      </c>
      <c r="G67" s="29">
        <f>'Monthly Data'!BG67</f>
        <v>66</v>
      </c>
      <c r="H67" s="29">
        <f>'Monthly Data'!X67</f>
        <v>3163.2</v>
      </c>
      <c r="I67" s="44">
        <f>'Monthly Data'!BF67</f>
        <v>0</v>
      </c>
      <c r="K67" s="29">
        <f>'GS&lt;50 PW'!$B$6</f>
        <v>50.759309292559799</v>
      </c>
      <c r="L67" s="29">
        <f ca="1">E67*'GS&lt;50 PW'!$B$7</f>
        <v>1.1669641441268358E-2</v>
      </c>
      <c r="M67" s="29">
        <f ca="1">F67*'GS&lt;50 PW'!$B$8</f>
        <v>7.4524228647930704</v>
      </c>
      <c r="N67" s="29">
        <f>G67*'GS&lt;50 PW'!$B$9</f>
        <v>-6.3597471243440173</v>
      </c>
      <c r="O67" s="29">
        <f>H67*'GS&lt;50 PW'!$B$10</f>
        <v>40.209748028700702</v>
      </c>
      <c r="P67" s="44">
        <f>I67*'GS&lt;50 PW'!$B$11</f>
        <v>0</v>
      </c>
      <c r="Q67" s="44">
        <f>'Monthly Data'!H67</f>
        <v>5241</v>
      </c>
      <c r="R67" s="29">
        <f>'Monthly Data'!BH67</f>
        <v>30</v>
      </c>
      <c r="S67" s="28">
        <f t="shared" ref="S67:S130" ca="1" si="10">SUM(K67:P67)*Q67*R67</f>
        <v>14476701.107016403</v>
      </c>
    </row>
    <row r="68" spans="1:19" x14ac:dyDescent="0.2">
      <c r="A68" s="45">
        <f>'Monthly Data'!A68</f>
        <v>42186</v>
      </c>
      <c r="B68" s="29">
        <f t="shared" si="8"/>
        <v>2015</v>
      </c>
      <c r="C68" s="29">
        <f t="shared" si="9"/>
        <v>7</v>
      </c>
      <c r="D68" s="44">
        <f>'Monthly Data'!J68</f>
        <v>15621116.699089883</v>
      </c>
      <c r="E68" s="46">
        <f t="shared" ca="1" si="7"/>
        <v>0</v>
      </c>
      <c r="F68" s="46">
        <f t="shared" ca="1" si="7"/>
        <v>206.28000000000003</v>
      </c>
      <c r="G68" s="29">
        <f>'Monthly Data'!BG68</f>
        <v>67</v>
      </c>
      <c r="H68" s="29">
        <f>'Monthly Data'!X68</f>
        <v>3194.9</v>
      </c>
      <c r="I68" s="44">
        <f>'Monthly Data'!BF68</f>
        <v>0</v>
      </c>
      <c r="K68" s="29">
        <f>'GS&lt;50 PW'!$B$6</f>
        <v>50.759309292559799</v>
      </c>
      <c r="L68" s="29">
        <f ca="1">E68*'GS&lt;50 PW'!$B$7</f>
        <v>0</v>
      </c>
      <c r="M68" s="29">
        <f ca="1">F68*'GS&lt;50 PW'!$B$8</f>
        <v>16.253814638924876</v>
      </c>
      <c r="N68" s="29">
        <f>G68*'GS&lt;50 PW'!$B$9</f>
        <v>-6.4561069292583202</v>
      </c>
      <c r="O68" s="29">
        <f>H68*'GS&lt;50 PW'!$B$10</f>
        <v>40.612709906707089</v>
      </c>
      <c r="P68" s="44">
        <f>I68*'GS&lt;50 PW'!$B$11</f>
        <v>0</v>
      </c>
      <c r="Q68" s="44">
        <f>'Monthly Data'!H68</f>
        <v>5240</v>
      </c>
      <c r="R68" s="29">
        <f>'Monthly Data'!BH68</f>
        <v>31</v>
      </c>
      <c r="S68" s="28">
        <f t="shared" ca="1" si="10"/>
        <v>16434010.439087149</v>
      </c>
    </row>
    <row r="69" spans="1:19" x14ac:dyDescent="0.2">
      <c r="A69" s="45">
        <f>'Monthly Data'!A69</f>
        <v>42217</v>
      </c>
      <c r="B69" s="29">
        <f t="shared" si="8"/>
        <v>2015</v>
      </c>
      <c r="C69" s="29">
        <f t="shared" si="9"/>
        <v>8</v>
      </c>
      <c r="D69" s="44">
        <f>'Monthly Data'!J69</f>
        <v>15851803.699089883</v>
      </c>
      <c r="E69" s="46">
        <f t="shared" ca="1" si="7"/>
        <v>0</v>
      </c>
      <c r="F69" s="46">
        <f t="shared" ca="1" si="7"/>
        <v>177.64000000000001</v>
      </c>
      <c r="G69" s="29">
        <f>'Monthly Data'!BG69</f>
        <v>68</v>
      </c>
      <c r="H69" s="29">
        <f>'Monthly Data'!X69</f>
        <v>3214.6</v>
      </c>
      <c r="I69" s="44">
        <f>'Monthly Data'!BF69</f>
        <v>0</v>
      </c>
      <c r="K69" s="29">
        <f>'GS&lt;50 PW'!$B$6</f>
        <v>50.759309292559799</v>
      </c>
      <c r="L69" s="29">
        <f ca="1">E69*'GS&lt;50 PW'!$B$7</f>
        <v>0</v>
      </c>
      <c r="M69" s="29">
        <f ca="1">F69*'GS&lt;50 PW'!$B$8</f>
        <v>13.997128332647929</v>
      </c>
      <c r="N69" s="29">
        <f>G69*'GS&lt;50 PW'!$B$9</f>
        <v>-6.5524667341726239</v>
      </c>
      <c r="O69" s="29">
        <f>H69*'GS&lt;50 PW'!$B$10</f>
        <v>40.863131010704748</v>
      </c>
      <c r="P69" s="44">
        <f>I69*'GS&lt;50 PW'!$B$11</f>
        <v>0</v>
      </c>
      <c r="Q69" s="44">
        <f>'Monthly Data'!H69</f>
        <v>5244</v>
      </c>
      <c r="R69" s="29">
        <f>'Monthly Data'!BH69</f>
        <v>31</v>
      </c>
      <c r="S69" s="28">
        <f t="shared" ca="1" si="10"/>
        <v>16104744.353554437</v>
      </c>
    </row>
    <row r="70" spans="1:19" x14ac:dyDescent="0.2">
      <c r="A70" s="45">
        <f>'Monthly Data'!A70</f>
        <v>42248</v>
      </c>
      <c r="B70" s="29">
        <f t="shared" si="8"/>
        <v>2015</v>
      </c>
      <c r="C70" s="29">
        <f t="shared" si="9"/>
        <v>9</v>
      </c>
      <c r="D70" s="44">
        <f>'Monthly Data'!J70</f>
        <v>14469369.699089883</v>
      </c>
      <c r="E70" s="46">
        <f t="shared" ca="1" si="7"/>
        <v>0.49000000000000005</v>
      </c>
      <c r="F70" s="46">
        <f t="shared" ca="1" si="7"/>
        <v>85.65</v>
      </c>
      <c r="G70" s="29">
        <f>'Monthly Data'!BG70</f>
        <v>69</v>
      </c>
      <c r="H70" s="29">
        <f>'Monthly Data'!X70</f>
        <v>3220.3</v>
      </c>
      <c r="I70" s="44">
        <f>'Monthly Data'!BF70</f>
        <v>1</v>
      </c>
      <c r="K70" s="29">
        <f>'GS&lt;50 PW'!$B$6</f>
        <v>50.759309292559799</v>
      </c>
      <c r="L70" s="29">
        <f ca="1">E70*'GS&lt;50 PW'!$B$7</f>
        <v>1.5047695542688151E-2</v>
      </c>
      <c r="M70" s="29">
        <f ca="1">F70*'GS&lt;50 PW'!$B$8</f>
        <v>6.7487842923400985</v>
      </c>
      <c r="N70" s="29">
        <f>G70*'GS&lt;50 PW'!$B$9</f>
        <v>-6.6488265390869277</v>
      </c>
      <c r="O70" s="29">
        <f>H70*'GS&lt;50 PW'!$B$10</f>
        <v>40.935587878358902</v>
      </c>
      <c r="P70" s="44">
        <f>I70*'GS&lt;50 PW'!$B$11</f>
        <v>-1.9723066266223299</v>
      </c>
      <c r="Q70" s="44">
        <f>'Monthly Data'!H70</f>
        <v>5237</v>
      </c>
      <c r="R70" s="29">
        <f>'Monthly Data'!BH70</f>
        <v>30</v>
      </c>
      <c r="S70" s="28">
        <f t="shared" ca="1" si="10"/>
        <v>14114384.706474721</v>
      </c>
    </row>
    <row r="71" spans="1:19" x14ac:dyDescent="0.2">
      <c r="A71" s="45">
        <f>'Monthly Data'!A71</f>
        <v>42278</v>
      </c>
      <c r="B71" s="29">
        <f t="shared" si="8"/>
        <v>2015</v>
      </c>
      <c r="C71" s="29">
        <f t="shared" si="9"/>
        <v>10</v>
      </c>
      <c r="D71" s="44">
        <f>'Monthly Data'!J71</f>
        <v>13421736.699089883</v>
      </c>
      <c r="E71" s="46">
        <f t="shared" ca="1" si="7"/>
        <v>53.33000000000002</v>
      </c>
      <c r="F71" s="46">
        <f t="shared" ca="1" si="7"/>
        <v>12.219999999999999</v>
      </c>
      <c r="G71" s="29">
        <f>'Monthly Data'!BG71</f>
        <v>70</v>
      </c>
      <c r="H71" s="29">
        <f>'Monthly Data'!X71</f>
        <v>3216.5</v>
      </c>
      <c r="I71" s="44">
        <f>'Monthly Data'!BF71</f>
        <v>1</v>
      </c>
      <c r="K71" s="29">
        <f>'GS&lt;50 PW'!$B$6</f>
        <v>50.759309292559799</v>
      </c>
      <c r="L71" s="29">
        <f ca="1">E71*'GS&lt;50 PW'!$B$7</f>
        <v>1.6377420475337947</v>
      </c>
      <c r="M71" s="29">
        <f ca="1">F71*'GS&lt;50 PW'!$B$8</f>
        <v>0.96287383598827769</v>
      </c>
      <c r="N71" s="29">
        <f>G71*'GS&lt;50 PW'!$B$9</f>
        <v>-6.7451863440012305</v>
      </c>
      <c r="O71" s="29">
        <f>H71*'GS&lt;50 PW'!$B$10</f>
        <v>40.8872832999228</v>
      </c>
      <c r="P71" s="44">
        <f>I71*'GS&lt;50 PW'!$B$11</f>
        <v>-1.9723066266223299</v>
      </c>
      <c r="Q71" s="44">
        <f>'Monthly Data'!H71</f>
        <v>5242</v>
      </c>
      <c r="R71" s="29">
        <f>'Monthly Data'!BH71</f>
        <v>31</v>
      </c>
      <c r="S71" s="28">
        <f t="shared" ca="1" si="10"/>
        <v>13898749.829055442</v>
      </c>
    </row>
    <row r="72" spans="1:19" x14ac:dyDescent="0.2">
      <c r="A72" s="45">
        <f>'Monthly Data'!A72</f>
        <v>42309</v>
      </c>
      <c r="B72" s="29">
        <f t="shared" si="8"/>
        <v>2015</v>
      </c>
      <c r="C72" s="29">
        <f t="shared" si="9"/>
        <v>11</v>
      </c>
      <c r="D72" s="44">
        <f>'Monthly Data'!J72</f>
        <v>13464398.699089883</v>
      </c>
      <c r="E72" s="46">
        <f t="shared" ca="1" si="7"/>
        <v>207.66000000000003</v>
      </c>
      <c r="F72" s="46">
        <f t="shared" ca="1" si="7"/>
        <v>1.0000000000000142E-2</v>
      </c>
      <c r="G72" s="29">
        <f>'Monthly Data'!BG72</f>
        <v>71</v>
      </c>
      <c r="H72" s="29">
        <f>'Monthly Data'!X72</f>
        <v>3211.5</v>
      </c>
      <c r="I72" s="44">
        <f>'Monthly Data'!BF72</f>
        <v>1</v>
      </c>
      <c r="K72" s="29">
        <f>'GS&lt;50 PW'!$B$6</f>
        <v>50.759309292559799</v>
      </c>
      <c r="L72" s="29">
        <f ca="1">E72*'GS&lt;50 PW'!$B$7</f>
        <v>6.3771519518257582</v>
      </c>
      <c r="M72" s="29">
        <f ca="1">F72*'GS&lt;50 PW'!$B$8</f>
        <v>7.8794912928665433E-4</v>
      </c>
      <c r="N72" s="29">
        <f>G72*'GS&lt;50 PW'!$B$9</f>
        <v>-6.8415461489155334</v>
      </c>
      <c r="O72" s="29">
        <f>H72*'GS&lt;50 PW'!$B$10</f>
        <v>40.823724644085829</v>
      </c>
      <c r="P72" s="44">
        <f>I72*'GS&lt;50 PW'!$B$11</f>
        <v>-1.9723066266223299</v>
      </c>
      <c r="Q72" s="44">
        <f>'Monthly Data'!H72</f>
        <v>5234</v>
      </c>
      <c r="R72" s="29">
        <f>'Monthly Data'!BH72</f>
        <v>30</v>
      </c>
      <c r="S72" s="28">
        <f t="shared" ca="1" si="10"/>
        <v>13997880.949165102</v>
      </c>
    </row>
    <row r="73" spans="1:19" x14ac:dyDescent="0.2">
      <c r="A73" s="45">
        <f>'Monthly Data'!A73</f>
        <v>42339</v>
      </c>
      <c r="B73" s="29">
        <f t="shared" si="8"/>
        <v>2015</v>
      </c>
      <c r="C73" s="29">
        <f t="shared" si="9"/>
        <v>12</v>
      </c>
      <c r="D73" s="44">
        <f>'Monthly Data'!J73</f>
        <v>14365730.699089883</v>
      </c>
      <c r="E73" s="46">
        <f t="shared" ca="1" si="7"/>
        <v>351.65000000000003</v>
      </c>
      <c r="F73" s="46">
        <f t="shared" ca="1" si="7"/>
        <v>0</v>
      </c>
      <c r="G73" s="29">
        <f>'Monthly Data'!BG73</f>
        <v>72</v>
      </c>
      <c r="H73" s="29">
        <f>'Monthly Data'!X73</f>
        <v>3220.1</v>
      </c>
      <c r="I73" s="44">
        <f>'Monthly Data'!BF73</f>
        <v>0</v>
      </c>
      <c r="K73" s="29">
        <f>'GS&lt;50 PW'!$B$6</f>
        <v>50.759309292559799</v>
      </c>
      <c r="L73" s="29">
        <f ca="1">E73*'GS&lt;50 PW'!$B$7</f>
        <v>10.799024770584262</v>
      </c>
      <c r="M73" s="29">
        <f ca="1">F73*'GS&lt;50 PW'!$B$8</f>
        <v>0</v>
      </c>
      <c r="N73" s="29">
        <f>G73*'GS&lt;50 PW'!$B$9</f>
        <v>-6.9379059538298371</v>
      </c>
      <c r="O73" s="29">
        <f>H73*'GS&lt;50 PW'!$B$10</f>
        <v>40.933045532125419</v>
      </c>
      <c r="P73" s="44">
        <f>I73*'GS&lt;50 PW'!$B$11</f>
        <v>0</v>
      </c>
      <c r="Q73" s="44">
        <f>'Monthly Data'!H73</f>
        <v>5238</v>
      </c>
      <c r="R73" s="29">
        <f>'Monthly Data'!BH73</f>
        <v>31</v>
      </c>
      <c r="S73" s="28">
        <f t="shared" ca="1" si="10"/>
        <v>15515781.942949686</v>
      </c>
    </row>
    <row r="74" spans="1:19" x14ac:dyDescent="0.2">
      <c r="A74" s="45">
        <f>'Monthly Data'!A74</f>
        <v>42370</v>
      </c>
      <c r="B74" s="29">
        <f t="shared" si="8"/>
        <v>2016</v>
      </c>
      <c r="C74" s="29">
        <f t="shared" si="9"/>
        <v>1</v>
      </c>
      <c r="D74" s="44">
        <f>'Monthly Data'!J74</f>
        <v>15517081.303964725</v>
      </c>
      <c r="E74" s="46">
        <f t="shared" ca="1" si="7"/>
        <v>477.14</v>
      </c>
      <c r="F74" s="46">
        <f t="shared" ca="1" si="7"/>
        <v>0</v>
      </c>
      <c r="G74" s="29">
        <f>'Monthly Data'!BG74</f>
        <v>73</v>
      </c>
      <c r="H74" s="29">
        <f>'Monthly Data'!X74</f>
        <v>3227</v>
      </c>
      <c r="I74" s="44">
        <f>'Monthly Data'!BF74</f>
        <v>0</v>
      </c>
      <c r="K74" s="29">
        <f>'GS&lt;50 PW'!$B$6</f>
        <v>50.759309292559799</v>
      </c>
      <c r="L74" s="29">
        <f ca="1">E74*'GS&lt;50 PW'!$B$7</f>
        <v>14.652770308649437</v>
      </c>
      <c r="M74" s="29">
        <f ca="1">F74*'GS&lt;50 PW'!$B$8</f>
        <v>0</v>
      </c>
      <c r="N74" s="29">
        <f>G74*'GS&lt;50 PW'!$B$9</f>
        <v>-7.0342657587441408</v>
      </c>
      <c r="O74" s="29">
        <f>H74*'GS&lt;50 PW'!$B$10</f>
        <v>41.020756477180441</v>
      </c>
      <c r="P74" s="44">
        <f>I74*'GS&lt;50 PW'!$B$11</f>
        <v>0</v>
      </c>
      <c r="Q74" s="44">
        <f>'Monthly Data'!H74</f>
        <v>5246</v>
      </c>
      <c r="R74" s="29">
        <f>'Monthly Data'!BH74</f>
        <v>31</v>
      </c>
      <c r="S74" s="28">
        <f t="shared" ca="1" si="10"/>
        <v>16164791.896802675</v>
      </c>
    </row>
    <row r="75" spans="1:19" x14ac:dyDescent="0.2">
      <c r="A75" s="45">
        <f>'Monthly Data'!A75</f>
        <v>42401</v>
      </c>
      <c r="B75" s="29">
        <f t="shared" si="8"/>
        <v>2016</v>
      </c>
      <c r="C75" s="29">
        <f t="shared" si="9"/>
        <v>2</v>
      </c>
      <c r="D75" s="44">
        <f>'Monthly Data'!J75</f>
        <v>14725350.303964725</v>
      </c>
      <c r="E75" s="46">
        <f t="shared" ca="1" si="7"/>
        <v>417.05</v>
      </c>
      <c r="F75" s="46">
        <f t="shared" ca="1" si="7"/>
        <v>0</v>
      </c>
      <c r="G75" s="29">
        <f>'Monthly Data'!BG75</f>
        <v>74</v>
      </c>
      <c r="H75" s="29">
        <f>'Monthly Data'!X75</f>
        <v>3221.1</v>
      </c>
      <c r="I75" s="44">
        <f>'Monthly Data'!BF75</f>
        <v>0</v>
      </c>
      <c r="K75" s="29">
        <f>'GS&lt;50 PW'!$B$6</f>
        <v>50.759309292559799</v>
      </c>
      <c r="L75" s="29">
        <f ca="1">E75*'GS&lt;50 PW'!$B$7</f>
        <v>12.807431481792028</v>
      </c>
      <c r="M75" s="29">
        <f ca="1">F75*'GS&lt;50 PW'!$B$8</f>
        <v>0</v>
      </c>
      <c r="N75" s="29">
        <f>G75*'GS&lt;50 PW'!$B$9</f>
        <v>-7.1306255636584437</v>
      </c>
      <c r="O75" s="29">
        <f>H75*'GS&lt;50 PW'!$B$10</f>
        <v>40.945757263292812</v>
      </c>
      <c r="P75" s="44">
        <f>I75*'GS&lt;50 PW'!$B$11</f>
        <v>0</v>
      </c>
      <c r="Q75" s="44">
        <f>'Monthly Data'!H75</f>
        <v>5267</v>
      </c>
      <c r="R75" s="29">
        <f>'Monthly Data'!BH75</f>
        <v>29</v>
      </c>
      <c r="S75" s="28">
        <f t="shared" ca="1" si="10"/>
        <v>14874399.347294072</v>
      </c>
    </row>
    <row r="76" spans="1:19" x14ac:dyDescent="0.2">
      <c r="A76" s="45">
        <f>'Monthly Data'!A76</f>
        <v>42430</v>
      </c>
      <c r="B76" s="29">
        <f t="shared" si="8"/>
        <v>2016</v>
      </c>
      <c r="C76" s="29">
        <f t="shared" si="9"/>
        <v>3</v>
      </c>
      <c r="D76" s="44">
        <f>'Monthly Data'!J76</f>
        <v>14848383.303964725</v>
      </c>
      <c r="E76" s="46">
        <f t="shared" ca="1" si="7"/>
        <v>332.70999999999992</v>
      </c>
      <c r="F76" s="46">
        <f t="shared" ca="1" si="7"/>
        <v>0</v>
      </c>
      <c r="G76" s="29">
        <f>'Monthly Data'!BG76</f>
        <v>75</v>
      </c>
      <c r="H76" s="29">
        <f>'Monthly Data'!X76</f>
        <v>3210.6</v>
      </c>
      <c r="I76" s="44">
        <f>'Monthly Data'!BF76</f>
        <v>1</v>
      </c>
      <c r="K76" s="29">
        <f>'GS&lt;50 PW'!$B$6</f>
        <v>50.759309292559799</v>
      </c>
      <c r="L76" s="29">
        <f ca="1">E76*'GS&lt;50 PW'!$B$7</f>
        <v>10.217385273485252</v>
      </c>
      <c r="M76" s="29">
        <f ca="1">F76*'GS&lt;50 PW'!$B$8</f>
        <v>0</v>
      </c>
      <c r="N76" s="29">
        <f>G76*'GS&lt;50 PW'!$B$9</f>
        <v>-7.2269853685727465</v>
      </c>
      <c r="O76" s="29">
        <f>H76*'GS&lt;50 PW'!$B$10</f>
        <v>40.812284086035177</v>
      </c>
      <c r="P76" s="44">
        <f>I76*'GS&lt;50 PW'!$B$11</f>
        <v>-1.9723066266223299</v>
      </c>
      <c r="Q76" s="44">
        <f>'Monthly Data'!H76</f>
        <v>5268</v>
      </c>
      <c r="R76" s="29">
        <f>'Monthly Data'!BH76</f>
        <v>31</v>
      </c>
      <c r="S76" s="28">
        <f t="shared" ca="1" si="10"/>
        <v>15120636.548562601</v>
      </c>
    </row>
    <row r="77" spans="1:19" x14ac:dyDescent="0.2">
      <c r="A77" s="45">
        <f>'Monthly Data'!A77</f>
        <v>42461</v>
      </c>
      <c r="B77" s="29">
        <f t="shared" si="8"/>
        <v>2016</v>
      </c>
      <c r="C77" s="29">
        <f t="shared" si="9"/>
        <v>4</v>
      </c>
      <c r="D77" s="44">
        <f>'Monthly Data'!J77</f>
        <v>13743778.303964725</v>
      </c>
      <c r="E77" s="46">
        <f t="shared" ca="1" si="7"/>
        <v>164.53999999999996</v>
      </c>
      <c r="F77" s="46">
        <f t="shared" ca="1" si="7"/>
        <v>0.16999999999999993</v>
      </c>
      <c r="G77" s="29">
        <f>'Monthly Data'!BG77</f>
        <v>76</v>
      </c>
      <c r="H77" s="29">
        <f>'Monthly Data'!X77</f>
        <v>3208.5</v>
      </c>
      <c r="I77" s="44">
        <f>'Monthly Data'!BF77</f>
        <v>1</v>
      </c>
      <c r="K77" s="29">
        <f>'GS&lt;50 PW'!$B$6</f>
        <v>50.759309292559799</v>
      </c>
      <c r="L77" s="29">
        <f ca="1">E77*'GS&lt;50 PW'!$B$7</f>
        <v>5.0529547440691998</v>
      </c>
      <c r="M77" s="29">
        <f ca="1">F77*'GS&lt;50 PW'!$B$8</f>
        <v>1.3395135197872927E-2</v>
      </c>
      <c r="N77" s="29">
        <f>G77*'GS&lt;50 PW'!$B$9</f>
        <v>-7.3233451734870503</v>
      </c>
      <c r="O77" s="29">
        <f>H77*'GS&lt;50 PW'!$B$10</f>
        <v>40.78558945058365</v>
      </c>
      <c r="P77" s="44">
        <f>I77*'GS&lt;50 PW'!$B$11</f>
        <v>-1.9723066266223299</v>
      </c>
      <c r="Q77" s="44">
        <f>'Monthly Data'!H77</f>
        <v>5267</v>
      </c>
      <c r="R77" s="29">
        <f>'Monthly Data'!BH77</f>
        <v>30</v>
      </c>
      <c r="S77" s="28">
        <f t="shared" ca="1" si="10"/>
        <v>13796737.453891804</v>
      </c>
    </row>
    <row r="78" spans="1:19" x14ac:dyDescent="0.2">
      <c r="A78" s="45">
        <f>'Monthly Data'!A78</f>
        <v>42491</v>
      </c>
      <c r="B78" s="29">
        <f t="shared" si="8"/>
        <v>2016</v>
      </c>
      <c r="C78" s="29">
        <f t="shared" si="9"/>
        <v>5</v>
      </c>
      <c r="D78" s="44">
        <f>'Monthly Data'!J78</f>
        <v>14047734.303964725</v>
      </c>
      <c r="E78" s="46">
        <f t="shared" ref="E78:F93" ca="1" si="11">E66</f>
        <v>35.92</v>
      </c>
      <c r="F78" s="46">
        <f t="shared" ca="1" si="11"/>
        <v>30.080000000000002</v>
      </c>
      <c r="G78" s="29">
        <f>'Monthly Data'!BG78</f>
        <v>77</v>
      </c>
      <c r="H78" s="29">
        <f>'Monthly Data'!X78</f>
        <v>3217.7</v>
      </c>
      <c r="I78" s="44">
        <f>'Monthly Data'!BF78</f>
        <v>1</v>
      </c>
      <c r="K78" s="29">
        <f>'GS&lt;50 PW'!$B$6</f>
        <v>50.759309292559799</v>
      </c>
      <c r="L78" s="29">
        <f ca="1">E78*'GS&lt;50 PW'!$B$7</f>
        <v>1.103088212027262</v>
      </c>
      <c r="M78" s="29">
        <f ca="1">F78*'GS&lt;50 PW'!$B$8</f>
        <v>2.3701509808942225</v>
      </c>
      <c r="N78" s="29">
        <f>G78*'GS&lt;50 PW'!$B$9</f>
        <v>-7.419704978401354</v>
      </c>
      <c r="O78" s="29">
        <f>H78*'GS&lt;50 PW'!$B$10</f>
        <v>40.902537377323675</v>
      </c>
      <c r="P78" s="44">
        <f>I78*'GS&lt;50 PW'!$B$11</f>
        <v>-1.9723066266223299</v>
      </c>
      <c r="Q78" s="44">
        <f>'Monthly Data'!H78</f>
        <v>5294</v>
      </c>
      <c r="R78" s="29">
        <f>'Monthly Data'!BH78</f>
        <v>31</v>
      </c>
      <c r="S78" s="28">
        <f t="shared" ca="1" si="10"/>
        <v>14071638.888741516</v>
      </c>
    </row>
    <row r="79" spans="1:19" x14ac:dyDescent="0.2">
      <c r="A79" s="45">
        <f>'Monthly Data'!A79</f>
        <v>42522</v>
      </c>
      <c r="B79" s="29">
        <f t="shared" si="8"/>
        <v>2016</v>
      </c>
      <c r="C79" s="29">
        <f t="shared" si="9"/>
        <v>6</v>
      </c>
      <c r="D79" s="44">
        <f>'Monthly Data'!J79</f>
        <v>14848177.303964725</v>
      </c>
      <c r="E79" s="46">
        <f t="shared" ca="1" si="11"/>
        <v>0.37999999999999989</v>
      </c>
      <c r="F79" s="46">
        <f t="shared" ca="1" si="11"/>
        <v>94.58</v>
      </c>
      <c r="G79" s="29">
        <f>'Monthly Data'!BG79</f>
        <v>78</v>
      </c>
      <c r="H79" s="29">
        <f>'Monthly Data'!X79</f>
        <v>3230.3</v>
      </c>
      <c r="I79" s="44">
        <f>'Monthly Data'!BF79</f>
        <v>0</v>
      </c>
      <c r="K79" s="29">
        <f>'GS&lt;50 PW'!$B$6</f>
        <v>50.759309292559799</v>
      </c>
      <c r="L79" s="29">
        <f ca="1">E79*'GS&lt;50 PW'!$B$7</f>
        <v>1.1669641441268358E-2</v>
      </c>
      <c r="M79" s="29">
        <f ca="1">F79*'GS&lt;50 PW'!$B$8</f>
        <v>7.4524228647930704</v>
      </c>
      <c r="N79" s="29">
        <f>G79*'GS&lt;50 PW'!$B$9</f>
        <v>-7.5160647833156569</v>
      </c>
      <c r="O79" s="29">
        <f>H79*'GS&lt;50 PW'!$B$10</f>
        <v>41.062705190032844</v>
      </c>
      <c r="P79" s="44">
        <f>I79*'GS&lt;50 PW'!$B$11</f>
        <v>0</v>
      </c>
      <c r="Q79" s="44">
        <f>'Monthly Data'!H79</f>
        <v>5264</v>
      </c>
      <c r="R79" s="29">
        <f>'Monthly Data'!BH79</f>
        <v>30</v>
      </c>
      <c r="S79" s="28">
        <f t="shared" ca="1" si="10"/>
        <v>14492325.065094348</v>
      </c>
    </row>
    <row r="80" spans="1:19" x14ac:dyDescent="0.2">
      <c r="A80" s="45">
        <f>'Monthly Data'!A80</f>
        <v>42552</v>
      </c>
      <c r="B80" s="29">
        <f t="shared" si="8"/>
        <v>2016</v>
      </c>
      <c r="C80" s="29">
        <f t="shared" si="9"/>
        <v>7</v>
      </c>
      <c r="D80" s="44">
        <f>'Monthly Data'!J80</f>
        <v>16626440.303964725</v>
      </c>
      <c r="E80" s="46">
        <f t="shared" ca="1" si="11"/>
        <v>0</v>
      </c>
      <c r="F80" s="46">
        <f t="shared" ca="1" si="11"/>
        <v>206.28000000000003</v>
      </c>
      <c r="G80" s="29">
        <f>'Monthly Data'!BG80</f>
        <v>79</v>
      </c>
      <c r="H80" s="29">
        <f>'Monthly Data'!X80</f>
        <v>3229.4</v>
      </c>
      <c r="I80" s="44">
        <f>'Monthly Data'!BF80</f>
        <v>0</v>
      </c>
      <c r="K80" s="29">
        <f>'GS&lt;50 PW'!$B$6</f>
        <v>50.759309292559799</v>
      </c>
      <c r="L80" s="29">
        <f ca="1">E80*'GS&lt;50 PW'!$B$7</f>
        <v>0</v>
      </c>
      <c r="M80" s="29">
        <f ca="1">F80*'GS&lt;50 PW'!$B$8</f>
        <v>16.253814638924876</v>
      </c>
      <c r="N80" s="29">
        <f>G80*'GS&lt;50 PW'!$B$9</f>
        <v>-7.6124245882299597</v>
      </c>
      <c r="O80" s="29">
        <f>H80*'GS&lt;50 PW'!$B$10</f>
        <v>41.051264631982185</v>
      </c>
      <c r="P80" s="44">
        <f>I80*'GS&lt;50 PW'!$B$11</f>
        <v>0</v>
      </c>
      <c r="Q80" s="44">
        <f>'Monthly Data'!H80</f>
        <v>5262</v>
      </c>
      <c r="R80" s="29">
        <f>'Monthly Data'!BH80</f>
        <v>31</v>
      </c>
      <c r="S80" s="28">
        <f t="shared" ca="1" si="10"/>
        <v>16385925.267568596</v>
      </c>
    </row>
    <row r="81" spans="1:19" x14ac:dyDescent="0.2">
      <c r="A81" s="45">
        <f>'Monthly Data'!A81</f>
        <v>42583</v>
      </c>
      <c r="B81" s="29">
        <f t="shared" si="8"/>
        <v>2016</v>
      </c>
      <c r="C81" s="29">
        <f t="shared" si="9"/>
        <v>8</v>
      </c>
      <c r="D81" s="44">
        <f>'Monthly Data'!J81</f>
        <v>16998535.303964727</v>
      </c>
      <c r="E81" s="46">
        <f t="shared" ca="1" si="11"/>
        <v>0</v>
      </c>
      <c r="F81" s="46">
        <f t="shared" ca="1" si="11"/>
        <v>177.64000000000001</v>
      </c>
      <c r="G81" s="29">
        <f>'Monthly Data'!BG81</f>
        <v>80</v>
      </c>
      <c r="H81" s="29">
        <f>'Monthly Data'!X81</f>
        <v>3224.8</v>
      </c>
      <c r="I81" s="44">
        <f>'Monthly Data'!BF81</f>
        <v>0</v>
      </c>
      <c r="K81" s="29">
        <f>'GS&lt;50 PW'!$B$6</f>
        <v>50.759309292559799</v>
      </c>
      <c r="L81" s="29">
        <f ca="1">E81*'GS&lt;50 PW'!$B$7</f>
        <v>0</v>
      </c>
      <c r="M81" s="29">
        <f ca="1">F81*'GS&lt;50 PW'!$B$8</f>
        <v>13.997128332647929</v>
      </c>
      <c r="N81" s="29">
        <f>G81*'GS&lt;50 PW'!$B$9</f>
        <v>-7.7087843931442634</v>
      </c>
      <c r="O81" s="29">
        <f>H81*'GS&lt;50 PW'!$B$10</f>
        <v>40.992790668612173</v>
      </c>
      <c r="P81" s="44">
        <f>I81*'GS&lt;50 PW'!$B$11</f>
        <v>0</v>
      </c>
      <c r="Q81" s="44">
        <f>'Monthly Data'!H81</f>
        <v>5260</v>
      </c>
      <c r="R81" s="29">
        <f>'Monthly Data'!BH81</f>
        <v>31</v>
      </c>
      <c r="S81" s="28">
        <f t="shared" ca="1" si="10"/>
        <v>15986474.782444168</v>
      </c>
    </row>
    <row r="82" spans="1:19" x14ac:dyDescent="0.2">
      <c r="A82" s="45">
        <f>'Monthly Data'!A82</f>
        <v>42614</v>
      </c>
      <c r="B82" s="29">
        <f t="shared" si="8"/>
        <v>2016</v>
      </c>
      <c r="C82" s="29">
        <f t="shared" si="9"/>
        <v>9</v>
      </c>
      <c r="D82" s="44">
        <f>'Monthly Data'!J82</f>
        <v>14679750.303964725</v>
      </c>
      <c r="E82" s="46">
        <f t="shared" ca="1" si="11"/>
        <v>0.49000000000000005</v>
      </c>
      <c r="F82" s="46">
        <f t="shared" ca="1" si="11"/>
        <v>85.65</v>
      </c>
      <c r="G82" s="29">
        <f>'Monthly Data'!BG82</f>
        <v>81</v>
      </c>
      <c r="H82" s="29">
        <f>'Monthly Data'!X82</f>
        <v>3216.9</v>
      </c>
      <c r="I82" s="44">
        <f>'Monthly Data'!BF82</f>
        <v>1</v>
      </c>
      <c r="K82" s="29">
        <f>'GS&lt;50 PW'!$B$6</f>
        <v>50.759309292559799</v>
      </c>
      <c r="L82" s="29">
        <f ca="1">E82*'GS&lt;50 PW'!$B$7</f>
        <v>1.5047695542688151E-2</v>
      </c>
      <c r="M82" s="29">
        <f ca="1">F82*'GS&lt;50 PW'!$B$8</f>
        <v>6.7487842923400985</v>
      </c>
      <c r="N82" s="29">
        <f>G82*'GS&lt;50 PW'!$B$9</f>
        <v>-7.8051441980585672</v>
      </c>
      <c r="O82" s="29">
        <f>H82*'GS&lt;50 PW'!$B$10</f>
        <v>40.892367992389758</v>
      </c>
      <c r="P82" s="44">
        <f>I82*'GS&lt;50 PW'!$B$11</f>
        <v>-1.9723066266223299</v>
      </c>
      <c r="Q82" s="44">
        <f>'Monthly Data'!H82</f>
        <v>5273</v>
      </c>
      <c r="R82" s="29">
        <f>'Monthly Data'!BH82</f>
        <v>30</v>
      </c>
      <c r="S82" s="28">
        <f t="shared" ca="1" si="10"/>
        <v>14021654.465913078</v>
      </c>
    </row>
    <row r="83" spans="1:19" x14ac:dyDescent="0.2">
      <c r="A83" s="45">
        <f>'Monthly Data'!A83</f>
        <v>42644</v>
      </c>
      <c r="B83" s="29">
        <f t="shared" si="8"/>
        <v>2016</v>
      </c>
      <c r="C83" s="29">
        <f t="shared" si="9"/>
        <v>10</v>
      </c>
      <c r="D83" s="44">
        <f>'Monthly Data'!J83</f>
        <v>13570857.303964725</v>
      </c>
      <c r="E83" s="46">
        <f t="shared" ca="1" si="11"/>
        <v>53.33000000000002</v>
      </c>
      <c r="F83" s="46">
        <f t="shared" ca="1" si="11"/>
        <v>12.219999999999999</v>
      </c>
      <c r="G83" s="29">
        <f>'Monthly Data'!BG83</f>
        <v>82</v>
      </c>
      <c r="H83" s="29">
        <f>'Monthly Data'!X83</f>
        <v>3209.8</v>
      </c>
      <c r="I83" s="44">
        <f>'Monthly Data'!BF83</f>
        <v>1</v>
      </c>
      <c r="K83" s="29">
        <f>'GS&lt;50 PW'!$B$6</f>
        <v>50.759309292559799</v>
      </c>
      <c r="L83" s="29">
        <f ca="1">E83*'GS&lt;50 PW'!$B$7</f>
        <v>1.6377420475337947</v>
      </c>
      <c r="M83" s="29">
        <f ca="1">F83*'GS&lt;50 PW'!$B$8</f>
        <v>0.96287383598827769</v>
      </c>
      <c r="N83" s="29">
        <f>G83*'GS&lt;50 PW'!$B$9</f>
        <v>-7.90150400297287</v>
      </c>
      <c r="O83" s="29">
        <f>H83*'GS&lt;50 PW'!$B$10</f>
        <v>40.802114701101267</v>
      </c>
      <c r="P83" s="44">
        <f>I83*'GS&lt;50 PW'!$B$11</f>
        <v>-1.9723066266223299</v>
      </c>
      <c r="Q83" s="44">
        <f>'Monthly Data'!H83</f>
        <v>5278</v>
      </c>
      <c r="R83" s="29">
        <f>'Monthly Data'!BH83</f>
        <v>31</v>
      </c>
      <c r="S83" s="28">
        <f t="shared" ca="1" si="10"/>
        <v>13791071.493031843</v>
      </c>
    </row>
    <row r="84" spans="1:19" x14ac:dyDescent="0.2">
      <c r="A84" s="45">
        <f>'Monthly Data'!A84</f>
        <v>42675</v>
      </c>
      <c r="B84" s="29">
        <f t="shared" si="8"/>
        <v>2016</v>
      </c>
      <c r="C84" s="29">
        <f t="shared" si="9"/>
        <v>11</v>
      </c>
      <c r="D84" s="44">
        <f>'Monthly Data'!J84</f>
        <v>13638777.303964725</v>
      </c>
      <c r="E84" s="46">
        <f t="shared" ca="1" si="11"/>
        <v>207.66000000000003</v>
      </c>
      <c r="F84" s="46">
        <f t="shared" ca="1" si="11"/>
        <v>1.0000000000000142E-2</v>
      </c>
      <c r="G84" s="29">
        <f>'Monthly Data'!BG84</f>
        <v>83</v>
      </c>
      <c r="H84" s="29">
        <f>'Monthly Data'!X84</f>
        <v>3207.3</v>
      </c>
      <c r="I84" s="44">
        <f>'Monthly Data'!BF84</f>
        <v>1</v>
      </c>
      <c r="K84" s="29">
        <f>'GS&lt;50 PW'!$B$6</f>
        <v>50.759309292559799</v>
      </c>
      <c r="L84" s="29">
        <f ca="1">E84*'GS&lt;50 PW'!$B$7</f>
        <v>6.3771519518257582</v>
      </c>
      <c r="M84" s="29">
        <f ca="1">F84*'GS&lt;50 PW'!$B$8</f>
        <v>7.8794912928665433E-4</v>
      </c>
      <c r="N84" s="29">
        <f>G84*'GS&lt;50 PW'!$B$9</f>
        <v>-7.9978638078871729</v>
      </c>
      <c r="O84" s="29">
        <f>H84*'GS&lt;50 PW'!$B$10</f>
        <v>40.770335373182782</v>
      </c>
      <c r="P84" s="44">
        <f>I84*'GS&lt;50 PW'!$B$11</f>
        <v>-1.9723066266223299</v>
      </c>
      <c r="Q84" s="44">
        <f>'Monthly Data'!H84</f>
        <v>5298</v>
      </c>
      <c r="R84" s="29">
        <f>'Monthly Data'!BH84</f>
        <v>30</v>
      </c>
      <c r="S84" s="28">
        <f t="shared" ca="1" si="10"/>
        <v>13976772.602169983</v>
      </c>
    </row>
    <row r="85" spans="1:19" x14ac:dyDescent="0.2">
      <c r="A85" s="45">
        <f>'Monthly Data'!A85</f>
        <v>42705</v>
      </c>
      <c r="B85" s="29">
        <f t="shared" si="8"/>
        <v>2016</v>
      </c>
      <c r="C85" s="29">
        <f t="shared" si="9"/>
        <v>12</v>
      </c>
      <c r="D85" s="44">
        <f>'Monthly Data'!J85</f>
        <v>15093983.303964725</v>
      </c>
      <c r="E85" s="46">
        <f t="shared" ca="1" si="11"/>
        <v>351.65000000000003</v>
      </c>
      <c r="F85" s="46">
        <f t="shared" ca="1" si="11"/>
        <v>0</v>
      </c>
      <c r="G85" s="29">
        <f>'Monthly Data'!BG85</f>
        <v>84</v>
      </c>
      <c r="H85" s="29">
        <f>'Monthly Data'!X85</f>
        <v>3203.9</v>
      </c>
      <c r="I85" s="44">
        <f>'Monthly Data'!BF85</f>
        <v>0</v>
      </c>
      <c r="K85" s="29">
        <f>'GS&lt;50 PW'!$B$6</f>
        <v>50.759309292559799</v>
      </c>
      <c r="L85" s="29">
        <f ca="1">E85*'GS&lt;50 PW'!$B$7</f>
        <v>10.799024770584262</v>
      </c>
      <c r="M85" s="29">
        <f ca="1">F85*'GS&lt;50 PW'!$B$8</f>
        <v>0</v>
      </c>
      <c r="N85" s="29">
        <f>G85*'GS&lt;50 PW'!$B$9</f>
        <v>-8.0942236128014766</v>
      </c>
      <c r="O85" s="29">
        <f>H85*'GS&lt;50 PW'!$B$10</f>
        <v>40.727115487213638</v>
      </c>
      <c r="P85" s="44">
        <f>I85*'GS&lt;50 PW'!$B$11</f>
        <v>0</v>
      </c>
      <c r="Q85" s="44">
        <f>'Monthly Data'!H85</f>
        <v>5297</v>
      </c>
      <c r="R85" s="29">
        <f>'Monthly Data'!BH85</f>
        <v>31</v>
      </c>
      <c r="S85" s="28">
        <f t="shared" ca="1" si="10"/>
        <v>15466858.637528295</v>
      </c>
    </row>
    <row r="86" spans="1:19" x14ac:dyDescent="0.2">
      <c r="A86" s="45">
        <f>'Monthly Data'!A86</f>
        <v>42736</v>
      </c>
      <c r="B86" s="29">
        <f t="shared" si="8"/>
        <v>2017</v>
      </c>
      <c r="C86" s="29">
        <f t="shared" si="9"/>
        <v>1</v>
      </c>
      <c r="D86" s="44">
        <f>'Monthly Data'!J86</f>
        <v>15848622.716300488</v>
      </c>
      <c r="E86" s="46">
        <f t="shared" ca="1" si="11"/>
        <v>477.14</v>
      </c>
      <c r="F86" s="46">
        <f t="shared" ca="1" si="11"/>
        <v>0</v>
      </c>
      <c r="G86" s="29">
        <f>'Monthly Data'!BG86</f>
        <v>85</v>
      </c>
      <c r="H86" s="29">
        <f>'Monthly Data'!X86</f>
        <v>3213.3</v>
      </c>
      <c r="I86" s="44">
        <f>'Monthly Data'!BF86</f>
        <v>0</v>
      </c>
      <c r="K86" s="29">
        <f>'GS&lt;50 PW'!$B$6</f>
        <v>50.759309292559799</v>
      </c>
      <c r="L86" s="29">
        <f ca="1">E86*'GS&lt;50 PW'!$B$7</f>
        <v>14.652770308649437</v>
      </c>
      <c r="M86" s="29">
        <f ca="1">F86*'GS&lt;50 PW'!$B$8</f>
        <v>0</v>
      </c>
      <c r="N86" s="29">
        <f>G86*'GS&lt;50 PW'!$B$9</f>
        <v>-8.1905834177157804</v>
      </c>
      <c r="O86" s="29">
        <f>H86*'GS&lt;50 PW'!$B$10</f>
        <v>40.846605760187146</v>
      </c>
      <c r="P86" s="44">
        <f>I86*'GS&lt;50 PW'!$B$11</f>
        <v>0</v>
      </c>
      <c r="Q86" s="44">
        <f>'Monthly Data'!H86</f>
        <v>5303</v>
      </c>
      <c r="R86" s="29">
        <f>'Monthly Data'!BH86</f>
        <v>31</v>
      </c>
      <c r="S86" s="28">
        <f t="shared" ca="1" si="10"/>
        <v>16121709.482827485</v>
      </c>
    </row>
    <row r="87" spans="1:19" x14ac:dyDescent="0.2">
      <c r="A87" s="45">
        <f>'Monthly Data'!A87</f>
        <v>42767</v>
      </c>
      <c r="B87" s="29">
        <f t="shared" si="8"/>
        <v>2017</v>
      </c>
      <c r="C87" s="29">
        <f t="shared" si="9"/>
        <v>2</v>
      </c>
      <c r="D87" s="44">
        <f>'Monthly Data'!J87</f>
        <v>14155244.716300488</v>
      </c>
      <c r="E87" s="46">
        <f t="shared" ca="1" si="11"/>
        <v>417.05</v>
      </c>
      <c r="F87" s="46">
        <f t="shared" ca="1" si="11"/>
        <v>0</v>
      </c>
      <c r="G87" s="29">
        <f>'Monthly Data'!BG87</f>
        <v>86</v>
      </c>
      <c r="H87" s="29">
        <f>'Monthly Data'!X87</f>
        <v>3230.3</v>
      </c>
      <c r="I87" s="44">
        <f>'Monthly Data'!BF87</f>
        <v>0</v>
      </c>
      <c r="K87" s="29">
        <f>'GS&lt;50 PW'!$B$6</f>
        <v>50.759309292559799</v>
      </c>
      <c r="L87" s="29">
        <f ca="1">E87*'GS&lt;50 PW'!$B$7</f>
        <v>12.807431481792028</v>
      </c>
      <c r="M87" s="29">
        <f ca="1">F87*'GS&lt;50 PW'!$B$8</f>
        <v>0</v>
      </c>
      <c r="N87" s="29">
        <f>G87*'GS&lt;50 PW'!$B$9</f>
        <v>-8.2869432226300823</v>
      </c>
      <c r="O87" s="29">
        <f>H87*'GS&lt;50 PW'!$B$10</f>
        <v>41.062705190032844</v>
      </c>
      <c r="P87" s="44">
        <f>I87*'GS&lt;50 PW'!$B$11</f>
        <v>0</v>
      </c>
      <c r="Q87" s="44">
        <f>'Monthly Data'!H87</f>
        <v>5341</v>
      </c>
      <c r="R87" s="29">
        <f>'Monthly Data'!BH87</f>
        <v>28</v>
      </c>
      <c r="S87" s="28">
        <f t="shared" ca="1" si="10"/>
        <v>14407828.600023914</v>
      </c>
    </row>
    <row r="88" spans="1:19" x14ac:dyDescent="0.2">
      <c r="A88" s="45">
        <f>'Monthly Data'!A88</f>
        <v>42795</v>
      </c>
      <c r="B88" s="29">
        <f t="shared" si="8"/>
        <v>2017</v>
      </c>
      <c r="C88" s="29">
        <f t="shared" si="9"/>
        <v>3</v>
      </c>
      <c r="D88" s="44">
        <f>'Monthly Data'!J88</f>
        <v>15108599.716300488</v>
      </c>
      <c r="E88" s="46">
        <f t="shared" ca="1" si="11"/>
        <v>332.70999999999992</v>
      </c>
      <c r="F88" s="46">
        <f t="shared" ca="1" si="11"/>
        <v>0</v>
      </c>
      <c r="G88" s="29">
        <f>'Monthly Data'!BG88</f>
        <v>87</v>
      </c>
      <c r="H88" s="29">
        <f>'Monthly Data'!X88</f>
        <v>3247.6</v>
      </c>
      <c r="I88" s="44">
        <f>'Monthly Data'!BF88</f>
        <v>1</v>
      </c>
      <c r="K88" s="29">
        <f>'GS&lt;50 PW'!$B$6</f>
        <v>50.759309292559799</v>
      </c>
      <c r="L88" s="29">
        <f ca="1">E88*'GS&lt;50 PW'!$B$7</f>
        <v>10.217385273485252</v>
      </c>
      <c r="M88" s="29">
        <f ca="1">F88*'GS&lt;50 PW'!$B$8</f>
        <v>0</v>
      </c>
      <c r="N88" s="29">
        <f>G88*'GS&lt;50 PW'!$B$9</f>
        <v>-8.3833030275443861</v>
      </c>
      <c r="O88" s="29">
        <f>H88*'GS&lt;50 PW'!$B$10</f>
        <v>41.282618139228752</v>
      </c>
      <c r="P88" s="44">
        <f>I88*'GS&lt;50 PW'!$B$11</f>
        <v>-1.9723066266223299</v>
      </c>
      <c r="Q88" s="44">
        <f>'Monthly Data'!H88</f>
        <v>5342</v>
      </c>
      <c r="R88" s="29">
        <f>'Monthly Data'!BH88</f>
        <v>31</v>
      </c>
      <c r="S88" s="28">
        <f t="shared" ca="1" si="10"/>
        <v>15219437.032669438</v>
      </c>
    </row>
    <row r="89" spans="1:19" x14ac:dyDescent="0.2">
      <c r="A89" s="45">
        <f>'Monthly Data'!A89</f>
        <v>42826</v>
      </c>
      <c r="B89" s="29">
        <f t="shared" si="8"/>
        <v>2017</v>
      </c>
      <c r="C89" s="29">
        <f t="shared" si="9"/>
        <v>4</v>
      </c>
      <c r="D89" s="44">
        <f>'Monthly Data'!J89</f>
        <v>13649236.716300488</v>
      </c>
      <c r="E89" s="46">
        <f t="shared" ca="1" si="11"/>
        <v>164.53999999999996</v>
      </c>
      <c r="F89" s="46">
        <f t="shared" ca="1" si="11"/>
        <v>0.16999999999999993</v>
      </c>
      <c r="G89" s="29">
        <f>'Monthly Data'!BG89</f>
        <v>88</v>
      </c>
      <c r="H89" s="29">
        <f>'Monthly Data'!X89</f>
        <v>3257.7</v>
      </c>
      <c r="I89" s="44">
        <f>'Monthly Data'!BF89</f>
        <v>1</v>
      </c>
      <c r="K89" s="29">
        <f>'GS&lt;50 PW'!$B$6</f>
        <v>50.759309292559799</v>
      </c>
      <c r="L89" s="29">
        <f ca="1">E89*'GS&lt;50 PW'!$B$7</f>
        <v>5.0529547440691998</v>
      </c>
      <c r="M89" s="29">
        <f ca="1">F89*'GS&lt;50 PW'!$B$8</f>
        <v>1.3395135197872927E-2</v>
      </c>
      <c r="N89" s="29">
        <f>G89*'GS&lt;50 PW'!$B$9</f>
        <v>-8.4796628324586898</v>
      </c>
      <c r="O89" s="29">
        <f>H89*'GS&lt;50 PW'!$B$10</f>
        <v>41.411006624019429</v>
      </c>
      <c r="P89" s="44">
        <f>I89*'GS&lt;50 PW'!$B$11</f>
        <v>-1.9723066266223299</v>
      </c>
      <c r="Q89" s="44">
        <f>'Monthly Data'!H89</f>
        <v>5344</v>
      </c>
      <c r="R89" s="29">
        <f>'Monthly Data'!BH89</f>
        <v>30</v>
      </c>
      <c r="S89" s="28">
        <f t="shared" ca="1" si="10"/>
        <v>13913322.516710211</v>
      </c>
    </row>
    <row r="90" spans="1:19" x14ac:dyDescent="0.2">
      <c r="A90" s="45">
        <f>'Monthly Data'!A90</f>
        <v>42856</v>
      </c>
      <c r="B90" s="29">
        <f t="shared" si="8"/>
        <v>2017</v>
      </c>
      <c r="C90" s="29">
        <f t="shared" si="9"/>
        <v>5</v>
      </c>
      <c r="D90" s="44">
        <f>'Monthly Data'!J90</f>
        <v>13851346.716300488</v>
      </c>
      <c r="E90" s="46">
        <f t="shared" ca="1" si="11"/>
        <v>35.92</v>
      </c>
      <c r="F90" s="46">
        <f t="shared" ca="1" si="11"/>
        <v>30.080000000000002</v>
      </c>
      <c r="G90" s="29">
        <f>'Monthly Data'!BG90</f>
        <v>89</v>
      </c>
      <c r="H90" s="29">
        <f>'Monthly Data'!X90</f>
        <v>3266.8</v>
      </c>
      <c r="I90" s="44">
        <f>'Monthly Data'!BF90</f>
        <v>1</v>
      </c>
      <c r="K90" s="29">
        <f>'GS&lt;50 PW'!$B$6</f>
        <v>50.759309292559799</v>
      </c>
      <c r="L90" s="29">
        <f ca="1">E90*'GS&lt;50 PW'!$B$7</f>
        <v>1.103088212027262</v>
      </c>
      <c r="M90" s="29">
        <f ca="1">F90*'GS&lt;50 PW'!$B$8</f>
        <v>2.3701509808942225</v>
      </c>
      <c r="N90" s="29">
        <f>G90*'GS&lt;50 PW'!$B$9</f>
        <v>-8.5760226373729935</v>
      </c>
      <c r="O90" s="29">
        <f>H90*'GS&lt;50 PW'!$B$10</f>
        <v>41.526683377642719</v>
      </c>
      <c r="P90" s="44">
        <f>I90*'GS&lt;50 PW'!$B$11</f>
        <v>-1.9723066266223299</v>
      </c>
      <c r="Q90" s="44">
        <f>'Monthly Data'!H90</f>
        <v>5341</v>
      </c>
      <c r="R90" s="29">
        <f>'Monthly Data'!BH90</f>
        <v>31</v>
      </c>
      <c r="S90" s="28">
        <f t="shared" ca="1" si="10"/>
        <v>14108454.354240334</v>
      </c>
    </row>
    <row r="91" spans="1:19" x14ac:dyDescent="0.2">
      <c r="A91" s="45">
        <f>'Monthly Data'!A91</f>
        <v>42887</v>
      </c>
      <c r="B91" s="29">
        <f t="shared" si="8"/>
        <v>2017</v>
      </c>
      <c r="C91" s="29">
        <f t="shared" si="9"/>
        <v>6</v>
      </c>
      <c r="D91" s="44">
        <f>'Monthly Data'!J91</f>
        <v>14440865.716300488</v>
      </c>
      <c r="E91" s="46">
        <f t="shared" ca="1" si="11"/>
        <v>0.37999999999999989</v>
      </c>
      <c r="F91" s="46">
        <f t="shared" ca="1" si="11"/>
        <v>94.58</v>
      </c>
      <c r="G91" s="29">
        <f>'Monthly Data'!BG91</f>
        <v>90</v>
      </c>
      <c r="H91" s="29">
        <f>'Monthly Data'!X91</f>
        <v>3268.7</v>
      </c>
      <c r="I91" s="44">
        <f>'Monthly Data'!BF91</f>
        <v>0</v>
      </c>
      <c r="K91" s="29">
        <f>'GS&lt;50 PW'!$B$6</f>
        <v>50.759309292559799</v>
      </c>
      <c r="L91" s="29">
        <f ca="1">E91*'GS&lt;50 PW'!$B$7</f>
        <v>1.1669641441268358E-2</v>
      </c>
      <c r="M91" s="29">
        <f ca="1">F91*'GS&lt;50 PW'!$B$8</f>
        <v>7.4524228647930704</v>
      </c>
      <c r="N91" s="29">
        <f>G91*'GS&lt;50 PW'!$B$9</f>
        <v>-8.6723824422872973</v>
      </c>
      <c r="O91" s="29">
        <f>H91*'GS&lt;50 PW'!$B$10</f>
        <v>41.550835666860763</v>
      </c>
      <c r="P91" s="44">
        <f>I91*'GS&lt;50 PW'!$B$11</f>
        <v>0</v>
      </c>
      <c r="Q91" s="44">
        <f>'Monthly Data'!H91</f>
        <v>5339</v>
      </c>
      <c r="R91" s="29">
        <f>'Monthly Data'!BH91</f>
        <v>30</v>
      </c>
      <c r="S91" s="28">
        <f t="shared" ca="1" si="10"/>
        <v>14591784.11909279</v>
      </c>
    </row>
    <row r="92" spans="1:19" x14ac:dyDescent="0.2">
      <c r="A92" s="45">
        <f>'Monthly Data'!A92</f>
        <v>42917</v>
      </c>
      <c r="B92" s="29">
        <f t="shared" si="8"/>
        <v>2017</v>
      </c>
      <c r="C92" s="29">
        <f t="shared" si="9"/>
        <v>7</v>
      </c>
      <c r="D92" s="44">
        <f>'Monthly Data'!J92</f>
        <v>15754493.716300488</v>
      </c>
      <c r="E92" s="46">
        <f t="shared" ca="1" si="11"/>
        <v>0</v>
      </c>
      <c r="F92" s="46">
        <f t="shared" ca="1" si="11"/>
        <v>206.28000000000003</v>
      </c>
      <c r="G92" s="29">
        <f>'Monthly Data'!BG92</f>
        <v>91</v>
      </c>
      <c r="H92" s="29">
        <f>'Monthly Data'!X92</f>
        <v>3270</v>
      </c>
      <c r="I92" s="44">
        <f>'Monthly Data'!BF92</f>
        <v>0</v>
      </c>
      <c r="K92" s="29">
        <f>'GS&lt;50 PW'!$B$6</f>
        <v>50.759309292559799</v>
      </c>
      <c r="L92" s="29">
        <f ca="1">E92*'GS&lt;50 PW'!$B$7</f>
        <v>0</v>
      </c>
      <c r="M92" s="29">
        <f ca="1">F92*'GS&lt;50 PW'!$B$8</f>
        <v>16.253814638924876</v>
      </c>
      <c r="N92" s="29">
        <f>G92*'GS&lt;50 PW'!$B$9</f>
        <v>-8.7687422472015992</v>
      </c>
      <c r="O92" s="29">
        <f>H92*'GS&lt;50 PW'!$B$10</f>
        <v>41.56736091737838</v>
      </c>
      <c r="P92" s="44">
        <f>I92*'GS&lt;50 PW'!$B$11</f>
        <v>0</v>
      </c>
      <c r="Q92" s="44">
        <f>'Monthly Data'!H92</f>
        <v>5337</v>
      </c>
      <c r="R92" s="29">
        <f>'Monthly Data'!BH92</f>
        <v>31</v>
      </c>
      <c r="S92" s="28">
        <f t="shared" ca="1" si="10"/>
        <v>16513553.378217081</v>
      </c>
    </row>
    <row r="93" spans="1:19" x14ac:dyDescent="0.2">
      <c r="A93" s="45">
        <f>'Monthly Data'!A93</f>
        <v>42948</v>
      </c>
      <c r="B93" s="29">
        <f t="shared" si="8"/>
        <v>2017</v>
      </c>
      <c r="C93" s="29">
        <f t="shared" si="9"/>
        <v>8</v>
      </c>
      <c r="D93" s="44">
        <f>'Monthly Data'!J93</f>
        <v>15368668.716300488</v>
      </c>
      <c r="E93" s="46">
        <f t="shared" ca="1" si="11"/>
        <v>0</v>
      </c>
      <c r="F93" s="46">
        <f t="shared" ca="1" si="11"/>
        <v>177.64000000000001</v>
      </c>
      <c r="G93" s="29">
        <f>'Monthly Data'!BG93</f>
        <v>92</v>
      </c>
      <c r="H93" s="29">
        <f>'Monthly Data'!X93</f>
        <v>3278.6</v>
      </c>
      <c r="I93" s="44">
        <f>'Monthly Data'!BF93</f>
        <v>0</v>
      </c>
      <c r="K93" s="29">
        <f>'GS&lt;50 PW'!$B$6</f>
        <v>50.759309292559799</v>
      </c>
      <c r="L93" s="29">
        <f ca="1">E93*'GS&lt;50 PW'!$B$7</f>
        <v>0</v>
      </c>
      <c r="M93" s="29">
        <f ca="1">F93*'GS&lt;50 PW'!$B$8</f>
        <v>13.997128332647929</v>
      </c>
      <c r="N93" s="29">
        <f>G93*'GS&lt;50 PW'!$B$9</f>
        <v>-8.865102052115903</v>
      </c>
      <c r="O93" s="29">
        <f>H93*'GS&lt;50 PW'!$B$10</f>
        <v>41.676681805417971</v>
      </c>
      <c r="P93" s="44">
        <f>I93*'GS&lt;50 PW'!$B$11</f>
        <v>0</v>
      </c>
      <c r="Q93" s="44">
        <f>'Monthly Data'!H93</f>
        <v>5344</v>
      </c>
      <c r="R93" s="29">
        <f>'Monthly Data'!BH93</f>
        <v>31</v>
      </c>
      <c r="S93" s="28">
        <f t="shared" ca="1" si="10"/>
        <v>16163508.030993447</v>
      </c>
    </row>
    <row r="94" spans="1:19" x14ac:dyDescent="0.2">
      <c r="A94" s="45">
        <f>'Monthly Data'!A94</f>
        <v>42979</v>
      </c>
      <c r="B94" s="29">
        <f t="shared" si="8"/>
        <v>2017</v>
      </c>
      <c r="C94" s="29">
        <f t="shared" si="9"/>
        <v>9</v>
      </c>
      <c r="D94" s="44">
        <f>'Monthly Data'!J94</f>
        <v>14399680.716300488</v>
      </c>
      <c r="E94" s="46">
        <f t="shared" ref="E94:F109" ca="1" si="12">E82</f>
        <v>0.49000000000000005</v>
      </c>
      <c r="F94" s="46">
        <f t="shared" ca="1" si="12"/>
        <v>85.65</v>
      </c>
      <c r="G94" s="29">
        <f>'Monthly Data'!BG94</f>
        <v>93</v>
      </c>
      <c r="H94" s="29">
        <f>'Monthly Data'!X94</f>
        <v>3297.7</v>
      </c>
      <c r="I94" s="44">
        <f>'Monthly Data'!BF94</f>
        <v>1</v>
      </c>
      <c r="K94" s="29">
        <f>'GS&lt;50 PW'!$B$6</f>
        <v>50.759309292559799</v>
      </c>
      <c r="L94" s="29">
        <f ca="1">E94*'GS&lt;50 PW'!$B$7</f>
        <v>1.5047695542688151E-2</v>
      </c>
      <c r="M94" s="29">
        <f ca="1">F94*'GS&lt;50 PW'!$B$8</f>
        <v>6.7487842923400985</v>
      </c>
      <c r="N94" s="29">
        <f>G94*'GS&lt;50 PW'!$B$9</f>
        <v>-8.9614618570302067</v>
      </c>
      <c r="O94" s="29">
        <f>H94*'GS&lt;50 PW'!$B$10</f>
        <v>41.919475870715189</v>
      </c>
      <c r="P94" s="44">
        <f>I94*'GS&lt;50 PW'!$B$11</f>
        <v>-1.9723066266223299</v>
      </c>
      <c r="Q94" s="44">
        <f>'Monthly Data'!H94</f>
        <v>5350</v>
      </c>
      <c r="R94" s="29">
        <f>'Monthly Data'!BH94</f>
        <v>30</v>
      </c>
      <c r="S94" s="28">
        <f t="shared" ca="1" si="10"/>
        <v>14205670.211134592</v>
      </c>
    </row>
    <row r="95" spans="1:19" x14ac:dyDescent="0.2">
      <c r="A95" s="45">
        <f>'Monthly Data'!A95</f>
        <v>43009</v>
      </c>
      <c r="B95" s="29">
        <f t="shared" si="8"/>
        <v>2017</v>
      </c>
      <c r="C95" s="29">
        <f t="shared" si="9"/>
        <v>10</v>
      </c>
      <c r="D95" s="44">
        <f>'Monthly Data'!J95</f>
        <v>14109770.716300488</v>
      </c>
      <c r="E95" s="46">
        <f t="shared" ca="1" si="12"/>
        <v>53.33000000000002</v>
      </c>
      <c r="F95" s="46">
        <f t="shared" ca="1" si="12"/>
        <v>12.219999999999999</v>
      </c>
      <c r="G95" s="29">
        <f>'Monthly Data'!BG95</f>
        <v>94</v>
      </c>
      <c r="H95" s="29">
        <f>'Monthly Data'!X95</f>
        <v>3320.8</v>
      </c>
      <c r="I95" s="44">
        <f>'Monthly Data'!BF95</f>
        <v>1</v>
      </c>
      <c r="K95" s="29">
        <f>'GS&lt;50 PW'!$B$6</f>
        <v>50.759309292559799</v>
      </c>
      <c r="L95" s="29">
        <f ca="1">E95*'GS&lt;50 PW'!$B$7</f>
        <v>1.6377420475337947</v>
      </c>
      <c r="M95" s="29">
        <f ca="1">F95*'GS&lt;50 PW'!$B$8</f>
        <v>0.96287383598827769</v>
      </c>
      <c r="N95" s="29">
        <f>G95*'GS&lt;50 PW'!$B$9</f>
        <v>-9.0578216619445087</v>
      </c>
      <c r="O95" s="29">
        <f>H95*'GS&lt;50 PW'!$B$10</f>
        <v>42.213116860682</v>
      </c>
      <c r="P95" s="44">
        <f>I95*'GS&lt;50 PW'!$B$11</f>
        <v>-1.9723066266223299</v>
      </c>
      <c r="Q95" s="44">
        <f>'Monthly Data'!H95</f>
        <v>5350</v>
      </c>
      <c r="R95" s="29">
        <f>'Monthly Data'!BH95</f>
        <v>31</v>
      </c>
      <c r="S95" s="28">
        <f t="shared" ca="1" si="10"/>
        <v>14021442.245138478</v>
      </c>
    </row>
    <row r="96" spans="1:19" x14ac:dyDescent="0.2">
      <c r="A96" s="45">
        <f>'Monthly Data'!A96</f>
        <v>43040</v>
      </c>
      <c r="B96" s="29">
        <f t="shared" si="8"/>
        <v>2017</v>
      </c>
      <c r="C96" s="29">
        <f t="shared" si="9"/>
        <v>11</v>
      </c>
      <c r="D96" s="44">
        <f>'Monthly Data'!J96</f>
        <v>14159054.716300488</v>
      </c>
      <c r="E96" s="46">
        <f t="shared" ca="1" si="12"/>
        <v>207.66000000000003</v>
      </c>
      <c r="F96" s="46">
        <f t="shared" ca="1" si="12"/>
        <v>1.0000000000000142E-2</v>
      </c>
      <c r="G96" s="29">
        <f>'Monthly Data'!BG96</f>
        <v>95</v>
      </c>
      <c r="H96" s="29">
        <f>'Monthly Data'!X96</f>
        <v>3335.4</v>
      </c>
      <c r="I96" s="44">
        <f>'Monthly Data'!BF96</f>
        <v>1</v>
      </c>
      <c r="K96" s="29">
        <f>'GS&lt;50 PW'!$B$6</f>
        <v>50.759309292559799</v>
      </c>
      <c r="L96" s="29">
        <f ca="1">E96*'GS&lt;50 PW'!$B$7</f>
        <v>6.3771519518257582</v>
      </c>
      <c r="M96" s="29">
        <f ca="1">F96*'GS&lt;50 PW'!$B$8</f>
        <v>7.8794912928665433E-4</v>
      </c>
      <c r="N96" s="29">
        <f>G96*'GS&lt;50 PW'!$B$9</f>
        <v>-9.1541814668588124</v>
      </c>
      <c r="O96" s="29">
        <f>H96*'GS&lt;50 PW'!$B$10</f>
        <v>42.398708135725947</v>
      </c>
      <c r="P96" s="44">
        <f>I96*'GS&lt;50 PW'!$B$11</f>
        <v>-1.9723066266223299</v>
      </c>
      <c r="Q96" s="44">
        <f>'Monthly Data'!H96</f>
        <v>5353</v>
      </c>
      <c r="R96" s="29">
        <f>'Monthly Data'!BH96</f>
        <v>30</v>
      </c>
      <c r="S96" s="28">
        <f t="shared" ca="1" si="10"/>
        <v>14197676.664570641</v>
      </c>
    </row>
    <row r="97" spans="1:23" x14ac:dyDescent="0.2">
      <c r="A97" s="45">
        <f>'Monthly Data'!A97</f>
        <v>43070</v>
      </c>
      <c r="B97" s="29">
        <f t="shared" si="8"/>
        <v>2017</v>
      </c>
      <c r="C97" s="29">
        <f t="shared" si="9"/>
        <v>12</v>
      </c>
      <c r="D97" s="44">
        <f>'Monthly Data'!J97</f>
        <v>15720500.716300488</v>
      </c>
      <c r="E97" s="46">
        <f t="shared" ca="1" si="12"/>
        <v>351.65000000000003</v>
      </c>
      <c r="F97" s="46">
        <f t="shared" ca="1" si="12"/>
        <v>0</v>
      </c>
      <c r="G97" s="29">
        <f>'Monthly Data'!BG97</f>
        <v>96</v>
      </c>
      <c r="H97" s="29">
        <f>'Monthly Data'!X97</f>
        <v>3352.3</v>
      </c>
      <c r="I97" s="44">
        <f>'Monthly Data'!BF97</f>
        <v>0</v>
      </c>
      <c r="K97" s="29">
        <f>'GS&lt;50 PW'!$B$6</f>
        <v>50.759309292559799</v>
      </c>
      <c r="L97" s="29">
        <f ca="1">E97*'GS&lt;50 PW'!$B$7</f>
        <v>10.799024770584262</v>
      </c>
      <c r="M97" s="29">
        <f ca="1">F97*'GS&lt;50 PW'!$B$8</f>
        <v>0</v>
      </c>
      <c r="N97" s="29">
        <f>G97*'GS&lt;50 PW'!$B$9</f>
        <v>-9.2505412717731161</v>
      </c>
      <c r="O97" s="29">
        <f>H97*'GS&lt;50 PW'!$B$10</f>
        <v>42.613536392454911</v>
      </c>
      <c r="P97" s="44">
        <f>I97*'GS&lt;50 PW'!$B$11</f>
        <v>0</v>
      </c>
      <c r="Q97" s="44">
        <f>'Monthly Data'!H97</f>
        <v>5356</v>
      </c>
      <c r="R97" s="29">
        <f>'Monthly Data'!BH97</f>
        <v>31</v>
      </c>
      <c r="S97" s="28">
        <f t="shared" ca="1" si="10"/>
        <v>15760357.812365711</v>
      </c>
    </row>
    <row r="98" spans="1:23" x14ac:dyDescent="0.2">
      <c r="A98" s="45">
        <f>'Monthly Data'!A98</f>
        <v>43101</v>
      </c>
      <c r="B98" s="29">
        <f t="shared" si="8"/>
        <v>2018</v>
      </c>
      <c r="C98" s="29">
        <f t="shared" si="9"/>
        <v>1</v>
      </c>
      <c r="D98" s="44">
        <f>'Monthly Data'!J98</f>
        <v>16654358.367339365</v>
      </c>
      <c r="E98" s="46">
        <f t="shared" ca="1" si="12"/>
        <v>477.14</v>
      </c>
      <c r="F98" s="46">
        <f t="shared" ca="1" si="12"/>
        <v>0</v>
      </c>
      <c r="G98" s="29">
        <f>'Monthly Data'!BG98</f>
        <v>97</v>
      </c>
      <c r="H98" s="29">
        <f>'Monthly Data'!X98</f>
        <v>3357.1</v>
      </c>
      <c r="I98" s="44">
        <f>'Monthly Data'!BF98</f>
        <v>0</v>
      </c>
      <c r="K98" s="29">
        <f>'GS&lt;50 PW'!$B$6</f>
        <v>50.759309292559799</v>
      </c>
      <c r="L98" s="29">
        <f ca="1">E98*'GS&lt;50 PW'!$B$7</f>
        <v>14.652770308649437</v>
      </c>
      <c r="M98" s="29">
        <f ca="1">F98*'GS&lt;50 PW'!$B$8</f>
        <v>0</v>
      </c>
      <c r="N98" s="29">
        <f>G98*'GS&lt;50 PW'!$B$9</f>
        <v>-9.3469010766874199</v>
      </c>
      <c r="O98" s="29">
        <f>H98*'GS&lt;50 PW'!$B$10</f>
        <v>42.674552702058399</v>
      </c>
      <c r="P98" s="44">
        <f>I98*'GS&lt;50 PW'!$B$11</f>
        <v>0</v>
      </c>
      <c r="Q98" s="44">
        <f>'Monthly Data'!H98</f>
        <v>5365</v>
      </c>
      <c r="R98" s="29">
        <f>'Monthly Data'!BH98</f>
        <v>31</v>
      </c>
      <c r="S98" s="28">
        <f t="shared" ca="1" si="10"/>
        <v>16421898.398948688</v>
      </c>
    </row>
    <row r="99" spans="1:23" x14ac:dyDescent="0.2">
      <c r="A99" s="45">
        <f>'Monthly Data'!A99</f>
        <v>43132</v>
      </c>
      <c r="B99" s="29">
        <f t="shared" si="8"/>
        <v>2018</v>
      </c>
      <c r="C99" s="29">
        <f t="shared" si="9"/>
        <v>2</v>
      </c>
      <c r="D99" s="44">
        <f>'Monthly Data'!J99</f>
        <v>14649762.367339365</v>
      </c>
      <c r="E99" s="46">
        <f t="shared" ca="1" si="12"/>
        <v>417.05</v>
      </c>
      <c r="F99" s="46">
        <f t="shared" ca="1" si="12"/>
        <v>0</v>
      </c>
      <c r="G99" s="29">
        <f>'Monthly Data'!BG99</f>
        <v>98</v>
      </c>
      <c r="H99" s="29">
        <f>'Monthly Data'!X99</f>
        <v>3356.1</v>
      </c>
      <c r="I99" s="44">
        <f>'Monthly Data'!BF99</f>
        <v>0</v>
      </c>
      <c r="K99" s="29">
        <f>'GS&lt;50 PW'!$B$6</f>
        <v>50.759309292559799</v>
      </c>
      <c r="L99" s="29">
        <f ca="1">E99*'GS&lt;50 PW'!$B$7</f>
        <v>12.807431481792028</v>
      </c>
      <c r="M99" s="29">
        <f ca="1">F99*'GS&lt;50 PW'!$B$8</f>
        <v>0</v>
      </c>
      <c r="N99" s="29">
        <f>G99*'GS&lt;50 PW'!$B$9</f>
        <v>-9.4432608816017236</v>
      </c>
      <c r="O99" s="29">
        <f>H99*'GS&lt;50 PW'!$B$10</f>
        <v>42.661840970890999</v>
      </c>
      <c r="P99" s="44">
        <f>I99*'GS&lt;50 PW'!$B$11</f>
        <v>0</v>
      </c>
      <c r="Q99" s="44">
        <f>'Monthly Data'!H99</f>
        <v>5367</v>
      </c>
      <c r="R99" s="29">
        <f>'Monthly Data'!BH99</f>
        <v>28</v>
      </c>
      <c r="S99" s="28">
        <f t="shared" ca="1" si="10"/>
        <v>14544510.87810453</v>
      </c>
    </row>
    <row r="100" spans="1:23" x14ac:dyDescent="0.2">
      <c r="A100" s="45">
        <f>'Monthly Data'!A100</f>
        <v>43160</v>
      </c>
      <c r="B100" s="29">
        <f t="shared" si="8"/>
        <v>2018</v>
      </c>
      <c r="C100" s="29">
        <f t="shared" si="9"/>
        <v>3</v>
      </c>
      <c r="D100" s="44">
        <f>'Monthly Data'!J100</f>
        <v>15509147.367339365</v>
      </c>
      <c r="E100" s="46">
        <f t="shared" ca="1" si="12"/>
        <v>332.70999999999992</v>
      </c>
      <c r="F100" s="46">
        <f t="shared" ca="1" si="12"/>
        <v>0</v>
      </c>
      <c r="G100" s="29">
        <f>'Monthly Data'!BG100</f>
        <v>99</v>
      </c>
      <c r="H100" s="29">
        <f>'Monthly Data'!X100</f>
        <v>3345.3</v>
      </c>
      <c r="I100" s="44">
        <f>'Monthly Data'!BF100</f>
        <v>1</v>
      </c>
      <c r="K100" s="29">
        <f>'GS&lt;50 PW'!$B$6</f>
        <v>50.759309292559799</v>
      </c>
      <c r="L100" s="29">
        <f ca="1">E100*'GS&lt;50 PW'!$B$7</f>
        <v>10.217385273485252</v>
      </c>
      <c r="M100" s="29">
        <f ca="1">F100*'GS&lt;50 PW'!$B$8</f>
        <v>0</v>
      </c>
      <c r="N100" s="29">
        <f>G100*'GS&lt;50 PW'!$B$9</f>
        <v>-9.5396206865160256</v>
      </c>
      <c r="O100" s="29">
        <f>H100*'GS&lt;50 PW'!$B$10</f>
        <v>42.524554274283147</v>
      </c>
      <c r="P100" s="44">
        <f>I100*'GS&lt;50 PW'!$B$11</f>
        <v>-1.9723066266223299</v>
      </c>
      <c r="Q100" s="44">
        <f>'Monthly Data'!H100</f>
        <v>5382</v>
      </c>
      <c r="R100" s="29">
        <f>'Monthly Data'!BH100</f>
        <v>31</v>
      </c>
      <c r="S100" s="28">
        <f t="shared" ca="1" si="10"/>
        <v>15347682.382239407</v>
      </c>
    </row>
    <row r="101" spans="1:23" x14ac:dyDescent="0.2">
      <c r="A101" s="45">
        <f>'Monthly Data'!A101</f>
        <v>43191</v>
      </c>
      <c r="B101" s="29">
        <f t="shared" si="8"/>
        <v>2018</v>
      </c>
      <c r="C101" s="29">
        <f t="shared" si="9"/>
        <v>4</v>
      </c>
      <c r="D101" s="44">
        <f>'Monthly Data'!J101</f>
        <v>14451924.367339365</v>
      </c>
      <c r="E101" s="46">
        <f t="shared" ca="1" si="12"/>
        <v>164.53999999999996</v>
      </c>
      <c r="F101" s="46">
        <f t="shared" ca="1" si="12"/>
        <v>0.16999999999999993</v>
      </c>
      <c r="G101" s="29">
        <f>'Monthly Data'!BG101</f>
        <v>100</v>
      </c>
      <c r="H101" s="29">
        <f>'Monthly Data'!X101</f>
        <v>3338.5</v>
      </c>
      <c r="I101" s="44">
        <f>'Monthly Data'!BF101</f>
        <v>1</v>
      </c>
      <c r="K101" s="29">
        <f>'GS&lt;50 PW'!$B$6</f>
        <v>50.759309292559799</v>
      </c>
      <c r="L101" s="29">
        <f ca="1">E101*'GS&lt;50 PW'!$B$7</f>
        <v>5.0529547440691998</v>
      </c>
      <c r="M101" s="29">
        <f ca="1">F101*'GS&lt;50 PW'!$B$8</f>
        <v>1.3395135197872927E-2</v>
      </c>
      <c r="N101" s="29">
        <f>G101*'GS&lt;50 PW'!$B$9</f>
        <v>-9.6359804914303293</v>
      </c>
      <c r="O101" s="29">
        <f>H101*'GS&lt;50 PW'!$B$10</f>
        <v>42.438114502344867</v>
      </c>
      <c r="P101" s="44">
        <f>I101*'GS&lt;50 PW'!$B$11</f>
        <v>-1.9723066266223299</v>
      </c>
      <c r="Q101" s="44">
        <f>'Monthly Data'!H101</f>
        <v>5377</v>
      </c>
      <c r="R101" s="29">
        <f>'Monthly Data'!BH101</f>
        <v>30</v>
      </c>
      <c r="S101" s="28">
        <f t="shared" ca="1" si="10"/>
        <v>13978396.536367571</v>
      </c>
    </row>
    <row r="102" spans="1:23" x14ac:dyDescent="0.2">
      <c r="A102" s="45">
        <f>'Monthly Data'!A102</f>
        <v>43221</v>
      </c>
      <c r="B102" s="29">
        <f t="shared" si="8"/>
        <v>2018</v>
      </c>
      <c r="C102" s="29">
        <f t="shared" si="9"/>
        <v>5</v>
      </c>
      <c r="D102" s="44">
        <f>'Monthly Data'!J102</f>
        <v>14807257.367339365</v>
      </c>
      <c r="E102" s="46">
        <f t="shared" ca="1" si="12"/>
        <v>35.92</v>
      </c>
      <c r="F102" s="46">
        <f t="shared" ca="1" si="12"/>
        <v>30.080000000000002</v>
      </c>
      <c r="G102" s="29">
        <f>'Monthly Data'!BG102</f>
        <v>101</v>
      </c>
      <c r="H102" s="29">
        <f>'Monthly Data'!X102</f>
        <v>3335</v>
      </c>
      <c r="I102" s="44">
        <f>'Monthly Data'!BF102</f>
        <v>1</v>
      </c>
      <c r="K102" s="29">
        <f>'GS&lt;50 PW'!$B$6</f>
        <v>50.759309292559799</v>
      </c>
      <c r="L102" s="29">
        <f ca="1">E102*'GS&lt;50 PW'!$B$7</f>
        <v>1.103088212027262</v>
      </c>
      <c r="M102" s="29">
        <f ca="1">F102*'GS&lt;50 PW'!$B$8</f>
        <v>2.3701509808942225</v>
      </c>
      <c r="N102" s="29">
        <f>G102*'GS&lt;50 PW'!$B$9</f>
        <v>-9.732340296344633</v>
      </c>
      <c r="O102" s="29">
        <f>H102*'GS&lt;50 PW'!$B$10</f>
        <v>42.393623443258988</v>
      </c>
      <c r="P102" s="44">
        <f>I102*'GS&lt;50 PW'!$B$11</f>
        <v>-1.9723066266223299</v>
      </c>
      <c r="Q102" s="44">
        <f>'Monthly Data'!H102</f>
        <v>5371</v>
      </c>
      <c r="R102" s="29">
        <f>'Monthly Data'!BH102</f>
        <v>31</v>
      </c>
      <c r="S102" s="28">
        <f t="shared" ca="1" si="10"/>
        <v>14139518.83498626</v>
      </c>
    </row>
    <row r="103" spans="1:23" x14ac:dyDescent="0.2">
      <c r="A103" s="45">
        <f>'Monthly Data'!A103</f>
        <v>43252</v>
      </c>
      <c r="B103" s="29">
        <f t="shared" si="8"/>
        <v>2018</v>
      </c>
      <c r="C103" s="29">
        <f t="shared" si="9"/>
        <v>6</v>
      </c>
      <c r="D103" s="44">
        <f>'Monthly Data'!J103</f>
        <v>15605806.367339365</v>
      </c>
      <c r="E103" s="46">
        <f t="shared" ca="1" si="12"/>
        <v>0.37999999999999989</v>
      </c>
      <c r="F103" s="46">
        <f t="shared" ca="1" si="12"/>
        <v>94.58</v>
      </c>
      <c r="G103" s="29">
        <f>'Monthly Data'!BG103</f>
        <v>102</v>
      </c>
      <c r="H103" s="29">
        <f>'Monthly Data'!X103</f>
        <v>3341.9</v>
      </c>
      <c r="I103" s="44">
        <f>'Monthly Data'!BF103</f>
        <v>0</v>
      </c>
      <c r="K103" s="29">
        <f>'GS&lt;50 PW'!$B$6</f>
        <v>50.759309292559799</v>
      </c>
      <c r="L103" s="29">
        <f ca="1">E103*'GS&lt;50 PW'!$B$7</f>
        <v>1.1669641441268358E-2</v>
      </c>
      <c r="M103" s="29">
        <f ca="1">F103*'GS&lt;50 PW'!$B$8</f>
        <v>7.4524228647930704</v>
      </c>
      <c r="N103" s="29">
        <f>G103*'GS&lt;50 PW'!$B$9</f>
        <v>-9.828700101258935</v>
      </c>
      <c r="O103" s="29">
        <f>H103*'GS&lt;50 PW'!$B$10</f>
        <v>42.481334388314011</v>
      </c>
      <c r="P103" s="44">
        <f>I103*'GS&lt;50 PW'!$B$11</f>
        <v>0</v>
      </c>
      <c r="Q103" s="44">
        <f>'Monthly Data'!H103</f>
        <v>5437</v>
      </c>
      <c r="R103" s="29">
        <f>'Monthly Data'!BH103</f>
        <v>30</v>
      </c>
      <c r="S103" s="28">
        <f t="shared" ca="1" si="10"/>
        <v>14822790.245962864</v>
      </c>
    </row>
    <row r="104" spans="1:23" x14ac:dyDescent="0.2">
      <c r="A104" s="45">
        <f>'Monthly Data'!A104</f>
        <v>43282</v>
      </c>
      <c r="B104" s="29">
        <f t="shared" si="8"/>
        <v>2018</v>
      </c>
      <c r="C104" s="29">
        <f t="shared" si="9"/>
        <v>7</v>
      </c>
      <c r="D104" s="44">
        <f>'Monthly Data'!J104</f>
        <v>17337110.367339365</v>
      </c>
      <c r="E104" s="46">
        <f t="shared" ca="1" si="12"/>
        <v>0</v>
      </c>
      <c r="F104" s="46">
        <f t="shared" ca="1" si="12"/>
        <v>206.28000000000003</v>
      </c>
      <c r="G104" s="29">
        <f>'Monthly Data'!BG104</f>
        <v>103</v>
      </c>
      <c r="H104" s="29">
        <f>'Monthly Data'!X104</f>
        <v>3357.7</v>
      </c>
      <c r="I104" s="44">
        <f>'Monthly Data'!BF104</f>
        <v>0</v>
      </c>
      <c r="K104" s="29">
        <f>'GS&lt;50 PW'!$B$6</f>
        <v>50.759309292559799</v>
      </c>
      <c r="L104" s="29">
        <f ca="1">E104*'GS&lt;50 PW'!$B$7</f>
        <v>0</v>
      </c>
      <c r="M104" s="29">
        <f ca="1">F104*'GS&lt;50 PW'!$B$8</f>
        <v>16.253814638924876</v>
      </c>
      <c r="N104" s="29">
        <f>G104*'GS&lt;50 PW'!$B$9</f>
        <v>-9.9250599061732387</v>
      </c>
      <c r="O104" s="29">
        <f>H104*'GS&lt;50 PW'!$B$10</f>
        <v>42.682179740758833</v>
      </c>
      <c r="P104" s="44">
        <f>I104*'GS&lt;50 PW'!$B$11</f>
        <v>0</v>
      </c>
      <c r="Q104" s="44">
        <f>'Monthly Data'!H104</f>
        <v>5443</v>
      </c>
      <c r="R104" s="29">
        <f>'Monthly Data'!BH104</f>
        <v>31</v>
      </c>
      <c r="S104" s="28">
        <f t="shared" ca="1" si="10"/>
        <v>16834532.541380335</v>
      </c>
    </row>
    <row r="105" spans="1:23" x14ac:dyDescent="0.2">
      <c r="A105" s="45">
        <f>'Monthly Data'!A105</f>
        <v>43313</v>
      </c>
      <c r="B105" s="29">
        <f t="shared" si="8"/>
        <v>2018</v>
      </c>
      <c r="C105" s="29">
        <f t="shared" si="9"/>
        <v>8</v>
      </c>
      <c r="D105" s="44">
        <f>'Monthly Data'!J105</f>
        <v>17142851.367339365</v>
      </c>
      <c r="E105" s="46">
        <f t="shared" ca="1" si="12"/>
        <v>0</v>
      </c>
      <c r="F105" s="46">
        <f t="shared" ca="1" si="12"/>
        <v>177.64000000000001</v>
      </c>
      <c r="G105" s="29">
        <f>'Monthly Data'!BG105</f>
        <v>104</v>
      </c>
      <c r="H105" s="29">
        <f>'Monthly Data'!X105</f>
        <v>3354.6</v>
      </c>
      <c r="I105" s="44">
        <f>'Monthly Data'!BF105</f>
        <v>0</v>
      </c>
      <c r="K105" s="29">
        <f>'GS&lt;50 PW'!$B$6</f>
        <v>50.759309292559799</v>
      </c>
      <c r="L105" s="29">
        <f ca="1">E105*'GS&lt;50 PW'!$B$7</f>
        <v>0</v>
      </c>
      <c r="M105" s="29">
        <f ca="1">F105*'GS&lt;50 PW'!$B$8</f>
        <v>13.997128332647929</v>
      </c>
      <c r="N105" s="29">
        <f>G105*'GS&lt;50 PW'!$B$9</f>
        <v>-10.021419711087542</v>
      </c>
      <c r="O105" s="29">
        <f>H105*'GS&lt;50 PW'!$B$10</f>
        <v>42.642773374139914</v>
      </c>
      <c r="P105" s="44">
        <f>I105*'GS&lt;50 PW'!$B$11</f>
        <v>0</v>
      </c>
      <c r="Q105" s="44">
        <f>'Monthly Data'!H105</f>
        <v>5466</v>
      </c>
      <c r="R105" s="29">
        <f>'Monthly Data'!BH105</f>
        <v>31</v>
      </c>
      <c r="S105" s="28">
        <f t="shared" ca="1" si="10"/>
        <v>16500277.222630519</v>
      </c>
    </row>
    <row r="106" spans="1:23" x14ac:dyDescent="0.2">
      <c r="A106" s="45">
        <f>'Monthly Data'!A106</f>
        <v>43344</v>
      </c>
      <c r="B106" s="29">
        <f t="shared" si="8"/>
        <v>2018</v>
      </c>
      <c r="C106" s="29">
        <f t="shared" si="9"/>
        <v>9</v>
      </c>
      <c r="D106" s="44">
        <f>'Monthly Data'!J106</f>
        <v>15306561.367339365</v>
      </c>
      <c r="E106" s="46">
        <f t="shared" ca="1" si="12"/>
        <v>0.49000000000000005</v>
      </c>
      <c r="F106" s="46">
        <f t="shared" ca="1" si="12"/>
        <v>85.65</v>
      </c>
      <c r="G106" s="29">
        <f>'Monthly Data'!BG106</f>
        <v>105</v>
      </c>
      <c r="H106" s="29">
        <f>'Monthly Data'!X106</f>
        <v>3347.2</v>
      </c>
      <c r="I106" s="44">
        <f>'Monthly Data'!BF106</f>
        <v>1</v>
      </c>
      <c r="K106" s="29">
        <f>'GS&lt;50 PW'!$B$6</f>
        <v>50.759309292559799</v>
      </c>
      <c r="L106" s="29">
        <f ca="1">E106*'GS&lt;50 PW'!$B$7</f>
        <v>1.5047695542688151E-2</v>
      </c>
      <c r="M106" s="29">
        <f ca="1">F106*'GS&lt;50 PW'!$B$8</f>
        <v>6.7487842923400985</v>
      </c>
      <c r="N106" s="29">
        <f>G106*'GS&lt;50 PW'!$B$9</f>
        <v>-10.117779516001846</v>
      </c>
      <c r="O106" s="29">
        <f>H106*'GS&lt;50 PW'!$B$10</f>
        <v>42.548706563501192</v>
      </c>
      <c r="P106" s="44">
        <f>I106*'GS&lt;50 PW'!$B$11</f>
        <v>-1.9723066266223299</v>
      </c>
      <c r="Q106" s="44">
        <f>'Monthly Data'!H106</f>
        <v>5466</v>
      </c>
      <c r="R106" s="29">
        <f>'Monthly Data'!BH106</f>
        <v>30</v>
      </c>
      <c r="S106" s="28">
        <f t="shared" ca="1" si="10"/>
        <v>14427249.283782389</v>
      </c>
    </row>
    <row r="107" spans="1:23" x14ac:dyDescent="0.2">
      <c r="A107" s="45">
        <v>43374</v>
      </c>
      <c r="B107" s="29">
        <f t="shared" si="8"/>
        <v>2018</v>
      </c>
      <c r="C107" s="29">
        <f t="shared" si="9"/>
        <v>10</v>
      </c>
      <c r="D107" s="44">
        <f>'Monthly Data'!J107</f>
        <v>14377808.367339365</v>
      </c>
      <c r="E107" s="46">
        <f t="shared" ca="1" si="12"/>
        <v>53.33000000000002</v>
      </c>
      <c r="F107" s="46">
        <f t="shared" ca="1" si="12"/>
        <v>12.219999999999999</v>
      </c>
      <c r="G107" s="29">
        <f>'Monthly Data'!BG107</f>
        <v>106</v>
      </c>
      <c r="H107" s="29">
        <f>'Monthly Data'!X107</f>
        <v>3346.6</v>
      </c>
      <c r="I107" s="44">
        <f>'Monthly Data'!BF107</f>
        <v>1</v>
      </c>
      <c r="K107" s="29">
        <f>'GS&lt;50 PW'!$B$6</f>
        <v>50.759309292559799</v>
      </c>
      <c r="L107" s="29">
        <f ca="1">E107*'GS&lt;50 PW'!$B$7</f>
        <v>1.6377420475337947</v>
      </c>
      <c r="M107" s="29">
        <f ca="1">F107*'GS&lt;50 PW'!$B$8</f>
        <v>0.96287383598827769</v>
      </c>
      <c r="N107" s="29">
        <f>G107*'GS&lt;50 PW'!$B$9</f>
        <v>-10.21413932091615</v>
      </c>
      <c r="O107" s="29">
        <f>H107*'GS&lt;50 PW'!$B$10</f>
        <v>42.541079524800757</v>
      </c>
      <c r="P107" s="44">
        <f>I107*'GS&lt;50 PW'!$B$11</f>
        <v>-1.9723066266223299</v>
      </c>
      <c r="Q107" s="44">
        <f>'Monthly Data'!H107</f>
        <v>5469</v>
      </c>
      <c r="R107" s="29">
        <f>'Monthly Data'!BH107</f>
        <v>31</v>
      </c>
      <c r="S107" s="28">
        <f t="shared" ca="1" si="10"/>
        <v>14192882.576483211</v>
      </c>
    </row>
    <row r="108" spans="1:23" x14ac:dyDescent="0.2">
      <c r="A108" s="45">
        <v>43405</v>
      </c>
      <c r="B108" s="29">
        <f t="shared" si="8"/>
        <v>2018</v>
      </c>
      <c r="C108" s="29">
        <f t="shared" si="9"/>
        <v>11</v>
      </c>
      <c r="D108" s="44">
        <f>'Monthly Data'!J108</f>
        <v>14845972.367339365</v>
      </c>
      <c r="E108" s="46">
        <f t="shared" ca="1" si="12"/>
        <v>207.66000000000003</v>
      </c>
      <c r="F108" s="46">
        <f t="shared" ca="1" si="12"/>
        <v>1.0000000000000142E-2</v>
      </c>
      <c r="G108" s="29">
        <f>'Monthly Data'!BG108</f>
        <v>107</v>
      </c>
      <c r="H108" s="29">
        <f>'Monthly Data'!X108</f>
        <v>3365.9</v>
      </c>
      <c r="I108" s="44">
        <f>'Monthly Data'!BF108</f>
        <v>1</v>
      </c>
      <c r="K108" s="29">
        <f>'GS&lt;50 PW'!$B$6</f>
        <v>50.759309292559799</v>
      </c>
      <c r="L108" s="29">
        <f ca="1">E108*'GS&lt;50 PW'!$B$7</f>
        <v>6.3771519518257582</v>
      </c>
      <c r="M108" s="29">
        <f ca="1">F108*'GS&lt;50 PW'!$B$8</f>
        <v>7.8794912928665433E-4</v>
      </c>
      <c r="N108" s="29">
        <f>G108*'GS&lt;50 PW'!$B$9</f>
        <v>-10.310499125830452</v>
      </c>
      <c r="O108" s="29">
        <f>H108*'GS&lt;50 PW'!$B$10</f>
        <v>42.786415936331466</v>
      </c>
      <c r="P108" s="44">
        <f>I108*'GS&lt;50 PW'!$B$11</f>
        <v>-1.9723066266223299</v>
      </c>
      <c r="Q108" s="44">
        <f>'Monthly Data'!H108</f>
        <v>5496</v>
      </c>
      <c r="R108" s="29">
        <f>'Monthly Data'!BH108</f>
        <v>30</v>
      </c>
      <c r="S108" s="28">
        <f t="shared" ca="1" si="10"/>
        <v>14450224.894144645</v>
      </c>
    </row>
    <row r="109" spans="1:23" x14ac:dyDescent="0.2">
      <c r="A109" s="45">
        <v>43435</v>
      </c>
      <c r="B109" s="29">
        <f t="shared" si="8"/>
        <v>2018</v>
      </c>
      <c r="C109" s="29">
        <f t="shared" si="9"/>
        <v>12</v>
      </c>
      <c r="D109" s="44">
        <f>'Monthly Data'!J109</f>
        <v>15695898.367339365</v>
      </c>
      <c r="E109" s="46">
        <f t="shared" ca="1" si="12"/>
        <v>351.65000000000003</v>
      </c>
      <c r="F109" s="46">
        <f t="shared" ca="1" si="12"/>
        <v>0</v>
      </c>
      <c r="G109" s="29">
        <f>'Monthly Data'!BG109</f>
        <v>108</v>
      </c>
      <c r="H109" s="29">
        <f>'Monthly Data'!X109</f>
        <v>3382.8</v>
      </c>
      <c r="I109" s="44">
        <f>'Monthly Data'!BF109</f>
        <v>0</v>
      </c>
      <c r="K109" s="29">
        <f>'GS&lt;50 PW'!$B$6</f>
        <v>50.759309292559799</v>
      </c>
      <c r="L109" s="29">
        <f ca="1">E109*'GS&lt;50 PW'!$B$7</f>
        <v>10.799024770584262</v>
      </c>
      <c r="M109" s="29">
        <f ca="1">F109*'GS&lt;50 PW'!$B$8</f>
        <v>0</v>
      </c>
      <c r="N109" s="29">
        <f>G109*'GS&lt;50 PW'!$B$9</f>
        <v>-10.406858930744756</v>
      </c>
      <c r="O109" s="29">
        <f>H109*'GS&lt;50 PW'!$B$10</f>
        <v>43.001244193060423</v>
      </c>
      <c r="P109" s="44">
        <f>I109*'GS&lt;50 PW'!$B$11</f>
        <v>0</v>
      </c>
      <c r="Q109" s="44">
        <f>'Monthly Data'!H109</f>
        <v>5494</v>
      </c>
      <c r="R109" s="29">
        <f>'Monthly Data'!BH109</f>
        <v>31</v>
      </c>
      <c r="S109" s="28">
        <f t="shared" ca="1" si="10"/>
        <v>16035526.239196349</v>
      </c>
    </row>
    <row r="110" spans="1:23" x14ac:dyDescent="0.2">
      <c r="A110" s="45">
        <v>43466</v>
      </c>
      <c r="B110" s="29">
        <f t="shared" si="8"/>
        <v>2019</v>
      </c>
      <c r="C110" s="29">
        <f t="shared" si="9"/>
        <v>1</v>
      </c>
      <c r="D110" s="44">
        <f>'Monthly Data'!J110</f>
        <v>16830375.066078711</v>
      </c>
      <c r="E110" s="46">
        <f t="shared" ref="E110:F121" ca="1" si="13">E98</f>
        <v>477.14</v>
      </c>
      <c r="F110" s="46">
        <f t="shared" ca="1" si="13"/>
        <v>0</v>
      </c>
      <c r="G110" s="29">
        <f>'Monthly Data'!BG110</f>
        <v>109</v>
      </c>
      <c r="H110" s="29">
        <f>'Monthly Data'!X110</f>
        <v>3394.9</v>
      </c>
      <c r="I110" s="44">
        <f>'Monthly Data'!BF110</f>
        <v>0</v>
      </c>
      <c r="K110" s="29">
        <f>'GS&lt;50 PW'!$B$6</f>
        <v>50.759309292559799</v>
      </c>
      <c r="L110" s="29">
        <f ca="1">E110*'GS&lt;50 PW'!$B$7</f>
        <v>14.652770308649437</v>
      </c>
      <c r="M110" s="29">
        <f ca="1">F110*'GS&lt;50 PW'!$B$8</f>
        <v>0</v>
      </c>
      <c r="N110" s="29">
        <f>G110*'GS&lt;50 PW'!$B$9</f>
        <v>-10.503218735659059</v>
      </c>
      <c r="O110" s="29">
        <f>H110*'GS&lt;50 PW'!$B$10</f>
        <v>43.155056140185891</v>
      </c>
      <c r="P110" s="44">
        <f>I110*'GS&lt;50 PW'!$B$11</f>
        <v>0</v>
      </c>
      <c r="Q110" s="44">
        <f>'Monthly Data'!H110</f>
        <v>5499</v>
      </c>
      <c r="R110" s="29">
        <f>R62</f>
        <v>31</v>
      </c>
      <c r="S110" s="28">
        <f t="shared" ca="1" si="10"/>
        <v>16716857.868050819</v>
      </c>
    </row>
    <row r="111" spans="1:23" x14ac:dyDescent="0.2">
      <c r="A111" s="45">
        <v>43497</v>
      </c>
      <c r="B111" s="29">
        <f t="shared" si="8"/>
        <v>2019</v>
      </c>
      <c r="C111" s="29">
        <f t="shared" si="9"/>
        <v>2</v>
      </c>
      <c r="D111" s="44">
        <f>'Monthly Data'!J111</f>
        <v>15569003.066078711</v>
      </c>
      <c r="E111" s="46">
        <f t="shared" ca="1" si="13"/>
        <v>417.05</v>
      </c>
      <c r="F111" s="46">
        <f t="shared" ca="1" si="13"/>
        <v>0</v>
      </c>
      <c r="G111" s="29">
        <f>'Monthly Data'!BG111</f>
        <v>110</v>
      </c>
      <c r="H111" s="29">
        <f>'Monthly Data'!X111</f>
        <v>3412.3</v>
      </c>
      <c r="I111" s="44">
        <f>'Monthly Data'!BF111</f>
        <v>0</v>
      </c>
      <c r="K111" s="29">
        <f>'GS&lt;50 PW'!$B$6</f>
        <v>50.759309292559799</v>
      </c>
      <c r="L111" s="29">
        <f ca="1">E111*'GS&lt;50 PW'!$B$7</f>
        <v>12.807431481792028</v>
      </c>
      <c r="M111" s="29">
        <f ca="1">F111*'GS&lt;50 PW'!$B$8</f>
        <v>0</v>
      </c>
      <c r="N111" s="29">
        <f>G111*'GS&lt;50 PW'!$B$9</f>
        <v>-10.599578540573361</v>
      </c>
      <c r="O111" s="29">
        <f>H111*'GS&lt;50 PW'!$B$10</f>
        <v>43.376240262498548</v>
      </c>
      <c r="P111" s="44">
        <f>I111*'GS&lt;50 PW'!$B$11</f>
        <v>0</v>
      </c>
      <c r="Q111" s="44">
        <f>'Monthly Data'!H111</f>
        <v>5507</v>
      </c>
      <c r="R111" s="29">
        <f t="shared" ref="R111:R145" si="14">R63</f>
        <v>28</v>
      </c>
      <c r="S111" s="28">
        <f t="shared" ca="1" si="10"/>
        <v>14855767.29131593</v>
      </c>
    </row>
    <row r="112" spans="1:23" x14ac:dyDescent="0.2">
      <c r="A112" s="45">
        <v>43525</v>
      </c>
      <c r="B112" s="29">
        <f t="shared" si="8"/>
        <v>2019</v>
      </c>
      <c r="C112" s="29">
        <f t="shared" si="9"/>
        <v>3</v>
      </c>
      <c r="D112" s="44">
        <f>'Monthly Data'!J112</f>
        <v>16318845.066078711</v>
      </c>
      <c r="E112" s="46">
        <f t="shared" ca="1" si="13"/>
        <v>332.70999999999992</v>
      </c>
      <c r="F112" s="46">
        <f t="shared" ca="1" si="13"/>
        <v>0</v>
      </c>
      <c r="G112" s="29">
        <f>'Monthly Data'!BG112</f>
        <v>111</v>
      </c>
      <c r="H112" s="29">
        <f>'Monthly Data'!X112</f>
        <v>3430.6</v>
      </c>
      <c r="I112" s="44">
        <f>'Monthly Data'!BF112</f>
        <v>1</v>
      </c>
      <c r="K112" s="29">
        <f>'GS&lt;50 PW'!$B$6</f>
        <v>50.759309292559799</v>
      </c>
      <c r="L112" s="29">
        <f ca="1">E112*'GS&lt;50 PW'!$B$7</f>
        <v>10.217385273485252</v>
      </c>
      <c r="M112" s="29">
        <f ca="1">F112*'GS&lt;50 PW'!$B$8</f>
        <v>0</v>
      </c>
      <c r="N112" s="29">
        <f>G112*'GS&lt;50 PW'!$B$9</f>
        <v>-10.695938345487665</v>
      </c>
      <c r="O112" s="29">
        <f>H112*'GS&lt;50 PW'!$B$10</f>
        <v>43.608864942861857</v>
      </c>
      <c r="P112" s="44">
        <f>I112*'GS&lt;50 PW'!$B$11</f>
        <v>-1.9723066266223299</v>
      </c>
      <c r="Q112" s="44">
        <f>'Monthly Data'!H112</f>
        <v>5500</v>
      </c>
      <c r="R112" s="29">
        <f t="shared" si="14"/>
        <v>31</v>
      </c>
      <c r="S112" s="28">
        <f t="shared" ca="1" si="10"/>
        <v>15671902.128523875</v>
      </c>
      <c r="V112" s="26"/>
      <c r="W112" s="47"/>
    </row>
    <row r="113" spans="1:23" x14ac:dyDescent="0.2">
      <c r="A113" s="45">
        <v>43556</v>
      </c>
      <c r="B113" s="29">
        <f t="shared" si="8"/>
        <v>2019</v>
      </c>
      <c r="C113" s="29">
        <f t="shared" si="9"/>
        <v>4</v>
      </c>
      <c r="D113" s="44">
        <f>'Monthly Data'!J113</f>
        <v>14529418.066078711</v>
      </c>
      <c r="E113" s="46">
        <f t="shared" ca="1" si="13"/>
        <v>164.53999999999996</v>
      </c>
      <c r="F113" s="46">
        <f t="shared" ca="1" si="13"/>
        <v>0.16999999999999993</v>
      </c>
      <c r="G113" s="29">
        <f>'Monthly Data'!BG113</f>
        <v>112</v>
      </c>
      <c r="H113" s="29">
        <f>'Monthly Data'!X113</f>
        <v>3447.9</v>
      </c>
      <c r="I113" s="44">
        <f>'Monthly Data'!BF113</f>
        <v>1</v>
      </c>
      <c r="K113" s="29">
        <f>'GS&lt;50 PW'!$B$6</f>
        <v>50.759309292559799</v>
      </c>
      <c r="L113" s="29">
        <f ca="1">E113*'GS&lt;50 PW'!$B$7</f>
        <v>5.0529547440691998</v>
      </c>
      <c r="M113" s="29">
        <f ca="1">F113*'GS&lt;50 PW'!$B$8</f>
        <v>1.3395135197872927E-2</v>
      </c>
      <c r="N113" s="29">
        <f>G113*'GS&lt;50 PW'!$B$9</f>
        <v>-10.792298150401969</v>
      </c>
      <c r="O113" s="29">
        <f>H113*'GS&lt;50 PW'!$B$10</f>
        <v>43.828777892057772</v>
      </c>
      <c r="P113" s="44">
        <f>I113*'GS&lt;50 PW'!$B$11</f>
        <v>-1.9723066266223299</v>
      </c>
      <c r="Q113" s="44">
        <f>'Monthly Data'!H113</f>
        <v>5496</v>
      </c>
      <c r="R113" s="29">
        <f t="shared" si="14"/>
        <v>30</v>
      </c>
      <c r="S113" s="28">
        <f t="shared" ca="1" si="10"/>
        <v>14326395.547457537</v>
      </c>
      <c r="V113" s="26"/>
      <c r="W113" s="47"/>
    </row>
    <row r="114" spans="1:23" x14ac:dyDescent="0.2">
      <c r="A114" s="45">
        <v>43586</v>
      </c>
      <c r="B114" s="29">
        <f t="shared" si="8"/>
        <v>2019</v>
      </c>
      <c r="C114" s="29">
        <f t="shared" si="9"/>
        <v>5</v>
      </c>
      <c r="D114" s="44">
        <f>'Monthly Data'!J114</f>
        <v>14271330.066078711</v>
      </c>
      <c r="E114" s="46">
        <f t="shared" ca="1" si="13"/>
        <v>35.92</v>
      </c>
      <c r="F114" s="46">
        <f t="shared" ca="1" si="13"/>
        <v>30.080000000000002</v>
      </c>
      <c r="G114" s="29">
        <f>'Monthly Data'!BG114</f>
        <v>113</v>
      </c>
      <c r="H114" s="29">
        <f>'Monthly Data'!X114</f>
        <v>3461.7</v>
      </c>
      <c r="I114" s="44">
        <f>'Monthly Data'!BF114</f>
        <v>1</v>
      </c>
      <c r="K114" s="29">
        <f>'GS&lt;50 PW'!$B$6</f>
        <v>50.759309292559799</v>
      </c>
      <c r="L114" s="29">
        <f ca="1">E114*'GS&lt;50 PW'!$B$7</f>
        <v>1.103088212027262</v>
      </c>
      <c r="M114" s="29">
        <f ca="1">F114*'GS&lt;50 PW'!$B$8</f>
        <v>2.3701509808942225</v>
      </c>
      <c r="N114" s="29">
        <f>G114*'GS&lt;50 PW'!$B$9</f>
        <v>-10.888657955316273</v>
      </c>
      <c r="O114" s="29">
        <f>H114*'GS&lt;50 PW'!$B$10</f>
        <v>44.004199782167809</v>
      </c>
      <c r="P114" s="44">
        <f>I114*'GS&lt;50 PW'!$B$11</f>
        <v>-1.9723066266223299</v>
      </c>
      <c r="Q114" s="44">
        <f>'Monthly Data'!H114</f>
        <v>5489</v>
      </c>
      <c r="R114" s="29">
        <f t="shared" si="14"/>
        <v>31</v>
      </c>
      <c r="S114" s="28">
        <f t="shared" ca="1" si="10"/>
        <v>14527457.976176813</v>
      </c>
      <c r="V114" s="26"/>
      <c r="W114" s="47"/>
    </row>
    <row r="115" spans="1:23" x14ac:dyDescent="0.2">
      <c r="A115" s="45">
        <v>43617</v>
      </c>
      <c r="B115" s="29">
        <f t="shared" si="8"/>
        <v>2019</v>
      </c>
      <c r="C115" s="29">
        <f t="shared" si="9"/>
        <v>6</v>
      </c>
      <c r="D115" s="44">
        <f>'Monthly Data'!J115</f>
        <v>14804296.066078711</v>
      </c>
      <c r="E115" s="46">
        <f t="shared" ca="1" si="13"/>
        <v>0.37999999999999989</v>
      </c>
      <c r="F115" s="46">
        <f t="shared" ca="1" si="13"/>
        <v>94.58</v>
      </c>
      <c r="G115" s="29">
        <f>'Monthly Data'!BG115</f>
        <v>114</v>
      </c>
      <c r="H115" s="29">
        <f>'Monthly Data'!X115</f>
        <v>3472.4</v>
      </c>
      <c r="I115" s="44">
        <f>'Monthly Data'!BF115</f>
        <v>0</v>
      </c>
      <c r="K115" s="29">
        <f>'GS&lt;50 PW'!$B$6</f>
        <v>50.759309292559799</v>
      </c>
      <c r="L115" s="29">
        <f ca="1">E115*'GS&lt;50 PW'!$B$7</f>
        <v>1.1669641441268358E-2</v>
      </c>
      <c r="M115" s="29">
        <f ca="1">F115*'GS&lt;50 PW'!$B$8</f>
        <v>7.4524228647930704</v>
      </c>
      <c r="N115" s="29">
        <f>G115*'GS&lt;50 PW'!$B$9</f>
        <v>-10.985017760230576</v>
      </c>
      <c r="O115" s="29">
        <f>H115*'GS&lt;50 PW'!$B$10</f>
        <v>44.140215305658927</v>
      </c>
      <c r="P115" s="44">
        <f>I115*'GS&lt;50 PW'!$B$11</f>
        <v>0</v>
      </c>
      <c r="Q115" s="44">
        <f>'Monthly Data'!H115</f>
        <v>5489</v>
      </c>
      <c r="R115" s="29">
        <f t="shared" si="14"/>
        <v>30</v>
      </c>
      <c r="S115" s="28">
        <f t="shared" ca="1" si="10"/>
        <v>15047313.954013119</v>
      </c>
      <c r="V115" s="26"/>
      <c r="W115" s="47"/>
    </row>
    <row r="116" spans="1:23" x14ac:dyDescent="0.2">
      <c r="A116" s="45">
        <v>43647</v>
      </c>
      <c r="B116" s="29">
        <f t="shared" si="8"/>
        <v>2019</v>
      </c>
      <c r="C116" s="29">
        <f t="shared" si="9"/>
        <v>7</v>
      </c>
      <c r="D116" s="44">
        <f>'Monthly Data'!J116</f>
        <v>17319087.066078711</v>
      </c>
      <c r="E116" s="46">
        <f t="shared" ca="1" si="13"/>
        <v>0</v>
      </c>
      <c r="F116" s="46">
        <f t="shared" ca="1" si="13"/>
        <v>206.28000000000003</v>
      </c>
      <c r="G116" s="29">
        <f>'Monthly Data'!BG116</f>
        <v>115</v>
      </c>
      <c r="H116" s="29">
        <f>'Monthly Data'!X116</f>
        <v>3487.5</v>
      </c>
      <c r="I116" s="44">
        <f>'Monthly Data'!BF116</f>
        <v>0</v>
      </c>
      <c r="K116" s="29">
        <f>'GS&lt;50 PW'!$B$6</f>
        <v>50.759309292559799</v>
      </c>
      <c r="L116" s="29">
        <f ca="1">E116*'GS&lt;50 PW'!$B$7</f>
        <v>0</v>
      </c>
      <c r="M116" s="29">
        <f ca="1">F116*'GS&lt;50 PW'!$B$8</f>
        <v>16.253814638924876</v>
      </c>
      <c r="N116" s="29">
        <f>G116*'GS&lt;50 PW'!$B$9</f>
        <v>-11.081377565144878</v>
      </c>
      <c r="O116" s="29">
        <f>H116*'GS&lt;50 PW'!$B$10</f>
        <v>44.332162446286574</v>
      </c>
      <c r="P116" s="44">
        <f>I116*'GS&lt;50 PW'!$B$11</f>
        <v>0</v>
      </c>
      <c r="Q116" s="44">
        <f>'Monthly Data'!H116</f>
        <v>5495</v>
      </c>
      <c r="R116" s="29">
        <f t="shared" si="14"/>
        <v>31</v>
      </c>
      <c r="S116" s="28">
        <f t="shared" ca="1" si="10"/>
        <v>17079455.546686839</v>
      </c>
      <c r="V116" s="26"/>
      <c r="W116" s="47"/>
    </row>
    <row r="117" spans="1:23" x14ac:dyDescent="0.2">
      <c r="A117" s="45">
        <v>43678</v>
      </c>
      <c r="B117" s="29">
        <f t="shared" si="8"/>
        <v>2019</v>
      </c>
      <c r="C117" s="29">
        <f t="shared" si="9"/>
        <v>8</v>
      </c>
      <c r="D117" s="44">
        <f>'Monthly Data'!J117</f>
        <v>16585053.066078711</v>
      </c>
      <c r="E117" s="46">
        <f t="shared" ca="1" si="13"/>
        <v>0</v>
      </c>
      <c r="F117" s="46">
        <f t="shared" ca="1" si="13"/>
        <v>177.64000000000001</v>
      </c>
      <c r="G117" s="29">
        <f>'Monthly Data'!BG117</f>
        <v>116</v>
      </c>
      <c r="H117" s="29">
        <f>'Monthly Data'!X117</f>
        <v>3500.1</v>
      </c>
      <c r="I117" s="44">
        <f>'Monthly Data'!BF117</f>
        <v>0</v>
      </c>
      <c r="K117" s="29">
        <f>'GS&lt;50 PW'!$B$6</f>
        <v>50.759309292559799</v>
      </c>
      <c r="L117" s="29">
        <f ca="1">E117*'GS&lt;50 PW'!$B$7</f>
        <v>0</v>
      </c>
      <c r="M117" s="29">
        <f ca="1">F117*'GS&lt;50 PW'!$B$8</f>
        <v>13.997128332647929</v>
      </c>
      <c r="N117" s="29">
        <f>G117*'GS&lt;50 PW'!$B$9</f>
        <v>-11.177737370059182</v>
      </c>
      <c r="O117" s="29">
        <f>H117*'GS&lt;50 PW'!$B$10</f>
        <v>44.492330258995736</v>
      </c>
      <c r="P117" s="44">
        <f>I117*'GS&lt;50 PW'!$B$11</f>
        <v>0</v>
      </c>
      <c r="Q117" s="44">
        <f>'Monthly Data'!H117</f>
        <v>5492</v>
      </c>
      <c r="R117" s="29">
        <f t="shared" si="14"/>
        <v>31</v>
      </c>
      <c r="S117" s="28">
        <f t="shared" ca="1" si="10"/>
        <v>16696789.087094089</v>
      </c>
      <c r="V117" s="26"/>
      <c r="W117" s="47"/>
    </row>
    <row r="118" spans="1:23" x14ac:dyDescent="0.2">
      <c r="A118" s="45">
        <v>43709</v>
      </c>
      <c r="B118" s="29">
        <f t="shared" si="8"/>
        <v>2019</v>
      </c>
      <c r="C118" s="29">
        <f t="shared" si="9"/>
        <v>9</v>
      </c>
      <c r="D118" s="44">
        <f>'Monthly Data'!J118</f>
        <v>14725435.066078711</v>
      </c>
      <c r="E118" s="46">
        <f t="shared" ca="1" si="13"/>
        <v>0.49000000000000005</v>
      </c>
      <c r="F118" s="46">
        <f t="shared" ca="1" si="13"/>
        <v>85.65</v>
      </c>
      <c r="G118" s="29">
        <f>'Monthly Data'!BG118</f>
        <v>117</v>
      </c>
      <c r="H118" s="29">
        <f>'Monthly Data'!X118</f>
        <v>3522.9</v>
      </c>
      <c r="I118" s="44">
        <f>'Monthly Data'!BF118</f>
        <v>1</v>
      </c>
      <c r="K118" s="29">
        <f>'GS&lt;50 PW'!$B$6</f>
        <v>50.759309292559799</v>
      </c>
      <c r="L118" s="29">
        <f ca="1">E118*'GS&lt;50 PW'!$B$7</f>
        <v>1.5047695542688151E-2</v>
      </c>
      <c r="M118" s="29">
        <f ca="1">F118*'GS&lt;50 PW'!$B$8</f>
        <v>6.7487842923400985</v>
      </c>
      <c r="N118" s="29">
        <f>G118*'GS&lt;50 PW'!$B$9</f>
        <v>-11.274097174973486</v>
      </c>
      <c r="O118" s="29">
        <f>H118*'GS&lt;50 PW'!$B$10</f>
        <v>44.782157729612322</v>
      </c>
      <c r="P118" s="44">
        <f>I118*'GS&lt;50 PW'!$B$11</f>
        <v>-1.9723066266223299</v>
      </c>
      <c r="Q118" s="44">
        <f>'Monthly Data'!H118</f>
        <v>5496</v>
      </c>
      <c r="R118" s="29">
        <f t="shared" si="14"/>
        <v>30</v>
      </c>
      <c r="S118" s="28">
        <f t="shared" ca="1" si="10"/>
        <v>14684030.641970735</v>
      </c>
      <c r="V118" s="26"/>
      <c r="W118" s="47"/>
    </row>
    <row r="119" spans="1:23" x14ac:dyDescent="0.2">
      <c r="A119" s="45">
        <v>43739</v>
      </c>
      <c r="B119" s="29">
        <f t="shared" si="8"/>
        <v>2019</v>
      </c>
      <c r="C119" s="29">
        <f t="shared" si="9"/>
        <v>10</v>
      </c>
      <c r="D119" s="44">
        <f>'Monthly Data'!J119</f>
        <v>14042656.066078711</v>
      </c>
      <c r="E119" s="46">
        <f t="shared" ca="1" si="13"/>
        <v>53.33000000000002</v>
      </c>
      <c r="F119" s="46">
        <f t="shared" ca="1" si="13"/>
        <v>12.219999999999999</v>
      </c>
      <c r="G119" s="29">
        <f>'Monthly Data'!BG119</f>
        <v>118</v>
      </c>
      <c r="H119" s="29">
        <f>'Monthly Data'!X119</f>
        <v>3525.5</v>
      </c>
      <c r="I119" s="44">
        <f>'Monthly Data'!BF119</f>
        <v>1</v>
      </c>
      <c r="K119" s="29">
        <f>'GS&lt;50 PW'!$B$6</f>
        <v>50.759309292559799</v>
      </c>
      <c r="L119" s="29">
        <f ca="1">E119*'GS&lt;50 PW'!$B$7</f>
        <v>1.6377420475337947</v>
      </c>
      <c r="M119" s="29">
        <f ca="1">F119*'GS&lt;50 PW'!$B$8</f>
        <v>0.96287383598827769</v>
      </c>
      <c r="N119" s="29">
        <f>G119*'GS&lt;50 PW'!$B$9</f>
        <v>-11.370456979887788</v>
      </c>
      <c r="O119" s="29">
        <f>H119*'GS&lt;50 PW'!$B$10</f>
        <v>44.815208230647549</v>
      </c>
      <c r="P119" s="44">
        <f>I119*'GS&lt;50 PW'!$B$11</f>
        <v>-1.9723066266223299</v>
      </c>
      <c r="Q119" s="44">
        <f>'Monthly Data'!H119</f>
        <v>5495</v>
      </c>
      <c r="R119" s="29">
        <f t="shared" si="14"/>
        <v>31</v>
      </c>
      <c r="S119" s="28">
        <f t="shared" ca="1" si="10"/>
        <v>14450770.033618357</v>
      </c>
      <c r="V119" s="26"/>
      <c r="W119" s="47"/>
    </row>
    <row r="120" spans="1:23" x14ac:dyDescent="0.2">
      <c r="A120" s="45">
        <v>43770</v>
      </c>
      <c r="B120" s="29">
        <f t="shared" si="8"/>
        <v>2019</v>
      </c>
      <c r="C120" s="29">
        <f t="shared" si="9"/>
        <v>11</v>
      </c>
      <c r="D120" s="44">
        <f>'Monthly Data'!J120</f>
        <v>14515114.066078711</v>
      </c>
      <c r="E120" s="46">
        <f t="shared" ca="1" si="13"/>
        <v>207.66000000000003</v>
      </c>
      <c r="F120" s="46">
        <f t="shared" ca="1" si="13"/>
        <v>1.0000000000000142E-2</v>
      </c>
      <c r="G120" s="29">
        <f>'Monthly Data'!BG120</f>
        <v>119</v>
      </c>
      <c r="H120" s="29">
        <f>'Monthly Data'!X120</f>
        <v>3531.7</v>
      </c>
      <c r="I120" s="44">
        <f>'Monthly Data'!BF120</f>
        <v>1</v>
      </c>
      <c r="K120" s="29">
        <f>'GS&lt;50 PW'!$B$6</f>
        <v>50.759309292559799</v>
      </c>
      <c r="L120" s="29">
        <f ca="1">E120*'GS&lt;50 PW'!$B$7</f>
        <v>6.3771519518257582</v>
      </c>
      <c r="M120" s="29">
        <f ca="1">F120*'GS&lt;50 PW'!$B$8</f>
        <v>7.8794912928665433E-4</v>
      </c>
      <c r="N120" s="29">
        <f>G120*'GS&lt;50 PW'!$B$9</f>
        <v>-11.466816784802091</v>
      </c>
      <c r="O120" s="29">
        <f>H120*'GS&lt;50 PW'!$B$10</f>
        <v>44.894020963885389</v>
      </c>
      <c r="P120" s="44">
        <f>I120*'GS&lt;50 PW'!$B$11</f>
        <v>-1.9723066266223299</v>
      </c>
      <c r="Q120" s="44">
        <f>'Monthly Data'!H120</f>
        <v>5456</v>
      </c>
      <c r="R120" s="29">
        <f t="shared" si="14"/>
        <v>30</v>
      </c>
      <c r="S120" s="28">
        <f t="shared" ca="1" si="10"/>
        <v>14500762.579381321</v>
      </c>
      <c r="V120" s="26"/>
      <c r="W120" s="47"/>
    </row>
    <row r="121" spans="1:23" x14ac:dyDescent="0.2">
      <c r="A121" s="45">
        <v>43800</v>
      </c>
      <c r="B121" s="29">
        <f t="shared" si="8"/>
        <v>2019</v>
      </c>
      <c r="C121" s="29">
        <f t="shared" si="9"/>
        <v>12</v>
      </c>
      <c r="D121" s="44">
        <f>'Monthly Data'!J121</f>
        <v>15355560.066078711</v>
      </c>
      <c r="E121" s="46">
        <f t="shared" ca="1" si="13"/>
        <v>351.65000000000003</v>
      </c>
      <c r="F121" s="46">
        <f t="shared" ca="1" si="13"/>
        <v>0</v>
      </c>
      <c r="G121" s="29">
        <f>'Monthly Data'!BG121</f>
        <v>120</v>
      </c>
      <c r="H121" s="29">
        <f>'Monthly Data'!X121</f>
        <v>3532</v>
      </c>
      <c r="I121" s="44">
        <f>'Monthly Data'!BF121</f>
        <v>0</v>
      </c>
      <c r="K121" s="29">
        <f>'GS&lt;50 PW'!$B$6</f>
        <v>50.759309292559799</v>
      </c>
      <c r="L121" s="29">
        <f ca="1">E121*'GS&lt;50 PW'!$B$7</f>
        <v>10.799024770584262</v>
      </c>
      <c r="M121" s="29">
        <f ca="1">F121*'GS&lt;50 PW'!$B$8</f>
        <v>0</v>
      </c>
      <c r="N121" s="29">
        <f>G121*'GS&lt;50 PW'!$B$9</f>
        <v>-11.563176589716395</v>
      </c>
      <c r="O121" s="29">
        <f>H121*'GS&lt;50 PW'!$B$10</f>
        <v>44.897834483235606</v>
      </c>
      <c r="P121" s="44">
        <f>I121*'GS&lt;50 PW'!$B$11</f>
        <v>0</v>
      </c>
      <c r="Q121" s="44">
        <f>'Monthly Data'!H121</f>
        <v>5460</v>
      </c>
      <c r="R121" s="29">
        <f t="shared" si="14"/>
        <v>31</v>
      </c>
      <c r="S121" s="28">
        <f t="shared" ca="1" si="10"/>
        <v>16061587.818584828</v>
      </c>
      <c r="V121" s="26"/>
      <c r="W121" s="47"/>
    </row>
    <row r="122" spans="1:23" x14ac:dyDescent="0.2">
      <c r="A122" s="45">
        <v>43831</v>
      </c>
      <c r="B122" s="29">
        <f t="shared" si="8"/>
        <v>2020</v>
      </c>
      <c r="C122" s="29">
        <f t="shared" si="9"/>
        <v>1</v>
      </c>
      <c r="D122" s="192">
        <f>'Monthly Data (to June 2020)'!J122</f>
        <v>15872905.454444034</v>
      </c>
      <c r="E122" s="241">
        <f ca="1">OFFSET(Weather!BK$26,0,ROW()-ROW($E$122))</f>
        <v>478.94210526315783</v>
      </c>
      <c r="F122" s="241">
        <f ca="1">OFFSET(Weather!$AI$53,0,ROW()-ROW($F$122))</f>
        <v>0</v>
      </c>
      <c r="G122" s="29">
        <f>1+G121</f>
        <v>121</v>
      </c>
      <c r="H122" s="223">
        <f>'Economic (2020 Adj.)'!R134</f>
        <v>3193.7204154939591</v>
      </c>
      <c r="I122" s="44">
        <f>I110</f>
        <v>0</v>
      </c>
      <c r="K122" s="29">
        <f>'GS&lt;50 PW'!$B$6</f>
        <v>50.759309292559799</v>
      </c>
      <c r="L122" s="29">
        <f ca="1">E122*'GS&lt;50 PW'!$B$7</f>
        <v>14.708112209334896</v>
      </c>
      <c r="M122" s="29">
        <f ca="1">F122*'GS&lt;50 PW'!$B$8</f>
        <v>0</v>
      </c>
      <c r="N122" s="29">
        <f>G122*'GS&lt;50 PW'!$B$9</f>
        <v>-11.659536394630699</v>
      </c>
      <c r="O122" s="29">
        <f>H122*'GS&lt;50 PW'!$B$10</f>
        <v>40.597715345577079</v>
      </c>
      <c r="P122" s="44">
        <f>I122*'GS&lt;50 PW'!$B$11</f>
        <v>0</v>
      </c>
      <c r="Q122" s="44">
        <f>'Customer Count'!G37</f>
        <v>5491</v>
      </c>
      <c r="R122" s="29">
        <f t="shared" si="14"/>
        <v>31</v>
      </c>
      <c r="S122" s="28">
        <f t="shared" ca="1" si="10"/>
        <v>16069815.71468306</v>
      </c>
      <c r="U122" s="44">
        <f ca="1">D122-S122</f>
        <v>-196910.26023902558</v>
      </c>
      <c r="V122" s="26"/>
      <c r="W122" s="47"/>
    </row>
    <row r="123" spans="1:23" x14ac:dyDescent="0.2">
      <c r="A123" s="45">
        <v>43862</v>
      </c>
      <c r="B123" s="29">
        <f t="shared" si="8"/>
        <v>2020</v>
      </c>
      <c r="C123" s="29">
        <f t="shared" si="9"/>
        <v>2</v>
      </c>
      <c r="D123" s="192">
        <f>'Monthly Data (to June 2020)'!J123</f>
        <v>14960550.454444034</v>
      </c>
      <c r="E123" s="241">
        <f ca="1">OFFSET(Weather!BK$26,0,ROW()-ROW($E$122))</f>
        <v>421.20631578947371</v>
      </c>
      <c r="F123" s="241">
        <f ca="1">OFFSET(Weather!$AI$53,0,ROW()-ROW($F$122))</f>
        <v>0</v>
      </c>
      <c r="G123" s="29">
        <f t="shared" ref="G123:G145" si="15">1+G122</f>
        <v>122</v>
      </c>
      <c r="H123" s="223">
        <f>'Economic (2020 Adj.)'!R135</f>
        <v>3210.0893027158495</v>
      </c>
      <c r="I123" s="44">
        <f t="shared" ref="I123:I145" si="16">I111</f>
        <v>0</v>
      </c>
      <c r="K123" s="29">
        <f>'GS&lt;50 PW'!$B$6</f>
        <v>50.759309292559799</v>
      </c>
      <c r="L123" s="29">
        <f ca="1">E123*'GS&lt;50 PW'!$B$7</f>
        <v>12.935070205423186</v>
      </c>
      <c r="M123" s="29">
        <f ca="1">F123*'GS&lt;50 PW'!$B$8</f>
        <v>0</v>
      </c>
      <c r="N123" s="29">
        <f>G123*'GS&lt;50 PW'!$B$9</f>
        <v>-11.755896199545003</v>
      </c>
      <c r="O123" s="29">
        <f>H123*'GS&lt;50 PW'!$B$10</f>
        <v>40.805792239451137</v>
      </c>
      <c r="P123" s="44">
        <f>I123*'GS&lt;50 PW'!$B$11</f>
        <v>0</v>
      </c>
      <c r="Q123" s="44">
        <f>'Customer Count'!G38</f>
        <v>5489</v>
      </c>
      <c r="R123" s="29">
        <f t="shared" si="14"/>
        <v>29</v>
      </c>
      <c r="S123" s="28">
        <f t="shared" ca="1" si="10"/>
        <v>14763126.524396729</v>
      </c>
      <c r="U123" s="44">
        <f t="shared" ref="U123:U126" ca="1" si="17">D123-S123</f>
        <v>197423.9300473053</v>
      </c>
      <c r="V123" s="26"/>
      <c r="W123" s="47"/>
    </row>
    <row r="124" spans="1:23" x14ac:dyDescent="0.2">
      <c r="A124" s="45">
        <v>43891</v>
      </c>
      <c r="B124" s="29">
        <f t="shared" si="8"/>
        <v>2020</v>
      </c>
      <c r="C124" s="29">
        <f t="shared" si="9"/>
        <v>3</v>
      </c>
      <c r="D124" s="192">
        <f>'Monthly Data (to June 2020)'!J124</f>
        <v>14210374.454444034</v>
      </c>
      <c r="E124" s="241">
        <f ca="1">OFFSET(Weather!BK$26,0,ROW()-ROW($E$122))</f>
        <v>354.40736842105298</v>
      </c>
      <c r="F124" s="241">
        <f ca="1">OFFSET(Weather!$AI$53,0,ROW()-ROW($F$122))</f>
        <v>0</v>
      </c>
      <c r="G124" s="29">
        <f t="shared" si="15"/>
        <v>123</v>
      </c>
      <c r="H124" s="223">
        <f>'Economic (2020 Adj.)'!R136</f>
        <v>3227.3048565181816</v>
      </c>
      <c r="I124" s="44">
        <f t="shared" si="16"/>
        <v>1</v>
      </c>
      <c r="K124" s="29">
        <f>'GS&lt;50 PW'!$B$6</f>
        <v>50.759309292559799</v>
      </c>
      <c r="L124" s="29">
        <f ca="1">E124*'GS&lt;50 PW'!$B$7</f>
        <v>10.883702404255747</v>
      </c>
      <c r="M124" s="29">
        <f ca="1">F124*'GS&lt;50 PW'!$B$8</f>
        <v>0</v>
      </c>
      <c r="N124" s="29">
        <f>G124*'GS&lt;50 PW'!$B$9</f>
        <v>-11.852256004459305</v>
      </c>
      <c r="O124" s="29">
        <f>H124*'GS&lt;50 PW'!$B$10</f>
        <v>41.024631731284188</v>
      </c>
      <c r="P124" s="44">
        <f>I124*'GS&lt;50 PW'!$B$11</f>
        <v>-1.9723066266223299</v>
      </c>
      <c r="Q124" s="44">
        <f>'Customer Count'!G39</f>
        <v>5500</v>
      </c>
      <c r="R124" s="29">
        <f t="shared" si="14"/>
        <v>31</v>
      </c>
      <c r="S124" s="28">
        <f t="shared" ca="1" si="10"/>
        <v>15147745.275891587</v>
      </c>
      <c r="U124" s="44">
        <f t="shared" ca="1" si="17"/>
        <v>-937370.82144755311</v>
      </c>
    </row>
    <row r="125" spans="1:23" x14ac:dyDescent="0.2">
      <c r="A125" s="45">
        <v>43922</v>
      </c>
      <c r="B125" s="29">
        <f t="shared" si="8"/>
        <v>2020</v>
      </c>
      <c r="C125" s="29">
        <f t="shared" si="9"/>
        <v>4</v>
      </c>
      <c r="D125" s="192">
        <f>'Monthly Data (to June 2020)'!J125</f>
        <v>11710017.454444034</v>
      </c>
      <c r="E125" s="241">
        <f ca="1">OFFSET(Weather!BK$26,0,ROW()-ROW($E$122))</f>
        <v>171.06947368421061</v>
      </c>
      <c r="F125" s="241">
        <f ca="1">OFFSET(Weather!$AI$53,0,ROW()-ROW($F$122))</f>
        <v>0</v>
      </c>
      <c r="G125" s="29">
        <f t="shared" si="15"/>
        <v>124</v>
      </c>
      <c r="H125" s="223">
        <f>'Economic (2020 Adj.)'!R137</f>
        <v>2450.8246431490684</v>
      </c>
      <c r="I125" s="44">
        <f t="shared" si="16"/>
        <v>1</v>
      </c>
      <c r="K125" s="29">
        <f>'GS&lt;50 PW'!$B$6</f>
        <v>50.759309292559799</v>
      </c>
      <c r="L125" s="29">
        <f ca="1">E125*'GS&lt;50 PW'!$B$7</f>
        <v>5.2534721564242934</v>
      </c>
      <c r="M125" s="29">
        <f ca="1">F125*'GS&lt;50 PW'!$B$8</f>
        <v>0</v>
      </c>
      <c r="N125" s="29">
        <f>G125*'GS&lt;50 PW'!$B$9</f>
        <v>-11.948615809373608</v>
      </c>
      <c r="O125" s="29">
        <f>H125*'GS&lt;50 PW'!$B$10</f>
        <v>31.15422400213529</v>
      </c>
      <c r="P125" s="44">
        <f>I125*'GS&lt;50 PW'!$B$11</f>
        <v>-1.9723066266223299</v>
      </c>
      <c r="Q125" s="44">
        <f>'Customer Count'!G40</f>
        <v>5502</v>
      </c>
      <c r="R125" s="29">
        <f t="shared" si="14"/>
        <v>30</v>
      </c>
      <c r="S125" s="28">
        <f t="shared" ca="1" si="10"/>
        <v>12089998.462476276</v>
      </c>
      <c r="U125" s="44">
        <f t="shared" ca="1" si="17"/>
        <v>-379981.00803224184</v>
      </c>
      <c r="V125" s="26"/>
    </row>
    <row r="126" spans="1:23" x14ac:dyDescent="0.2">
      <c r="A126" s="45">
        <v>43952</v>
      </c>
      <c r="B126" s="29">
        <f t="shared" si="8"/>
        <v>2020</v>
      </c>
      <c r="C126" s="29">
        <f t="shared" si="9"/>
        <v>5</v>
      </c>
      <c r="D126" s="192">
        <f>'Monthly Data (to June 2020)'!J126</f>
        <v>11990515.454444034</v>
      </c>
      <c r="E126" s="241">
        <f ca="1">OFFSET(Weather!BK$26,0,ROW()-ROW($E$122))</f>
        <v>36.737368421052622</v>
      </c>
      <c r="F126" s="241">
        <f ca="1">OFFSET(Weather!$AI$53,0,ROW()-ROW($F$122))</f>
        <v>31.764210526315537</v>
      </c>
      <c r="G126" s="29">
        <f t="shared" si="15"/>
        <v>125</v>
      </c>
      <c r="H126" s="223">
        <f>'Economic (2020 Adj.)'!R138</f>
        <v>2463.3859406219817</v>
      </c>
      <c r="I126" s="44">
        <f t="shared" si="16"/>
        <v>1</v>
      </c>
      <c r="K126" s="29">
        <f>'GS&lt;50 PW'!$B$6</f>
        <v>50.759309292559799</v>
      </c>
      <c r="L126" s="29">
        <f ca="1">E126*'GS&lt;50 PW'!$B$7</f>
        <v>1.1281892551827877</v>
      </c>
      <c r="M126" s="29">
        <f ca="1">F126*'GS&lt;50 PW'!$B$8</f>
        <v>2.5028582026687949</v>
      </c>
      <c r="N126" s="29">
        <f>G126*'GS&lt;50 PW'!$B$9</f>
        <v>-12.044975614287912</v>
      </c>
      <c r="O126" s="29">
        <f>H126*'GS&lt;50 PW'!$B$10</f>
        <v>31.31389983872463</v>
      </c>
      <c r="P126" s="44">
        <f>I126*'GS&lt;50 PW'!$B$11</f>
        <v>-1.9723066266223299</v>
      </c>
      <c r="Q126" s="44">
        <f>'Customer Count'!G41</f>
        <v>5501</v>
      </c>
      <c r="R126" s="29">
        <f t="shared" si="14"/>
        <v>31</v>
      </c>
      <c r="S126" s="28">
        <f t="shared" ca="1" si="10"/>
        <v>12224851.42257729</v>
      </c>
      <c r="U126" s="44">
        <f t="shared" ca="1" si="17"/>
        <v>-234335.96813325584</v>
      </c>
      <c r="V126" s="26"/>
    </row>
    <row r="127" spans="1:23" x14ac:dyDescent="0.2">
      <c r="A127" s="45">
        <v>43983</v>
      </c>
      <c r="B127" s="29">
        <f t="shared" si="8"/>
        <v>2020</v>
      </c>
      <c r="C127" s="29">
        <f t="shared" si="9"/>
        <v>6</v>
      </c>
      <c r="D127" s="192">
        <f>'Monthly Data (to June 2020)'!J127</f>
        <v>13734565.454444034</v>
      </c>
      <c r="E127" s="241">
        <f ca="1">OFFSET(Weather!BK$26,0,ROW()-ROW($E$122))</f>
        <v>0</v>
      </c>
      <c r="F127" s="241">
        <f ca="1">OFFSET(Weather!$AI$53,0,ROW()-ROW($F$122))</f>
        <v>91.112105263158128</v>
      </c>
      <c r="G127" s="29">
        <f t="shared" si="15"/>
        <v>126</v>
      </c>
      <c r="H127" s="223">
        <f>'Economic (2020 Adj.)'!R139</f>
        <v>2476.5969603779768</v>
      </c>
      <c r="I127" s="44">
        <f t="shared" si="16"/>
        <v>0</v>
      </c>
      <c r="K127" s="29">
        <f>'GS&lt;50 PW'!$B$6</f>
        <v>50.759309292559799</v>
      </c>
      <c r="L127" s="29">
        <f ca="1">E127*'GS&lt;50 PW'!$B$7</f>
        <v>0</v>
      </c>
      <c r="M127" s="29">
        <f ca="1">F127*'GS&lt;50 PW'!$B$8</f>
        <v>7.1791704009578412</v>
      </c>
      <c r="N127" s="29">
        <f>G127*'GS&lt;50 PW'!$B$9</f>
        <v>-12.141335419202214</v>
      </c>
      <c r="O127" s="29">
        <f>H127*'GS&lt;50 PW'!$B$10</f>
        <v>31.48183477030997</v>
      </c>
      <c r="P127" s="44">
        <f>I127*'GS&lt;50 PW'!$B$11</f>
        <v>0</v>
      </c>
      <c r="Q127" s="44">
        <f>'Customer Count'!G42</f>
        <v>5504</v>
      </c>
      <c r="R127" s="29">
        <f t="shared" si="14"/>
        <v>30</v>
      </c>
      <c r="S127" s="28">
        <f t="shared" ca="1" si="10"/>
        <v>12760305.019848546</v>
      </c>
      <c r="U127" s="44">
        <f ca="1">D127-S127</f>
        <v>974260.43459548801</v>
      </c>
      <c r="V127" s="26"/>
    </row>
    <row r="128" spans="1:23" x14ac:dyDescent="0.2">
      <c r="A128" s="45">
        <v>44013</v>
      </c>
      <c r="B128" s="29">
        <f t="shared" si="8"/>
        <v>2020</v>
      </c>
      <c r="C128" s="29">
        <f t="shared" si="9"/>
        <v>7</v>
      </c>
      <c r="D128" s="44"/>
      <c r="E128" s="241">
        <f ca="1">OFFSET(Weather!BK$26,0,ROW()-ROW($E$122))</f>
        <v>0</v>
      </c>
      <c r="F128" s="241">
        <f ca="1">OFFSET(Weather!$AI$53,0,ROW()-ROW($F$122))</f>
        <v>213.00526315789466</v>
      </c>
      <c r="G128" s="29">
        <f t="shared" si="15"/>
        <v>127</v>
      </c>
      <c r="H128" s="223">
        <f>'Economic (2020 Adj.)'!R140</f>
        <v>2624.2882129140389</v>
      </c>
      <c r="I128" s="44">
        <f t="shared" si="16"/>
        <v>0</v>
      </c>
      <c r="K128" s="29">
        <f>'GS&lt;50 PW'!$B$6</f>
        <v>50.759309292559799</v>
      </c>
      <c r="L128" s="29">
        <f ca="1">E128*'GS&lt;50 PW'!$B$7</f>
        <v>0</v>
      </c>
      <c r="M128" s="29">
        <f ca="1">F128*'GS&lt;50 PW'!$B$8</f>
        <v>16.783731163873536</v>
      </c>
      <c r="N128" s="29">
        <f>G128*'GS&lt;50 PW'!$B$9</f>
        <v>-12.237695224116518</v>
      </c>
      <c r="O128" s="29">
        <f>H128*'GS&lt;50 PW'!$B$10</f>
        <v>33.359246268324092</v>
      </c>
      <c r="P128" s="44">
        <f>I128*'GS&lt;50 PW'!$B$11</f>
        <v>0</v>
      </c>
      <c r="Q128" s="44">
        <f>'Customer Count'!G43</f>
        <v>5501</v>
      </c>
      <c r="R128" s="29">
        <f t="shared" si="14"/>
        <v>31</v>
      </c>
      <c r="S128" s="28">
        <f t="shared" ca="1" si="10"/>
        <v>15120061.453195795</v>
      </c>
      <c r="V128" s="26"/>
    </row>
    <row r="129" spans="1:22" x14ac:dyDescent="0.2">
      <c r="A129" s="45">
        <v>44044</v>
      </c>
      <c r="B129" s="29">
        <f t="shared" si="8"/>
        <v>2020</v>
      </c>
      <c r="C129" s="29">
        <f t="shared" si="9"/>
        <v>8</v>
      </c>
      <c r="E129" s="241">
        <f ca="1">OFFSET(Weather!BK$26,0,ROW()-ROW($E$122))</f>
        <v>0</v>
      </c>
      <c r="F129" s="241">
        <f ca="1">OFFSET(Weather!$AI$53,0,ROW()-ROW($F$122))</f>
        <v>175.00210526315789</v>
      </c>
      <c r="G129" s="29">
        <f t="shared" si="15"/>
        <v>128</v>
      </c>
      <c r="H129" s="223">
        <f>'Economic (2020 Adj.)'!R141</f>
        <v>2637.7385693029469</v>
      </c>
      <c r="I129" s="44">
        <f t="shared" si="16"/>
        <v>0</v>
      </c>
      <c r="K129" s="29">
        <f>'GS&lt;50 PW'!$B$6</f>
        <v>50.759309292559799</v>
      </c>
      <c r="L129" s="29">
        <f ca="1">E129*'GS&lt;50 PW'!$B$7</f>
        <v>0</v>
      </c>
      <c r="M129" s="29">
        <f ca="1">F129*'GS&lt;50 PW'!$B$8</f>
        <v>13.789275646543471</v>
      </c>
      <c r="N129" s="29">
        <f>G129*'GS&lt;50 PW'!$B$9</f>
        <v>-12.334055029030822</v>
      </c>
      <c r="O129" s="29">
        <f>H129*'GS&lt;50 PW'!$B$10</f>
        <v>33.53022358284553</v>
      </c>
      <c r="P129" s="44">
        <f>I129*'GS&lt;50 PW'!$B$11</f>
        <v>0</v>
      </c>
      <c r="Q129" s="44">
        <f>'Customer Count'!G44</f>
        <v>5505.879310032994</v>
      </c>
      <c r="R129" s="29">
        <f t="shared" si="14"/>
        <v>31</v>
      </c>
      <c r="S129" s="28">
        <f t="shared" ca="1" si="10"/>
        <v>14635108.190216625</v>
      </c>
      <c r="V129" s="26"/>
    </row>
    <row r="130" spans="1:22" x14ac:dyDescent="0.2">
      <c r="A130" s="45">
        <v>44075</v>
      </c>
      <c r="B130" s="29">
        <f t="shared" ref="B130:B145" si="18">YEAR(A130)</f>
        <v>2020</v>
      </c>
      <c r="C130" s="29">
        <f t="shared" ref="C130:C145" si="19">MONTH(A130)</f>
        <v>9</v>
      </c>
      <c r="E130" s="241">
        <f ca="1">OFFSET(Weather!BK$26,0,ROW()-ROW($E$122))</f>
        <v>0</v>
      </c>
      <c r="F130" s="241">
        <f ca="1">OFFSET(Weather!$AI$53,0,ROW()-ROW($F$122))</f>
        <v>92.325263157894824</v>
      </c>
      <c r="G130" s="29">
        <f t="shared" si="15"/>
        <v>129</v>
      </c>
      <c r="H130" s="223">
        <f>'Economic (2020 Adj.)'!R142</f>
        <v>2651.8846337809364</v>
      </c>
      <c r="I130" s="44">
        <f t="shared" si="16"/>
        <v>1</v>
      </c>
      <c r="K130" s="29">
        <f>'GS&lt;50 PW'!$B$6</f>
        <v>50.759309292559799</v>
      </c>
      <c r="L130" s="29">
        <f ca="1">E130*'GS&lt;50 PW'!$B$7</f>
        <v>0</v>
      </c>
      <c r="M130" s="29">
        <f ca="1">F130*'GS&lt;50 PW'!$B$8</f>
        <v>7.2747610716423416</v>
      </c>
      <c r="N130" s="29">
        <f>G130*'GS&lt;50 PW'!$B$9</f>
        <v>-12.430414833945125</v>
      </c>
      <c r="O130" s="29">
        <f>H130*'GS&lt;50 PW'!$B$10</f>
        <v>33.710044551566355</v>
      </c>
      <c r="P130" s="44">
        <f>I130*'GS&lt;50 PW'!$B$11</f>
        <v>-1.9723066266223299</v>
      </c>
      <c r="Q130" s="44">
        <f>'Customer Count'!G45</f>
        <v>5510.7629479457182</v>
      </c>
      <c r="R130" s="29">
        <f t="shared" si="14"/>
        <v>30</v>
      </c>
      <c r="S130" s="28">
        <f t="shared" ca="1" si="10"/>
        <v>12786302.561862402</v>
      </c>
      <c r="V130" s="26"/>
    </row>
    <row r="131" spans="1:22" x14ac:dyDescent="0.2">
      <c r="A131" s="45">
        <v>44105</v>
      </c>
      <c r="B131" s="29">
        <f t="shared" si="18"/>
        <v>2020</v>
      </c>
      <c r="C131" s="29">
        <f t="shared" si="19"/>
        <v>10</v>
      </c>
      <c r="E131" s="241">
        <f ca="1">OFFSET(Weather!BK$26,0,ROW()-ROW($E$122))</f>
        <v>46.248421052631329</v>
      </c>
      <c r="F131" s="241">
        <f ca="1">OFFSET(Weather!$AI$53,0,ROW()-ROW($F$122))</f>
        <v>14.861578947368457</v>
      </c>
      <c r="G131" s="29">
        <f t="shared" si="15"/>
        <v>130</v>
      </c>
      <c r="H131" s="223">
        <f>'Economic (2020 Adj.)'!R143</f>
        <v>2753.5344074000554</v>
      </c>
      <c r="I131" s="44">
        <f t="shared" si="16"/>
        <v>1</v>
      </c>
      <c r="K131" s="29">
        <f>'GS&lt;50 PW'!$B$6</f>
        <v>50.759309292559799</v>
      </c>
      <c r="L131" s="29">
        <f ca="1">E131*'GS&lt;50 PW'!$B$7</f>
        <v>1.4202697129184598</v>
      </c>
      <c r="M131" s="29">
        <f ca="1">F131*'GS&lt;50 PW'!$B$8</f>
        <v>1.171016819140368</v>
      </c>
      <c r="N131" s="29">
        <f>G131*'GS&lt;50 PW'!$B$9</f>
        <v>-12.526774638859429</v>
      </c>
      <c r="O131" s="29">
        <f>H131*'GS&lt;50 PW'!$B$10</f>
        <v>35.002189147039054</v>
      </c>
      <c r="P131" s="44">
        <f>I131*'GS&lt;50 PW'!$B$11</f>
        <v>-1.9723066266223299</v>
      </c>
      <c r="Q131" s="44">
        <f>'Customer Count'!G46</f>
        <v>5515.6509175769415</v>
      </c>
      <c r="R131" s="29">
        <f t="shared" si="14"/>
        <v>31</v>
      </c>
      <c r="S131" s="28">
        <f t="shared" ref="S131:S145" ca="1" si="20">SUM(K131:P131)*Q131*R131</f>
        <v>12627888.707016172</v>
      </c>
      <c r="V131" s="26"/>
    </row>
    <row r="132" spans="1:22" x14ac:dyDescent="0.2">
      <c r="A132" s="45">
        <v>44136</v>
      </c>
      <c r="B132" s="29">
        <f t="shared" si="18"/>
        <v>2020</v>
      </c>
      <c r="C132" s="29">
        <f t="shared" si="19"/>
        <v>11</v>
      </c>
      <c r="E132" s="241">
        <f ca="1">OFFSET(Weather!BK$26,0,ROW()-ROW($E$122))</f>
        <v>225.6036842105259</v>
      </c>
      <c r="F132" s="241">
        <f ca="1">OFFSET(Weather!$AI$53,0,ROW()-ROW($F$122))</f>
        <v>1.3684210526315965E-2</v>
      </c>
      <c r="G132" s="29">
        <f t="shared" si="15"/>
        <v>131</v>
      </c>
      <c r="H132" s="223">
        <f>'Economic (2020 Adj.)'!R144</f>
        <v>2767.6471938411169</v>
      </c>
      <c r="I132" s="44">
        <f t="shared" si="16"/>
        <v>1</v>
      </c>
      <c r="K132" s="29">
        <f>'GS&lt;50 PW'!$B$6</f>
        <v>50.759309292559799</v>
      </c>
      <c r="L132" s="29">
        <f ca="1">E132*'GS&lt;50 PW'!$B$7</f>
        <v>6.9281950067525626</v>
      </c>
      <c r="M132" s="29">
        <f ca="1">F132*'GS&lt;50 PW'!$B$8</f>
        <v>1.078246176918578E-3</v>
      </c>
      <c r="N132" s="29">
        <f>G132*'GS&lt;50 PW'!$B$9</f>
        <v>-12.623134443773731</v>
      </c>
      <c r="O132" s="29">
        <f>H132*'GS&lt;50 PW'!$B$10</f>
        <v>35.181587094300667</v>
      </c>
      <c r="P132" s="44">
        <f>I132*'GS&lt;50 PW'!$B$11</f>
        <v>-1.9723066266223299</v>
      </c>
      <c r="Q132" s="44">
        <f>'Customer Count'!G47</f>
        <v>5520.5432227688379</v>
      </c>
      <c r="R132" s="29">
        <f t="shared" si="14"/>
        <v>30</v>
      </c>
      <c r="S132" s="28">
        <f t="shared" ca="1" si="20"/>
        <v>12963570.669535132</v>
      </c>
      <c r="V132" s="26"/>
    </row>
    <row r="133" spans="1:22" x14ac:dyDescent="0.2">
      <c r="A133" s="45">
        <v>44166</v>
      </c>
      <c r="B133" s="29">
        <f t="shared" si="18"/>
        <v>2020</v>
      </c>
      <c r="C133" s="29">
        <f t="shared" si="19"/>
        <v>12</v>
      </c>
      <c r="E133" s="241">
        <f ca="1">OFFSET(Weather!BK$26,0,ROW()-ROW($E$122))</f>
        <v>337.18684210526317</v>
      </c>
      <c r="F133" s="241">
        <f ca="1">OFFSET(Weather!$AI$53,0,ROW()-ROW($F$122))</f>
        <v>0</v>
      </c>
      <c r="G133" s="29">
        <f t="shared" si="15"/>
        <v>132</v>
      </c>
      <c r="H133" s="223">
        <f>'Economic (2020 Adj.)'!R145</f>
        <v>2782.4899519946475</v>
      </c>
      <c r="I133" s="44">
        <f t="shared" si="16"/>
        <v>0</v>
      </c>
      <c r="K133" s="29">
        <f>'GS&lt;50 PW'!$B$6</f>
        <v>50.759309292559799</v>
      </c>
      <c r="L133" s="29">
        <f ca="1">E133*'GS&lt;50 PW'!$B$7</f>
        <v>10.354867226531555</v>
      </c>
      <c r="M133" s="29">
        <f ca="1">F133*'GS&lt;50 PW'!$B$8</f>
        <v>0</v>
      </c>
      <c r="N133" s="29">
        <f>G133*'GS&lt;50 PW'!$B$9</f>
        <v>-12.719494248688035</v>
      </c>
      <c r="O133" s="29">
        <f>H133*'GS&lt;50 PW'!$B$10</f>
        <v>35.370264245730993</v>
      </c>
      <c r="P133" s="44">
        <f>I133*'GS&lt;50 PW'!$B$11</f>
        <v>0</v>
      </c>
      <c r="Q133" s="44">
        <f>'Customer Count'!G48</f>
        <v>5525.8852321860777</v>
      </c>
      <c r="R133" s="29">
        <f t="shared" si="14"/>
        <v>31</v>
      </c>
      <c r="S133" s="28">
        <f t="shared" ca="1" si="20"/>
        <v>14349139.908779258</v>
      </c>
      <c r="V133" s="26"/>
    </row>
    <row r="134" spans="1:22" x14ac:dyDescent="0.2">
      <c r="A134" s="45">
        <v>44197</v>
      </c>
      <c r="B134" s="29">
        <f t="shared" si="18"/>
        <v>2021</v>
      </c>
      <c r="C134" s="29">
        <f t="shared" si="19"/>
        <v>1</v>
      </c>
      <c r="E134" s="241">
        <f ca="1">Weather!BQ61</f>
        <v>479.53278195488724</v>
      </c>
      <c r="F134" s="241">
        <f ca="1">Weather!AP61</f>
        <v>0</v>
      </c>
      <c r="G134" s="29">
        <f t="shared" si="15"/>
        <v>133</v>
      </c>
      <c r="H134" s="63">
        <f>'Economic (2020 Adj.)'!F146</f>
        <v>3406.205865725</v>
      </c>
      <c r="I134" s="44">
        <f t="shared" si="16"/>
        <v>0</v>
      </c>
      <c r="K134" s="29">
        <f>'GS&lt;50 PW'!$B$6</f>
        <v>50.759309292559799</v>
      </c>
      <c r="L134" s="29">
        <f ca="1">E134*'GS&lt;50 PW'!$B$7</f>
        <v>14.726251644072256</v>
      </c>
      <c r="M134" s="29">
        <f ca="1">F134*'GS&lt;50 PW'!$B$8</f>
        <v>0</v>
      </c>
      <c r="N134" s="29">
        <f>G134*'GS&lt;50 PW'!$B$9</f>
        <v>-12.815854053602338</v>
      </c>
      <c r="O134" s="29">
        <f>H134*'GS&lt;50 PW'!$B$10</f>
        <v>43.298773265896742</v>
      </c>
      <c r="P134" s="44">
        <f>I134*'GS&lt;50 PW'!$B$11</f>
        <v>0</v>
      </c>
      <c r="Q134" s="44">
        <f>'Customer Count'!G49</f>
        <v>5537.3759381750942</v>
      </c>
      <c r="R134" s="29">
        <f t="shared" si="14"/>
        <v>31</v>
      </c>
      <c r="S134" s="28">
        <f t="shared" ca="1" si="20"/>
        <v>16473820.136796888</v>
      </c>
      <c r="V134" s="26"/>
    </row>
    <row r="135" spans="1:22" x14ac:dyDescent="0.2">
      <c r="A135" s="45">
        <v>44228</v>
      </c>
      <c r="B135" s="29">
        <f t="shared" si="18"/>
        <v>2021</v>
      </c>
      <c r="C135" s="29">
        <f t="shared" si="19"/>
        <v>2</v>
      </c>
      <c r="E135" s="241">
        <f ca="1">Weather!BQ62</f>
        <v>421.68406015037601</v>
      </c>
      <c r="F135" s="241">
        <f ca="1">Weather!AP62</f>
        <v>0</v>
      </c>
      <c r="G135" s="29">
        <f t="shared" si="15"/>
        <v>134</v>
      </c>
      <c r="H135" s="63">
        <f>'Economic (2020 Adj.)'!F147</f>
        <v>3423.6638120749999</v>
      </c>
      <c r="I135" s="44">
        <f t="shared" si="16"/>
        <v>0</v>
      </c>
      <c r="K135" s="29">
        <f>'GS&lt;50 PW'!$B$6</f>
        <v>50.759309292559799</v>
      </c>
      <c r="L135" s="29">
        <f ca="1">E135*'GS&lt;50 PW'!$B$7</f>
        <v>12.949741535402969</v>
      </c>
      <c r="M135" s="29">
        <f ca="1">F135*'GS&lt;50 PW'!$B$8</f>
        <v>0</v>
      </c>
      <c r="N135" s="29">
        <f>G135*'GS&lt;50 PW'!$B$9</f>
        <v>-12.91221385851664</v>
      </c>
      <c r="O135" s="29">
        <f>H135*'GS&lt;50 PW'!$B$10</f>
        <v>43.520693986632729</v>
      </c>
      <c r="P135" s="44">
        <f>I135*'GS&lt;50 PW'!$B$11</f>
        <v>0</v>
      </c>
      <c r="Q135" s="44">
        <f>'Customer Count'!G50</f>
        <v>5542.2875131562969</v>
      </c>
      <c r="R135" s="29">
        <f t="shared" si="14"/>
        <v>28</v>
      </c>
      <c r="S135" s="28">
        <f t="shared" ca="1" si="20"/>
        <v>14636576.474509032</v>
      </c>
      <c r="V135" s="26"/>
    </row>
    <row r="136" spans="1:22" x14ac:dyDescent="0.2">
      <c r="A136" s="45">
        <v>44256</v>
      </c>
      <c r="B136" s="29">
        <f t="shared" si="18"/>
        <v>2021</v>
      </c>
      <c r="C136" s="29">
        <f t="shared" si="19"/>
        <v>3</v>
      </c>
      <c r="E136" s="241">
        <f ca="1">Weather!BQ63</f>
        <v>356.48759398496304</v>
      </c>
      <c r="F136" s="241">
        <f ca="1">Weather!AP63</f>
        <v>0</v>
      </c>
      <c r="G136" s="29">
        <f t="shared" si="15"/>
        <v>135</v>
      </c>
      <c r="H136" s="63">
        <f>'Economic (2020 Adj.)'!F148</f>
        <v>3442.0247556499994</v>
      </c>
      <c r="I136" s="44">
        <f t="shared" si="16"/>
        <v>1</v>
      </c>
      <c r="K136" s="29">
        <f>'GS&lt;50 PW'!$B$6</f>
        <v>50.759309292559799</v>
      </c>
      <c r="L136" s="29">
        <f ca="1">E136*'GS&lt;50 PW'!$B$7</f>
        <v>10.947585263328881</v>
      </c>
      <c r="M136" s="29">
        <f ca="1">F136*'GS&lt;50 PW'!$B$8</f>
        <v>0</v>
      </c>
      <c r="N136" s="29">
        <f>G136*'GS&lt;50 PW'!$B$9</f>
        <v>-13.008573663430944</v>
      </c>
      <c r="O136" s="29">
        <f>H136*'GS&lt;50 PW'!$B$10</f>
        <v>43.754093365337816</v>
      </c>
      <c r="P136" s="44">
        <f>I136*'GS&lt;50 PW'!$B$11</f>
        <v>-1.9723066266223299</v>
      </c>
      <c r="Q136" s="44">
        <f>'Customer Count'!G51</f>
        <v>5547.2034446357875</v>
      </c>
      <c r="R136" s="29">
        <f t="shared" si="14"/>
        <v>31</v>
      </c>
      <c r="S136" s="28">
        <f t="shared" ca="1" si="20"/>
        <v>15559258.506402489</v>
      </c>
      <c r="V136" s="26"/>
    </row>
    <row r="137" spans="1:22" x14ac:dyDescent="0.2">
      <c r="A137" s="45">
        <v>44287</v>
      </c>
      <c r="B137" s="29">
        <f t="shared" si="18"/>
        <v>2021</v>
      </c>
      <c r="C137" s="29">
        <f t="shared" si="19"/>
        <v>4</v>
      </c>
      <c r="E137" s="241">
        <f ca="1">Weather!BQ64</f>
        <v>171.77466165413534</v>
      </c>
      <c r="F137" s="241">
        <f ca="1">Weather!AP64</f>
        <v>0</v>
      </c>
      <c r="G137" s="29">
        <f t="shared" si="15"/>
        <v>136</v>
      </c>
      <c r="H137" s="63">
        <f>'Economic (2020 Adj.)'!F149</f>
        <v>3459.3823689750002</v>
      </c>
      <c r="I137" s="44">
        <f t="shared" si="16"/>
        <v>1</v>
      </c>
      <c r="K137" s="29">
        <f>'GS&lt;50 PW'!$B$6</f>
        <v>50.759309292559799</v>
      </c>
      <c r="L137" s="29">
        <f ca="1">E137*'GS&lt;50 PW'!$B$7</f>
        <v>5.2751281847340765</v>
      </c>
      <c r="M137" s="29">
        <f ca="1">F137*'GS&lt;50 PW'!$B$8</f>
        <v>0</v>
      </c>
      <c r="N137" s="29">
        <f>G137*'GS&lt;50 PW'!$B$9</f>
        <v>-13.104933468345248</v>
      </c>
      <c r="O137" s="29">
        <f>H137*'GS&lt;50 PW'!$B$10</f>
        <v>43.9747386796328</v>
      </c>
      <c r="P137" s="44">
        <f>I137*'GS&lt;50 PW'!$B$11</f>
        <v>-1.9723066266223299</v>
      </c>
      <c r="Q137" s="44">
        <f>'Customer Count'!G52</f>
        <v>5552.1237364777198</v>
      </c>
      <c r="R137" s="29">
        <f t="shared" si="14"/>
        <v>30</v>
      </c>
      <c r="S137" s="28">
        <f t="shared" ca="1" si="20"/>
        <v>14146578.545838337</v>
      </c>
    </row>
    <row r="138" spans="1:22" x14ac:dyDescent="0.2">
      <c r="A138" s="45">
        <v>44317</v>
      </c>
      <c r="B138" s="29">
        <f t="shared" si="18"/>
        <v>2021</v>
      </c>
      <c r="C138" s="29">
        <f t="shared" si="19"/>
        <v>5</v>
      </c>
      <c r="E138" s="241">
        <f ca="1">Weather!BQ65</f>
        <v>36.57473684210521</v>
      </c>
      <c r="F138" s="241">
        <f ca="1">Weather!AP65</f>
        <v>32.624135338345695</v>
      </c>
      <c r="G138" s="29">
        <f t="shared" si="15"/>
        <v>137</v>
      </c>
      <c r="H138" s="63">
        <f>'Economic (2020 Adj.)'!F150</f>
        <v>3473.2283264249995</v>
      </c>
      <c r="I138" s="44">
        <f t="shared" si="16"/>
        <v>1</v>
      </c>
      <c r="K138" s="29">
        <f>'GS&lt;50 PW'!$B$6</f>
        <v>50.759309292559799</v>
      </c>
      <c r="L138" s="29">
        <f ca="1">E138*'GS&lt;50 PW'!$B$7</f>
        <v>1.1231949072529361</v>
      </c>
      <c r="M138" s="29">
        <f ca="1">F138*'GS&lt;50 PW'!$B$8</f>
        <v>2.5706159033579095</v>
      </c>
      <c r="N138" s="29">
        <f>G138*'GS&lt;50 PW'!$B$9</f>
        <v>-13.201293273259552</v>
      </c>
      <c r="O138" s="29">
        <f>H138*'GS&lt;50 PW'!$B$10</f>
        <v>44.150744768492366</v>
      </c>
      <c r="P138" s="44">
        <f>I138*'GS&lt;50 PW'!$B$11</f>
        <v>-1.9723066266223299</v>
      </c>
      <c r="Q138" s="44">
        <f>'Customer Count'!G53</f>
        <v>5557.0483925496737</v>
      </c>
      <c r="R138" s="29">
        <f t="shared" si="14"/>
        <v>31</v>
      </c>
      <c r="S138" s="28">
        <f t="shared" ca="1" si="20"/>
        <v>14372406.61539432</v>
      </c>
    </row>
    <row r="139" spans="1:22" x14ac:dyDescent="0.2">
      <c r="A139" s="45">
        <v>44348</v>
      </c>
      <c r="B139" s="29">
        <f t="shared" si="18"/>
        <v>2021</v>
      </c>
      <c r="C139" s="29">
        <f t="shared" si="19"/>
        <v>6</v>
      </c>
      <c r="E139" s="241">
        <f ca="1">Weather!BQ66</f>
        <v>0</v>
      </c>
      <c r="F139" s="241">
        <f ca="1">Weather!AP66</f>
        <v>90.368496240601644</v>
      </c>
      <c r="G139" s="29">
        <f t="shared" si="15"/>
        <v>138</v>
      </c>
      <c r="H139" s="63">
        <f>'Economic (2020 Adj.)'!F151</f>
        <v>3483.9639601000003</v>
      </c>
      <c r="I139" s="44">
        <f t="shared" si="16"/>
        <v>0</v>
      </c>
      <c r="K139" s="29">
        <f>'GS&lt;50 PW'!$B$6</f>
        <v>50.759309292559799</v>
      </c>
      <c r="L139" s="29">
        <f ca="1">E139*'GS&lt;50 PW'!$B$7</f>
        <v>0</v>
      </c>
      <c r="M139" s="29">
        <f ca="1">F139*'GS&lt;50 PW'!$B$8</f>
        <v>7.1205777927725347</v>
      </c>
      <c r="N139" s="29">
        <f>G139*'GS&lt;50 PW'!$B$9</f>
        <v>-13.297653078173855</v>
      </c>
      <c r="O139" s="29">
        <f>H139*'GS&lt;50 PW'!$B$10</f>
        <v>44.287213257680598</v>
      </c>
      <c r="P139" s="44">
        <f>I139*'GS&lt;50 PW'!$B$11</f>
        <v>0</v>
      </c>
      <c r="Q139" s="44">
        <f>'Customer Count'!G54</f>
        <v>5561.9774167226606</v>
      </c>
      <c r="R139" s="29">
        <f t="shared" si="14"/>
        <v>30</v>
      </c>
      <c r="S139" s="28">
        <f t="shared" ca="1" si="20"/>
        <v>14828695.761709809</v>
      </c>
    </row>
    <row r="140" spans="1:22" x14ac:dyDescent="0.2">
      <c r="A140" s="45">
        <v>44378</v>
      </c>
      <c r="B140" s="29">
        <f t="shared" si="18"/>
        <v>2021</v>
      </c>
      <c r="C140" s="29">
        <f t="shared" si="19"/>
        <v>7</v>
      </c>
      <c r="E140" s="241">
        <f ca="1">Weather!BQ67</f>
        <v>0</v>
      </c>
      <c r="F140" s="241">
        <f ca="1">Weather!AP67</f>
        <v>215.65052631578965</v>
      </c>
      <c r="G140" s="29">
        <f t="shared" si="15"/>
        <v>139</v>
      </c>
      <c r="H140" s="63">
        <f>'Economic (2020 Adj.)'!F152</f>
        <v>3499.1142468749999</v>
      </c>
      <c r="I140" s="44">
        <f t="shared" si="16"/>
        <v>0</v>
      </c>
      <c r="K140" s="29">
        <f>'GS&lt;50 PW'!$B$6</f>
        <v>50.759309292559799</v>
      </c>
      <c r="L140" s="29">
        <f ca="1">E140*'GS&lt;50 PW'!$B$7</f>
        <v>0</v>
      </c>
      <c r="M140" s="29">
        <f ca="1">F140*'GS&lt;50 PW'!$B$8</f>
        <v>16.992164444073275</v>
      </c>
      <c r="N140" s="29">
        <f>G140*'GS&lt;50 PW'!$B$9</f>
        <v>-13.394012883088157</v>
      </c>
      <c r="O140" s="29">
        <f>H140*'GS&lt;50 PW'!$B$10</f>
        <v>44.47979963027332</v>
      </c>
      <c r="P140" s="44">
        <f>I140*'GS&lt;50 PW'!$B$11</f>
        <v>0</v>
      </c>
      <c r="Q140" s="44">
        <f>'Customer Count'!G55</f>
        <v>5566.9108128711241</v>
      </c>
      <c r="R140" s="29">
        <f t="shared" si="14"/>
        <v>31</v>
      </c>
      <c r="S140" s="28">
        <f t="shared" ca="1" si="20"/>
        <v>17056764.637159754</v>
      </c>
    </row>
    <row r="141" spans="1:22" x14ac:dyDescent="0.2">
      <c r="A141" s="45">
        <v>44409</v>
      </c>
      <c r="B141" s="29">
        <f t="shared" si="18"/>
        <v>2021</v>
      </c>
      <c r="C141" s="29">
        <f t="shared" si="19"/>
        <v>8</v>
      </c>
      <c r="E141" s="241">
        <f ca="1">Weather!BQ68</f>
        <v>0</v>
      </c>
      <c r="F141" s="241">
        <f ca="1">Weather!AP68</f>
        <v>174.99421052631578</v>
      </c>
      <c r="G141" s="29">
        <f t="shared" si="15"/>
        <v>140</v>
      </c>
      <c r="H141" s="63">
        <f>'Economic (2020 Adj.)'!F153</f>
        <v>3511.7562080249995</v>
      </c>
      <c r="I141" s="44">
        <f t="shared" si="16"/>
        <v>0</v>
      </c>
      <c r="K141" s="29">
        <f>'GS&lt;50 PW'!$B$6</f>
        <v>50.759309292559799</v>
      </c>
      <c r="L141" s="29">
        <f ca="1">E141*'GS&lt;50 PW'!$B$7</f>
        <v>0</v>
      </c>
      <c r="M141" s="29">
        <f ca="1">F141*'GS&lt;50 PW'!$B$8</f>
        <v>13.788653581441404</v>
      </c>
      <c r="N141" s="29">
        <f>G141*'GS&lt;50 PW'!$B$9</f>
        <v>-13.490372688002461</v>
      </c>
      <c r="O141" s="29">
        <f>H141*'GS&lt;50 PW'!$B$10</f>
        <v>44.640500841840755</v>
      </c>
      <c r="P141" s="44">
        <f>I141*'GS&lt;50 PW'!$B$11</f>
        <v>0</v>
      </c>
      <c r="Q141" s="44">
        <f>'Customer Count'!G56</f>
        <v>5571.848584872946</v>
      </c>
      <c r="R141" s="29">
        <f t="shared" si="14"/>
        <v>31</v>
      </c>
      <c r="S141" s="28">
        <f t="shared" ca="1" si="20"/>
        <v>16529673.465123806</v>
      </c>
    </row>
    <row r="142" spans="1:22" x14ac:dyDescent="0.2">
      <c r="A142" s="45">
        <v>44440</v>
      </c>
      <c r="B142" s="29">
        <f t="shared" si="18"/>
        <v>2021</v>
      </c>
      <c r="C142" s="29">
        <f t="shared" si="19"/>
        <v>9</v>
      </c>
      <c r="E142" s="241">
        <f ca="1">Weather!BQ69</f>
        <v>0</v>
      </c>
      <c r="F142" s="241">
        <f ca="1">Weather!AP69</f>
        <v>93.160526315789411</v>
      </c>
      <c r="G142" s="29">
        <f t="shared" si="15"/>
        <v>141</v>
      </c>
      <c r="H142" s="63">
        <f>'Economic (2020 Adj.)'!F154</f>
        <v>3534.6321377249997</v>
      </c>
      <c r="I142" s="44">
        <f t="shared" si="16"/>
        <v>1</v>
      </c>
      <c r="K142" s="29">
        <f>'GS&lt;50 PW'!$B$6</f>
        <v>50.759309292559799</v>
      </c>
      <c r="L142" s="29">
        <f ca="1">E142*'GS&lt;50 PW'!$B$7</f>
        <v>0</v>
      </c>
      <c r="M142" s="29">
        <f ca="1">F142*'GS&lt;50 PW'!$B$8</f>
        <v>7.3405755594411666</v>
      </c>
      <c r="N142" s="29">
        <f>G142*'GS&lt;50 PW'!$B$9</f>
        <v>-13.586732492916765</v>
      </c>
      <c r="O142" s="29">
        <f>H142*'GS&lt;50 PW'!$B$10</f>
        <v>44.931293510391363</v>
      </c>
      <c r="P142" s="44">
        <f>I142*'GS&lt;50 PW'!$B$11</f>
        <v>-1.9723066266223299</v>
      </c>
      <c r="Q142" s="44">
        <f>'Customer Count'!G57</f>
        <v>5576.7907366094469</v>
      </c>
      <c r="R142" s="29">
        <f t="shared" si="14"/>
        <v>30</v>
      </c>
      <c r="S142" s="28">
        <f t="shared" ca="1" si="20"/>
        <v>14634414.475228669</v>
      </c>
    </row>
    <row r="143" spans="1:22" x14ac:dyDescent="0.2">
      <c r="A143" s="45">
        <v>44470</v>
      </c>
      <c r="B143" s="29">
        <f t="shared" si="18"/>
        <v>2021</v>
      </c>
      <c r="C143" s="29">
        <f t="shared" si="19"/>
        <v>10</v>
      </c>
      <c r="E143" s="241">
        <f ca="1">Weather!BQ70</f>
        <v>44.825413533834308</v>
      </c>
      <c r="F143" s="241">
        <f ca="1">Weather!AP70</f>
        <v>15.201729323308314</v>
      </c>
      <c r="G143" s="29">
        <f t="shared" si="15"/>
        <v>142</v>
      </c>
      <c r="H143" s="63">
        <f>'Economic (2020 Adj.)'!F155</f>
        <v>3537.2407963749997</v>
      </c>
      <c r="I143" s="44">
        <f t="shared" si="16"/>
        <v>1</v>
      </c>
      <c r="K143" s="29">
        <f>'GS&lt;50 PW'!$B$6</f>
        <v>50.759309292559799</v>
      </c>
      <c r="L143" s="29">
        <f ca="1">E143*'GS&lt;50 PW'!$B$7</f>
        <v>1.3765697457800645</v>
      </c>
      <c r="M143" s="29">
        <f ca="1">F143*'GS&lt;50 PW'!$B$8</f>
        <v>1.1978189383952016</v>
      </c>
      <c r="N143" s="29">
        <f>G143*'GS&lt;50 PW'!$B$9</f>
        <v>-13.683092297831067</v>
      </c>
      <c r="O143" s="29">
        <f>H143*'GS&lt;50 PW'!$B$10</f>
        <v>44.96445407785766</v>
      </c>
      <c r="P143" s="44">
        <f>I143*'GS&lt;50 PW'!$B$11</f>
        <v>-1.9723066266223299</v>
      </c>
      <c r="Q143" s="44">
        <f>'Customer Count'!G58</f>
        <v>5581.7372719653904</v>
      </c>
      <c r="R143" s="29">
        <f t="shared" si="14"/>
        <v>31</v>
      </c>
      <c r="S143" s="28">
        <f t="shared" ca="1" si="20"/>
        <v>14299994.197534328</v>
      </c>
    </row>
    <row r="144" spans="1:22" x14ac:dyDescent="0.2">
      <c r="A144" s="45">
        <v>44501</v>
      </c>
      <c r="B144" s="29">
        <f t="shared" si="18"/>
        <v>2021</v>
      </c>
      <c r="C144" s="29">
        <f t="shared" si="19"/>
        <v>11</v>
      </c>
      <c r="E144" s="241">
        <f ca="1">Weather!BQ71</f>
        <v>228.39593984962357</v>
      </c>
      <c r="F144" s="241">
        <f ca="1">Weather!AP71</f>
        <v>1.451127819548903E-2</v>
      </c>
      <c r="G144" s="29">
        <f t="shared" si="15"/>
        <v>143</v>
      </c>
      <c r="H144" s="63">
        <f>'Economic (2020 Adj.)'!F156</f>
        <v>3543.4614439249999</v>
      </c>
      <c r="I144" s="44">
        <f t="shared" si="16"/>
        <v>1</v>
      </c>
      <c r="K144" s="29">
        <f>'GS&lt;50 PW'!$B$6</f>
        <v>50.759309292559799</v>
      </c>
      <c r="L144" s="29">
        <f ca="1">E144*'GS&lt;50 PW'!$B$7</f>
        <v>7.0139440123331669</v>
      </c>
      <c r="M144" s="29">
        <f ca="1">F144*'GS&lt;50 PW'!$B$8</f>
        <v>1.143414901897183E-3</v>
      </c>
      <c r="N144" s="29">
        <f>G144*'GS&lt;50 PW'!$B$9</f>
        <v>-13.77945210274537</v>
      </c>
      <c r="O144" s="29">
        <f>H144*'GS&lt;50 PW'!$B$10</f>
        <v>45.043529277200371</v>
      </c>
      <c r="P144" s="44">
        <f>I144*'GS&lt;50 PW'!$B$11</f>
        <v>-1.9723066266223299</v>
      </c>
      <c r="Q144" s="44">
        <f>'Customer Count'!G59</f>
        <v>5586.6881948289856</v>
      </c>
      <c r="R144" s="29">
        <f t="shared" si="14"/>
        <v>30</v>
      </c>
      <c r="S144" s="28">
        <f t="shared" ca="1" si="20"/>
        <v>14592345.865291819</v>
      </c>
    </row>
    <row r="145" spans="1:19" x14ac:dyDescent="0.2">
      <c r="A145" s="45">
        <v>44531</v>
      </c>
      <c r="B145" s="29">
        <f t="shared" si="18"/>
        <v>2021</v>
      </c>
      <c r="C145" s="29">
        <f t="shared" si="19"/>
        <v>12</v>
      </c>
      <c r="E145" s="241">
        <f ca="1">Weather!BQ72</f>
        <v>334.3351127819551</v>
      </c>
      <c r="F145" s="241">
        <f ca="1">Weather!AP72</f>
        <v>0</v>
      </c>
      <c r="G145" s="29">
        <f t="shared" si="15"/>
        <v>144</v>
      </c>
      <c r="H145" s="63">
        <f>'Economic (2020 Adj.)'!F157</f>
        <v>3543.7624430000001</v>
      </c>
      <c r="I145" s="44">
        <f t="shared" si="16"/>
        <v>0</v>
      </c>
      <c r="K145" s="29">
        <f>'GS&lt;50 PW'!$B$6</f>
        <v>50.759309292559799</v>
      </c>
      <c r="L145" s="29">
        <f ca="1">E145*'GS&lt;50 PW'!$B$7</f>
        <v>10.267291808924828</v>
      </c>
      <c r="M145" s="29">
        <f ca="1">F145*'GS&lt;50 PW'!$B$8</f>
        <v>0</v>
      </c>
      <c r="N145" s="29">
        <f>G145*'GS&lt;50 PW'!$B$9</f>
        <v>-13.875811907659674</v>
      </c>
      <c r="O145" s="29">
        <f>H145*'GS&lt;50 PW'!$B$10</f>
        <v>45.047355496523402</v>
      </c>
      <c r="P145" s="44">
        <f>I145*'GS&lt;50 PW'!$B$11</f>
        <v>0</v>
      </c>
      <c r="Q145" s="44">
        <f>'Customer Count'!G60</f>
        <v>5591.6435090918903</v>
      </c>
      <c r="R145" s="29">
        <f t="shared" si="14"/>
        <v>31</v>
      </c>
      <c r="S145" s="28">
        <f t="shared" ca="1" si="20"/>
        <v>15981713.87655114</v>
      </c>
    </row>
    <row r="146" spans="1:19" x14ac:dyDescent="0.2">
      <c r="A146" s="45"/>
    </row>
    <row r="147" spans="1:19" x14ac:dyDescent="0.2">
      <c r="A147" s="45"/>
    </row>
    <row r="148" spans="1:19" x14ac:dyDescent="0.2">
      <c r="A148" s="45"/>
    </row>
    <row r="149" spans="1:19" x14ac:dyDescent="0.2">
      <c r="A149" s="45"/>
    </row>
    <row r="150" spans="1:19" x14ac:dyDescent="0.2">
      <c r="A150" s="45"/>
    </row>
    <row r="151" spans="1:19" x14ac:dyDescent="0.2">
      <c r="A151" s="45"/>
    </row>
    <row r="152" spans="1:19" x14ac:dyDescent="0.2">
      <c r="A152" s="45"/>
    </row>
    <row r="153" spans="1:19" x14ac:dyDescent="0.2">
      <c r="A153" s="45"/>
    </row>
    <row r="154" spans="1:19" x14ac:dyDescent="0.2">
      <c r="A154" s="45"/>
    </row>
    <row r="155" spans="1:19" x14ac:dyDescent="0.2">
      <c r="A155" s="45"/>
    </row>
    <row r="156" spans="1:19" x14ac:dyDescent="0.2">
      <c r="A156" s="45"/>
    </row>
    <row r="157" spans="1:19" x14ac:dyDescent="0.2">
      <c r="A157" s="45"/>
    </row>
    <row r="158" spans="1:19" x14ac:dyDescent="0.2">
      <c r="A158" s="45"/>
    </row>
    <row r="159" spans="1:19" x14ac:dyDescent="0.2">
      <c r="A159" s="45"/>
    </row>
    <row r="160" spans="1:19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4">
    <tabColor theme="8" tint="0.59999389629810485"/>
  </sheetPr>
  <dimension ref="A1:X183"/>
  <sheetViews>
    <sheetView topLeftCell="H1" workbookViewId="0"/>
  </sheetViews>
  <sheetFormatPr defaultRowHeight="12.75" x14ac:dyDescent="0.2"/>
  <cols>
    <col min="1" max="3" width="9.33203125" style="29"/>
    <col min="4" max="4" width="17.5" style="29" customWidth="1"/>
    <col min="5" max="5" width="16.5" style="29" bestFit="1" customWidth="1"/>
    <col min="6" max="11" width="9.33203125" style="29"/>
    <col min="12" max="12" width="11.83203125" style="29" bestFit="1" customWidth="1"/>
    <col min="13" max="13" width="10.1640625" style="29" bestFit="1" customWidth="1"/>
    <col min="14" max="14" width="9.33203125" style="29"/>
    <col min="15" max="15" width="12.5" style="29" bestFit="1" customWidth="1"/>
    <col min="16" max="18" width="12.5" style="29" customWidth="1"/>
    <col min="19" max="19" width="9.33203125" style="29"/>
    <col min="20" max="20" width="14.1640625" style="29" bestFit="1" customWidth="1"/>
    <col min="21" max="21" width="9.33203125" style="29"/>
    <col min="22" max="22" width="13.83203125" style="29" bestFit="1" customWidth="1"/>
    <col min="23" max="23" width="12.5" style="29" bestFit="1" customWidth="1"/>
    <col min="24" max="16384" width="9.33203125" style="29"/>
  </cols>
  <sheetData>
    <row r="1" spans="1:20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Data'!M1</f>
        <v>GS_gt_50_NoCDM</v>
      </c>
      <c r="E1" s="44" t="str">
        <f>'Monthly Data'!BQ1</f>
        <v>AvgGSgt50MD</v>
      </c>
      <c r="F1" s="46" t="str">
        <f>'Monthly Data'!AJ1</f>
        <v>HDD14</v>
      </c>
      <c r="G1" s="46" t="str">
        <f>'Monthly Data'!AK1</f>
        <v>CDD14</v>
      </c>
      <c r="H1" s="46" t="str">
        <f>'Monthly Data'!V1</f>
        <v>GDP</v>
      </c>
      <c r="I1" s="46" t="str">
        <f>'Monthly Data'!BG1</f>
        <v>Trend</v>
      </c>
      <c r="J1" s="46" t="str">
        <f>'Monthly Data'!BC1</f>
        <v>Dec</v>
      </c>
      <c r="L1" s="29" t="s">
        <v>76</v>
      </c>
      <c r="M1" s="46" t="str">
        <f>F1</f>
        <v>HDD14</v>
      </c>
      <c r="N1" s="46" t="str">
        <f t="shared" ref="N1:Q1" si="0">G1</f>
        <v>CDD14</v>
      </c>
      <c r="O1" s="46" t="str">
        <f t="shared" si="0"/>
        <v>GDP</v>
      </c>
      <c r="P1" s="46" t="str">
        <f t="shared" si="0"/>
        <v>Trend</v>
      </c>
      <c r="Q1" s="46" t="str">
        <f t="shared" si="0"/>
        <v>Dec</v>
      </c>
      <c r="R1" s="46" t="str">
        <f>'Monthly Data'!O1</f>
        <v>GS_gt_50_Customers</v>
      </c>
      <c r="S1" s="46" t="str">
        <f>'Monthly Data'!BH1</f>
        <v>Month Days</v>
      </c>
      <c r="T1" s="29" t="s">
        <v>123</v>
      </c>
    </row>
    <row r="2" spans="1:20" x14ac:dyDescent="0.2">
      <c r="A2" s="45">
        <f>'Monthly Data'!A2</f>
        <v>40179</v>
      </c>
      <c r="B2" s="29">
        <f t="shared" ref="B2:B65" si="1">YEAR(A2)</f>
        <v>2010</v>
      </c>
      <c r="C2" s="29">
        <f t="shared" ref="C2:C65" si="2">MONTH(A2)</f>
        <v>1</v>
      </c>
      <c r="D2" s="44">
        <f>'Monthly Data'!M2</f>
        <v>77865432</v>
      </c>
      <c r="E2" s="44">
        <f>'Monthly Data'!BQ2</f>
        <v>2565.6671389502126</v>
      </c>
      <c r="F2" s="46">
        <f ca="1">Weather!AX61</f>
        <v>539.1400000000001</v>
      </c>
      <c r="G2" s="46">
        <f ca="1">Weather!AY61</f>
        <v>0</v>
      </c>
      <c r="H2" s="46">
        <f>'Monthly Data'!V2</f>
        <v>609770.30000000005</v>
      </c>
      <c r="I2" s="46">
        <f>'Monthly Data'!BG2</f>
        <v>1</v>
      </c>
      <c r="J2" s="46">
        <f>'Monthly Data'!BC2</f>
        <v>0</v>
      </c>
      <c r="L2" s="29">
        <f>'GS&gt;50 PW'!$B$6</f>
        <v>556.26088485683897</v>
      </c>
      <c r="M2" s="29">
        <f ca="1">F2*'GS&gt;50 PW'!$B$7</f>
        <v>245.42201004517693</v>
      </c>
      <c r="N2" s="29">
        <f ca="1">G2*'GS&gt;50 PW'!$B$8</f>
        <v>0</v>
      </c>
      <c r="O2" s="29">
        <f>H2*'GS&gt;50 PW'!$B$9</f>
        <v>1783.4683562761159</v>
      </c>
      <c r="P2" s="29">
        <f>I2*'GS&gt;50 PW'!$B$10</f>
        <v>-3.5783154252662701</v>
      </c>
      <c r="Q2" s="29">
        <f>J2*'GS&gt;50 PW'!$B$11</f>
        <v>0</v>
      </c>
      <c r="R2" s="46">
        <f>'Monthly Data'!O2</f>
        <v>979</v>
      </c>
      <c r="S2" s="46">
        <f>'Monthly Data'!BH2</f>
        <v>31</v>
      </c>
      <c r="T2" s="28">
        <f ca="1">SUM(L2:Q2)*R2*S2</f>
        <v>78348157.027163714</v>
      </c>
    </row>
    <row r="3" spans="1:20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44">
        <f>'Monthly Data'!M3</f>
        <v>70892677</v>
      </c>
      <c r="E3" s="44">
        <f>'Monthly Data'!BQ3</f>
        <v>2588.8357069821795</v>
      </c>
      <c r="F3" s="46">
        <f ca="1">Weather!AX62</f>
        <v>473.45</v>
      </c>
      <c r="G3" s="46">
        <f ca="1">Weather!AY62</f>
        <v>0</v>
      </c>
      <c r="H3" s="46">
        <f>'Monthly Data'!V3</f>
        <v>609770.30000000005</v>
      </c>
      <c r="I3" s="46">
        <f>'Monthly Data'!BG3</f>
        <v>2</v>
      </c>
      <c r="J3" s="46">
        <f>'Monthly Data'!BC3</f>
        <v>0</v>
      </c>
      <c r="L3" s="29">
        <f>'GS&gt;50 PW'!$B$6</f>
        <v>556.26088485683897</v>
      </c>
      <c r="M3" s="29">
        <f ca="1">F3*'GS&gt;50 PW'!$B$7</f>
        <v>215.51925410076973</v>
      </c>
      <c r="N3" s="29">
        <f ca="1">G3*'GS&gt;50 PW'!$B$8</f>
        <v>0</v>
      </c>
      <c r="O3" s="29">
        <f>H3*'GS&gt;50 PW'!$B$9</f>
        <v>1783.4683562761159</v>
      </c>
      <c r="P3" s="29">
        <f>I3*'GS&gt;50 PW'!$B$10</f>
        <v>-7.1566308505325402</v>
      </c>
      <c r="Q3" s="29">
        <f>J3*'GS&gt;50 PW'!$B$11</f>
        <v>0</v>
      </c>
      <c r="R3" s="46">
        <f>'Monthly Data'!O3</f>
        <v>978</v>
      </c>
      <c r="S3" s="46">
        <f>'Monthly Data'!BH3</f>
        <v>28</v>
      </c>
      <c r="T3" s="28">
        <f t="shared" ref="T3:T66" ca="1" si="3">SUM(L3:Q3)*R3*S3</f>
        <v>69776947.614269331</v>
      </c>
    </row>
    <row r="4" spans="1:20" x14ac:dyDescent="0.2">
      <c r="A4" s="45">
        <f>'Monthly Data'!A4</f>
        <v>40238</v>
      </c>
      <c r="B4" s="29">
        <f t="shared" si="1"/>
        <v>2010</v>
      </c>
      <c r="C4" s="29">
        <f t="shared" si="2"/>
        <v>3</v>
      </c>
      <c r="D4" s="44">
        <f>'Monthly Data'!M4</f>
        <v>76083324</v>
      </c>
      <c r="E4" s="44">
        <f>'Monthly Data'!BQ4</f>
        <v>2496.7454467889606</v>
      </c>
      <c r="F4" s="46">
        <f ca="1">Weather!AX63</f>
        <v>394.31999999999988</v>
      </c>
      <c r="G4" s="46">
        <f ca="1">Weather!AY63</f>
        <v>3.0000000000000072E-2</v>
      </c>
      <c r="H4" s="46">
        <f>'Monthly Data'!V4</f>
        <v>609770.30000000005</v>
      </c>
      <c r="I4" s="46">
        <f>'Monthly Data'!BG4</f>
        <v>3</v>
      </c>
      <c r="J4" s="46">
        <f>'Monthly Data'!BC4</f>
        <v>0</v>
      </c>
      <c r="L4" s="29">
        <f>'GS&gt;50 PW'!$B$6</f>
        <v>556.26088485683897</v>
      </c>
      <c r="M4" s="29">
        <f ca="1">F4*'GS&gt;50 PW'!$B$7</f>
        <v>179.49847349670608</v>
      </c>
      <c r="N4" s="29">
        <f ca="1">G4*'GS&gt;50 PW'!$B$8</f>
        <v>4.6437485801708811E-2</v>
      </c>
      <c r="O4" s="29">
        <f>H4*'GS&gt;50 PW'!$B$9</f>
        <v>1783.4683562761159</v>
      </c>
      <c r="P4" s="29">
        <f>I4*'GS&gt;50 PW'!$B$10</f>
        <v>-10.73494627579881</v>
      </c>
      <c r="Q4" s="29">
        <f>J4*'GS&gt;50 PW'!$B$11</f>
        <v>0</v>
      </c>
      <c r="R4" s="46">
        <f>'Monthly Data'!O4</f>
        <v>983</v>
      </c>
      <c r="S4" s="46">
        <f>'Monthly Data'!BH4</f>
        <v>31</v>
      </c>
      <c r="T4" s="28">
        <f t="shared" ca="1" si="3"/>
        <v>76442715.21955207</v>
      </c>
    </row>
    <row r="5" spans="1:20" x14ac:dyDescent="0.2">
      <c r="A5" s="45">
        <f>'Monthly Data'!A5</f>
        <v>40269</v>
      </c>
      <c r="B5" s="29">
        <f t="shared" si="1"/>
        <v>2010</v>
      </c>
      <c r="C5" s="29">
        <f t="shared" si="2"/>
        <v>4</v>
      </c>
      <c r="D5" s="44">
        <f>'Monthly Data'!M5</f>
        <v>70016664</v>
      </c>
      <c r="E5" s="44">
        <f>'Monthly Data'!BQ5</f>
        <v>2347.9766599597583</v>
      </c>
      <c r="F5" s="46">
        <f ca="1">Weather!AX64</f>
        <v>220.23999999999995</v>
      </c>
      <c r="G5" s="46">
        <f ca="1">Weather!AY64</f>
        <v>1.45</v>
      </c>
      <c r="H5" s="46">
        <f>'Monthly Data'!V5</f>
        <v>609770.30000000005</v>
      </c>
      <c r="I5" s="46">
        <f>'Monthly Data'!BG5</f>
        <v>4</v>
      </c>
      <c r="J5" s="46">
        <f>'Monthly Data'!BC5</f>
        <v>0</v>
      </c>
      <c r="L5" s="29">
        <f>'GS&gt;50 PW'!$B$6</f>
        <v>556.26088485683897</v>
      </c>
      <c r="M5" s="29">
        <f ca="1">F5*'GS&gt;50 PW'!$B$7</f>
        <v>100.25548742877498</v>
      </c>
      <c r="N5" s="29">
        <f ca="1">G5*'GS&gt;50 PW'!$B$8</f>
        <v>2.2444784804159204</v>
      </c>
      <c r="O5" s="29">
        <f>H5*'GS&gt;50 PW'!$B$9</f>
        <v>1783.4683562761159</v>
      </c>
      <c r="P5" s="29">
        <f>I5*'GS&gt;50 PW'!$B$10</f>
        <v>-14.31326170106508</v>
      </c>
      <c r="Q5" s="29">
        <f>J5*'GS&gt;50 PW'!$B$11</f>
        <v>0</v>
      </c>
      <c r="R5" s="46">
        <f>'Monthly Data'!O5</f>
        <v>994</v>
      </c>
      <c r="S5" s="46">
        <f>'Monthly Data'!BH5</f>
        <v>30</v>
      </c>
      <c r="T5" s="28">
        <f t="shared" ca="1" si="3"/>
        <v>72400453.490071014</v>
      </c>
    </row>
    <row r="6" spans="1:20" x14ac:dyDescent="0.2">
      <c r="A6" s="45">
        <f>'Monthly Data'!A6</f>
        <v>40299</v>
      </c>
      <c r="B6" s="29">
        <f t="shared" si="1"/>
        <v>2010</v>
      </c>
      <c r="C6" s="29">
        <f t="shared" si="2"/>
        <v>5</v>
      </c>
      <c r="D6" s="44">
        <f>'Monthly Data'!M6</f>
        <v>75214102</v>
      </c>
      <c r="E6" s="44">
        <f>'Monthly Data'!BQ6</f>
        <v>2436.005376344086</v>
      </c>
      <c r="F6" s="46">
        <f ca="1">Weather!AX65</f>
        <v>68.61</v>
      </c>
      <c r="G6" s="46">
        <f ca="1">Weather!AY65</f>
        <v>50.69</v>
      </c>
      <c r="H6" s="46">
        <f>'Monthly Data'!V6</f>
        <v>609770.30000000005</v>
      </c>
      <c r="I6" s="46">
        <f>'Monthly Data'!BG6</f>
        <v>5</v>
      </c>
      <c r="J6" s="46">
        <f>'Monthly Data'!BC6</f>
        <v>0</v>
      </c>
      <c r="L6" s="29">
        <f>'GS&gt;50 PW'!$B$6</f>
        <v>556.26088485683897</v>
      </c>
      <c r="M6" s="29">
        <f ca="1">F6*'GS&gt;50 PW'!$B$7</f>
        <v>31.231969635344413</v>
      </c>
      <c r="N6" s="29">
        <f ca="1">G6*'GS&gt;50 PW'!$B$8</f>
        <v>78.463871842953807</v>
      </c>
      <c r="O6" s="29">
        <f>H6*'GS&gt;50 PW'!$B$9</f>
        <v>1783.4683562761159</v>
      </c>
      <c r="P6" s="29">
        <f>I6*'GS&gt;50 PW'!$B$10</f>
        <v>-17.891577126331349</v>
      </c>
      <c r="Q6" s="29">
        <f>J6*'GS&gt;50 PW'!$B$11</f>
        <v>0</v>
      </c>
      <c r="R6" s="46">
        <f>'Monthly Data'!O6</f>
        <v>996</v>
      </c>
      <c r="S6" s="46">
        <f>'Monthly Data'!BH6</f>
        <v>31</v>
      </c>
      <c r="T6" s="28">
        <f t="shared" ca="1" si="3"/>
        <v>75076028.515352428</v>
      </c>
    </row>
    <row r="7" spans="1:20" x14ac:dyDescent="0.2">
      <c r="A7" s="45">
        <f>'Monthly Data'!A7</f>
        <v>40330</v>
      </c>
      <c r="B7" s="29">
        <f t="shared" si="1"/>
        <v>2010</v>
      </c>
      <c r="C7" s="29">
        <f t="shared" si="2"/>
        <v>6</v>
      </c>
      <c r="D7" s="44">
        <f>'Monthly Data'!M7</f>
        <v>78113215</v>
      </c>
      <c r="E7" s="44">
        <f>'Monthly Data'!BQ7</f>
        <v>2611.6086593112673</v>
      </c>
      <c r="F7" s="46">
        <f ca="1">Weather!AX66</f>
        <v>2.7299999999999995</v>
      </c>
      <c r="G7" s="46">
        <f ca="1">Weather!AY66</f>
        <v>145.17999999999998</v>
      </c>
      <c r="H7" s="46">
        <f>'Monthly Data'!V7</f>
        <v>609770.30000000005</v>
      </c>
      <c r="I7" s="46">
        <f>'Monthly Data'!BG7</f>
        <v>6</v>
      </c>
      <c r="J7" s="46">
        <f>'Monthly Data'!BC7</f>
        <v>0</v>
      </c>
      <c r="L7" s="29">
        <f>'GS&gt;50 PW'!$B$6</f>
        <v>556.26088485683897</v>
      </c>
      <c r="M7" s="29">
        <f ca="1">F7*'GS&gt;50 PW'!$B$7</f>
        <v>1.2427237589927158</v>
      </c>
      <c r="N7" s="29">
        <f ca="1">G7*'GS&gt;50 PW'!$B$8</f>
        <v>224.72647295640229</v>
      </c>
      <c r="O7" s="29">
        <f>H7*'GS&gt;50 PW'!$B$9</f>
        <v>1783.4683562761159</v>
      </c>
      <c r="P7" s="29">
        <f>I7*'GS&gt;50 PW'!$B$10</f>
        <v>-21.469892551597621</v>
      </c>
      <c r="Q7" s="29">
        <f>J7*'GS&gt;50 PW'!$B$11</f>
        <v>0</v>
      </c>
      <c r="R7" s="46">
        <f>'Monthly Data'!O7</f>
        <v>997</v>
      </c>
      <c r="S7" s="46">
        <f>'Monthly Data'!BH7</f>
        <v>30</v>
      </c>
      <c r="T7" s="28">
        <f t="shared" ca="1" si="3"/>
        <v>76097875.789825857</v>
      </c>
    </row>
    <row r="8" spans="1:20" x14ac:dyDescent="0.2">
      <c r="A8" s="45">
        <f>'Monthly Data'!A8</f>
        <v>40360</v>
      </c>
      <c r="B8" s="29">
        <f t="shared" si="1"/>
        <v>2010</v>
      </c>
      <c r="C8" s="29">
        <f t="shared" si="2"/>
        <v>7</v>
      </c>
      <c r="D8" s="44">
        <f>'Monthly Data'!M8</f>
        <v>83811408</v>
      </c>
      <c r="E8" s="44">
        <f>'Monthly Data'!BQ8</f>
        <v>2717.1797049764955</v>
      </c>
      <c r="F8" s="46">
        <f ca="1">Weather!AX67</f>
        <v>0</v>
      </c>
      <c r="G8" s="46">
        <f ca="1">Weather!AY67</f>
        <v>268.18999999999994</v>
      </c>
      <c r="H8" s="46">
        <f>'Monthly Data'!V8</f>
        <v>609770.30000000005</v>
      </c>
      <c r="I8" s="46">
        <f>'Monthly Data'!BG8</f>
        <v>7</v>
      </c>
      <c r="J8" s="46">
        <f>'Monthly Data'!BC8</f>
        <v>0</v>
      </c>
      <c r="L8" s="29">
        <f>'GS&gt;50 PW'!$B$6</f>
        <v>556.26088485683897</v>
      </c>
      <c r="M8" s="29">
        <f ca="1">F8*'GS&gt;50 PW'!$B$7</f>
        <v>0</v>
      </c>
      <c r="N8" s="29">
        <f ca="1">G8*'GS&gt;50 PW'!$B$8</f>
        <v>415.13564390534179</v>
      </c>
      <c r="O8" s="29">
        <f>H8*'GS&gt;50 PW'!$B$9</f>
        <v>1783.4683562761159</v>
      </c>
      <c r="P8" s="29">
        <f>I8*'GS&gt;50 PW'!$B$10</f>
        <v>-25.048207976863893</v>
      </c>
      <c r="Q8" s="29">
        <f>J8*'GS&gt;50 PW'!$B$11</f>
        <v>0</v>
      </c>
      <c r="R8" s="46">
        <f>'Monthly Data'!O8</f>
        <v>995</v>
      </c>
      <c r="S8" s="46">
        <f>'Monthly Data'!BH8</f>
        <v>31</v>
      </c>
      <c r="T8" s="28">
        <f t="shared" ca="1" si="3"/>
        <v>84201195.403959885</v>
      </c>
    </row>
    <row r="9" spans="1:20" x14ac:dyDescent="0.2">
      <c r="A9" s="45">
        <f>'Monthly Data'!A9</f>
        <v>40391</v>
      </c>
      <c r="B9" s="29">
        <f t="shared" si="1"/>
        <v>2010</v>
      </c>
      <c r="C9" s="29">
        <f t="shared" si="2"/>
        <v>8</v>
      </c>
      <c r="D9" s="44">
        <f>'Monthly Data'!M9</f>
        <v>83014987</v>
      </c>
      <c r="E9" s="44">
        <f>'Monthly Data'!BQ9</f>
        <v>2683.2693451418968</v>
      </c>
      <c r="F9" s="46">
        <f ca="1">Weather!AX68</f>
        <v>0</v>
      </c>
      <c r="G9" s="46">
        <f ca="1">Weather!AY68</f>
        <v>239.59000000000006</v>
      </c>
      <c r="H9" s="46">
        <f>'Monthly Data'!V9</f>
        <v>609770.30000000005</v>
      </c>
      <c r="I9" s="46">
        <f>'Monthly Data'!BG9</f>
        <v>8</v>
      </c>
      <c r="J9" s="46">
        <f>'Monthly Data'!BC9</f>
        <v>0</v>
      </c>
      <c r="L9" s="29">
        <f>'GS&gt;50 PW'!$B$6</f>
        <v>556.26088485683897</v>
      </c>
      <c r="M9" s="29">
        <f ca="1">F9*'GS&gt;50 PW'!$B$7</f>
        <v>0</v>
      </c>
      <c r="N9" s="29">
        <f ca="1">G9*'GS&gt;50 PW'!$B$8</f>
        <v>370.86524077437969</v>
      </c>
      <c r="O9" s="29">
        <f>H9*'GS&gt;50 PW'!$B$9</f>
        <v>1783.4683562761159</v>
      </c>
      <c r="P9" s="29">
        <f>I9*'GS&gt;50 PW'!$B$10</f>
        <v>-28.626523402130161</v>
      </c>
      <c r="Q9" s="29">
        <f>J9*'GS&gt;50 PW'!$B$11</f>
        <v>0</v>
      </c>
      <c r="R9" s="46">
        <f>'Monthly Data'!O9</f>
        <v>998</v>
      </c>
      <c r="S9" s="46">
        <f>'Monthly Data'!BH9</f>
        <v>31</v>
      </c>
      <c r="T9" s="28">
        <f t="shared" ca="1" si="3"/>
        <v>82974724.700234011</v>
      </c>
    </row>
    <row r="10" spans="1:20" x14ac:dyDescent="0.2">
      <c r="A10" s="45">
        <f>'Monthly Data'!A10</f>
        <v>40422</v>
      </c>
      <c r="B10" s="29">
        <f t="shared" si="1"/>
        <v>2010</v>
      </c>
      <c r="C10" s="29">
        <f t="shared" si="2"/>
        <v>9</v>
      </c>
      <c r="D10" s="44">
        <f>'Monthly Data'!M10</f>
        <v>73574953</v>
      </c>
      <c r="E10" s="44">
        <f>'Monthly Data'!BQ10</f>
        <v>2452.4984333333332</v>
      </c>
      <c r="F10" s="46">
        <f ca="1">Weather!AX69</f>
        <v>5.2099999999999991</v>
      </c>
      <c r="G10" s="46">
        <f ca="1">Weather!AY69</f>
        <v>132.95000000000002</v>
      </c>
      <c r="H10" s="46">
        <f>'Monthly Data'!V10</f>
        <v>609770.30000000005</v>
      </c>
      <c r="I10" s="46">
        <f>'Monthly Data'!BG10</f>
        <v>9</v>
      </c>
      <c r="J10" s="46">
        <f>'Monthly Data'!BC10</f>
        <v>0</v>
      </c>
      <c r="L10" s="29">
        <f>'GS&gt;50 PW'!$B$6</f>
        <v>556.26088485683897</v>
      </c>
      <c r="M10" s="29">
        <f ca="1">F10*'GS&gt;50 PW'!$B$7</f>
        <v>2.3716449759531315</v>
      </c>
      <c r="N10" s="29">
        <f ca="1">G10*'GS&gt;50 PW'!$B$8</f>
        <v>205.79545791123908</v>
      </c>
      <c r="O10" s="29">
        <f>H10*'GS&gt;50 PW'!$B$9</f>
        <v>1783.4683562761159</v>
      </c>
      <c r="P10" s="29">
        <f>I10*'GS&gt;50 PW'!$B$10</f>
        <v>-32.204838827396429</v>
      </c>
      <c r="Q10" s="29">
        <f>J10*'GS&gt;50 PW'!$B$11</f>
        <v>0</v>
      </c>
      <c r="R10" s="46">
        <f>'Monthly Data'!O10</f>
        <v>1000</v>
      </c>
      <c r="S10" s="46">
        <f>'Monthly Data'!BH10</f>
        <v>30</v>
      </c>
      <c r="T10" s="28">
        <f t="shared" ca="1" si="3"/>
        <v>75470745.155782506</v>
      </c>
    </row>
    <row r="11" spans="1:20" x14ac:dyDescent="0.2">
      <c r="A11" s="45">
        <f>'Monthly Data'!A11</f>
        <v>40452</v>
      </c>
      <c r="B11" s="29">
        <f t="shared" si="1"/>
        <v>2010</v>
      </c>
      <c r="C11" s="29">
        <f t="shared" si="2"/>
        <v>10</v>
      </c>
      <c r="D11" s="44">
        <f>'Monthly Data'!M11</f>
        <v>71065323</v>
      </c>
      <c r="E11" s="44">
        <f>'Monthly Data'!BQ11</f>
        <v>2278.757230808696</v>
      </c>
      <c r="F11" s="46">
        <f ca="1">Weather!AX70</f>
        <v>90.66</v>
      </c>
      <c r="G11" s="46">
        <f ca="1">Weather!AY70</f>
        <v>27.9</v>
      </c>
      <c r="H11" s="46">
        <f>'Monthly Data'!V11</f>
        <v>609770.30000000005</v>
      </c>
      <c r="I11" s="46">
        <f>'Monthly Data'!BG11</f>
        <v>10</v>
      </c>
      <c r="J11" s="46">
        <f>'Monthly Data'!BC11</f>
        <v>0</v>
      </c>
      <c r="L11" s="29">
        <f>'GS&gt;50 PW'!$B$6</f>
        <v>556.26088485683897</v>
      </c>
      <c r="M11" s="29">
        <f ca="1">F11*'GS&gt;50 PW'!$B$7</f>
        <v>41.269353842593269</v>
      </c>
      <c r="N11" s="29">
        <f ca="1">G11*'GS&gt;50 PW'!$B$8</f>
        <v>43.186861795589088</v>
      </c>
      <c r="O11" s="29">
        <f>H11*'GS&gt;50 PW'!$B$9</f>
        <v>1783.4683562761159</v>
      </c>
      <c r="P11" s="29">
        <f>I11*'GS&gt;50 PW'!$B$10</f>
        <v>-35.783154252662698</v>
      </c>
      <c r="Q11" s="29">
        <f>J11*'GS&gt;50 PW'!$B$11</f>
        <v>0</v>
      </c>
      <c r="R11" s="46">
        <f>'Monthly Data'!O11</f>
        <v>1006</v>
      </c>
      <c r="S11" s="46">
        <f>'Monthly Data'!BH11</f>
        <v>31</v>
      </c>
      <c r="T11" s="28">
        <f t="shared" ca="1" si="3"/>
        <v>74484714.206341133</v>
      </c>
    </row>
    <row r="12" spans="1:20" x14ac:dyDescent="0.2">
      <c r="A12" s="45">
        <f>'Monthly Data'!A12</f>
        <v>40483</v>
      </c>
      <c r="B12" s="29">
        <f t="shared" si="1"/>
        <v>2010</v>
      </c>
      <c r="C12" s="29">
        <f t="shared" si="2"/>
        <v>11</v>
      </c>
      <c r="D12" s="44">
        <f>'Monthly Data'!M12</f>
        <v>71655511</v>
      </c>
      <c r="E12" s="44">
        <f>'Monthly Data'!BQ12</f>
        <v>2371.9136378682551</v>
      </c>
      <c r="F12" s="46">
        <f ca="1">Weather!AX71</f>
        <v>264.88</v>
      </c>
      <c r="G12" s="46">
        <f ca="1">Weather!AY71</f>
        <v>0.69000000000000006</v>
      </c>
      <c r="H12" s="46">
        <f>'Monthly Data'!V12</f>
        <v>609770.30000000005</v>
      </c>
      <c r="I12" s="46">
        <f>'Monthly Data'!BG12</f>
        <v>11</v>
      </c>
      <c r="J12" s="46">
        <f>'Monthly Data'!BC12</f>
        <v>0</v>
      </c>
      <c r="L12" s="29">
        <f>'GS&gt;50 PW'!$B$6</f>
        <v>556.26088485683897</v>
      </c>
      <c r="M12" s="29">
        <f ca="1">F12*'GS&gt;50 PW'!$B$7</f>
        <v>120.5760693340625</v>
      </c>
      <c r="N12" s="29">
        <f ca="1">G12*'GS&gt;50 PW'!$B$8</f>
        <v>1.0680621734393003</v>
      </c>
      <c r="O12" s="29">
        <f>H12*'GS&gt;50 PW'!$B$9</f>
        <v>1783.4683562761159</v>
      </c>
      <c r="P12" s="29">
        <f>I12*'GS&gt;50 PW'!$B$10</f>
        <v>-39.361469677928973</v>
      </c>
      <c r="Q12" s="29">
        <f>J12*'GS&gt;50 PW'!$B$11</f>
        <v>0</v>
      </c>
      <c r="R12" s="46">
        <f>'Monthly Data'!O12</f>
        <v>1007</v>
      </c>
      <c r="S12" s="46">
        <f>'Monthly Data'!BH12</f>
        <v>30</v>
      </c>
      <c r="T12" s="28">
        <f t="shared" ca="1" si="3"/>
        <v>73168979.588497952</v>
      </c>
    </row>
    <row r="13" spans="1:20" x14ac:dyDescent="0.2">
      <c r="A13" s="45">
        <f>'Monthly Data'!A13</f>
        <v>40513</v>
      </c>
      <c r="B13" s="29">
        <f t="shared" si="1"/>
        <v>2010</v>
      </c>
      <c r="C13" s="29">
        <f t="shared" si="2"/>
        <v>12</v>
      </c>
      <c r="D13" s="44">
        <f>'Monthly Data'!M13</f>
        <v>74889412</v>
      </c>
      <c r="E13" s="44">
        <f>'Monthly Data'!BQ13</f>
        <v>2384.7852752921699</v>
      </c>
      <c r="F13" s="46">
        <f ca="1">Weather!AX72</f>
        <v>413.65</v>
      </c>
      <c r="G13" s="46">
        <f ca="1">Weather!AY72</f>
        <v>0</v>
      </c>
      <c r="H13" s="46">
        <f>'Monthly Data'!V13</f>
        <v>609770.30000000005</v>
      </c>
      <c r="I13" s="46">
        <f>'Monthly Data'!BG13</f>
        <v>12</v>
      </c>
      <c r="J13" s="46">
        <f>'Monthly Data'!BC13</f>
        <v>1</v>
      </c>
      <c r="L13" s="29">
        <f>'GS&gt;50 PW'!$B$6</f>
        <v>556.26088485683897</v>
      </c>
      <c r="M13" s="29">
        <f ca="1">F13*'GS&gt;50 PW'!$B$7</f>
        <v>188.29768604664358</v>
      </c>
      <c r="N13" s="29">
        <f ca="1">G13*'GS&gt;50 PW'!$B$8</f>
        <v>0</v>
      </c>
      <c r="O13" s="29">
        <f>H13*'GS&gt;50 PW'!$B$9</f>
        <v>1783.4683562761159</v>
      </c>
      <c r="P13" s="29">
        <f>I13*'GS&gt;50 PW'!$B$10</f>
        <v>-42.939785103195241</v>
      </c>
      <c r="Q13" s="29">
        <f>J13*'GS&gt;50 PW'!$B$11</f>
        <v>-107.242128303215</v>
      </c>
      <c r="R13" s="46">
        <f>'Monthly Data'!O13</f>
        <v>1013</v>
      </c>
      <c r="S13" s="46">
        <f>'Monthly Data'!BH13</f>
        <v>31</v>
      </c>
      <c r="T13" s="28">
        <f t="shared" ca="1" si="3"/>
        <v>74671466.967519417</v>
      </c>
    </row>
    <row r="14" spans="1:20" x14ac:dyDescent="0.2">
      <c r="A14" s="45">
        <f>'Monthly Data'!A14</f>
        <v>40544</v>
      </c>
      <c r="B14" s="29">
        <f t="shared" si="1"/>
        <v>2011</v>
      </c>
      <c r="C14" s="29">
        <f t="shared" si="2"/>
        <v>1</v>
      </c>
      <c r="D14" s="44">
        <f>'Monthly Data'!M14</f>
        <v>79499206.092769086</v>
      </c>
      <c r="E14" s="44">
        <f>'Monthly Data'!BQ14</f>
        <v>2511.7438972787304</v>
      </c>
      <c r="F14" s="46">
        <f t="shared" ref="F14:G29" ca="1" si="4">F2</f>
        <v>539.1400000000001</v>
      </c>
      <c r="G14" s="46">
        <f t="shared" ca="1" si="4"/>
        <v>0</v>
      </c>
      <c r="H14" s="46">
        <f>'Monthly Data'!V14</f>
        <v>625936.9</v>
      </c>
      <c r="I14" s="46">
        <f>'Monthly Data'!BG14</f>
        <v>13</v>
      </c>
      <c r="J14" s="46">
        <f>'Monthly Data'!BC14</f>
        <v>0</v>
      </c>
      <c r="L14" s="29">
        <f>'GS&gt;50 PW'!$B$6</f>
        <v>556.26088485683897</v>
      </c>
      <c r="M14" s="29">
        <f ca="1">F14*'GS&gt;50 PW'!$B$7</f>
        <v>245.42201004517693</v>
      </c>
      <c r="N14" s="29">
        <f ca="1">G14*'GS&gt;50 PW'!$B$8</f>
        <v>0</v>
      </c>
      <c r="O14" s="29">
        <f>H14*'GS&gt;50 PW'!$B$9</f>
        <v>1830.7527509548554</v>
      </c>
      <c r="P14" s="29">
        <f>I14*'GS&gt;50 PW'!$B$10</f>
        <v>-46.51810052846151</v>
      </c>
      <c r="Q14" s="29">
        <f>J14*'GS&gt;50 PW'!$B$11</f>
        <v>0</v>
      </c>
      <c r="R14" s="46">
        <f>'Monthly Data'!O14</f>
        <v>1021</v>
      </c>
      <c r="S14" s="46">
        <f>'Monthly Data'!BH14</f>
        <v>31</v>
      </c>
      <c r="T14" s="28">
        <f t="shared" ca="1" si="3"/>
        <v>81846876.227189496</v>
      </c>
    </row>
    <row r="15" spans="1:20" x14ac:dyDescent="0.2">
      <c r="A15" s="45">
        <f>'Monthly Data'!A15</f>
        <v>40575</v>
      </c>
      <c r="B15" s="29">
        <f t="shared" si="1"/>
        <v>2011</v>
      </c>
      <c r="C15" s="29">
        <f t="shared" si="2"/>
        <v>2</v>
      </c>
      <c r="D15" s="44">
        <f>'Monthly Data'!M15</f>
        <v>71789116.092769086</v>
      </c>
      <c r="E15" s="44">
        <f>'Monthly Data'!BQ15</f>
        <v>2624.2548652130827</v>
      </c>
      <c r="F15" s="46">
        <f t="shared" ca="1" si="4"/>
        <v>473.45</v>
      </c>
      <c r="G15" s="46">
        <f t="shared" ca="1" si="4"/>
        <v>0</v>
      </c>
      <c r="H15" s="46">
        <f>'Monthly Data'!V15</f>
        <v>625936.9</v>
      </c>
      <c r="I15" s="46">
        <f>'Monthly Data'!BG15</f>
        <v>14</v>
      </c>
      <c r="J15" s="46">
        <f>'Monthly Data'!BC15</f>
        <v>0</v>
      </c>
      <c r="L15" s="29">
        <f>'GS&gt;50 PW'!$B$6</f>
        <v>556.26088485683897</v>
      </c>
      <c r="M15" s="29">
        <f ca="1">F15*'GS&gt;50 PW'!$B$7</f>
        <v>215.51925410076973</v>
      </c>
      <c r="N15" s="29">
        <f ca="1">G15*'GS&gt;50 PW'!$B$8</f>
        <v>0</v>
      </c>
      <c r="O15" s="29">
        <f>H15*'GS&gt;50 PW'!$B$9</f>
        <v>1830.7527509548554</v>
      </c>
      <c r="P15" s="29">
        <f>I15*'GS&gt;50 PW'!$B$10</f>
        <v>-50.096415953727785</v>
      </c>
      <c r="Q15" s="29">
        <f>J15*'GS&gt;50 PW'!$B$11</f>
        <v>0</v>
      </c>
      <c r="R15" s="46">
        <f>'Monthly Data'!O15</f>
        <v>977</v>
      </c>
      <c r="S15" s="46">
        <f>'Monthly Data'!BH15</f>
        <v>28</v>
      </c>
      <c r="T15" s="28">
        <f t="shared" ca="1" si="3"/>
        <v>69824452.181615189</v>
      </c>
    </row>
    <row r="16" spans="1:20" x14ac:dyDescent="0.2">
      <c r="A16" s="45">
        <f>'Monthly Data'!A16</f>
        <v>40603</v>
      </c>
      <c r="B16" s="29">
        <f t="shared" si="1"/>
        <v>2011</v>
      </c>
      <c r="C16" s="29">
        <f t="shared" si="2"/>
        <v>3</v>
      </c>
      <c r="D16" s="44">
        <f>'Monthly Data'!M16</f>
        <v>79353259.092769086</v>
      </c>
      <c r="E16" s="44">
        <f>'Monthly Data'!BQ16</f>
        <v>2614.6910637177202</v>
      </c>
      <c r="F16" s="46">
        <f t="shared" ca="1" si="4"/>
        <v>394.31999999999988</v>
      </c>
      <c r="G16" s="46">
        <f t="shared" ca="1" si="4"/>
        <v>3.0000000000000072E-2</v>
      </c>
      <c r="H16" s="46">
        <f>'Monthly Data'!V16</f>
        <v>625936.9</v>
      </c>
      <c r="I16" s="46">
        <f>'Monthly Data'!BG16</f>
        <v>15</v>
      </c>
      <c r="J16" s="46">
        <f>'Monthly Data'!BC16</f>
        <v>0</v>
      </c>
      <c r="L16" s="29">
        <f>'GS&gt;50 PW'!$B$6</f>
        <v>556.26088485683897</v>
      </c>
      <c r="M16" s="29">
        <f ca="1">F16*'GS&gt;50 PW'!$B$7</f>
        <v>179.49847349670608</v>
      </c>
      <c r="N16" s="29">
        <f ca="1">G16*'GS&gt;50 PW'!$B$8</f>
        <v>4.6437485801708811E-2</v>
      </c>
      <c r="O16" s="29">
        <f>H16*'GS&gt;50 PW'!$B$9</f>
        <v>1830.7527509548554</v>
      </c>
      <c r="P16" s="29">
        <f>I16*'GS&gt;50 PW'!$B$10</f>
        <v>-53.674731378994053</v>
      </c>
      <c r="Q16" s="29">
        <f>J16*'GS&gt;50 PW'!$B$11</f>
        <v>0</v>
      </c>
      <c r="R16" s="46">
        <f>'Monthly Data'!O16</f>
        <v>979</v>
      </c>
      <c r="S16" s="46">
        <f>'Monthly Data'!BH16</f>
        <v>31</v>
      </c>
      <c r="T16" s="28">
        <f t="shared" ca="1" si="3"/>
        <v>76263510.91403614</v>
      </c>
    </row>
    <row r="17" spans="1:22" x14ac:dyDescent="0.2">
      <c r="A17" s="45">
        <f>'Monthly Data'!A17</f>
        <v>40634</v>
      </c>
      <c r="B17" s="29">
        <f t="shared" si="1"/>
        <v>2011</v>
      </c>
      <c r="C17" s="29">
        <f t="shared" si="2"/>
        <v>4</v>
      </c>
      <c r="D17" s="44">
        <f>'Monthly Data'!M17</f>
        <v>71579772.092769086</v>
      </c>
      <c r="E17" s="44">
        <f>'Monthly Data'!BQ17</f>
        <v>2434.6861256043908</v>
      </c>
      <c r="F17" s="46">
        <f t="shared" ca="1" si="4"/>
        <v>220.23999999999995</v>
      </c>
      <c r="G17" s="46">
        <f t="shared" ca="1" si="4"/>
        <v>1.45</v>
      </c>
      <c r="H17" s="46">
        <f>'Monthly Data'!V17</f>
        <v>625936.9</v>
      </c>
      <c r="I17" s="46">
        <f>'Monthly Data'!BG17</f>
        <v>16</v>
      </c>
      <c r="J17" s="46">
        <f>'Monthly Data'!BC17</f>
        <v>0</v>
      </c>
      <c r="L17" s="29">
        <f>'GS&gt;50 PW'!$B$6</f>
        <v>556.26088485683897</v>
      </c>
      <c r="M17" s="29">
        <f ca="1">F17*'GS&gt;50 PW'!$B$7</f>
        <v>100.25548742877498</v>
      </c>
      <c r="N17" s="29">
        <f ca="1">G17*'GS&gt;50 PW'!$B$8</f>
        <v>2.2444784804159204</v>
      </c>
      <c r="O17" s="29">
        <f>H17*'GS&gt;50 PW'!$B$9</f>
        <v>1830.7527509548554</v>
      </c>
      <c r="P17" s="29">
        <f>I17*'GS&gt;50 PW'!$B$10</f>
        <v>-57.253046804260322</v>
      </c>
      <c r="Q17" s="29">
        <f>J17*'GS&gt;50 PW'!$B$11</f>
        <v>0</v>
      </c>
      <c r="R17" s="46">
        <f>'Monthly Data'!O17</f>
        <v>980</v>
      </c>
      <c r="S17" s="46">
        <f>'Monthly Data'!BH17</f>
        <v>30</v>
      </c>
      <c r="T17" s="28">
        <f t="shared" ca="1" si="3"/>
        <v>71508460.314548761</v>
      </c>
    </row>
    <row r="18" spans="1:22" x14ac:dyDescent="0.2">
      <c r="A18" s="45">
        <f>'Monthly Data'!A18</f>
        <v>40664</v>
      </c>
      <c r="B18" s="29">
        <f t="shared" si="1"/>
        <v>2011</v>
      </c>
      <c r="C18" s="29">
        <f t="shared" si="2"/>
        <v>5</v>
      </c>
      <c r="D18" s="44">
        <f>'Monthly Data'!M18</f>
        <v>74262685.092769086</v>
      </c>
      <c r="E18" s="44">
        <f>'Monthly Data'!BQ18</f>
        <v>2439.4811475188585</v>
      </c>
      <c r="F18" s="46">
        <f t="shared" ca="1" si="4"/>
        <v>68.61</v>
      </c>
      <c r="G18" s="46">
        <f t="shared" ca="1" si="4"/>
        <v>50.69</v>
      </c>
      <c r="H18" s="46">
        <f>'Monthly Data'!V18</f>
        <v>625936.9</v>
      </c>
      <c r="I18" s="46">
        <f>'Monthly Data'!BG18</f>
        <v>17</v>
      </c>
      <c r="J18" s="46">
        <f>'Monthly Data'!BC18</f>
        <v>0</v>
      </c>
      <c r="L18" s="29">
        <f>'GS&gt;50 PW'!$B$6</f>
        <v>556.26088485683897</v>
      </c>
      <c r="M18" s="29">
        <f ca="1">F18*'GS&gt;50 PW'!$B$7</f>
        <v>31.231969635344413</v>
      </c>
      <c r="N18" s="29">
        <f ca="1">G18*'GS&gt;50 PW'!$B$8</f>
        <v>78.463871842953807</v>
      </c>
      <c r="O18" s="29">
        <f>H18*'GS&gt;50 PW'!$B$9</f>
        <v>1830.7527509548554</v>
      </c>
      <c r="P18" s="29">
        <f>I18*'GS&gt;50 PW'!$B$10</f>
        <v>-60.83136222952659</v>
      </c>
      <c r="Q18" s="29">
        <f>J18*'GS&gt;50 PW'!$B$11</f>
        <v>0</v>
      </c>
      <c r="R18" s="46">
        <f>'Monthly Data'!O18</f>
        <v>982</v>
      </c>
      <c r="S18" s="46">
        <f>'Monthly Data'!BH18</f>
        <v>31</v>
      </c>
      <c r="T18" s="28">
        <f t="shared" ca="1" si="3"/>
        <v>74153001.57867071</v>
      </c>
    </row>
    <row r="19" spans="1:22" x14ac:dyDescent="0.2">
      <c r="A19" s="45">
        <f>'Monthly Data'!A19</f>
        <v>40695</v>
      </c>
      <c r="B19" s="29">
        <f t="shared" si="1"/>
        <v>2011</v>
      </c>
      <c r="C19" s="29">
        <f t="shared" si="2"/>
        <v>6</v>
      </c>
      <c r="D19" s="44">
        <f>'Monthly Data'!M19</f>
        <v>77117693.092769086</v>
      </c>
      <c r="E19" s="44">
        <f>'Monthly Data'!BQ19</f>
        <v>2609.7358068618983</v>
      </c>
      <c r="F19" s="46">
        <f t="shared" ca="1" si="4"/>
        <v>2.7299999999999995</v>
      </c>
      <c r="G19" s="46">
        <f t="shared" ca="1" si="4"/>
        <v>145.17999999999998</v>
      </c>
      <c r="H19" s="46">
        <f>'Monthly Data'!V19</f>
        <v>625936.9</v>
      </c>
      <c r="I19" s="46">
        <f>'Monthly Data'!BG19</f>
        <v>18</v>
      </c>
      <c r="J19" s="46">
        <f>'Monthly Data'!BC19</f>
        <v>0</v>
      </c>
      <c r="L19" s="29">
        <f>'GS&gt;50 PW'!$B$6</f>
        <v>556.26088485683897</v>
      </c>
      <c r="M19" s="29">
        <f ca="1">F19*'GS&gt;50 PW'!$B$7</f>
        <v>1.2427237589927158</v>
      </c>
      <c r="N19" s="29">
        <f ca="1">G19*'GS&gt;50 PW'!$B$8</f>
        <v>224.72647295640229</v>
      </c>
      <c r="O19" s="29">
        <f>H19*'GS&gt;50 PW'!$B$9</f>
        <v>1830.7527509548554</v>
      </c>
      <c r="P19" s="29">
        <f>I19*'GS&gt;50 PW'!$B$10</f>
        <v>-64.409677654792858</v>
      </c>
      <c r="Q19" s="29">
        <f>J19*'GS&gt;50 PW'!$B$11</f>
        <v>0</v>
      </c>
      <c r="R19" s="46">
        <f>'Monthly Data'!O19</f>
        <v>985</v>
      </c>
      <c r="S19" s="46">
        <f>'Monthly Data'!BH19</f>
        <v>30</v>
      </c>
      <c r="T19" s="28">
        <f t="shared" ca="1" si="3"/>
        <v>75310336.726476356</v>
      </c>
    </row>
    <row r="20" spans="1:22" x14ac:dyDescent="0.2">
      <c r="A20" s="45">
        <f>'Monthly Data'!A20</f>
        <v>40725</v>
      </c>
      <c r="B20" s="29">
        <f t="shared" si="1"/>
        <v>2011</v>
      </c>
      <c r="C20" s="29">
        <f t="shared" si="2"/>
        <v>7</v>
      </c>
      <c r="D20" s="44">
        <f>'Monthly Data'!M20</f>
        <v>84651520.092769086</v>
      </c>
      <c r="E20" s="44">
        <f>'Monthly Data'!BQ20</f>
        <v>2777.9188164200796</v>
      </c>
      <c r="F20" s="46">
        <f t="shared" ca="1" si="4"/>
        <v>0</v>
      </c>
      <c r="G20" s="46">
        <f t="shared" ca="1" si="4"/>
        <v>268.18999999999994</v>
      </c>
      <c r="H20" s="46">
        <f>'Monthly Data'!V20</f>
        <v>625936.9</v>
      </c>
      <c r="I20" s="46">
        <f>'Monthly Data'!BG20</f>
        <v>19</v>
      </c>
      <c r="J20" s="46">
        <f>'Monthly Data'!BC20</f>
        <v>0</v>
      </c>
      <c r="L20" s="29">
        <f>'GS&gt;50 PW'!$B$6</f>
        <v>556.26088485683897</v>
      </c>
      <c r="M20" s="29">
        <f ca="1">F20*'GS&gt;50 PW'!$B$7</f>
        <v>0</v>
      </c>
      <c r="N20" s="29">
        <f ca="1">G20*'GS&gt;50 PW'!$B$8</f>
        <v>415.13564390534179</v>
      </c>
      <c r="O20" s="29">
        <f>H20*'GS&gt;50 PW'!$B$9</f>
        <v>1830.7527509548554</v>
      </c>
      <c r="P20" s="29">
        <f>I20*'GS&gt;50 PW'!$B$10</f>
        <v>-67.987993080059127</v>
      </c>
      <c r="Q20" s="29">
        <f>J20*'GS&gt;50 PW'!$B$11</f>
        <v>0</v>
      </c>
      <c r="R20" s="46">
        <f>'Monthly Data'!O20</f>
        <v>983</v>
      </c>
      <c r="S20" s="46">
        <f>'Monthly Data'!BH20</f>
        <v>31</v>
      </c>
      <c r="T20" s="28">
        <f t="shared" ca="1" si="3"/>
        <v>83318096.887688607</v>
      </c>
    </row>
    <row r="21" spans="1:22" x14ac:dyDescent="0.2">
      <c r="A21" s="45">
        <f>'Monthly Data'!A21</f>
        <v>40756</v>
      </c>
      <c r="B21" s="29">
        <f t="shared" si="1"/>
        <v>2011</v>
      </c>
      <c r="C21" s="29">
        <f t="shared" si="2"/>
        <v>8</v>
      </c>
      <c r="D21" s="44">
        <f>'Monthly Data'!M21</f>
        <v>82199049.092769086</v>
      </c>
      <c r="E21" s="44">
        <f>'Monthly Data'!BQ21</f>
        <v>2697.4386864689754</v>
      </c>
      <c r="F21" s="46">
        <f t="shared" ca="1" si="4"/>
        <v>0</v>
      </c>
      <c r="G21" s="46">
        <f t="shared" ca="1" si="4"/>
        <v>239.59000000000006</v>
      </c>
      <c r="H21" s="46">
        <f>'Monthly Data'!V21</f>
        <v>625936.9</v>
      </c>
      <c r="I21" s="46">
        <f>'Monthly Data'!BG21</f>
        <v>20</v>
      </c>
      <c r="J21" s="46">
        <f>'Monthly Data'!BC21</f>
        <v>0</v>
      </c>
      <c r="L21" s="29">
        <f>'GS&gt;50 PW'!$B$6</f>
        <v>556.26088485683897</v>
      </c>
      <c r="M21" s="29">
        <f ca="1">F21*'GS&gt;50 PW'!$B$7</f>
        <v>0</v>
      </c>
      <c r="N21" s="29">
        <f ca="1">G21*'GS&gt;50 PW'!$B$8</f>
        <v>370.86524077437969</v>
      </c>
      <c r="O21" s="29">
        <f>H21*'GS&gt;50 PW'!$B$9</f>
        <v>1830.7527509548554</v>
      </c>
      <c r="P21" s="29">
        <f>I21*'GS&gt;50 PW'!$B$10</f>
        <v>-71.566308505325395</v>
      </c>
      <c r="Q21" s="29">
        <f>J21*'GS&gt;50 PW'!$B$11</f>
        <v>0</v>
      </c>
      <c r="R21" s="46">
        <f>'Monthly Data'!O21</f>
        <v>983</v>
      </c>
      <c r="S21" s="46">
        <f>'Monthly Data'!BH21</f>
        <v>31</v>
      </c>
      <c r="T21" s="28">
        <f t="shared" ca="1" si="3"/>
        <v>81860002.887124658</v>
      </c>
    </row>
    <row r="22" spans="1:22" x14ac:dyDescent="0.2">
      <c r="A22" s="45">
        <f>'Monthly Data'!A22</f>
        <v>40787</v>
      </c>
      <c r="B22" s="29">
        <f t="shared" si="1"/>
        <v>2011</v>
      </c>
      <c r="C22" s="29">
        <f t="shared" si="2"/>
        <v>9</v>
      </c>
      <c r="D22" s="44">
        <f>'Monthly Data'!M22</f>
        <v>74484945.092769086</v>
      </c>
      <c r="E22" s="44">
        <f>'Monthly Data'!BQ22</f>
        <v>2523.2027470450234</v>
      </c>
      <c r="F22" s="46">
        <f t="shared" ca="1" si="4"/>
        <v>5.2099999999999991</v>
      </c>
      <c r="G22" s="46">
        <f t="shared" ca="1" si="4"/>
        <v>132.95000000000002</v>
      </c>
      <c r="H22" s="46">
        <f>'Monthly Data'!V22</f>
        <v>625936.9</v>
      </c>
      <c r="I22" s="46">
        <f>'Monthly Data'!BG22</f>
        <v>21</v>
      </c>
      <c r="J22" s="46">
        <f>'Monthly Data'!BC22</f>
        <v>0</v>
      </c>
      <c r="L22" s="29">
        <f>'GS&gt;50 PW'!$B$6</f>
        <v>556.26088485683897</v>
      </c>
      <c r="M22" s="29">
        <f ca="1">F22*'GS&gt;50 PW'!$B$7</f>
        <v>2.3716449759531315</v>
      </c>
      <c r="N22" s="29">
        <f ca="1">G22*'GS&gt;50 PW'!$B$8</f>
        <v>205.79545791123908</v>
      </c>
      <c r="O22" s="29">
        <f>H22*'GS&gt;50 PW'!$B$9</f>
        <v>1830.7527509548554</v>
      </c>
      <c r="P22" s="29">
        <f>I22*'GS&gt;50 PW'!$B$10</f>
        <v>-75.144623930591678</v>
      </c>
      <c r="Q22" s="29">
        <f>J22*'GS&gt;50 PW'!$B$11</f>
        <v>0</v>
      </c>
      <c r="R22" s="46">
        <f>'Monthly Data'!O22</f>
        <v>984</v>
      </c>
      <c r="S22" s="46">
        <f>'Monthly Data'!BH22</f>
        <v>30</v>
      </c>
      <c r="T22" s="28">
        <f t="shared" ca="1" si="3"/>
        <v>74391466.107960075</v>
      </c>
    </row>
    <row r="23" spans="1:22" x14ac:dyDescent="0.2">
      <c r="A23" s="45">
        <f>'Monthly Data'!A23</f>
        <v>40817</v>
      </c>
      <c r="B23" s="29">
        <f t="shared" si="1"/>
        <v>2011</v>
      </c>
      <c r="C23" s="29">
        <f t="shared" si="2"/>
        <v>10</v>
      </c>
      <c r="D23" s="44">
        <f>'Monthly Data'!M23</f>
        <v>72131128.092769086</v>
      </c>
      <c r="E23" s="44">
        <f>'Monthly Data'!BQ23</f>
        <v>2367.0504411370425</v>
      </c>
      <c r="F23" s="46">
        <f t="shared" ca="1" si="4"/>
        <v>90.66</v>
      </c>
      <c r="G23" s="46">
        <f t="shared" ca="1" si="4"/>
        <v>27.9</v>
      </c>
      <c r="H23" s="46">
        <f>'Monthly Data'!V23</f>
        <v>625936.9</v>
      </c>
      <c r="I23" s="46">
        <f>'Monthly Data'!BG23</f>
        <v>22</v>
      </c>
      <c r="J23" s="46">
        <f>'Monthly Data'!BC23</f>
        <v>0</v>
      </c>
      <c r="L23" s="29">
        <f>'GS&gt;50 PW'!$B$6</f>
        <v>556.26088485683897</v>
      </c>
      <c r="M23" s="29">
        <f ca="1">F23*'GS&gt;50 PW'!$B$7</f>
        <v>41.269353842593269</v>
      </c>
      <c r="N23" s="29">
        <f ca="1">G23*'GS&gt;50 PW'!$B$8</f>
        <v>43.186861795589088</v>
      </c>
      <c r="O23" s="29">
        <f>H23*'GS&gt;50 PW'!$B$9</f>
        <v>1830.7527509548554</v>
      </c>
      <c r="P23" s="29">
        <f>I23*'GS&gt;50 PW'!$B$10</f>
        <v>-78.722939355857946</v>
      </c>
      <c r="Q23" s="29">
        <f>J23*'GS&gt;50 PW'!$B$11</f>
        <v>0</v>
      </c>
      <c r="R23" s="46">
        <f>'Monthly Data'!O23</f>
        <v>983</v>
      </c>
      <c r="S23" s="46">
        <f>'Monthly Data'!BH23</f>
        <v>31</v>
      </c>
      <c r="T23" s="28">
        <f t="shared" ca="1" si="3"/>
        <v>72914176.652241051</v>
      </c>
    </row>
    <row r="24" spans="1:22" x14ac:dyDescent="0.2">
      <c r="A24" s="45">
        <f>'Monthly Data'!A24</f>
        <v>40848</v>
      </c>
      <c r="B24" s="29">
        <f t="shared" si="1"/>
        <v>2011</v>
      </c>
      <c r="C24" s="29">
        <f t="shared" si="2"/>
        <v>11</v>
      </c>
      <c r="D24" s="44">
        <f>'Monthly Data'!M24</f>
        <v>71065271.092769086</v>
      </c>
      <c r="E24" s="44">
        <f>'Monthly Data'!BQ24</f>
        <v>2390.3555698879613</v>
      </c>
      <c r="F24" s="46">
        <f t="shared" ca="1" si="4"/>
        <v>264.88</v>
      </c>
      <c r="G24" s="46">
        <f t="shared" ca="1" si="4"/>
        <v>0.69000000000000006</v>
      </c>
      <c r="H24" s="46">
        <f>'Monthly Data'!V24</f>
        <v>625936.9</v>
      </c>
      <c r="I24" s="46">
        <f>'Monthly Data'!BG24</f>
        <v>23</v>
      </c>
      <c r="J24" s="46">
        <f>'Monthly Data'!BC24</f>
        <v>0</v>
      </c>
      <c r="L24" s="29">
        <f>'GS&gt;50 PW'!$B$6</f>
        <v>556.26088485683897</v>
      </c>
      <c r="M24" s="29">
        <f ca="1">F24*'GS&gt;50 PW'!$B$7</f>
        <v>120.5760693340625</v>
      </c>
      <c r="N24" s="29">
        <f ca="1">G24*'GS&gt;50 PW'!$B$8</f>
        <v>1.0680621734393003</v>
      </c>
      <c r="O24" s="29">
        <f>H24*'GS&gt;50 PW'!$B$9</f>
        <v>1830.7527509548554</v>
      </c>
      <c r="P24" s="29">
        <f>I24*'GS&gt;50 PW'!$B$10</f>
        <v>-82.301254781124214</v>
      </c>
      <c r="Q24" s="29">
        <f>J24*'GS&gt;50 PW'!$B$11</f>
        <v>0</v>
      </c>
      <c r="R24" s="46">
        <f>'Monthly Data'!O24</f>
        <v>991</v>
      </c>
      <c r="S24" s="46">
        <f>'Monthly Data'!BH24</f>
        <v>30</v>
      </c>
      <c r="T24" s="28">
        <f t="shared" ca="1" si="3"/>
        <v>72135579.117756873</v>
      </c>
    </row>
    <row r="25" spans="1:22" x14ac:dyDescent="0.2">
      <c r="A25" s="45">
        <f>'Monthly Data'!A25</f>
        <v>40878</v>
      </c>
      <c r="B25" s="29">
        <f t="shared" si="1"/>
        <v>2011</v>
      </c>
      <c r="C25" s="29">
        <f t="shared" si="2"/>
        <v>12</v>
      </c>
      <c r="D25" s="44">
        <f>'Monthly Data'!M25</f>
        <v>72314878.092769086</v>
      </c>
      <c r="E25" s="44">
        <f>'Monthly Data'!BQ25</f>
        <v>2344.4603045151271</v>
      </c>
      <c r="F25" s="46">
        <f t="shared" ca="1" si="4"/>
        <v>413.65</v>
      </c>
      <c r="G25" s="46">
        <f t="shared" ca="1" si="4"/>
        <v>0</v>
      </c>
      <c r="H25" s="46">
        <f>'Monthly Data'!V25</f>
        <v>625936.9</v>
      </c>
      <c r="I25" s="46">
        <f>'Monthly Data'!BG25</f>
        <v>24</v>
      </c>
      <c r="J25" s="46">
        <f>'Monthly Data'!BC25</f>
        <v>1</v>
      </c>
      <c r="L25" s="29">
        <f>'GS&gt;50 PW'!$B$6</f>
        <v>556.26088485683897</v>
      </c>
      <c r="M25" s="29">
        <f ca="1">F25*'GS&gt;50 PW'!$B$7</f>
        <v>188.29768604664358</v>
      </c>
      <c r="N25" s="29">
        <f ca="1">G25*'GS&gt;50 PW'!$B$8</f>
        <v>0</v>
      </c>
      <c r="O25" s="29">
        <f>H25*'GS&gt;50 PW'!$B$9</f>
        <v>1830.7527509548554</v>
      </c>
      <c r="P25" s="29">
        <f>I25*'GS&gt;50 PW'!$B$10</f>
        <v>-85.879570206390483</v>
      </c>
      <c r="Q25" s="29">
        <f>J25*'GS&gt;50 PW'!$B$11</f>
        <v>-107.242128303215</v>
      </c>
      <c r="R25" s="46">
        <f>'Monthly Data'!O25</f>
        <v>995</v>
      </c>
      <c r="S25" s="46">
        <f>'Monthly Data'!BH25</f>
        <v>31</v>
      </c>
      <c r="T25" s="28">
        <f t="shared" ca="1" si="3"/>
        <v>73478638.932191655</v>
      </c>
    </row>
    <row r="26" spans="1:22" x14ac:dyDescent="0.2">
      <c r="A26" s="45">
        <f>'Monthly Data'!A26</f>
        <v>40909</v>
      </c>
      <c r="B26" s="29">
        <f t="shared" si="1"/>
        <v>2012</v>
      </c>
      <c r="C26" s="29">
        <f t="shared" si="2"/>
        <v>1</v>
      </c>
      <c r="D26" s="44">
        <f>'Monthly Data'!M26</f>
        <v>77861343.963004857</v>
      </c>
      <c r="E26" s="44">
        <f>'Monthly Data'!BQ26</f>
        <v>2521.7432297902856</v>
      </c>
      <c r="F26" s="46">
        <f t="shared" ca="1" si="4"/>
        <v>539.1400000000001</v>
      </c>
      <c r="G26" s="46">
        <f t="shared" ca="1" si="4"/>
        <v>0</v>
      </c>
      <c r="H26" s="46">
        <f>'Monthly Data'!V26</f>
        <v>634944.30000000005</v>
      </c>
      <c r="I26" s="46">
        <f>'Monthly Data'!BG26</f>
        <v>25</v>
      </c>
      <c r="J26" s="46">
        <f>'Monthly Data'!BC26</f>
        <v>0</v>
      </c>
      <c r="L26" s="29">
        <f>'GS&gt;50 PW'!$B$6</f>
        <v>556.26088485683897</v>
      </c>
      <c r="M26" s="29">
        <f ca="1">F26*'GS&gt;50 PW'!$B$7</f>
        <v>245.42201004517693</v>
      </c>
      <c r="N26" s="29">
        <f ca="1">G26*'GS&gt;50 PW'!$B$8</f>
        <v>0</v>
      </c>
      <c r="O26" s="29">
        <f>H26*'GS&gt;50 PW'!$B$9</f>
        <v>1857.0977744371758</v>
      </c>
      <c r="P26" s="29">
        <f>I26*'GS&gt;50 PW'!$B$10</f>
        <v>-89.457885631656751</v>
      </c>
      <c r="Q26" s="29">
        <f>J26*'GS&gt;50 PW'!$B$11</f>
        <v>0</v>
      </c>
      <c r="R26" s="46">
        <f>'Monthly Data'!O26</f>
        <v>996</v>
      </c>
      <c r="S26" s="46">
        <f>'Monthly Data'!BH26</f>
        <v>31</v>
      </c>
      <c r="T26" s="28">
        <f t="shared" ca="1" si="3"/>
        <v>79330410.269753844</v>
      </c>
    </row>
    <row r="27" spans="1:22" x14ac:dyDescent="0.2">
      <c r="A27" s="45">
        <f>'Monthly Data'!A27</f>
        <v>40940</v>
      </c>
      <c r="B27" s="29">
        <f t="shared" si="1"/>
        <v>2012</v>
      </c>
      <c r="C27" s="29">
        <f t="shared" si="2"/>
        <v>2</v>
      </c>
      <c r="D27" s="44">
        <f>'Monthly Data'!M27</f>
        <v>72912305.963004857</v>
      </c>
      <c r="E27" s="44">
        <f>'Monthly Data'!BQ27</f>
        <v>2526.8517055278066</v>
      </c>
      <c r="F27" s="46">
        <f t="shared" ca="1" si="4"/>
        <v>473.45</v>
      </c>
      <c r="G27" s="46">
        <f t="shared" ca="1" si="4"/>
        <v>0</v>
      </c>
      <c r="H27" s="46">
        <f>'Monthly Data'!V27</f>
        <v>634944.30000000005</v>
      </c>
      <c r="I27" s="46">
        <f>'Monthly Data'!BG27</f>
        <v>26</v>
      </c>
      <c r="J27" s="46">
        <f>'Monthly Data'!BC27</f>
        <v>0</v>
      </c>
      <c r="L27" s="29">
        <f>'GS&gt;50 PW'!$B$6</f>
        <v>556.26088485683897</v>
      </c>
      <c r="M27" s="29">
        <f ca="1">F27*'GS&gt;50 PW'!$B$7</f>
        <v>215.51925410076973</v>
      </c>
      <c r="N27" s="29">
        <f ca="1">G27*'GS&gt;50 PW'!$B$8</f>
        <v>0</v>
      </c>
      <c r="O27" s="29">
        <f>H27*'GS&gt;50 PW'!$B$9</f>
        <v>1857.0977744371758</v>
      </c>
      <c r="P27" s="29">
        <f>I27*'GS&gt;50 PW'!$B$10</f>
        <v>-93.036201056923019</v>
      </c>
      <c r="Q27" s="29">
        <f>J27*'GS&gt;50 PW'!$B$11</f>
        <v>0</v>
      </c>
      <c r="R27" s="46">
        <f>'Monthly Data'!O27</f>
        <v>995</v>
      </c>
      <c r="S27" s="46">
        <f>'Monthly Data'!BH27</f>
        <v>29</v>
      </c>
      <c r="T27" s="28">
        <f t="shared" ca="1" si="3"/>
        <v>73171712.609509006</v>
      </c>
    </row>
    <row r="28" spans="1:22" x14ac:dyDescent="0.2">
      <c r="A28" s="45">
        <f>'Monthly Data'!A28</f>
        <v>40969</v>
      </c>
      <c r="B28" s="29">
        <f t="shared" si="1"/>
        <v>2012</v>
      </c>
      <c r="C28" s="29">
        <f t="shared" si="2"/>
        <v>3</v>
      </c>
      <c r="D28" s="44">
        <f>'Monthly Data'!M28</f>
        <v>74889795.963004857</v>
      </c>
      <c r="E28" s="44">
        <f>'Monthly Data'!BQ28</f>
        <v>2425.5018772834842</v>
      </c>
      <c r="F28" s="46">
        <f t="shared" ca="1" si="4"/>
        <v>394.31999999999988</v>
      </c>
      <c r="G28" s="46">
        <f t="shared" ca="1" si="4"/>
        <v>3.0000000000000072E-2</v>
      </c>
      <c r="H28" s="46">
        <f>'Monthly Data'!V28</f>
        <v>634944.30000000005</v>
      </c>
      <c r="I28" s="46">
        <f>'Monthly Data'!BG28</f>
        <v>27</v>
      </c>
      <c r="J28" s="46">
        <f>'Monthly Data'!BC28</f>
        <v>0</v>
      </c>
      <c r="L28" s="29">
        <f>'GS&gt;50 PW'!$B$6</f>
        <v>556.26088485683897</v>
      </c>
      <c r="M28" s="29">
        <f ca="1">F28*'GS&gt;50 PW'!$B$7</f>
        <v>179.49847349670608</v>
      </c>
      <c r="N28" s="29">
        <f ca="1">G28*'GS&gt;50 PW'!$B$8</f>
        <v>4.6437485801708811E-2</v>
      </c>
      <c r="O28" s="29">
        <f>H28*'GS&gt;50 PW'!$B$9</f>
        <v>1857.0977744371758</v>
      </c>
      <c r="P28" s="29">
        <f>I28*'GS&gt;50 PW'!$B$10</f>
        <v>-96.614516482189288</v>
      </c>
      <c r="Q28" s="29">
        <f>J28*'GS&gt;50 PW'!$B$11</f>
        <v>0</v>
      </c>
      <c r="R28" s="46">
        <f>'Monthly Data'!O28</f>
        <v>996</v>
      </c>
      <c r="S28" s="46">
        <f>'Monthly Data'!BH28</f>
        <v>31</v>
      </c>
      <c r="T28" s="28">
        <f t="shared" ca="1" si="3"/>
        <v>77075420.824953824</v>
      </c>
    </row>
    <row r="29" spans="1:22" x14ac:dyDescent="0.2">
      <c r="A29" s="45">
        <f>'Monthly Data'!A29</f>
        <v>41000</v>
      </c>
      <c r="B29" s="29">
        <f t="shared" si="1"/>
        <v>2012</v>
      </c>
      <c r="C29" s="29">
        <f t="shared" si="2"/>
        <v>4</v>
      </c>
      <c r="D29" s="44">
        <f>'Monthly Data'!M29</f>
        <v>69901221.963004857</v>
      </c>
      <c r="E29" s="44">
        <f>'Monthly Data'!BQ29</f>
        <v>2339.3983254017689</v>
      </c>
      <c r="F29" s="46">
        <f t="shared" ca="1" si="4"/>
        <v>220.23999999999995</v>
      </c>
      <c r="G29" s="46">
        <f t="shared" ca="1" si="4"/>
        <v>1.45</v>
      </c>
      <c r="H29" s="46">
        <f>'Monthly Data'!V29</f>
        <v>634944.30000000005</v>
      </c>
      <c r="I29" s="46">
        <f>'Monthly Data'!BG29</f>
        <v>28</v>
      </c>
      <c r="J29" s="46">
        <f>'Monthly Data'!BC29</f>
        <v>0</v>
      </c>
      <c r="L29" s="29">
        <f>'GS&gt;50 PW'!$B$6</f>
        <v>556.26088485683897</v>
      </c>
      <c r="M29" s="29">
        <f ca="1">F29*'GS&gt;50 PW'!$B$7</f>
        <v>100.25548742877498</v>
      </c>
      <c r="N29" s="29">
        <f ca="1">G29*'GS&gt;50 PW'!$B$8</f>
        <v>2.2444784804159204</v>
      </c>
      <c r="O29" s="29">
        <f>H29*'GS&gt;50 PW'!$B$9</f>
        <v>1857.0977744371758</v>
      </c>
      <c r="P29" s="29">
        <f>I29*'GS&gt;50 PW'!$B$10</f>
        <v>-100.19283190745557</v>
      </c>
      <c r="Q29" s="29">
        <f>J29*'GS&gt;50 PW'!$B$11</f>
        <v>0</v>
      </c>
      <c r="R29" s="46">
        <f>'Monthly Data'!O29</f>
        <v>996</v>
      </c>
      <c r="S29" s="46">
        <f>'Monthly Data'!BH29</f>
        <v>30</v>
      </c>
      <c r="T29" s="28">
        <f t="shared" ca="1" si="3"/>
        <v>72180093.903677016</v>
      </c>
    </row>
    <row r="30" spans="1:22" x14ac:dyDescent="0.2">
      <c r="A30" s="45">
        <f>'Monthly Data'!A30</f>
        <v>41030</v>
      </c>
      <c r="B30" s="29">
        <f t="shared" si="1"/>
        <v>2012</v>
      </c>
      <c r="C30" s="29">
        <f t="shared" si="2"/>
        <v>5</v>
      </c>
      <c r="D30" s="44">
        <f>'Monthly Data'!M30</f>
        <v>75697992.963004857</v>
      </c>
      <c r="E30" s="44">
        <f>'Monthly Data'!BQ30</f>
        <v>2446.7642692806535</v>
      </c>
      <c r="F30" s="46">
        <f t="shared" ref="F30:G45" ca="1" si="5">F18</f>
        <v>68.61</v>
      </c>
      <c r="G30" s="46">
        <f t="shared" ca="1" si="5"/>
        <v>50.69</v>
      </c>
      <c r="H30" s="46">
        <f>'Monthly Data'!V30</f>
        <v>634944.30000000005</v>
      </c>
      <c r="I30" s="46">
        <f>'Monthly Data'!BG30</f>
        <v>29</v>
      </c>
      <c r="J30" s="46">
        <f>'Monthly Data'!BC30</f>
        <v>0</v>
      </c>
      <c r="L30" s="29">
        <f>'GS&gt;50 PW'!$B$6</f>
        <v>556.26088485683897</v>
      </c>
      <c r="M30" s="29">
        <f ca="1">F30*'GS&gt;50 PW'!$B$7</f>
        <v>31.231969635344413</v>
      </c>
      <c r="N30" s="29">
        <f ca="1">G30*'GS&gt;50 PW'!$B$8</f>
        <v>78.463871842953807</v>
      </c>
      <c r="O30" s="29">
        <f>H30*'GS&gt;50 PW'!$B$9</f>
        <v>1857.0977744371758</v>
      </c>
      <c r="P30" s="29">
        <f>I30*'GS&gt;50 PW'!$B$10</f>
        <v>-103.77114733272184</v>
      </c>
      <c r="Q30" s="29">
        <f>J30*'GS&gt;50 PW'!$B$11</f>
        <v>0</v>
      </c>
      <c r="R30" s="46">
        <f>'Monthly Data'!O30</f>
        <v>998</v>
      </c>
      <c r="S30" s="46">
        <f>'Monthly Data'!BH30</f>
        <v>31</v>
      </c>
      <c r="T30" s="28">
        <f t="shared" ca="1" si="3"/>
        <v>74847788.388714075</v>
      </c>
    </row>
    <row r="31" spans="1:22" x14ac:dyDescent="0.2">
      <c r="A31" s="45">
        <f>'Monthly Data'!A31</f>
        <v>41061</v>
      </c>
      <c r="B31" s="29">
        <f t="shared" si="1"/>
        <v>2012</v>
      </c>
      <c r="C31" s="29">
        <f t="shared" si="2"/>
        <v>6</v>
      </c>
      <c r="D31" s="44">
        <f>'Monthly Data'!M31</f>
        <v>78642737.963004857</v>
      </c>
      <c r="E31" s="44">
        <f>'Monthly Data'!BQ31</f>
        <v>2624.0486474142431</v>
      </c>
      <c r="F31" s="46">
        <f t="shared" ca="1" si="5"/>
        <v>2.7299999999999995</v>
      </c>
      <c r="G31" s="46">
        <f t="shared" ca="1" si="5"/>
        <v>145.17999999999998</v>
      </c>
      <c r="H31" s="46">
        <f>'Monthly Data'!V31</f>
        <v>634944.30000000005</v>
      </c>
      <c r="I31" s="46">
        <f>'Monthly Data'!BG31</f>
        <v>30</v>
      </c>
      <c r="J31" s="46">
        <f>'Monthly Data'!BC31</f>
        <v>0</v>
      </c>
      <c r="L31" s="29">
        <f>'GS&gt;50 PW'!$B$6</f>
        <v>556.26088485683897</v>
      </c>
      <c r="M31" s="29">
        <f ca="1">F31*'GS&gt;50 PW'!$B$7</f>
        <v>1.2427237589927158</v>
      </c>
      <c r="N31" s="29">
        <f ca="1">G31*'GS&gt;50 PW'!$B$8</f>
        <v>224.72647295640229</v>
      </c>
      <c r="O31" s="29">
        <f>H31*'GS&gt;50 PW'!$B$9</f>
        <v>1857.0977744371758</v>
      </c>
      <c r="P31" s="29">
        <f>I31*'GS&gt;50 PW'!$B$10</f>
        <v>-107.34946275798811</v>
      </c>
      <c r="Q31" s="29">
        <f>J31*'GS&gt;50 PW'!$B$11</f>
        <v>0</v>
      </c>
      <c r="R31" s="46">
        <f>'Monthly Data'!O31</f>
        <v>999</v>
      </c>
      <c r="S31" s="46">
        <f>'Monthly Data'!BH31</f>
        <v>30</v>
      </c>
      <c r="T31" s="28">
        <f t="shared" ca="1" si="3"/>
        <v>75883392.445745096</v>
      </c>
      <c r="V31" s="190"/>
    </row>
    <row r="32" spans="1:22" x14ac:dyDescent="0.2">
      <c r="A32" s="45">
        <f>'Monthly Data'!A32</f>
        <v>41091</v>
      </c>
      <c r="B32" s="29">
        <f t="shared" si="1"/>
        <v>2012</v>
      </c>
      <c r="C32" s="29">
        <f t="shared" si="2"/>
        <v>7</v>
      </c>
      <c r="D32" s="44">
        <f>'Monthly Data'!M32</f>
        <v>85309315.963004857</v>
      </c>
      <c r="E32" s="44">
        <f>'Monthly Data'!BQ32</f>
        <v>2751.9134181614472</v>
      </c>
      <c r="F32" s="46">
        <f t="shared" ca="1" si="5"/>
        <v>0</v>
      </c>
      <c r="G32" s="46">
        <f t="shared" ca="1" si="5"/>
        <v>268.18999999999994</v>
      </c>
      <c r="H32" s="46">
        <f>'Monthly Data'!V32</f>
        <v>634944.30000000005</v>
      </c>
      <c r="I32" s="46">
        <f>'Monthly Data'!BG32</f>
        <v>31</v>
      </c>
      <c r="J32" s="46">
        <f>'Monthly Data'!BC32</f>
        <v>0</v>
      </c>
      <c r="L32" s="29">
        <f>'GS&gt;50 PW'!$B$6</f>
        <v>556.26088485683897</v>
      </c>
      <c r="M32" s="29">
        <f ca="1">F32*'GS&gt;50 PW'!$B$7</f>
        <v>0</v>
      </c>
      <c r="N32" s="29">
        <f ca="1">G32*'GS&gt;50 PW'!$B$8</f>
        <v>415.13564390534179</v>
      </c>
      <c r="O32" s="29">
        <f>H32*'GS&gt;50 PW'!$B$9</f>
        <v>1857.0977744371758</v>
      </c>
      <c r="P32" s="29">
        <f>I32*'GS&gt;50 PW'!$B$10</f>
        <v>-110.92777818325438</v>
      </c>
      <c r="Q32" s="29">
        <f>J32*'GS&gt;50 PW'!$B$11</f>
        <v>0</v>
      </c>
      <c r="R32" s="46">
        <f>'Monthly Data'!O32</f>
        <v>1000</v>
      </c>
      <c r="S32" s="46">
        <f>'Monthly Data'!BH32</f>
        <v>31</v>
      </c>
      <c r="T32" s="28">
        <f t="shared" ca="1" si="3"/>
        <v>84244562.27549918</v>
      </c>
    </row>
    <row r="33" spans="1:20" x14ac:dyDescent="0.2">
      <c r="A33" s="45">
        <f>'Monthly Data'!A33</f>
        <v>41122</v>
      </c>
      <c r="B33" s="29">
        <f t="shared" si="1"/>
        <v>2012</v>
      </c>
      <c r="C33" s="29">
        <f t="shared" si="2"/>
        <v>8</v>
      </c>
      <c r="D33" s="44">
        <f>'Monthly Data'!M33</f>
        <v>82517115.963004857</v>
      </c>
      <c r="E33" s="44">
        <f>'Monthly Data'!BQ33</f>
        <v>2664.5069573768883</v>
      </c>
      <c r="F33" s="46">
        <f t="shared" ca="1" si="5"/>
        <v>0</v>
      </c>
      <c r="G33" s="46">
        <f t="shared" ca="1" si="5"/>
        <v>239.59000000000006</v>
      </c>
      <c r="H33" s="46">
        <f>'Monthly Data'!V33</f>
        <v>634944.30000000005</v>
      </c>
      <c r="I33" s="46">
        <f>'Monthly Data'!BG33</f>
        <v>32</v>
      </c>
      <c r="J33" s="46">
        <f>'Monthly Data'!BC33</f>
        <v>0</v>
      </c>
      <c r="L33" s="29">
        <f>'GS&gt;50 PW'!$B$6</f>
        <v>556.26088485683897</v>
      </c>
      <c r="M33" s="29">
        <f ca="1">F33*'GS&gt;50 PW'!$B$7</f>
        <v>0</v>
      </c>
      <c r="N33" s="29">
        <f ca="1">G33*'GS&gt;50 PW'!$B$8</f>
        <v>370.86524077437969</v>
      </c>
      <c r="O33" s="29">
        <f>H33*'GS&gt;50 PW'!$B$9</f>
        <v>1857.0977744371758</v>
      </c>
      <c r="P33" s="29">
        <f>I33*'GS&gt;50 PW'!$B$10</f>
        <v>-114.50609360852064</v>
      </c>
      <c r="Q33" s="29">
        <f>J33*'GS&gt;50 PW'!$B$11</f>
        <v>0</v>
      </c>
      <c r="R33" s="46">
        <f>'Monthly Data'!O33</f>
        <v>999</v>
      </c>
      <c r="S33" s="46">
        <f>'Monthly Data'!BH33</f>
        <v>31</v>
      </c>
      <c r="T33" s="28">
        <f t="shared" ca="1" si="3"/>
        <v>82678490.748255834</v>
      </c>
    </row>
    <row r="34" spans="1:20" x14ac:dyDescent="0.2">
      <c r="A34" s="45">
        <f>'Monthly Data'!A34</f>
        <v>41153</v>
      </c>
      <c r="B34" s="29">
        <f t="shared" si="1"/>
        <v>2012</v>
      </c>
      <c r="C34" s="29">
        <f t="shared" si="2"/>
        <v>9</v>
      </c>
      <c r="D34" s="44">
        <f>'Monthly Data'!M34</f>
        <v>74673729.963004857</v>
      </c>
      <c r="E34" s="44">
        <f>'Monthly Data'!BQ34</f>
        <v>2491.6159480482102</v>
      </c>
      <c r="F34" s="46">
        <f t="shared" ca="1" si="5"/>
        <v>5.2099999999999991</v>
      </c>
      <c r="G34" s="46">
        <f t="shared" ca="1" si="5"/>
        <v>132.95000000000002</v>
      </c>
      <c r="H34" s="46">
        <f>'Monthly Data'!V34</f>
        <v>634944.30000000005</v>
      </c>
      <c r="I34" s="46">
        <f>'Monthly Data'!BG34</f>
        <v>33</v>
      </c>
      <c r="J34" s="46">
        <f>'Monthly Data'!BC34</f>
        <v>0</v>
      </c>
      <c r="L34" s="29">
        <f>'GS&gt;50 PW'!$B$6</f>
        <v>556.26088485683897</v>
      </c>
      <c r="M34" s="29">
        <f ca="1">F34*'GS&gt;50 PW'!$B$7</f>
        <v>2.3716449759531315</v>
      </c>
      <c r="N34" s="29">
        <f ca="1">G34*'GS&gt;50 PW'!$B$8</f>
        <v>205.79545791123908</v>
      </c>
      <c r="O34" s="29">
        <f>H34*'GS&gt;50 PW'!$B$9</f>
        <v>1857.0977744371758</v>
      </c>
      <c r="P34" s="29">
        <f>I34*'GS&gt;50 PW'!$B$10</f>
        <v>-118.08440903378691</v>
      </c>
      <c r="Q34" s="29">
        <f>J34*'GS&gt;50 PW'!$B$11</f>
        <v>0</v>
      </c>
      <c r="R34" s="46">
        <f>'Monthly Data'!O34</f>
        <v>999</v>
      </c>
      <c r="S34" s="46">
        <f>'Monthly Data'!BH34</f>
        <v>30</v>
      </c>
      <c r="T34" s="28">
        <f t="shared" ca="1" si="3"/>
        <v>75028137.353828177</v>
      </c>
    </row>
    <row r="35" spans="1:20" x14ac:dyDescent="0.2">
      <c r="A35" s="45">
        <f>'Monthly Data'!A35</f>
        <v>41183</v>
      </c>
      <c r="B35" s="29">
        <f t="shared" si="1"/>
        <v>2012</v>
      </c>
      <c r="C35" s="29">
        <f t="shared" si="2"/>
        <v>10</v>
      </c>
      <c r="D35" s="44">
        <f>'Monthly Data'!M35</f>
        <v>73374496.963004857</v>
      </c>
      <c r="E35" s="44">
        <f>'Monthly Data'!BQ35</f>
        <v>2371.6625820351946</v>
      </c>
      <c r="F35" s="46">
        <f t="shared" ca="1" si="5"/>
        <v>90.66</v>
      </c>
      <c r="G35" s="46">
        <f t="shared" ca="1" si="5"/>
        <v>27.9</v>
      </c>
      <c r="H35" s="46">
        <f>'Monthly Data'!V35</f>
        <v>634944.30000000005</v>
      </c>
      <c r="I35" s="46">
        <f>'Monthly Data'!BG35</f>
        <v>34</v>
      </c>
      <c r="J35" s="46">
        <f>'Monthly Data'!BC35</f>
        <v>0</v>
      </c>
      <c r="L35" s="29">
        <f>'GS&gt;50 PW'!$B$6</f>
        <v>556.26088485683897</v>
      </c>
      <c r="M35" s="29">
        <f ca="1">F35*'GS&gt;50 PW'!$B$7</f>
        <v>41.269353842593269</v>
      </c>
      <c r="N35" s="29">
        <f ca="1">G35*'GS&gt;50 PW'!$B$8</f>
        <v>43.186861795589088</v>
      </c>
      <c r="O35" s="29">
        <f>H35*'GS&gt;50 PW'!$B$9</f>
        <v>1857.0977744371758</v>
      </c>
      <c r="P35" s="29">
        <f>I35*'GS&gt;50 PW'!$B$10</f>
        <v>-121.66272445905318</v>
      </c>
      <c r="Q35" s="29">
        <f>J35*'GS&gt;50 PW'!$B$11</f>
        <v>0</v>
      </c>
      <c r="R35" s="46">
        <f>'Monthly Data'!O35</f>
        <v>998</v>
      </c>
      <c r="S35" s="46">
        <f>'Monthly Data'!BH35</f>
        <v>31</v>
      </c>
      <c r="T35" s="28">
        <f t="shared" ca="1" si="3"/>
        <v>73513395.231338128</v>
      </c>
    </row>
    <row r="36" spans="1:20" x14ac:dyDescent="0.2">
      <c r="A36" s="45">
        <f>'Monthly Data'!A36</f>
        <v>41214</v>
      </c>
      <c r="B36" s="29">
        <f t="shared" si="1"/>
        <v>2012</v>
      </c>
      <c r="C36" s="29">
        <f t="shared" si="2"/>
        <v>11</v>
      </c>
      <c r="D36" s="44">
        <f>'Monthly Data'!M36</f>
        <v>72808754.963004857</v>
      </c>
      <c r="E36" s="44">
        <f>'Monthly Data'!BQ36</f>
        <v>2426.9584987668286</v>
      </c>
      <c r="F36" s="46">
        <f t="shared" ca="1" si="5"/>
        <v>264.88</v>
      </c>
      <c r="G36" s="46">
        <f t="shared" ca="1" si="5"/>
        <v>0.69000000000000006</v>
      </c>
      <c r="H36" s="46">
        <f>'Monthly Data'!V36</f>
        <v>634944.30000000005</v>
      </c>
      <c r="I36" s="46">
        <f>'Monthly Data'!BG36</f>
        <v>35</v>
      </c>
      <c r="J36" s="46">
        <f>'Monthly Data'!BC36</f>
        <v>0</v>
      </c>
      <c r="L36" s="29">
        <f>'GS&gt;50 PW'!$B$6</f>
        <v>556.26088485683897</v>
      </c>
      <c r="M36" s="29">
        <f ca="1">F36*'GS&gt;50 PW'!$B$7</f>
        <v>120.5760693340625</v>
      </c>
      <c r="N36" s="29">
        <f ca="1">G36*'GS&gt;50 PW'!$B$8</f>
        <v>1.0680621734393003</v>
      </c>
      <c r="O36" s="29">
        <f>H36*'GS&gt;50 PW'!$B$9</f>
        <v>1857.0977744371758</v>
      </c>
      <c r="P36" s="29">
        <f>I36*'GS&gt;50 PW'!$B$10</f>
        <v>-125.24103988431945</v>
      </c>
      <c r="Q36" s="29">
        <f>J36*'GS&gt;50 PW'!$B$11</f>
        <v>0</v>
      </c>
      <c r="R36" s="46">
        <f>'Monthly Data'!O36</f>
        <v>1000</v>
      </c>
      <c r="S36" s="46">
        <f>'Monthly Data'!BH36</f>
        <v>30</v>
      </c>
      <c r="T36" s="28">
        <f t="shared" ca="1" si="3"/>
        <v>72292852.527515903</v>
      </c>
    </row>
    <row r="37" spans="1:20" x14ac:dyDescent="0.2">
      <c r="A37" s="45">
        <f>'Monthly Data'!A37</f>
        <v>41244</v>
      </c>
      <c r="B37" s="29">
        <f t="shared" si="1"/>
        <v>2012</v>
      </c>
      <c r="C37" s="29">
        <f t="shared" si="2"/>
        <v>12</v>
      </c>
      <c r="D37" s="44">
        <f>'Monthly Data'!M37</f>
        <v>72687620.963004857</v>
      </c>
      <c r="E37" s="44">
        <f>'Monthly Data'!BQ37</f>
        <v>2335.4202854069163</v>
      </c>
      <c r="F37" s="46">
        <f t="shared" ca="1" si="5"/>
        <v>413.65</v>
      </c>
      <c r="G37" s="46">
        <f t="shared" ca="1" si="5"/>
        <v>0</v>
      </c>
      <c r="H37" s="46">
        <f>'Monthly Data'!V37</f>
        <v>634944.30000000005</v>
      </c>
      <c r="I37" s="46">
        <f>'Monthly Data'!BG37</f>
        <v>36</v>
      </c>
      <c r="J37" s="46">
        <f>'Monthly Data'!BC37</f>
        <v>1</v>
      </c>
      <c r="L37" s="29">
        <f>'GS&gt;50 PW'!$B$6</f>
        <v>556.26088485683897</v>
      </c>
      <c r="M37" s="29">
        <f ca="1">F37*'GS&gt;50 PW'!$B$7</f>
        <v>188.29768604664358</v>
      </c>
      <c r="N37" s="29">
        <f ca="1">G37*'GS&gt;50 PW'!$B$8</f>
        <v>0</v>
      </c>
      <c r="O37" s="29">
        <f>H37*'GS&gt;50 PW'!$B$9</f>
        <v>1857.0977744371758</v>
      </c>
      <c r="P37" s="29">
        <f>I37*'GS&gt;50 PW'!$B$10</f>
        <v>-128.81935530958572</v>
      </c>
      <c r="Q37" s="29">
        <f>J37*'GS&gt;50 PW'!$B$11</f>
        <v>-107.242128303215</v>
      </c>
      <c r="R37" s="46">
        <f>'Monthly Data'!O37</f>
        <v>1004</v>
      </c>
      <c r="S37" s="46">
        <f>'Monthly Data'!BH37</f>
        <v>31</v>
      </c>
      <c r="T37" s="28">
        <f t="shared" ca="1" si="3"/>
        <v>73626774.47641784</v>
      </c>
    </row>
    <row r="38" spans="1:20" x14ac:dyDescent="0.2">
      <c r="A38" s="45">
        <f>'Monthly Data'!A38</f>
        <v>41275</v>
      </c>
      <c r="B38" s="29">
        <f t="shared" si="1"/>
        <v>2013</v>
      </c>
      <c r="C38" s="29">
        <f t="shared" si="2"/>
        <v>1</v>
      </c>
      <c r="D38" s="44">
        <f>'Monthly Data'!M38</f>
        <v>79277065.894941643</v>
      </c>
      <c r="E38" s="44">
        <f>'Monthly Data'!BQ38</f>
        <v>2554.7699363520883</v>
      </c>
      <c r="F38" s="46">
        <f t="shared" ca="1" si="5"/>
        <v>539.1400000000001</v>
      </c>
      <c r="G38" s="46">
        <f t="shared" ca="1" si="5"/>
        <v>0</v>
      </c>
      <c r="H38" s="46">
        <f>'Monthly Data'!V38</f>
        <v>643937</v>
      </c>
      <c r="I38" s="46">
        <f>'Monthly Data'!BG38</f>
        <v>37</v>
      </c>
      <c r="J38" s="46">
        <f>'Monthly Data'!BC38</f>
        <v>0</v>
      </c>
      <c r="L38" s="29">
        <f>'GS&gt;50 PW'!$B$6</f>
        <v>556.26088485683897</v>
      </c>
      <c r="M38" s="29">
        <f ca="1">F38*'GS&gt;50 PW'!$B$7</f>
        <v>245.42201004517693</v>
      </c>
      <c r="N38" s="29">
        <f ca="1">G38*'GS&gt;50 PW'!$B$8</f>
        <v>0</v>
      </c>
      <c r="O38" s="29">
        <f>H38*'GS&gt;50 PW'!$B$9</f>
        <v>1883.399803065799</v>
      </c>
      <c r="P38" s="29">
        <f>I38*'GS&gt;50 PW'!$B$10</f>
        <v>-132.397670734852</v>
      </c>
      <c r="Q38" s="29">
        <f>J38*'GS&gt;50 PW'!$B$11</f>
        <v>0</v>
      </c>
      <c r="R38" s="46">
        <f>'Monthly Data'!O38</f>
        <v>1001</v>
      </c>
      <c r="S38" s="46">
        <f>'Monthly Data'!BH38</f>
        <v>31</v>
      </c>
      <c r="T38" s="28">
        <f t="shared" ca="1" si="3"/>
        <v>79212369.08006607</v>
      </c>
    </row>
    <row r="39" spans="1:20" x14ac:dyDescent="0.2">
      <c r="A39" s="45">
        <f>'Monthly Data'!A39</f>
        <v>41306</v>
      </c>
      <c r="B39" s="29">
        <f t="shared" si="1"/>
        <v>2013</v>
      </c>
      <c r="C39" s="29">
        <f t="shared" si="2"/>
        <v>2</v>
      </c>
      <c r="D39" s="44">
        <f>'Monthly Data'!M39</f>
        <v>72766224.894941643</v>
      </c>
      <c r="E39" s="44">
        <f>'Monthly Data'!BQ39</f>
        <v>2593.6065331815525</v>
      </c>
      <c r="F39" s="46">
        <f t="shared" ca="1" si="5"/>
        <v>473.45</v>
      </c>
      <c r="G39" s="46">
        <f t="shared" ca="1" si="5"/>
        <v>0</v>
      </c>
      <c r="H39" s="46">
        <f>'Monthly Data'!V39</f>
        <v>643937</v>
      </c>
      <c r="I39" s="46">
        <f>'Monthly Data'!BG39</f>
        <v>38</v>
      </c>
      <c r="J39" s="46">
        <f>'Monthly Data'!BC39</f>
        <v>0</v>
      </c>
      <c r="L39" s="29">
        <f>'GS&gt;50 PW'!$B$6</f>
        <v>556.26088485683897</v>
      </c>
      <c r="M39" s="29">
        <f ca="1">F39*'GS&gt;50 PW'!$B$7</f>
        <v>215.51925410076973</v>
      </c>
      <c r="N39" s="29">
        <f ca="1">G39*'GS&gt;50 PW'!$B$8</f>
        <v>0</v>
      </c>
      <c r="O39" s="29">
        <f>H39*'GS&gt;50 PW'!$B$9</f>
        <v>1883.399803065799</v>
      </c>
      <c r="P39" s="29">
        <f>I39*'GS&gt;50 PW'!$B$10</f>
        <v>-135.97598616011825</v>
      </c>
      <c r="Q39" s="29">
        <f>J39*'GS&gt;50 PW'!$B$11</f>
        <v>0</v>
      </c>
      <c r="R39" s="46">
        <f>'Monthly Data'!O39</f>
        <v>1002</v>
      </c>
      <c r="S39" s="46">
        <f>'Monthly Data'!BH39</f>
        <v>28</v>
      </c>
      <c r="T39" s="28">
        <f t="shared" ca="1" si="3"/>
        <v>70678786.185700446</v>
      </c>
    </row>
    <row r="40" spans="1:20" x14ac:dyDescent="0.2">
      <c r="A40" s="45">
        <f>'Monthly Data'!A40</f>
        <v>41334</v>
      </c>
      <c r="B40" s="29">
        <f t="shared" si="1"/>
        <v>2013</v>
      </c>
      <c r="C40" s="29">
        <f t="shared" si="2"/>
        <v>3</v>
      </c>
      <c r="D40" s="44">
        <f>'Monthly Data'!M40</f>
        <v>76895003.894941643</v>
      </c>
      <c r="E40" s="44">
        <f>'Monthly Data'!BQ40</f>
        <v>2470.6015902500208</v>
      </c>
      <c r="F40" s="46">
        <f t="shared" ca="1" si="5"/>
        <v>394.31999999999988</v>
      </c>
      <c r="G40" s="46">
        <f t="shared" ca="1" si="5"/>
        <v>3.0000000000000072E-2</v>
      </c>
      <c r="H40" s="46">
        <f>'Monthly Data'!V40</f>
        <v>643937</v>
      </c>
      <c r="I40" s="46">
        <f>'Monthly Data'!BG40</f>
        <v>39</v>
      </c>
      <c r="J40" s="46">
        <f>'Monthly Data'!BC40</f>
        <v>0</v>
      </c>
      <c r="L40" s="29">
        <f>'GS&gt;50 PW'!$B$6</f>
        <v>556.26088485683897</v>
      </c>
      <c r="M40" s="29">
        <f ca="1">F40*'GS&gt;50 PW'!$B$7</f>
        <v>179.49847349670608</v>
      </c>
      <c r="N40" s="29">
        <f ca="1">G40*'GS&gt;50 PW'!$B$8</f>
        <v>4.6437485801708811E-2</v>
      </c>
      <c r="O40" s="29">
        <f>H40*'GS&gt;50 PW'!$B$9</f>
        <v>1883.399803065799</v>
      </c>
      <c r="P40" s="29">
        <f>I40*'GS&gt;50 PW'!$B$10</f>
        <v>-139.55430158538454</v>
      </c>
      <c r="Q40" s="29">
        <f>J40*'GS&gt;50 PW'!$B$11</f>
        <v>0</v>
      </c>
      <c r="R40" s="46">
        <f>'Monthly Data'!O40</f>
        <v>1004</v>
      </c>
      <c r="S40" s="46">
        <f>'Monthly Data'!BH40</f>
        <v>31</v>
      </c>
      <c r="T40" s="28">
        <f t="shared" ca="1" si="3"/>
        <v>77176666.977780268</v>
      </c>
    </row>
    <row r="41" spans="1:20" x14ac:dyDescent="0.2">
      <c r="A41" s="45">
        <f>'Monthly Data'!A41</f>
        <v>41365</v>
      </c>
      <c r="B41" s="29">
        <f t="shared" si="1"/>
        <v>2013</v>
      </c>
      <c r="C41" s="29">
        <f t="shared" si="2"/>
        <v>4</v>
      </c>
      <c r="D41" s="44">
        <f>'Monthly Data'!M41</f>
        <v>72485963.894941643</v>
      </c>
      <c r="E41" s="44">
        <f>'Monthly Data'!BQ41</f>
        <v>2401.7880680895178</v>
      </c>
      <c r="F41" s="46">
        <f t="shared" ca="1" si="5"/>
        <v>220.23999999999995</v>
      </c>
      <c r="G41" s="46">
        <f t="shared" ca="1" si="5"/>
        <v>1.45</v>
      </c>
      <c r="H41" s="46">
        <f>'Monthly Data'!V41</f>
        <v>643937</v>
      </c>
      <c r="I41" s="46">
        <f>'Monthly Data'!BG41</f>
        <v>40</v>
      </c>
      <c r="J41" s="46">
        <f>'Monthly Data'!BC41</f>
        <v>0</v>
      </c>
      <c r="L41" s="29">
        <f>'GS&gt;50 PW'!$B$6</f>
        <v>556.26088485683897</v>
      </c>
      <c r="M41" s="29">
        <f ca="1">F41*'GS&gt;50 PW'!$B$7</f>
        <v>100.25548742877498</v>
      </c>
      <c r="N41" s="29">
        <f ca="1">G41*'GS&gt;50 PW'!$B$8</f>
        <v>2.2444784804159204</v>
      </c>
      <c r="O41" s="29">
        <f>H41*'GS&gt;50 PW'!$B$9</f>
        <v>1883.399803065799</v>
      </c>
      <c r="P41" s="29">
        <f>I41*'GS&gt;50 PW'!$B$10</f>
        <v>-143.13261701065079</v>
      </c>
      <c r="Q41" s="29">
        <f>J41*'GS&gt;50 PW'!$B$11</f>
        <v>0</v>
      </c>
      <c r="R41" s="46">
        <f>'Monthly Data'!O41</f>
        <v>1006</v>
      </c>
      <c r="S41" s="46">
        <f>'Monthly Data'!BH41</f>
        <v>30</v>
      </c>
      <c r="T41" s="28">
        <f t="shared" ca="1" si="3"/>
        <v>72402666.151263148</v>
      </c>
    </row>
    <row r="42" spans="1:20" x14ac:dyDescent="0.2">
      <c r="A42" s="45">
        <f>'Monthly Data'!A42</f>
        <v>41395</v>
      </c>
      <c r="B42" s="29">
        <f t="shared" si="1"/>
        <v>2013</v>
      </c>
      <c r="C42" s="29">
        <f t="shared" si="2"/>
        <v>5</v>
      </c>
      <c r="D42" s="44">
        <f>'Monthly Data'!M42</f>
        <v>74512872.894941643</v>
      </c>
      <c r="E42" s="44">
        <f>'Monthly Data'!BQ42</f>
        <v>2389.3052297486579</v>
      </c>
      <c r="F42" s="46">
        <f t="shared" ca="1" si="5"/>
        <v>68.61</v>
      </c>
      <c r="G42" s="46">
        <f t="shared" ca="1" si="5"/>
        <v>50.69</v>
      </c>
      <c r="H42" s="46">
        <f>'Monthly Data'!V42</f>
        <v>643937</v>
      </c>
      <c r="I42" s="46">
        <f>'Monthly Data'!BG42</f>
        <v>41</v>
      </c>
      <c r="J42" s="46">
        <f>'Monthly Data'!BC42</f>
        <v>0</v>
      </c>
      <c r="L42" s="29">
        <f>'GS&gt;50 PW'!$B$6</f>
        <v>556.26088485683897</v>
      </c>
      <c r="M42" s="29">
        <f ca="1">F42*'GS&gt;50 PW'!$B$7</f>
        <v>31.231969635344413</v>
      </c>
      <c r="N42" s="29">
        <f ca="1">G42*'GS&gt;50 PW'!$B$8</f>
        <v>78.463871842953807</v>
      </c>
      <c r="O42" s="29">
        <f>H42*'GS&gt;50 PW'!$B$9</f>
        <v>1883.399803065799</v>
      </c>
      <c r="P42" s="29">
        <f>I42*'GS&gt;50 PW'!$B$10</f>
        <v>-146.71093243591707</v>
      </c>
      <c r="Q42" s="29">
        <f>J42*'GS&gt;50 PW'!$B$11</f>
        <v>0</v>
      </c>
      <c r="R42" s="46">
        <f>'Monthly Data'!O42</f>
        <v>1006</v>
      </c>
      <c r="S42" s="46">
        <f>'Monthly Data'!BH42</f>
        <v>31</v>
      </c>
      <c r="T42" s="28">
        <f t="shared" ca="1" si="3"/>
        <v>74928905.586951092</v>
      </c>
    </row>
    <row r="43" spans="1:20" x14ac:dyDescent="0.2">
      <c r="A43" s="45">
        <f>'Monthly Data'!A43</f>
        <v>41426</v>
      </c>
      <c r="B43" s="29">
        <f t="shared" si="1"/>
        <v>2013</v>
      </c>
      <c r="C43" s="29">
        <f t="shared" si="2"/>
        <v>6</v>
      </c>
      <c r="D43" s="44">
        <f>'Monthly Data'!M43</f>
        <v>76269513.894941643</v>
      </c>
      <c r="E43" s="44">
        <f>'Monthly Data'!BQ43</f>
        <v>2529.6687859018789</v>
      </c>
      <c r="F43" s="46">
        <f t="shared" ca="1" si="5"/>
        <v>2.7299999999999995</v>
      </c>
      <c r="G43" s="46">
        <f t="shared" ca="1" si="5"/>
        <v>145.17999999999998</v>
      </c>
      <c r="H43" s="46">
        <f>'Monthly Data'!V43</f>
        <v>643937</v>
      </c>
      <c r="I43" s="46">
        <f>'Monthly Data'!BG43</f>
        <v>42</v>
      </c>
      <c r="J43" s="46">
        <f>'Monthly Data'!BC43</f>
        <v>0</v>
      </c>
      <c r="L43" s="29">
        <f>'GS&gt;50 PW'!$B$6</f>
        <v>556.26088485683897</v>
      </c>
      <c r="M43" s="29">
        <f ca="1">F43*'GS&gt;50 PW'!$B$7</f>
        <v>1.2427237589927158</v>
      </c>
      <c r="N43" s="29">
        <f ca="1">G43*'GS&gt;50 PW'!$B$8</f>
        <v>224.72647295640229</v>
      </c>
      <c r="O43" s="29">
        <f>H43*'GS&gt;50 PW'!$B$9</f>
        <v>1883.399803065799</v>
      </c>
      <c r="P43" s="29">
        <f>I43*'GS&gt;50 PW'!$B$10</f>
        <v>-150.28924786118336</v>
      </c>
      <c r="Q43" s="29">
        <f>J43*'GS&gt;50 PW'!$B$11</f>
        <v>0</v>
      </c>
      <c r="R43" s="46">
        <f>'Monthly Data'!O43</f>
        <v>1005</v>
      </c>
      <c r="S43" s="46">
        <f>'Monthly Data'!BH43</f>
        <v>30</v>
      </c>
      <c r="T43" s="28">
        <f t="shared" ca="1" si="3"/>
        <v>75837520.198822021</v>
      </c>
    </row>
    <row r="44" spans="1:20" x14ac:dyDescent="0.2">
      <c r="A44" s="45">
        <f>'Monthly Data'!A44</f>
        <v>41456</v>
      </c>
      <c r="B44" s="29">
        <f t="shared" si="1"/>
        <v>2013</v>
      </c>
      <c r="C44" s="29">
        <f t="shared" si="2"/>
        <v>7</v>
      </c>
      <c r="D44" s="44">
        <f>'Monthly Data'!M44</f>
        <v>83459194.894941643</v>
      </c>
      <c r="E44" s="44">
        <f>'Monthly Data'!BQ44</f>
        <v>2673.5174710876013</v>
      </c>
      <c r="F44" s="46">
        <f t="shared" ca="1" si="5"/>
        <v>0</v>
      </c>
      <c r="G44" s="46">
        <f t="shared" ca="1" si="5"/>
        <v>268.18999999999994</v>
      </c>
      <c r="H44" s="46">
        <f>'Monthly Data'!V44</f>
        <v>643937</v>
      </c>
      <c r="I44" s="46">
        <f>'Monthly Data'!BG44</f>
        <v>43</v>
      </c>
      <c r="J44" s="46">
        <f>'Monthly Data'!BC44</f>
        <v>0</v>
      </c>
      <c r="L44" s="29">
        <f>'GS&gt;50 PW'!$B$6</f>
        <v>556.26088485683897</v>
      </c>
      <c r="M44" s="29">
        <f ca="1">F44*'GS&gt;50 PW'!$B$7</f>
        <v>0</v>
      </c>
      <c r="N44" s="29">
        <f ca="1">G44*'GS&gt;50 PW'!$B$8</f>
        <v>415.13564390534179</v>
      </c>
      <c r="O44" s="29">
        <f>H44*'GS&gt;50 PW'!$B$9</f>
        <v>1883.399803065799</v>
      </c>
      <c r="P44" s="29">
        <f>I44*'GS&gt;50 PW'!$B$10</f>
        <v>-153.86756328644961</v>
      </c>
      <c r="Q44" s="29">
        <f>J44*'GS&gt;50 PW'!$B$11</f>
        <v>0</v>
      </c>
      <c r="R44" s="46">
        <f>'Monthly Data'!O44</f>
        <v>1007</v>
      </c>
      <c r="S44" s="46">
        <f>'Monthly Data'!BH44</f>
        <v>31</v>
      </c>
      <c r="T44" s="28">
        <f t="shared" ca="1" si="3"/>
        <v>84314893.367560953</v>
      </c>
    </row>
    <row r="45" spans="1:20" x14ac:dyDescent="0.2">
      <c r="A45" s="45">
        <f>'Monthly Data'!A45</f>
        <v>41487</v>
      </c>
      <c r="B45" s="29">
        <f t="shared" si="1"/>
        <v>2013</v>
      </c>
      <c r="C45" s="29">
        <f t="shared" si="2"/>
        <v>8</v>
      </c>
      <c r="D45" s="44">
        <f>'Monthly Data'!M45</f>
        <v>80843786.894941643</v>
      </c>
      <c r="E45" s="44">
        <f>'Monthly Data'!BQ45</f>
        <v>2587.1667593107286</v>
      </c>
      <c r="F45" s="46">
        <f t="shared" ca="1" si="5"/>
        <v>0</v>
      </c>
      <c r="G45" s="46">
        <f t="shared" ca="1" si="5"/>
        <v>239.59000000000006</v>
      </c>
      <c r="H45" s="46">
        <f>'Monthly Data'!V45</f>
        <v>643937</v>
      </c>
      <c r="I45" s="46">
        <f>'Monthly Data'!BG45</f>
        <v>44</v>
      </c>
      <c r="J45" s="46">
        <f>'Monthly Data'!BC45</f>
        <v>0</v>
      </c>
      <c r="L45" s="29">
        <f>'GS&gt;50 PW'!$B$6</f>
        <v>556.26088485683897</v>
      </c>
      <c r="M45" s="29">
        <f ca="1">F45*'GS&gt;50 PW'!$B$7</f>
        <v>0</v>
      </c>
      <c r="N45" s="29">
        <f ca="1">G45*'GS&gt;50 PW'!$B$8</f>
        <v>370.86524077437969</v>
      </c>
      <c r="O45" s="29">
        <f>H45*'GS&gt;50 PW'!$B$9</f>
        <v>1883.399803065799</v>
      </c>
      <c r="P45" s="29">
        <f>I45*'GS&gt;50 PW'!$B$10</f>
        <v>-157.44587871171589</v>
      </c>
      <c r="Q45" s="29">
        <f>J45*'GS&gt;50 PW'!$B$11</f>
        <v>0</v>
      </c>
      <c r="R45" s="46">
        <f>'Monthly Data'!O45</f>
        <v>1008</v>
      </c>
      <c r="S45" s="46">
        <f>'Monthly Data'!BH45</f>
        <v>31</v>
      </c>
      <c r="T45" s="28">
        <f t="shared" ca="1" si="3"/>
        <v>82903445.401940718</v>
      </c>
    </row>
    <row r="46" spans="1:20" x14ac:dyDescent="0.2">
      <c r="A46" s="45">
        <f>'Monthly Data'!A46</f>
        <v>41518</v>
      </c>
      <c r="B46" s="29">
        <f t="shared" si="1"/>
        <v>2013</v>
      </c>
      <c r="C46" s="29">
        <f t="shared" si="2"/>
        <v>9</v>
      </c>
      <c r="D46" s="44">
        <f>'Monthly Data'!M46</f>
        <v>74048827.894941643</v>
      </c>
      <c r="E46" s="44">
        <f>'Monthly Data'!BQ46</f>
        <v>2446.2777632950661</v>
      </c>
      <c r="F46" s="46">
        <f t="shared" ref="F46:G61" ca="1" si="6">F34</f>
        <v>5.2099999999999991</v>
      </c>
      <c r="G46" s="46">
        <f t="shared" ca="1" si="6"/>
        <v>132.95000000000002</v>
      </c>
      <c r="H46" s="46">
        <f>'Monthly Data'!V46</f>
        <v>643937</v>
      </c>
      <c r="I46" s="46">
        <f>'Monthly Data'!BG46</f>
        <v>45</v>
      </c>
      <c r="J46" s="46">
        <f>'Monthly Data'!BC46</f>
        <v>0</v>
      </c>
      <c r="L46" s="29">
        <f>'GS&gt;50 PW'!$B$6</f>
        <v>556.26088485683897</v>
      </c>
      <c r="M46" s="29">
        <f ca="1">F46*'GS&gt;50 PW'!$B$7</f>
        <v>2.3716449759531315</v>
      </c>
      <c r="N46" s="29">
        <f ca="1">G46*'GS&gt;50 PW'!$B$8</f>
        <v>205.79545791123908</v>
      </c>
      <c r="O46" s="29">
        <f>H46*'GS&gt;50 PW'!$B$9</f>
        <v>1883.399803065799</v>
      </c>
      <c r="P46" s="29">
        <f>I46*'GS&gt;50 PW'!$B$10</f>
        <v>-161.02419413698215</v>
      </c>
      <c r="Q46" s="29">
        <f>J46*'GS&gt;50 PW'!$B$11</f>
        <v>0</v>
      </c>
      <c r="R46" s="46">
        <f>'Monthly Data'!O46</f>
        <v>1009</v>
      </c>
      <c r="S46" s="46">
        <f>'Monthly Data'!BH46</f>
        <v>30</v>
      </c>
      <c r="T46" s="28">
        <f t="shared" ca="1" si="3"/>
        <v>75275544.871287107</v>
      </c>
    </row>
    <row r="47" spans="1:20" x14ac:dyDescent="0.2">
      <c r="A47" s="45">
        <f>'Monthly Data'!A47</f>
        <v>41548</v>
      </c>
      <c r="B47" s="29">
        <f t="shared" si="1"/>
        <v>2013</v>
      </c>
      <c r="C47" s="29">
        <f t="shared" si="2"/>
        <v>10</v>
      </c>
      <c r="D47" s="44">
        <f>'Monthly Data'!M47</f>
        <v>74442701.894941643</v>
      </c>
      <c r="E47" s="44">
        <f>'Monthly Data'!BQ47</f>
        <v>2370.5601979091693</v>
      </c>
      <c r="F47" s="46">
        <f t="shared" ca="1" si="6"/>
        <v>90.66</v>
      </c>
      <c r="G47" s="46">
        <f t="shared" ca="1" si="6"/>
        <v>27.9</v>
      </c>
      <c r="H47" s="46">
        <f>'Monthly Data'!V47</f>
        <v>643937</v>
      </c>
      <c r="I47" s="46">
        <f>'Monthly Data'!BG47</f>
        <v>46</v>
      </c>
      <c r="J47" s="46">
        <f>'Monthly Data'!BC47</f>
        <v>0</v>
      </c>
      <c r="L47" s="29">
        <f>'GS&gt;50 PW'!$B$6</f>
        <v>556.26088485683897</v>
      </c>
      <c r="M47" s="29">
        <f ca="1">F47*'GS&gt;50 PW'!$B$7</f>
        <v>41.269353842593269</v>
      </c>
      <c r="N47" s="29">
        <f ca="1">G47*'GS&gt;50 PW'!$B$8</f>
        <v>43.186861795589088</v>
      </c>
      <c r="O47" s="29">
        <f>H47*'GS&gt;50 PW'!$B$9</f>
        <v>1883.399803065799</v>
      </c>
      <c r="P47" s="29">
        <f>I47*'GS&gt;50 PW'!$B$10</f>
        <v>-164.60250956224843</v>
      </c>
      <c r="Q47" s="29">
        <f>J47*'GS&gt;50 PW'!$B$11</f>
        <v>0</v>
      </c>
      <c r="R47" s="46">
        <f>'Monthly Data'!O47</f>
        <v>1013</v>
      </c>
      <c r="S47" s="46">
        <f>'Monthly Data'!BH47</f>
        <v>31</v>
      </c>
      <c r="T47" s="28">
        <f t="shared" ca="1" si="3"/>
        <v>74095830.514737159</v>
      </c>
    </row>
    <row r="48" spans="1:20" x14ac:dyDescent="0.2">
      <c r="A48" s="45">
        <f>'Monthly Data'!A48</f>
        <v>41579</v>
      </c>
      <c r="B48" s="29">
        <f t="shared" si="1"/>
        <v>2013</v>
      </c>
      <c r="C48" s="29">
        <f t="shared" si="2"/>
        <v>11</v>
      </c>
      <c r="D48" s="44">
        <f>'Monthly Data'!M48</f>
        <v>73596562.894941643</v>
      </c>
      <c r="E48" s="44">
        <f>'Monthly Data'!BQ48</f>
        <v>2419.3478926673783</v>
      </c>
      <c r="F48" s="46">
        <f t="shared" ca="1" si="6"/>
        <v>264.88</v>
      </c>
      <c r="G48" s="46">
        <f t="shared" ca="1" si="6"/>
        <v>0.69000000000000006</v>
      </c>
      <c r="H48" s="46">
        <f>'Monthly Data'!V48</f>
        <v>643937</v>
      </c>
      <c r="I48" s="46">
        <f>'Monthly Data'!BG48</f>
        <v>47</v>
      </c>
      <c r="J48" s="46">
        <f>'Monthly Data'!BC48</f>
        <v>0</v>
      </c>
      <c r="L48" s="29">
        <f>'GS&gt;50 PW'!$B$6</f>
        <v>556.26088485683897</v>
      </c>
      <c r="M48" s="29">
        <f ca="1">F48*'GS&gt;50 PW'!$B$7</f>
        <v>120.5760693340625</v>
      </c>
      <c r="N48" s="29">
        <f ca="1">G48*'GS&gt;50 PW'!$B$8</f>
        <v>1.0680621734393003</v>
      </c>
      <c r="O48" s="29">
        <f>H48*'GS&gt;50 PW'!$B$9</f>
        <v>1883.399803065799</v>
      </c>
      <c r="P48" s="29">
        <f>I48*'GS&gt;50 PW'!$B$10</f>
        <v>-168.18082498751468</v>
      </c>
      <c r="Q48" s="29">
        <f>J48*'GS&gt;50 PW'!$B$11</f>
        <v>0</v>
      </c>
      <c r="R48" s="46">
        <f>'Monthly Data'!O48</f>
        <v>1014</v>
      </c>
      <c r="S48" s="46">
        <f>'Monthly Data'!BH48</f>
        <v>30</v>
      </c>
      <c r="T48" s="28">
        <f t="shared" ca="1" si="3"/>
        <v>72798831.910944656</v>
      </c>
    </row>
    <row r="49" spans="1:20" x14ac:dyDescent="0.2">
      <c r="A49" s="45">
        <f>'Monthly Data'!A49</f>
        <v>41609</v>
      </c>
      <c r="B49" s="29">
        <f t="shared" si="1"/>
        <v>2013</v>
      </c>
      <c r="C49" s="29">
        <f t="shared" si="2"/>
        <v>12</v>
      </c>
      <c r="D49" s="44">
        <f>'Monthly Data'!M49</f>
        <v>76011256.894941643</v>
      </c>
      <c r="E49" s="44">
        <f>'Monthly Data'!BQ49</f>
        <v>2415.7399299202812</v>
      </c>
      <c r="F49" s="46">
        <f t="shared" ca="1" si="6"/>
        <v>413.65</v>
      </c>
      <c r="G49" s="46">
        <f t="shared" ca="1" si="6"/>
        <v>0</v>
      </c>
      <c r="H49" s="46">
        <f>'Monthly Data'!V49</f>
        <v>643937</v>
      </c>
      <c r="I49" s="46">
        <f>'Monthly Data'!BG49</f>
        <v>48</v>
      </c>
      <c r="J49" s="46">
        <f>'Monthly Data'!BC49</f>
        <v>1</v>
      </c>
      <c r="L49" s="29">
        <f>'GS&gt;50 PW'!$B$6</f>
        <v>556.26088485683897</v>
      </c>
      <c r="M49" s="29">
        <f ca="1">F49*'GS&gt;50 PW'!$B$7</f>
        <v>188.29768604664358</v>
      </c>
      <c r="N49" s="29">
        <f ca="1">G49*'GS&gt;50 PW'!$B$8</f>
        <v>0</v>
      </c>
      <c r="O49" s="29">
        <f>H49*'GS&gt;50 PW'!$B$9</f>
        <v>1883.399803065799</v>
      </c>
      <c r="P49" s="29">
        <f>I49*'GS&gt;50 PW'!$B$10</f>
        <v>-171.75914041278097</v>
      </c>
      <c r="Q49" s="29">
        <f>J49*'GS&gt;50 PW'!$B$11</f>
        <v>-107.242128303215</v>
      </c>
      <c r="R49" s="46">
        <f>'Monthly Data'!O49</f>
        <v>1015</v>
      </c>
      <c r="S49" s="46">
        <f>'Monthly Data'!BH49</f>
        <v>31</v>
      </c>
      <c r="T49" s="28">
        <f t="shared" ca="1" si="3"/>
        <v>73909935.316794619</v>
      </c>
    </row>
    <row r="50" spans="1:20" x14ac:dyDescent="0.2">
      <c r="A50" s="45">
        <f>'Monthly Data'!A50</f>
        <v>41640</v>
      </c>
      <c r="B50" s="29">
        <f t="shared" si="1"/>
        <v>2014</v>
      </c>
      <c r="C50" s="29">
        <f t="shared" si="2"/>
        <v>1</v>
      </c>
      <c r="D50" s="44">
        <f>'Monthly Data'!M50</f>
        <v>82552599.294809774</v>
      </c>
      <c r="E50" s="44">
        <f>'Monthly Data'!BQ50</f>
        <v>2610.77164120208</v>
      </c>
      <c r="F50" s="46">
        <f t="shared" ca="1" si="6"/>
        <v>539.1400000000001</v>
      </c>
      <c r="G50" s="46">
        <f t="shared" ca="1" si="6"/>
        <v>0</v>
      </c>
      <c r="H50" s="46">
        <f>'Monthly Data'!V50</f>
        <v>659861.19999999995</v>
      </c>
      <c r="I50" s="46">
        <f>'Monthly Data'!BG50</f>
        <v>49</v>
      </c>
      <c r="J50" s="46">
        <f>'Monthly Data'!BC50</f>
        <v>0</v>
      </c>
      <c r="L50" s="29">
        <f>'GS&gt;50 PW'!$B$6</f>
        <v>556.26088485683897</v>
      </c>
      <c r="M50" s="29">
        <f ca="1">F50*'GS&gt;50 PW'!$B$7</f>
        <v>245.42201004517693</v>
      </c>
      <c r="N50" s="29">
        <f ca="1">G50*'GS&gt;50 PW'!$B$8</f>
        <v>0</v>
      </c>
      <c r="O50" s="29">
        <f>H50*'GS&gt;50 PW'!$B$9</f>
        <v>1929.9752213815354</v>
      </c>
      <c r="P50" s="29">
        <f>I50*'GS&gt;50 PW'!$B$10</f>
        <v>-175.33745583804725</v>
      </c>
      <c r="Q50" s="29">
        <f>J50*'GS&gt;50 PW'!$B$11</f>
        <v>0</v>
      </c>
      <c r="R50" s="46">
        <f>'Monthly Data'!O50</f>
        <v>1020</v>
      </c>
      <c r="S50" s="46">
        <f>'Monthly Data'!BH50</f>
        <v>31</v>
      </c>
      <c r="T50" s="28">
        <f t="shared" ca="1" si="3"/>
        <v>80830859.28328684</v>
      </c>
    </row>
    <row r="51" spans="1:20" x14ac:dyDescent="0.2">
      <c r="A51" s="45">
        <f>'Monthly Data'!A51</f>
        <v>41671</v>
      </c>
      <c r="B51" s="29">
        <f t="shared" si="1"/>
        <v>2014</v>
      </c>
      <c r="C51" s="29">
        <f t="shared" si="2"/>
        <v>2</v>
      </c>
      <c r="D51" s="44">
        <f>'Monthly Data'!M51</f>
        <v>74935797.294809774</v>
      </c>
      <c r="E51" s="44">
        <f>'Monthly Data'!BQ51</f>
        <v>2623.8024262888575</v>
      </c>
      <c r="F51" s="46">
        <f t="shared" ca="1" si="6"/>
        <v>473.45</v>
      </c>
      <c r="G51" s="46">
        <f t="shared" ca="1" si="6"/>
        <v>0</v>
      </c>
      <c r="H51" s="46">
        <f>'Monthly Data'!V51</f>
        <v>659861.19999999995</v>
      </c>
      <c r="I51" s="46">
        <f>'Monthly Data'!BG51</f>
        <v>50</v>
      </c>
      <c r="J51" s="46">
        <f>'Monthly Data'!BC51</f>
        <v>0</v>
      </c>
      <c r="L51" s="29">
        <f>'GS&gt;50 PW'!$B$6</f>
        <v>556.26088485683897</v>
      </c>
      <c r="M51" s="29">
        <f ca="1">F51*'GS&gt;50 PW'!$B$7</f>
        <v>215.51925410076973</v>
      </c>
      <c r="N51" s="29">
        <f ca="1">G51*'GS&gt;50 PW'!$B$8</f>
        <v>0</v>
      </c>
      <c r="O51" s="29">
        <f>H51*'GS&gt;50 PW'!$B$9</f>
        <v>1929.9752213815354</v>
      </c>
      <c r="P51" s="29">
        <f>I51*'GS&gt;50 PW'!$B$10</f>
        <v>-178.9157712633135</v>
      </c>
      <c r="Q51" s="29">
        <f>J51*'GS&gt;50 PW'!$B$11</f>
        <v>0</v>
      </c>
      <c r="R51" s="46">
        <f>'Monthly Data'!O51</f>
        <v>1020</v>
      </c>
      <c r="S51" s="46">
        <f>'Monthly Data'!BH51</f>
        <v>28</v>
      </c>
      <c r="T51" s="28">
        <f t="shared" ca="1" si="3"/>
        <v>72052298.664005712</v>
      </c>
    </row>
    <row r="52" spans="1:20" x14ac:dyDescent="0.2">
      <c r="A52" s="45">
        <f>'Monthly Data'!A52</f>
        <v>41699</v>
      </c>
      <c r="B52" s="29">
        <f t="shared" si="1"/>
        <v>2014</v>
      </c>
      <c r="C52" s="29">
        <f t="shared" si="2"/>
        <v>3</v>
      </c>
      <c r="D52" s="44">
        <f>'Monthly Data'!M52</f>
        <v>79784798.294809774</v>
      </c>
      <c r="E52" s="44">
        <f>'Monthly Data'!BQ52</f>
        <v>2523.2384027454073</v>
      </c>
      <c r="F52" s="46">
        <f t="shared" ca="1" si="6"/>
        <v>394.31999999999988</v>
      </c>
      <c r="G52" s="46">
        <f t="shared" ca="1" si="6"/>
        <v>3.0000000000000072E-2</v>
      </c>
      <c r="H52" s="46">
        <f>'Monthly Data'!V52</f>
        <v>659861.19999999995</v>
      </c>
      <c r="I52" s="46">
        <f>'Monthly Data'!BG52</f>
        <v>51</v>
      </c>
      <c r="J52" s="46">
        <f>'Monthly Data'!BC52</f>
        <v>0</v>
      </c>
      <c r="L52" s="29">
        <f>'GS&gt;50 PW'!$B$6</f>
        <v>556.26088485683897</v>
      </c>
      <c r="M52" s="29">
        <f ca="1">F52*'GS&gt;50 PW'!$B$7</f>
        <v>179.49847349670608</v>
      </c>
      <c r="N52" s="29">
        <f ca="1">G52*'GS&gt;50 PW'!$B$8</f>
        <v>4.6437485801708811E-2</v>
      </c>
      <c r="O52" s="29">
        <f>H52*'GS&gt;50 PW'!$B$9</f>
        <v>1929.9752213815354</v>
      </c>
      <c r="P52" s="29">
        <f>I52*'GS&gt;50 PW'!$B$10</f>
        <v>-182.49408668857978</v>
      </c>
      <c r="Q52" s="29">
        <f>J52*'GS&gt;50 PW'!$B$11</f>
        <v>0</v>
      </c>
      <c r="R52" s="46">
        <f>'Monthly Data'!O52</f>
        <v>1020</v>
      </c>
      <c r="S52" s="46">
        <f>'Monthly Data'!BH52</f>
        <v>31</v>
      </c>
      <c r="T52" s="28">
        <f t="shared" ca="1" si="3"/>
        <v>78521532.743431389</v>
      </c>
    </row>
    <row r="53" spans="1:20" x14ac:dyDescent="0.2">
      <c r="A53" s="45">
        <f>'Monthly Data'!A53</f>
        <v>41730</v>
      </c>
      <c r="B53" s="29">
        <f t="shared" si="1"/>
        <v>2014</v>
      </c>
      <c r="C53" s="29">
        <f t="shared" si="2"/>
        <v>4</v>
      </c>
      <c r="D53" s="44">
        <f>'Monthly Data'!M53</f>
        <v>72659808.294809774</v>
      </c>
      <c r="E53" s="44">
        <f>'Monthly Data'!BQ53</f>
        <v>2376.8337682306105</v>
      </c>
      <c r="F53" s="46">
        <f t="shared" ca="1" si="6"/>
        <v>220.23999999999995</v>
      </c>
      <c r="G53" s="46">
        <f t="shared" ca="1" si="6"/>
        <v>1.45</v>
      </c>
      <c r="H53" s="46">
        <f>'Monthly Data'!V53</f>
        <v>659861.19999999995</v>
      </c>
      <c r="I53" s="46">
        <f>'Monthly Data'!BG53</f>
        <v>52</v>
      </c>
      <c r="J53" s="46">
        <f>'Monthly Data'!BC53</f>
        <v>0</v>
      </c>
      <c r="L53" s="29">
        <f>'GS&gt;50 PW'!$B$6</f>
        <v>556.26088485683897</v>
      </c>
      <c r="M53" s="29">
        <f ca="1">F53*'GS&gt;50 PW'!$B$7</f>
        <v>100.25548742877498</v>
      </c>
      <c r="N53" s="29">
        <f ca="1">G53*'GS&gt;50 PW'!$B$8</f>
        <v>2.2444784804159204</v>
      </c>
      <c r="O53" s="29">
        <f>H53*'GS&gt;50 PW'!$B$9</f>
        <v>1929.9752213815354</v>
      </c>
      <c r="P53" s="29">
        <f>I53*'GS&gt;50 PW'!$B$10</f>
        <v>-186.07240211384604</v>
      </c>
      <c r="Q53" s="29">
        <f>J53*'GS&gt;50 PW'!$B$11</f>
        <v>0</v>
      </c>
      <c r="R53" s="46">
        <f>'Monthly Data'!O53</f>
        <v>1019</v>
      </c>
      <c r="S53" s="46">
        <f>'Monthly Data'!BH53</f>
        <v>30</v>
      </c>
      <c r="T53" s="28">
        <f t="shared" ca="1" si="3"/>
        <v>73449428.392930791</v>
      </c>
    </row>
    <row r="54" spans="1:20" x14ac:dyDescent="0.2">
      <c r="A54" s="45">
        <f>'Monthly Data'!A54</f>
        <v>41760</v>
      </c>
      <c r="B54" s="29">
        <f t="shared" si="1"/>
        <v>2014</v>
      </c>
      <c r="C54" s="29">
        <f t="shared" si="2"/>
        <v>5</v>
      </c>
      <c r="D54" s="44">
        <f>'Monthly Data'!M54</f>
        <v>73690526.294809774</v>
      </c>
      <c r="E54" s="44">
        <f>'Monthly Data'!BQ54</f>
        <v>2337.3783200053849</v>
      </c>
      <c r="F54" s="46">
        <f t="shared" ca="1" si="6"/>
        <v>68.61</v>
      </c>
      <c r="G54" s="46">
        <f t="shared" ca="1" si="6"/>
        <v>50.69</v>
      </c>
      <c r="H54" s="46">
        <f>'Monthly Data'!V54</f>
        <v>659861.19999999995</v>
      </c>
      <c r="I54" s="46">
        <f>'Monthly Data'!BG54</f>
        <v>53</v>
      </c>
      <c r="J54" s="46">
        <f>'Monthly Data'!BC54</f>
        <v>0</v>
      </c>
      <c r="L54" s="29">
        <f>'GS&gt;50 PW'!$B$6</f>
        <v>556.26088485683897</v>
      </c>
      <c r="M54" s="29">
        <f ca="1">F54*'GS&gt;50 PW'!$B$7</f>
        <v>31.231969635344413</v>
      </c>
      <c r="N54" s="29">
        <f ca="1">G54*'GS&gt;50 PW'!$B$8</f>
        <v>78.463871842953807</v>
      </c>
      <c r="O54" s="29">
        <f>H54*'GS&gt;50 PW'!$B$9</f>
        <v>1929.9752213815354</v>
      </c>
      <c r="P54" s="29">
        <f>I54*'GS&gt;50 PW'!$B$10</f>
        <v>-189.65071753911232</v>
      </c>
      <c r="Q54" s="29">
        <f>J54*'GS&gt;50 PW'!$B$11</f>
        <v>0</v>
      </c>
      <c r="R54" s="46">
        <f>'Monthly Data'!O54</f>
        <v>1017</v>
      </c>
      <c r="S54" s="46">
        <f>'Monthly Data'!BH54</f>
        <v>31</v>
      </c>
      <c r="T54" s="28">
        <f t="shared" ca="1" si="3"/>
        <v>75862828.343807951</v>
      </c>
    </row>
    <row r="55" spans="1:20" x14ac:dyDescent="0.2">
      <c r="A55" s="45">
        <f>'Monthly Data'!A55</f>
        <v>41791</v>
      </c>
      <c r="B55" s="29">
        <f t="shared" si="1"/>
        <v>2014</v>
      </c>
      <c r="C55" s="29">
        <f t="shared" si="2"/>
        <v>6</v>
      </c>
      <c r="D55" s="44">
        <f>'Monthly Data'!M55</f>
        <v>77041220.294809774</v>
      </c>
      <c r="E55" s="44">
        <f>'Monthly Data'!BQ55</f>
        <v>2526.3558056996158</v>
      </c>
      <c r="F55" s="46">
        <f t="shared" ca="1" si="6"/>
        <v>2.7299999999999995</v>
      </c>
      <c r="G55" s="46">
        <f t="shared" ca="1" si="6"/>
        <v>145.17999999999998</v>
      </c>
      <c r="H55" s="46">
        <f>'Monthly Data'!V55</f>
        <v>659861.19999999995</v>
      </c>
      <c r="I55" s="46">
        <f>'Monthly Data'!BG55</f>
        <v>54</v>
      </c>
      <c r="J55" s="46">
        <f>'Monthly Data'!BC55</f>
        <v>0</v>
      </c>
      <c r="L55" s="29">
        <f>'GS&gt;50 PW'!$B$6</f>
        <v>556.26088485683897</v>
      </c>
      <c r="M55" s="29">
        <f ca="1">F55*'GS&gt;50 PW'!$B$7</f>
        <v>1.2427237589927158</v>
      </c>
      <c r="N55" s="29">
        <f ca="1">G55*'GS&gt;50 PW'!$B$8</f>
        <v>224.72647295640229</v>
      </c>
      <c r="O55" s="29">
        <f>H55*'GS&gt;50 PW'!$B$9</f>
        <v>1929.9752213815354</v>
      </c>
      <c r="P55" s="29">
        <f>I55*'GS&gt;50 PW'!$B$10</f>
        <v>-193.22903296437858</v>
      </c>
      <c r="Q55" s="29">
        <f>J55*'GS&gt;50 PW'!$B$11</f>
        <v>0</v>
      </c>
      <c r="R55" s="46">
        <f>'Monthly Data'!O55</f>
        <v>1016.5</v>
      </c>
      <c r="S55" s="46">
        <f>'Monthly Data'!BH55</f>
        <v>30</v>
      </c>
      <c r="T55" s="28">
        <f t="shared" ca="1" si="3"/>
        <v>76816181.35332647</v>
      </c>
    </row>
    <row r="56" spans="1:20" x14ac:dyDescent="0.2">
      <c r="A56" s="45">
        <f>'Monthly Data'!A56</f>
        <v>41821</v>
      </c>
      <c r="B56" s="29">
        <f t="shared" si="1"/>
        <v>2014</v>
      </c>
      <c r="C56" s="29">
        <f t="shared" si="2"/>
        <v>7</v>
      </c>
      <c r="D56" s="44">
        <f>'Monthly Data'!M56</f>
        <v>81112465.294809774</v>
      </c>
      <c r="E56" s="44">
        <f>'Monthly Data'!BQ56</f>
        <v>2575.3259237620578</v>
      </c>
      <c r="F56" s="46">
        <f t="shared" ca="1" si="6"/>
        <v>0</v>
      </c>
      <c r="G56" s="46">
        <f t="shared" ca="1" si="6"/>
        <v>268.18999999999994</v>
      </c>
      <c r="H56" s="46">
        <f>'Monthly Data'!V56</f>
        <v>659861.19999999995</v>
      </c>
      <c r="I56" s="46">
        <f>'Monthly Data'!BG56</f>
        <v>55</v>
      </c>
      <c r="J56" s="46">
        <f>'Monthly Data'!BC56</f>
        <v>0</v>
      </c>
      <c r="L56" s="29">
        <f>'GS&gt;50 PW'!$B$6</f>
        <v>556.26088485683897</v>
      </c>
      <c r="M56" s="29">
        <f ca="1">F56*'GS&gt;50 PW'!$B$7</f>
        <v>0</v>
      </c>
      <c r="N56" s="29">
        <f ca="1">G56*'GS&gt;50 PW'!$B$8</f>
        <v>415.13564390534179</v>
      </c>
      <c r="O56" s="29">
        <f>H56*'GS&gt;50 PW'!$B$9</f>
        <v>1929.9752213815354</v>
      </c>
      <c r="P56" s="29">
        <f>I56*'GS&gt;50 PW'!$B$10</f>
        <v>-196.80734838964486</v>
      </c>
      <c r="Q56" s="29">
        <f>J56*'GS&gt;50 PW'!$B$11</f>
        <v>0</v>
      </c>
      <c r="R56" s="46">
        <f>'Monthly Data'!O56</f>
        <v>1016</v>
      </c>
      <c r="S56" s="46">
        <f>'Monthly Data'!BH56</f>
        <v>31</v>
      </c>
      <c r="T56" s="28">
        <f t="shared" ca="1" si="3"/>
        <v>85182960.397646248</v>
      </c>
    </row>
    <row r="57" spans="1:20" x14ac:dyDescent="0.2">
      <c r="A57" s="45">
        <f>'Monthly Data'!A57</f>
        <v>41852</v>
      </c>
      <c r="B57" s="29">
        <f t="shared" si="1"/>
        <v>2014</v>
      </c>
      <c r="C57" s="29">
        <f t="shared" si="2"/>
        <v>8</v>
      </c>
      <c r="D57" s="44">
        <f>'Monthly Data'!M57</f>
        <v>79689322.294809774</v>
      </c>
      <c r="E57" s="44">
        <f>'Monthly Data'!BQ57</f>
        <v>2530.1410431422969</v>
      </c>
      <c r="F57" s="46">
        <f t="shared" ca="1" si="6"/>
        <v>0</v>
      </c>
      <c r="G57" s="46">
        <f t="shared" ca="1" si="6"/>
        <v>239.59000000000006</v>
      </c>
      <c r="H57" s="46">
        <f>'Monthly Data'!V57</f>
        <v>659861.19999999995</v>
      </c>
      <c r="I57" s="46">
        <f>'Monthly Data'!BG57</f>
        <v>56</v>
      </c>
      <c r="J57" s="46">
        <f>'Monthly Data'!BC57</f>
        <v>0</v>
      </c>
      <c r="L57" s="29">
        <f>'GS&gt;50 PW'!$B$6</f>
        <v>556.26088485683897</v>
      </c>
      <c r="M57" s="29">
        <f ca="1">F57*'GS&gt;50 PW'!$B$7</f>
        <v>0</v>
      </c>
      <c r="N57" s="29">
        <f ca="1">G57*'GS&gt;50 PW'!$B$8</f>
        <v>370.86524077437969</v>
      </c>
      <c r="O57" s="29">
        <f>H57*'GS&gt;50 PW'!$B$9</f>
        <v>1929.9752213815354</v>
      </c>
      <c r="P57" s="29">
        <f>I57*'GS&gt;50 PW'!$B$10</f>
        <v>-200.38566381491114</v>
      </c>
      <c r="Q57" s="29">
        <f>J57*'GS&gt;50 PW'!$B$11</f>
        <v>0</v>
      </c>
      <c r="R57" s="46">
        <f>'Monthly Data'!O57</f>
        <v>1016</v>
      </c>
      <c r="S57" s="46">
        <f>'Monthly Data'!BH57</f>
        <v>31</v>
      </c>
      <c r="T57" s="28">
        <f t="shared" ca="1" si="3"/>
        <v>83675917.157999262</v>
      </c>
    </row>
    <row r="58" spans="1:20" x14ac:dyDescent="0.2">
      <c r="A58" s="45">
        <f>'Monthly Data'!A58</f>
        <v>41883</v>
      </c>
      <c r="B58" s="29">
        <f t="shared" si="1"/>
        <v>2014</v>
      </c>
      <c r="C58" s="29">
        <f t="shared" si="2"/>
        <v>9</v>
      </c>
      <c r="D58" s="44">
        <f>'Monthly Data'!M58</f>
        <v>76306860.294809774</v>
      </c>
      <c r="E58" s="44">
        <f>'Monthly Data'!BQ58</f>
        <v>2481.5239120263341</v>
      </c>
      <c r="F58" s="46">
        <f t="shared" ca="1" si="6"/>
        <v>5.2099999999999991</v>
      </c>
      <c r="G58" s="46">
        <f t="shared" ca="1" si="6"/>
        <v>132.95000000000002</v>
      </c>
      <c r="H58" s="46">
        <f>'Monthly Data'!V58</f>
        <v>659861.19999999995</v>
      </c>
      <c r="I58" s="46">
        <f>'Monthly Data'!BG58</f>
        <v>57</v>
      </c>
      <c r="J58" s="46">
        <f>'Monthly Data'!BC58</f>
        <v>0</v>
      </c>
      <c r="L58" s="29">
        <f>'GS&gt;50 PW'!$B$6</f>
        <v>556.26088485683897</v>
      </c>
      <c r="M58" s="29">
        <f ca="1">F58*'GS&gt;50 PW'!$B$7</f>
        <v>2.3716449759531315</v>
      </c>
      <c r="N58" s="29">
        <f ca="1">G58*'GS&gt;50 PW'!$B$8</f>
        <v>205.79545791123908</v>
      </c>
      <c r="O58" s="29">
        <f>H58*'GS&gt;50 PW'!$B$9</f>
        <v>1929.9752213815354</v>
      </c>
      <c r="P58" s="29">
        <f>I58*'GS&gt;50 PW'!$B$10</f>
        <v>-203.96397924017739</v>
      </c>
      <c r="Q58" s="29">
        <f>J58*'GS&gt;50 PW'!$B$11</f>
        <v>0</v>
      </c>
      <c r="R58" s="46">
        <f>'Monthly Data'!O58</f>
        <v>1025</v>
      </c>
      <c r="S58" s="46">
        <f>'Monthly Data'!BH58</f>
        <v>30</v>
      </c>
      <c r="T58" s="28">
        <f t="shared" ca="1" si="3"/>
        <v>76581006.318975732</v>
      </c>
    </row>
    <row r="59" spans="1:20" x14ac:dyDescent="0.2">
      <c r="A59" s="45">
        <f>'Monthly Data'!A59</f>
        <v>41913</v>
      </c>
      <c r="B59" s="29">
        <f t="shared" si="1"/>
        <v>2014</v>
      </c>
      <c r="C59" s="29">
        <f t="shared" si="2"/>
        <v>10</v>
      </c>
      <c r="D59" s="44">
        <f>'Monthly Data'!M59</f>
        <v>74592542.294809774</v>
      </c>
      <c r="E59" s="44">
        <f>'Monthly Data'!BQ59</f>
        <v>2340.6722196187329</v>
      </c>
      <c r="F59" s="46">
        <f t="shared" ca="1" si="6"/>
        <v>90.66</v>
      </c>
      <c r="G59" s="46">
        <f t="shared" ca="1" si="6"/>
        <v>27.9</v>
      </c>
      <c r="H59" s="46">
        <f>'Monthly Data'!V59</f>
        <v>659861.19999999995</v>
      </c>
      <c r="I59" s="46">
        <f>'Monthly Data'!BG59</f>
        <v>58</v>
      </c>
      <c r="J59" s="46">
        <f>'Monthly Data'!BC59</f>
        <v>0</v>
      </c>
      <c r="L59" s="29">
        <f>'GS&gt;50 PW'!$B$6</f>
        <v>556.26088485683897</v>
      </c>
      <c r="M59" s="29">
        <f ca="1">F59*'GS&gt;50 PW'!$B$7</f>
        <v>41.269353842593269</v>
      </c>
      <c r="N59" s="29">
        <f ca="1">G59*'GS&gt;50 PW'!$B$8</f>
        <v>43.186861795589088</v>
      </c>
      <c r="O59" s="29">
        <f>H59*'GS&gt;50 PW'!$B$9</f>
        <v>1929.9752213815354</v>
      </c>
      <c r="P59" s="29">
        <f>I59*'GS&gt;50 PW'!$B$10</f>
        <v>-207.54229466544368</v>
      </c>
      <c r="Q59" s="29">
        <f>J59*'GS&gt;50 PW'!$B$11</f>
        <v>0</v>
      </c>
      <c r="R59" s="46">
        <f>'Monthly Data'!O59</f>
        <v>1028</v>
      </c>
      <c r="S59" s="46">
        <f>'Monthly Data'!BH59</f>
        <v>31</v>
      </c>
      <c r="T59" s="28">
        <f t="shared" ca="1" si="3"/>
        <v>75308865.067163751</v>
      </c>
    </row>
    <row r="60" spans="1:20" x14ac:dyDescent="0.2">
      <c r="A60" s="45">
        <f>'Monthly Data'!A60</f>
        <v>41944</v>
      </c>
      <c r="B60" s="29">
        <f t="shared" si="1"/>
        <v>2014</v>
      </c>
      <c r="C60" s="29">
        <f t="shared" si="2"/>
        <v>11</v>
      </c>
      <c r="D60" s="44">
        <f>'Monthly Data'!M60</f>
        <v>74134367.294809774</v>
      </c>
      <c r="E60" s="44">
        <f>'Monthly Data'!BQ60</f>
        <v>2401.5020179724579</v>
      </c>
      <c r="F60" s="46">
        <f t="shared" ca="1" si="6"/>
        <v>264.88</v>
      </c>
      <c r="G60" s="46">
        <f t="shared" ca="1" si="6"/>
        <v>0.69000000000000006</v>
      </c>
      <c r="H60" s="46">
        <f>'Monthly Data'!V60</f>
        <v>659861.19999999995</v>
      </c>
      <c r="I60" s="46">
        <f>'Monthly Data'!BG60</f>
        <v>59</v>
      </c>
      <c r="J60" s="46">
        <f>'Monthly Data'!BC60</f>
        <v>0</v>
      </c>
      <c r="L60" s="29">
        <f>'GS&gt;50 PW'!$B$6</f>
        <v>556.26088485683897</v>
      </c>
      <c r="M60" s="29">
        <f ca="1">F60*'GS&gt;50 PW'!$B$7</f>
        <v>120.5760693340625</v>
      </c>
      <c r="N60" s="29">
        <f ca="1">G60*'GS&gt;50 PW'!$B$8</f>
        <v>1.0680621734393003</v>
      </c>
      <c r="O60" s="29">
        <f>H60*'GS&gt;50 PW'!$B$9</f>
        <v>1929.9752213815354</v>
      </c>
      <c r="P60" s="29">
        <f>I60*'GS&gt;50 PW'!$B$10</f>
        <v>-211.12061009070993</v>
      </c>
      <c r="Q60" s="29">
        <f>J60*'GS&gt;50 PW'!$B$11</f>
        <v>0</v>
      </c>
      <c r="R60" s="46">
        <f>'Monthly Data'!O60</f>
        <v>1029</v>
      </c>
      <c r="S60" s="46">
        <f>'Monthly Data'!BH60</f>
        <v>30</v>
      </c>
      <c r="T60" s="28">
        <f t="shared" ca="1" si="3"/>
        <v>73987969.705714986</v>
      </c>
    </row>
    <row r="61" spans="1:20" x14ac:dyDescent="0.2">
      <c r="A61" s="45">
        <f>'Monthly Data'!A61</f>
        <v>41974</v>
      </c>
      <c r="B61" s="29">
        <f t="shared" si="1"/>
        <v>2014</v>
      </c>
      <c r="C61" s="29">
        <f t="shared" si="2"/>
        <v>12</v>
      </c>
      <c r="D61" s="44">
        <f>'Monthly Data'!M61</f>
        <v>75324781.294809774</v>
      </c>
      <c r="E61" s="44">
        <f>'Monthly Data'!BQ61</f>
        <v>2363.6494695245942</v>
      </c>
      <c r="F61" s="46">
        <f t="shared" ca="1" si="6"/>
        <v>413.65</v>
      </c>
      <c r="G61" s="46">
        <f t="shared" ca="1" si="6"/>
        <v>0</v>
      </c>
      <c r="H61" s="46">
        <f>'Monthly Data'!V61</f>
        <v>659861.19999999995</v>
      </c>
      <c r="I61" s="46">
        <f>'Monthly Data'!BG61</f>
        <v>60</v>
      </c>
      <c r="J61" s="46">
        <f>'Monthly Data'!BC61</f>
        <v>1</v>
      </c>
      <c r="L61" s="29">
        <f>'GS&gt;50 PW'!$B$6</f>
        <v>556.26088485683897</v>
      </c>
      <c r="M61" s="29">
        <f ca="1">F61*'GS&gt;50 PW'!$B$7</f>
        <v>188.29768604664358</v>
      </c>
      <c r="N61" s="29">
        <f ca="1">G61*'GS&gt;50 PW'!$B$8</f>
        <v>0</v>
      </c>
      <c r="O61" s="29">
        <f>H61*'GS&gt;50 PW'!$B$9</f>
        <v>1929.9752213815354</v>
      </c>
      <c r="P61" s="29">
        <f>I61*'GS&gt;50 PW'!$B$10</f>
        <v>-214.69892551597621</v>
      </c>
      <c r="Q61" s="29">
        <f>J61*'GS&gt;50 PW'!$B$11</f>
        <v>-107.242128303215</v>
      </c>
      <c r="R61" s="46">
        <f>'Monthly Data'!O61</f>
        <v>1028</v>
      </c>
      <c r="S61" s="46">
        <f>'Monthly Data'!BH61</f>
        <v>31</v>
      </c>
      <c r="T61" s="28">
        <f t="shared" ca="1" si="3"/>
        <v>74972425.389428988</v>
      </c>
    </row>
    <row r="62" spans="1:20" x14ac:dyDescent="0.2">
      <c r="A62" s="45">
        <f>'Monthly Data'!A62</f>
        <v>42005</v>
      </c>
      <c r="B62" s="29">
        <f t="shared" si="1"/>
        <v>2015</v>
      </c>
      <c r="C62" s="29">
        <f t="shared" si="2"/>
        <v>1</v>
      </c>
      <c r="D62" s="44">
        <f>'Monthly Data'!M62</f>
        <v>81657018.901304796</v>
      </c>
      <c r="E62" s="44">
        <f>'Monthly Data'!BQ62</f>
        <v>2562.3515407714572</v>
      </c>
      <c r="F62" s="46">
        <f t="shared" ref="F62:G77" ca="1" si="7">F50</f>
        <v>539.1400000000001</v>
      </c>
      <c r="G62" s="46">
        <f t="shared" ca="1" si="7"/>
        <v>0</v>
      </c>
      <c r="H62" s="46">
        <f>'Monthly Data'!V62</f>
        <v>677384</v>
      </c>
      <c r="I62" s="46">
        <f>'Monthly Data'!BG62</f>
        <v>61</v>
      </c>
      <c r="J62" s="46">
        <f>'Monthly Data'!BC62</f>
        <v>0</v>
      </c>
      <c r="L62" s="29">
        <f>'GS&gt;50 PW'!$B$6</f>
        <v>556.26088485683897</v>
      </c>
      <c r="M62" s="29">
        <f ca="1">F62*'GS&gt;50 PW'!$B$7</f>
        <v>245.42201004517693</v>
      </c>
      <c r="N62" s="29">
        <f ca="1">G62*'GS&gt;50 PW'!$B$8</f>
        <v>0</v>
      </c>
      <c r="O62" s="29">
        <f>H62*'GS&gt;50 PW'!$B$9</f>
        <v>1981.2262569163183</v>
      </c>
      <c r="P62" s="29">
        <f>I62*'GS&gt;50 PW'!$B$10</f>
        <v>-218.27724094124247</v>
      </c>
      <c r="Q62" s="29">
        <f>J62*'GS&gt;50 PW'!$B$11</f>
        <v>0</v>
      </c>
      <c r="R62" s="46">
        <f>'Monthly Data'!O62</f>
        <v>1028</v>
      </c>
      <c r="S62" s="46">
        <f>'Monthly Data'!BH62</f>
        <v>31</v>
      </c>
      <c r="T62" s="28">
        <f t="shared" ca="1" si="3"/>
        <v>81729689.735831156</v>
      </c>
    </row>
    <row r="63" spans="1:20" x14ac:dyDescent="0.2">
      <c r="A63" s="45">
        <f>'Monthly Data'!A63</f>
        <v>42036</v>
      </c>
      <c r="B63" s="29">
        <f t="shared" si="1"/>
        <v>2015</v>
      </c>
      <c r="C63" s="29">
        <f t="shared" si="2"/>
        <v>2</v>
      </c>
      <c r="D63" s="44">
        <f>'Monthly Data'!M63</f>
        <v>76315766.901304796</v>
      </c>
      <c r="E63" s="44">
        <f>'Monthly Data'!BQ63</f>
        <v>2653.9075984596188</v>
      </c>
      <c r="F63" s="46">
        <f t="shared" ca="1" si="7"/>
        <v>473.45</v>
      </c>
      <c r="G63" s="46">
        <f t="shared" ca="1" si="7"/>
        <v>0</v>
      </c>
      <c r="H63" s="46">
        <f>'Monthly Data'!V63</f>
        <v>677384</v>
      </c>
      <c r="I63" s="46">
        <f>'Monthly Data'!BG63</f>
        <v>62</v>
      </c>
      <c r="J63" s="46">
        <f>'Monthly Data'!BC63</f>
        <v>0</v>
      </c>
      <c r="L63" s="29">
        <f>'GS&gt;50 PW'!$B$6</f>
        <v>556.26088485683897</v>
      </c>
      <c r="M63" s="29">
        <f ca="1">F63*'GS&gt;50 PW'!$B$7</f>
        <v>215.51925410076973</v>
      </c>
      <c r="N63" s="29">
        <f ca="1">G63*'GS&gt;50 PW'!$B$8</f>
        <v>0</v>
      </c>
      <c r="O63" s="29">
        <f>H63*'GS&gt;50 PW'!$B$9</f>
        <v>1981.2262569163183</v>
      </c>
      <c r="P63" s="29">
        <f>I63*'GS&gt;50 PW'!$B$10</f>
        <v>-221.85555636650875</v>
      </c>
      <c r="Q63" s="29">
        <f>J63*'GS&gt;50 PW'!$B$11</f>
        <v>0</v>
      </c>
      <c r="R63" s="46">
        <f>'Monthly Data'!O63</f>
        <v>1027</v>
      </c>
      <c r="S63" s="46">
        <f>'Monthly Data'!BH63</f>
        <v>28</v>
      </c>
      <c r="T63" s="28">
        <f t="shared" ca="1" si="3"/>
        <v>72785773.540875316</v>
      </c>
    </row>
    <row r="64" spans="1:20" x14ac:dyDescent="0.2">
      <c r="A64" s="45">
        <f>'Monthly Data'!A64</f>
        <v>42064</v>
      </c>
      <c r="B64" s="29">
        <f t="shared" si="1"/>
        <v>2015</v>
      </c>
      <c r="C64" s="29">
        <f t="shared" si="2"/>
        <v>3</v>
      </c>
      <c r="D64" s="44">
        <f>'Monthly Data'!M64</f>
        <v>79384809.901304796</v>
      </c>
      <c r="E64" s="44">
        <f>'Monthly Data'!BQ64</f>
        <v>2486.2139023271156</v>
      </c>
      <c r="F64" s="46">
        <f t="shared" ca="1" si="7"/>
        <v>394.31999999999988</v>
      </c>
      <c r="G64" s="46">
        <f t="shared" ca="1" si="7"/>
        <v>3.0000000000000072E-2</v>
      </c>
      <c r="H64" s="46">
        <f>'Monthly Data'!V64</f>
        <v>677384</v>
      </c>
      <c r="I64" s="46">
        <f>'Monthly Data'!BG64</f>
        <v>63</v>
      </c>
      <c r="J64" s="46">
        <f>'Monthly Data'!BC64</f>
        <v>0</v>
      </c>
      <c r="L64" s="29">
        <f>'GS&gt;50 PW'!$B$6</f>
        <v>556.26088485683897</v>
      </c>
      <c r="M64" s="29">
        <f ca="1">F64*'GS&gt;50 PW'!$B$7</f>
        <v>179.49847349670608</v>
      </c>
      <c r="N64" s="29">
        <f ca="1">G64*'GS&gt;50 PW'!$B$8</f>
        <v>4.6437485801708811E-2</v>
      </c>
      <c r="O64" s="29">
        <f>H64*'GS&gt;50 PW'!$B$9</f>
        <v>1981.2262569163183</v>
      </c>
      <c r="P64" s="29">
        <f>I64*'GS&gt;50 PW'!$B$10</f>
        <v>-225.433871791775</v>
      </c>
      <c r="Q64" s="29">
        <f>J64*'GS&gt;50 PW'!$B$11</f>
        <v>0</v>
      </c>
      <c r="R64" s="46">
        <f>'Monthly Data'!O64</f>
        <v>1030</v>
      </c>
      <c r="S64" s="46">
        <f>'Monthly Data'!BH64</f>
        <v>31</v>
      </c>
      <c r="T64" s="28">
        <f t="shared" ca="1" si="3"/>
        <v>79556729.918177009</v>
      </c>
    </row>
    <row r="65" spans="1:20" x14ac:dyDescent="0.2">
      <c r="A65" s="45">
        <f>'Monthly Data'!A65</f>
        <v>42095</v>
      </c>
      <c r="B65" s="29">
        <f t="shared" si="1"/>
        <v>2015</v>
      </c>
      <c r="C65" s="29">
        <f t="shared" si="2"/>
        <v>4</v>
      </c>
      <c r="D65" s="44">
        <f>'Monthly Data'!M65</f>
        <v>71921603.901304796</v>
      </c>
      <c r="E65" s="44">
        <f>'Monthly Data'!BQ65</f>
        <v>2332.0883236480154</v>
      </c>
      <c r="F65" s="46">
        <f t="shared" ca="1" si="7"/>
        <v>220.23999999999995</v>
      </c>
      <c r="G65" s="46">
        <f t="shared" ca="1" si="7"/>
        <v>1.45</v>
      </c>
      <c r="H65" s="46">
        <f>'Monthly Data'!V65</f>
        <v>677384</v>
      </c>
      <c r="I65" s="46">
        <f>'Monthly Data'!BG65</f>
        <v>64</v>
      </c>
      <c r="J65" s="46">
        <f>'Monthly Data'!BC65</f>
        <v>0</v>
      </c>
      <c r="L65" s="29">
        <f>'GS&gt;50 PW'!$B$6</f>
        <v>556.26088485683897</v>
      </c>
      <c r="M65" s="29">
        <f ca="1">F65*'GS&gt;50 PW'!$B$7</f>
        <v>100.25548742877498</v>
      </c>
      <c r="N65" s="29">
        <f ca="1">G65*'GS&gt;50 PW'!$B$8</f>
        <v>2.2444784804159204</v>
      </c>
      <c r="O65" s="29">
        <f>H65*'GS&gt;50 PW'!$B$9</f>
        <v>1981.2262569163183</v>
      </c>
      <c r="P65" s="29">
        <f>I65*'GS&gt;50 PW'!$B$10</f>
        <v>-229.01218721704129</v>
      </c>
      <c r="Q65" s="29">
        <f>J65*'GS&gt;50 PW'!$B$11</f>
        <v>0</v>
      </c>
      <c r="R65" s="46">
        <f>'Monthly Data'!O65</f>
        <v>1028</v>
      </c>
      <c r="S65" s="46">
        <f>'Monthly Data'!BH65</f>
        <v>30</v>
      </c>
      <c r="T65" s="28">
        <f t="shared" ca="1" si="3"/>
        <v>74354466.547150061</v>
      </c>
    </row>
    <row r="66" spans="1:20" x14ac:dyDescent="0.2">
      <c r="A66" s="45">
        <f>'Monthly Data'!A66</f>
        <v>42125</v>
      </c>
      <c r="B66" s="29">
        <f t="shared" ref="B66:B129" si="8">YEAR(A66)</f>
        <v>2015</v>
      </c>
      <c r="C66" s="29">
        <f t="shared" ref="C66:C129" si="9">MONTH(A66)</f>
        <v>5</v>
      </c>
      <c r="D66" s="44">
        <f>'Monthly Data'!M66</f>
        <v>75614661.901304796</v>
      </c>
      <c r="E66" s="44">
        <f>'Monthly Data'!BQ66</f>
        <v>2372.7457606785742</v>
      </c>
      <c r="F66" s="46">
        <f t="shared" ca="1" si="7"/>
        <v>68.61</v>
      </c>
      <c r="G66" s="46">
        <f t="shared" ca="1" si="7"/>
        <v>50.69</v>
      </c>
      <c r="H66" s="46">
        <f>'Monthly Data'!V66</f>
        <v>677384</v>
      </c>
      <c r="I66" s="46">
        <f>'Monthly Data'!BG66</f>
        <v>65</v>
      </c>
      <c r="J66" s="46">
        <f>'Monthly Data'!BC66</f>
        <v>0</v>
      </c>
      <c r="L66" s="29">
        <f>'GS&gt;50 PW'!$B$6</f>
        <v>556.26088485683897</v>
      </c>
      <c r="M66" s="29">
        <f ca="1">F66*'GS&gt;50 PW'!$B$7</f>
        <v>31.231969635344413</v>
      </c>
      <c r="N66" s="29">
        <f ca="1">G66*'GS&gt;50 PW'!$B$8</f>
        <v>78.463871842953807</v>
      </c>
      <c r="O66" s="29">
        <f>H66*'GS&gt;50 PW'!$B$9</f>
        <v>1981.2262569163183</v>
      </c>
      <c r="P66" s="29">
        <f>I66*'GS&gt;50 PW'!$B$10</f>
        <v>-232.59050264230757</v>
      </c>
      <c r="Q66" s="29">
        <f>J66*'GS&gt;50 PW'!$B$11</f>
        <v>0</v>
      </c>
      <c r="R66" s="46">
        <f>'Monthly Data'!O66</f>
        <v>1028</v>
      </c>
      <c r="S66" s="46">
        <f>'Monthly Data'!BH66</f>
        <v>31</v>
      </c>
      <c r="T66" s="28">
        <f t="shared" ca="1" si="3"/>
        <v>76948233.172052339</v>
      </c>
    </row>
    <row r="67" spans="1:20" x14ac:dyDescent="0.2">
      <c r="A67" s="45">
        <f>'Monthly Data'!A67</f>
        <v>42156</v>
      </c>
      <c r="B67" s="29">
        <f t="shared" si="8"/>
        <v>2015</v>
      </c>
      <c r="C67" s="29">
        <f t="shared" si="9"/>
        <v>6</v>
      </c>
      <c r="D67" s="44">
        <f>'Monthly Data'!M67</f>
        <v>77512457.901304796</v>
      </c>
      <c r="E67" s="44">
        <f>'Monthly Data'!BQ67</f>
        <v>2515.8214184130088</v>
      </c>
      <c r="F67" s="46">
        <f t="shared" ca="1" si="7"/>
        <v>2.7299999999999995</v>
      </c>
      <c r="G67" s="46">
        <f t="shared" ca="1" si="7"/>
        <v>145.17999999999998</v>
      </c>
      <c r="H67" s="46">
        <f>'Monthly Data'!V67</f>
        <v>677384</v>
      </c>
      <c r="I67" s="46">
        <f>'Monthly Data'!BG67</f>
        <v>66</v>
      </c>
      <c r="J67" s="46">
        <f>'Monthly Data'!BC67</f>
        <v>0</v>
      </c>
      <c r="L67" s="29">
        <f>'GS&gt;50 PW'!$B$6</f>
        <v>556.26088485683897</v>
      </c>
      <c r="M67" s="29">
        <f ca="1">F67*'GS&gt;50 PW'!$B$7</f>
        <v>1.2427237589927158</v>
      </c>
      <c r="N67" s="29">
        <f ca="1">G67*'GS&gt;50 PW'!$B$8</f>
        <v>224.72647295640229</v>
      </c>
      <c r="O67" s="29">
        <f>H67*'GS&gt;50 PW'!$B$9</f>
        <v>1981.2262569163183</v>
      </c>
      <c r="P67" s="29">
        <f>I67*'GS&gt;50 PW'!$B$10</f>
        <v>-236.16881806757382</v>
      </c>
      <c r="Q67" s="29">
        <f>J67*'GS&gt;50 PW'!$B$11</f>
        <v>0</v>
      </c>
      <c r="R67" s="46">
        <f>'Monthly Data'!O67</f>
        <v>1027</v>
      </c>
      <c r="S67" s="46">
        <f>'Monthly Data'!BH67</f>
        <v>30</v>
      </c>
      <c r="T67" s="28">
        <f t="shared" ref="T67:T130" ca="1" si="10">SUM(L67:Q67)*R67*S67</f>
        <v>77865728.504170358</v>
      </c>
    </row>
    <row r="68" spans="1:20" x14ac:dyDescent="0.2">
      <c r="A68" s="45">
        <f>'Monthly Data'!A68</f>
        <v>42186</v>
      </c>
      <c r="B68" s="29">
        <f t="shared" si="8"/>
        <v>2015</v>
      </c>
      <c r="C68" s="29">
        <f t="shared" si="9"/>
        <v>7</v>
      </c>
      <c r="D68" s="44">
        <f>'Monthly Data'!M68</f>
        <v>84109914.901304796</v>
      </c>
      <c r="E68" s="44">
        <f>'Monthly Data'!BQ68</f>
        <v>2641.8919779283474</v>
      </c>
      <c r="F68" s="46">
        <f t="shared" ca="1" si="7"/>
        <v>0</v>
      </c>
      <c r="G68" s="46">
        <f t="shared" ca="1" si="7"/>
        <v>268.18999999999994</v>
      </c>
      <c r="H68" s="46">
        <f>'Monthly Data'!V68</f>
        <v>677384</v>
      </c>
      <c r="I68" s="46">
        <f>'Monthly Data'!BG68</f>
        <v>67</v>
      </c>
      <c r="J68" s="46">
        <f>'Monthly Data'!BC68</f>
        <v>0</v>
      </c>
      <c r="L68" s="29">
        <f>'GS&gt;50 PW'!$B$6</f>
        <v>556.26088485683897</v>
      </c>
      <c r="M68" s="29">
        <f ca="1">F68*'GS&gt;50 PW'!$B$7</f>
        <v>0</v>
      </c>
      <c r="N68" s="29">
        <f ca="1">G68*'GS&gt;50 PW'!$B$8</f>
        <v>415.13564390534179</v>
      </c>
      <c r="O68" s="29">
        <f>H68*'GS&gt;50 PW'!$B$9</f>
        <v>1981.2262569163183</v>
      </c>
      <c r="P68" s="29">
        <f>I68*'GS&gt;50 PW'!$B$10</f>
        <v>-239.74713349284011</v>
      </c>
      <c r="Q68" s="29">
        <f>J68*'GS&gt;50 PW'!$B$11</f>
        <v>0</v>
      </c>
      <c r="R68" s="46">
        <f>'Monthly Data'!O68</f>
        <v>1027</v>
      </c>
      <c r="S68" s="46">
        <f>'Monthly Data'!BH68</f>
        <v>31</v>
      </c>
      <c r="T68" s="28">
        <f t="shared" ca="1" si="10"/>
        <v>86369822.138634816</v>
      </c>
    </row>
    <row r="69" spans="1:20" x14ac:dyDescent="0.2">
      <c r="A69" s="45">
        <f>'Monthly Data'!A69</f>
        <v>42217</v>
      </c>
      <c r="B69" s="29">
        <f t="shared" si="8"/>
        <v>2015</v>
      </c>
      <c r="C69" s="29">
        <f t="shared" si="9"/>
        <v>8</v>
      </c>
      <c r="D69" s="44">
        <f>'Monthly Data'!M69</f>
        <v>82970684.901304796</v>
      </c>
      <c r="E69" s="44">
        <f>'Monthly Data'!BQ69</f>
        <v>2601.0434465439293</v>
      </c>
      <c r="F69" s="46">
        <f t="shared" ca="1" si="7"/>
        <v>0</v>
      </c>
      <c r="G69" s="46">
        <f t="shared" ca="1" si="7"/>
        <v>239.59000000000006</v>
      </c>
      <c r="H69" s="46">
        <f>'Monthly Data'!V69</f>
        <v>677384</v>
      </c>
      <c r="I69" s="46">
        <f>'Monthly Data'!BG69</f>
        <v>68</v>
      </c>
      <c r="J69" s="46">
        <f>'Monthly Data'!BC69</f>
        <v>0</v>
      </c>
      <c r="L69" s="29">
        <f>'GS&gt;50 PW'!$B$6</f>
        <v>556.26088485683897</v>
      </c>
      <c r="M69" s="29">
        <f ca="1">F69*'GS&gt;50 PW'!$B$7</f>
        <v>0</v>
      </c>
      <c r="N69" s="29">
        <f ca="1">G69*'GS&gt;50 PW'!$B$8</f>
        <v>370.86524077437969</v>
      </c>
      <c r="O69" s="29">
        <f>H69*'GS&gt;50 PW'!$B$9</f>
        <v>1981.2262569163183</v>
      </c>
      <c r="P69" s="29">
        <f>I69*'GS&gt;50 PW'!$B$10</f>
        <v>-243.32544891810636</v>
      </c>
      <c r="Q69" s="29">
        <f>J69*'GS&gt;50 PW'!$B$11</f>
        <v>0</v>
      </c>
      <c r="R69" s="46">
        <f>'Monthly Data'!O69</f>
        <v>1029</v>
      </c>
      <c r="S69" s="46">
        <f>'Monthly Data'!BH69</f>
        <v>31</v>
      </c>
      <c r="T69" s="28">
        <f t="shared" ca="1" si="10"/>
        <v>85011694.15584521</v>
      </c>
    </row>
    <row r="70" spans="1:20" x14ac:dyDescent="0.2">
      <c r="A70" s="45">
        <f>'Monthly Data'!A70</f>
        <v>42248</v>
      </c>
      <c r="B70" s="29">
        <f t="shared" si="8"/>
        <v>2015</v>
      </c>
      <c r="C70" s="29">
        <f t="shared" si="9"/>
        <v>9</v>
      </c>
      <c r="D70" s="44">
        <f>'Monthly Data'!M70</f>
        <v>80471106.901304796</v>
      </c>
      <c r="E70" s="44">
        <f>'Monthly Data'!BQ70</f>
        <v>2609.3095622991177</v>
      </c>
      <c r="F70" s="46">
        <f t="shared" ca="1" si="7"/>
        <v>5.2099999999999991</v>
      </c>
      <c r="G70" s="46">
        <f t="shared" ca="1" si="7"/>
        <v>132.95000000000002</v>
      </c>
      <c r="H70" s="46">
        <f>'Monthly Data'!V70</f>
        <v>677384</v>
      </c>
      <c r="I70" s="46">
        <f>'Monthly Data'!BG70</f>
        <v>69</v>
      </c>
      <c r="J70" s="46">
        <f>'Monthly Data'!BC70</f>
        <v>0</v>
      </c>
      <c r="L70" s="29">
        <f>'GS&gt;50 PW'!$B$6</f>
        <v>556.26088485683897</v>
      </c>
      <c r="M70" s="29">
        <f ca="1">F70*'GS&gt;50 PW'!$B$7</f>
        <v>2.3716449759531315</v>
      </c>
      <c r="N70" s="29">
        <f ca="1">G70*'GS&gt;50 PW'!$B$8</f>
        <v>205.79545791123908</v>
      </c>
      <c r="O70" s="29">
        <f>H70*'GS&gt;50 PW'!$B$9</f>
        <v>1981.2262569163183</v>
      </c>
      <c r="P70" s="29">
        <f>I70*'GS&gt;50 PW'!$B$10</f>
        <v>-246.90376434337264</v>
      </c>
      <c r="Q70" s="29">
        <f>J70*'GS&gt;50 PW'!$B$11</f>
        <v>0</v>
      </c>
      <c r="R70" s="46">
        <f>'Monthly Data'!O70</f>
        <v>1028</v>
      </c>
      <c r="S70" s="46">
        <f>'Monthly Data'!BH70</f>
        <v>30</v>
      </c>
      <c r="T70" s="28">
        <f t="shared" ca="1" si="10"/>
        <v>77061464.812975556</v>
      </c>
    </row>
    <row r="71" spans="1:20" x14ac:dyDescent="0.2">
      <c r="A71" s="45">
        <f>'Monthly Data'!A71</f>
        <v>42278</v>
      </c>
      <c r="B71" s="29">
        <f t="shared" si="8"/>
        <v>2015</v>
      </c>
      <c r="C71" s="29">
        <f t="shared" si="9"/>
        <v>10</v>
      </c>
      <c r="D71" s="44">
        <f>'Monthly Data'!M71</f>
        <v>74766344.901304796</v>
      </c>
      <c r="E71" s="44">
        <f>'Monthly Data'!BQ71</f>
        <v>2355.2906029896926</v>
      </c>
      <c r="F71" s="46">
        <f t="shared" ca="1" si="7"/>
        <v>90.66</v>
      </c>
      <c r="G71" s="46">
        <f t="shared" ca="1" si="7"/>
        <v>27.9</v>
      </c>
      <c r="H71" s="46">
        <f>'Monthly Data'!V71</f>
        <v>677384</v>
      </c>
      <c r="I71" s="46">
        <f>'Monthly Data'!BG71</f>
        <v>70</v>
      </c>
      <c r="J71" s="46">
        <f>'Monthly Data'!BC71</f>
        <v>0</v>
      </c>
      <c r="L71" s="29">
        <f>'GS&gt;50 PW'!$B$6</f>
        <v>556.26088485683897</v>
      </c>
      <c r="M71" s="29">
        <f ca="1">F71*'GS&gt;50 PW'!$B$7</f>
        <v>41.269353842593269</v>
      </c>
      <c r="N71" s="29">
        <f ca="1">G71*'GS&gt;50 PW'!$B$8</f>
        <v>43.186861795589088</v>
      </c>
      <c r="O71" s="29">
        <f>H71*'GS&gt;50 PW'!$B$9</f>
        <v>1981.2262569163183</v>
      </c>
      <c r="P71" s="29">
        <f>I71*'GS&gt;50 PW'!$B$10</f>
        <v>-250.4820797686389</v>
      </c>
      <c r="Q71" s="29">
        <f>J71*'GS&gt;50 PW'!$B$11</f>
        <v>0</v>
      </c>
      <c r="R71" s="46">
        <f>'Monthly Data'!O71</f>
        <v>1024</v>
      </c>
      <c r="S71" s="46">
        <f>'Monthly Data'!BH71</f>
        <v>31</v>
      </c>
      <c r="T71" s="28">
        <f t="shared" ca="1" si="10"/>
        <v>75279666.797489896</v>
      </c>
    </row>
    <row r="72" spans="1:20" x14ac:dyDescent="0.2">
      <c r="A72" s="45">
        <f>'Monthly Data'!A72</f>
        <v>42309</v>
      </c>
      <c r="B72" s="29">
        <f t="shared" si="8"/>
        <v>2015</v>
      </c>
      <c r="C72" s="29">
        <f t="shared" si="9"/>
        <v>11</v>
      </c>
      <c r="D72" s="44">
        <f>'Monthly Data'!M72</f>
        <v>73580200.901304796</v>
      </c>
      <c r="E72" s="44">
        <f>'Monthly Data'!BQ72</f>
        <v>2388.1921746609801</v>
      </c>
      <c r="F72" s="46">
        <f t="shared" ca="1" si="7"/>
        <v>264.88</v>
      </c>
      <c r="G72" s="46">
        <f t="shared" ca="1" si="7"/>
        <v>0.69000000000000006</v>
      </c>
      <c r="H72" s="46">
        <f>'Monthly Data'!V72</f>
        <v>677384</v>
      </c>
      <c r="I72" s="46">
        <f>'Monthly Data'!BG72</f>
        <v>71</v>
      </c>
      <c r="J72" s="46">
        <f>'Monthly Data'!BC72</f>
        <v>0</v>
      </c>
      <c r="L72" s="29">
        <f>'GS&gt;50 PW'!$B$6</f>
        <v>556.26088485683897</v>
      </c>
      <c r="M72" s="29">
        <f ca="1">F72*'GS&gt;50 PW'!$B$7</f>
        <v>120.5760693340625</v>
      </c>
      <c r="N72" s="29">
        <f ca="1">G72*'GS&gt;50 PW'!$B$8</f>
        <v>1.0680621734393003</v>
      </c>
      <c r="O72" s="29">
        <f>H72*'GS&gt;50 PW'!$B$9</f>
        <v>1981.2262569163183</v>
      </c>
      <c r="P72" s="29">
        <f>I72*'GS&gt;50 PW'!$B$10</f>
        <v>-254.06039519390518</v>
      </c>
      <c r="Q72" s="29">
        <f>J72*'GS&gt;50 PW'!$B$11</f>
        <v>0</v>
      </c>
      <c r="R72" s="46">
        <f>'Monthly Data'!O72</f>
        <v>1027</v>
      </c>
      <c r="S72" s="46">
        <f>'Monthly Data'!BH72</f>
        <v>30</v>
      </c>
      <c r="T72" s="28">
        <f t="shared" ca="1" si="10"/>
        <v>74100233.753852889</v>
      </c>
    </row>
    <row r="73" spans="1:20" x14ac:dyDescent="0.2">
      <c r="A73" s="45">
        <f>'Monthly Data'!A73</f>
        <v>42339</v>
      </c>
      <c r="B73" s="29">
        <f t="shared" si="8"/>
        <v>2015</v>
      </c>
      <c r="C73" s="29">
        <f t="shared" si="9"/>
        <v>12</v>
      </c>
      <c r="D73" s="44">
        <f>'Monthly Data'!M73</f>
        <v>74354600.901304796</v>
      </c>
      <c r="E73" s="44">
        <f>'Monthly Data'!BQ73</f>
        <v>2330.9383021820372</v>
      </c>
      <c r="F73" s="46">
        <f t="shared" ca="1" si="7"/>
        <v>413.65</v>
      </c>
      <c r="G73" s="46">
        <f t="shared" ca="1" si="7"/>
        <v>0</v>
      </c>
      <c r="H73" s="46">
        <f>'Monthly Data'!V73</f>
        <v>677384</v>
      </c>
      <c r="I73" s="46">
        <f>'Monthly Data'!BG73</f>
        <v>72</v>
      </c>
      <c r="J73" s="46">
        <f>'Monthly Data'!BC73</f>
        <v>1</v>
      </c>
      <c r="L73" s="29">
        <f>'GS&gt;50 PW'!$B$6</f>
        <v>556.26088485683897</v>
      </c>
      <c r="M73" s="29">
        <f ca="1">F73*'GS&gt;50 PW'!$B$7</f>
        <v>188.29768604664358</v>
      </c>
      <c r="N73" s="29">
        <f ca="1">G73*'GS&gt;50 PW'!$B$8</f>
        <v>0</v>
      </c>
      <c r="O73" s="29">
        <f>H73*'GS&gt;50 PW'!$B$9</f>
        <v>1981.2262569163183</v>
      </c>
      <c r="P73" s="29">
        <f>I73*'GS&gt;50 PW'!$B$10</f>
        <v>-257.63871061917143</v>
      </c>
      <c r="Q73" s="29">
        <f>J73*'GS&gt;50 PW'!$B$11</f>
        <v>-107.242128303215</v>
      </c>
      <c r="R73" s="46">
        <f>'Monthly Data'!O73</f>
        <v>1029</v>
      </c>
      <c r="S73" s="46">
        <f>'Monthly Data'!BH73</f>
        <v>31</v>
      </c>
      <c r="T73" s="28">
        <f t="shared" ca="1" si="10"/>
        <v>75310476.341838628</v>
      </c>
    </row>
    <row r="74" spans="1:20" x14ac:dyDescent="0.2">
      <c r="A74" s="45">
        <f>'Monthly Data'!A74</f>
        <v>42370</v>
      </c>
      <c r="B74" s="29">
        <f t="shared" si="8"/>
        <v>2016</v>
      </c>
      <c r="C74" s="29">
        <f t="shared" si="9"/>
        <v>1</v>
      </c>
      <c r="D74" s="44">
        <f>'Monthly Data'!M74</f>
        <v>80877446.451951042</v>
      </c>
      <c r="E74" s="44">
        <f>'Monthly Data'!BQ74</f>
        <v>2530.5042536826459</v>
      </c>
      <c r="F74" s="46">
        <f t="shared" ca="1" si="7"/>
        <v>539.1400000000001</v>
      </c>
      <c r="G74" s="46">
        <f t="shared" ca="1" si="7"/>
        <v>0</v>
      </c>
      <c r="H74" s="46">
        <f>'Monthly Data'!V74</f>
        <v>692620.80000000005</v>
      </c>
      <c r="I74" s="46">
        <f>'Monthly Data'!BG74</f>
        <v>73</v>
      </c>
      <c r="J74" s="46">
        <f>'Monthly Data'!BC74</f>
        <v>0</v>
      </c>
      <c r="L74" s="29">
        <f>'GS&gt;50 PW'!$B$6</f>
        <v>556.26088485683897</v>
      </c>
      <c r="M74" s="29">
        <f ca="1">F74*'GS&gt;50 PW'!$B$7</f>
        <v>245.42201004517693</v>
      </c>
      <c r="N74" s="29">
        <f ca="1">G74*'GS&gt;50 PW'!$B$8</f>
        <v>0</v>
      </c>
      <c r="O74" s="29">
        <f>H74*'GS&gt;50 PW'!$B$9</f>
        <v>2025.7911539782249</v>
      </c>
      <c r="P74" s="29">
        <f>I74*'GS&gt;50 PW'!$B$10</f>
        <v>-261.21702604443772</v>
      </c>
      <c r="Q74" s="29">
        <f>J74*'GS&gt;50 PW'!$B$11</f>
        <v>0</v>
      </c>
      <c r="R74" s="46">
        <f>'Monthly Data'!O74</f>
        <v>1031</v>
      </c>
      <c r="S74" s="46">
        <f>'Monthly Data'!BH74</f>
        <v>31</v>
      </c>
      <c r="T74" s="28">
        <f t="shared" ca="1" si="10"/>
        <v>82020140.706855103</v>
      </c>
    </row>
    <row r="75" spans="1:20" x14ac:dyDescent="0.2">
      <c r="A75" s="45">
        <f>'Monthly Data'!A75</f>
        <v>42401</v>
      </c>
      <c r="B75" s="29">
        <f t="shared" si="8"/>
        <v>2016</v>
      </c>
      <c r="C75" s="29">
        <f t="shared" si="9"/>
        <v>2</v>
      </c>
      <c r="D75" s="44">
        <f>'Monthly Data'!M75</f>
        <v>76696727.451951042</v>
      </c>
      <c r="E75" s="44">
        <f>'Monthly Data'!BQ75</f>
        <v>2560.2272407768146</v>
      </c>
      <c r="F75" s="46">
        <f t="shared" ca="1" si="7"/>
        <v>473.45</v>
      </c>
      <c r="G75" s="46">
        <f t="shared" ca="1" si="7"/>
        <v>0</v>
      </c>
      <c r="H75" s="46">
        <f>'Monthly Data'!V75</f>
        <v>692620.80000000005</v>
      </c>
      <c r="I75" s="46">
        <f>'Monthly Data'!BG75</f>
        <v>74</v>
      </c>
      <c r="J75" s="46">
        <f>'Monthly Data'!BC75</f>
        <v>0</v>
      </c>
      <c r="L75" s="29">
        <f>'GS&gt;50 PW'!$B$6</f>
        <v>556.26088485683897</v>
      </c>
      <c r="M75" s="29">
        <f ca="1">F75*'GS&gt;50 PW'!$B$7</f>
        <v>215.51925410076973</v>
      </c>
      <c r="N75" s="29">
        <f ca="1">G75*'GS&gt;50 PW'!$B$8</f>
        <v>0</v>
      </c>
      <c r="O75" s="29">
        <f>H75*'GS&gt;50 PW'!$B$9</f>
        <v>2025.7911539782249</v>
      </c>
      <c r="P75" s="29">
        <f>I75*'GS&gt;50 PW'!$B$10</f>
        <v>-264.795341469704</v>
      </c>
      <c r="Q75" s="29">
        <f>J75*'GS&gt;50 PW'!$B$11</f>
        <v>0</v>
      </c>
      <c r="R75" s="46">
        <f>'Monthly Data'!O75</f>
        <v>1033</v>
      </c>
      <c r="S75" s="46">
        <f>'Monthly Data'!BH75</f>
        <v>29</v>
      </c>
      <c r="T75" s="28">
        <f t="shared" ca="1" si="10"/>
        <v>75874369.178070828</v>
      </c>
    </row>
    <row r="76" spans="1:20" x14ac:dyDescent="0.2">
      <c r="A76" s="45">
        <f>'Monthly Data'!A76</f>
        <v>42430</v>
      </c>
      <c r="B76" s="29">
        <f t="shared" si="8"/>
        <v>2016</v>
      </c>
      <c r="C76" s="29">
        <f t="shared" si="9"/>
        <v>3</v>
      </c>
      <c r="D76" s="44">
        <f>'Monthly Data'!M76</f>
        <v>79053293.451951042</v>
      </c>
      <c r="E76" s="44">
        <f>'Monthly Data'!BQ76</f>
        <v>2466.2536173941176</v>
      </c>
      <c r="F76" s="46">
        <f t="shared" ca="1" si="7"/>
        <v>394.31999999999988</v>
      </c>
      <c r="G76" s="46">
        <f t="shared" ca="1" si="7"/>
        <v>3.0000000000000072E-2</v>
      </c>
      <c r="H76" s="46">
        <f>'Monthly Data'!V76</f>
        <v>692620.80000000005</v>
      </c>
      <c r="I76" s="46">
        <f>'Monthly Data'!BG76</f>
        <v>75</v>
      </c>
      <c r="J76" s="46">
        <f>'Monthly Data'!BC76</f>
        <v>0</v>
      </c>
      <c r="L76" s="29">
        <f>'GS&gt;50 PW'!$B$6</f>
        <v>556.26088485683897</v>
      </c>
      <c r="M76" s="29">
        <f ca="1">F76*'GS&gt;50 PW'!$B$7</f>
        <v>179.49847349670608</v>
      </c>
      <c r="N76" s="29">
        <f ca="1">G76*'GS&gt;50 PW'!$B$8</f>
        <v>4.6437485801708811E-2</v>
      </c>
      <c r="O76" s="29">
        <f>H76*'GS&gt;50 PW'!$B$9</f>
        <v>2025.7911539782249</v>
      </c>
      <c r="P76" s="29">
        <f>I76*'GS&gt;50 PW'!$B$10</f>
        <v>-268.37365689497028</v>
      </c>
      <c r="Q76" s="29">
        <f>J76*'GS&gt;50 PW'!$B$11</f>
        <v>0</v>
      </c>
      <c r="R76" s="46">
        <f>'Monthly Data'!O76</f>
        <v>1034</v>
      </c>
      <c r="S76" s="46">
        <f>'Monthly Data'!BH76</f>
        <v>31</v>
      </c>
      <c r="T76" s="28">
        <f t="shared" ca="1" si="10"/>
        <v>79917779.431341067</v>
      </c>
    </row>
    <row r="77" spans="1:20" x14ac:dyDescent="0.2">
      <c r="A77" s="45">
        <f>'Monthly Data'!A77</f>
        <v>42461</v>
      </c>
      <c r="B77" s="29">
        <f t="shared" si="8"/>
        <v>2016</v>
      </c>
      <c r="C77" s="29">
        <f t="shared" si="9"/>
        <v>4</v>
      </c>
      <c r="D77" s="44">
        <f>'Monthly Data'!M77</f>
        <v>75326609.451951042</v>
      </c>
      <c r="E77" s="44">
        <f>'Monthly Data'!BQ77</f>
        <v>2425.9777601272481</v>
      </c>
      <c r="F77" s="46">
        <f t="shared" ca="1" si="7"/>
        <v>220.23999999999995</v>
      </c>
      <c r="G77" s="46">
        <f t="shared" ca="1" si="7"/>
        <v>1.45</v>
      </c>
      <c r="H77" s="46">
        <f>'Monthly Data'!V77</f>
        <v>692620.80000000005</v>
      </c>
      <c r="I77" s="46">
        <f>'Monthly Data'!BG77</f>
        <v>76</v>
      </c>
      <c r="J77" s="46">
        <f>'Monthly Data'!BC77</f>
        <v>0</v>
      </c>
      <c r="L77" s="29">
        <f>'GS&gt;50 PW'!$B$6</f>
        <v>556.26088485683897</v>
      </c>
      <c r="M77" s="29">
        <f ca="1">F77*'GS&gt;50 PW'!$B$7</f>
        <v>100.25548742877498</v>
      </c>
      <c r="N77" s="29">
        <f ca="1">G77*'GS&gt;50 PW'!$B$8</f>
        <v>2.2444784804159204</v>
      </c>
      <c r="O77" s="29">
        <f>H77*'GS&gt;50 PW'!$B$9</f>
        <v>2025.7911539782249</v>
      </c>
      <c r="P77" s="29">
        <f>I77*'GS&gt;50 PW'!$B$10</f>
        <v>-271.95197232023651</v>
      </c>
      <c r="Q77" s="29">
        <f>J77*'GS&gt;50 PW'!$B$11</f>
        <v>0</v>
      </c>
      <c r="R77" s="46">
        <f>'Monthly Data'!O77</f>
        <v>1035</v>
      </c>
      <c r="S77" s="46">
        <f>'Monthly Data'!BH77</f>
        <v>30</v>
      </c>
      <c r="T77" s="28">
        <f t="shared" ca="1" si="10"/>
        <v>74911231.006765753</v>
      </c>
    </row>
    <row r="78" spans="1:20" x14ac:dyDescent="0.2">
      <c r="A78" s="45">
        <f>'Monthly Data'!A78</f>
        <v>42491</v>
      </c>
      <c r="B78" s="29">
        <f t="shared" si="8"/>
        <v>2016</v>
      </c>
      <c r="C78" s="29">
        <f t="shared" si="9"/>
        <v>5</v>
      </c>
      <c r="D78" s="44">
        <f>'Monthly Data'!M78</f>
        <v>77298721.451951042</v>
      </c>
      <c r="E78" s="44">
        <f>'Monthly Data'!BQ78</f>
        <v>2409.1856460012791</v>
      </c>
      <c r="F78" s="46">
        <f t="shared" ref="F78:G93" ca="1" si="11">F66</f>
        <v>68.61</v>
      </c>
      <c r="G78" s="46">
        <f t="shared" ca="1" si="11"/>
        <v>50.69</v>
      </c>
      <c r="H78" s="46">
        <f>'Monthly Data'!V78</f>
        <v>692620.80000000005</v>
      </c>
      <c r="I78" s="46">
        <f>'Monthly Data'!BG78</f>
        <v>77</v>
      </c>
      <c r="J78" s="46">
        <f>'Monthly Data'!BC78</f>
        <v>0</v>
      </c>
      <c r="L78" s="29">
        <f>'GS&gt;50 PW'!$B$6</f>
        <v>556.26088485683897</v>
      </c>
      <c r="M78" s="29">
        <f ca="1">F78*'GS&gt;50 PW'!$B$7</f>
        <v>31.231969635344413</v>
      </c>
      <c r="N78" s="29">
        <f ca="1">G78*'GS&gt;50 PW'!$B$8</f>
        <v>78.463871842953807</v>
      </c>
      <c r="O78" s="29">
        <f>H78*'GS&gt;50 PW'!$B$9</f>
        <v>2025.7911539782249</v>
      </c>
      <c r="P78" s="29">
        <f>I78*'GS&gt;50 PW'!$B$10</f>
        <v>-275.53028774550279</v>
      </c>
      <c r="Q78" s="29">
        <f>J78*'GS&gt;50 PW'!$B$11</f>
        <v>0</v>
      </c>
      <c r="R78" s="46">
        <f>'Monthly Data'!O78</f>
        <v>1035</v>
      </c>
      <c r="S78" s="46">
        <f>'Monthly Data'!BH78</f>
        <v>31</v>
      </c>
      <c r="T78" s="28">
        <f t="shared" ca="1" si="10"/>
        <v>77524341.457539767</v>
      </c>
    </row>
    <row r="79" spans="1:20" x14ac:dyDescent="0.2">
      <c r="A79" s="45">
        <f>'Monthly Data'!A79</f>
        <v>42522</v>
      </c>
      <c r="B79" s="29">
        <f t="shared" si="8"/>
        <v>2016</v>
      </c>
      <c r="C79" s="29">
        <f t="shared" si="9"/>
        <v>6</v>
      </c>
      <c r="D79" s="44">
        <f>'Monthly Data'!M79</f>
        <v>80715843.451951042</v>
      </c>
      <c r="E79" s="44">
        <f>'Monthly Data'!BQ79</f>
        <v>2604.5770716989691</v>
      </c>
      <c r="F79" s="46">
        <f t="shared" ca="1" si="11"/>
        <v>2.7299999999999995</v>
      </c>
      <c r="G79" s="46">
        <f t="shared" ca="1" si="11"/>
        <v>145.17999999999998</v>
      </c>
      <c r="H79" s="46">
        <f>'Monthly Data'!V79</f>
        <v>692620.80000000005</v>
      </c>
      <c r="I79" s="46">
        <f>'Monthly Data'!BG79</f>
        <v>78</v>
      </c>
      <c r="J79" s="46">
        <f>'Monthly Data'!BC79</f>
        <v>0</v>
      </c>
      <c r="L79" s="29">
        <f>'GS&gt;50 PW'!$B$6</f>
        <v>556.26088485683897</v>
      </c>
      <c r="M79" s="29">
        <f ca="1">F79*'GS&gt;50 PW'!$B$7</f>
        <v>1.2427237589927158</v>
      </c>
      <c r="N79" s="29">
        <f ca="1">G79*'GS&gt;50 PW'!$B$8</f>
        <v>224.72647295640229</v>
      </c>
      <c r="O79" s="29">
        <f>H79*'GS&gt;50 PW'!$B$9</f>
        <v>2025.7911539782249</v>
      </c>
      <c r="P79" s="29">
        <f>I79*'GS&gt;50 PW'!$B$10</f>
        <v>-279.10860317076907</v>
      </c>
      <c r="Q79" s="29">
        <f>J79*'GS&gt;50 PW'!$B$11</f>
        <v>0</v>
      </c>
      <c r="R79" s="46">
        <f>'Monthly Data'!O79</f>
        <v>1033</v>
      </c>
      <c r="S79" s="46">
        <f>'Monthly Data'!BH79</f>
        <v>30</v>
      </c>
      <c r="T79" s="28">
        <f t="shared" ca="1" si="10"/>
        <v>78371002.477446586</v>
      </c>
    </row>
    <row r="80" spans="1:20" x14ac:dyDescent="0.2">
      <c r="A80" s="45">
        <f>'Monthly Data'!A80</f>
        <v>42552</v>
      </c>
      <c r="B80" s="29">
        <f t="shared" si="8"/>
        <v>2016</v>
      </c>
      <c r="C80" s="29">
        <f t="shared" si="9"/>
        <v>7</v>
      </c>
      <c r="D80" s="44">
        <f>'Monthly Data'!M80</f>
        <v>86828378.451951042</v>
      </c>
      <c r="E80" s="44">
        <f>'Monthly Data'!BQ80</f>
        <v>2708.8157001295017</v>
      </c>
      <c r="F80" s="46">
        <f t="shared" ca="1" si="11"/>
        <v>0</v>
      </c>
      <c r="G80" s="46">
        <f t="shared" ca="1" si="11"/>
        <v>268.18999999999994</v>
      </c>
      <c r="H80" s="46">
        <f>'Monthly Data'!V80</f>
        <v>692620.80000000005</v>
      </c>
      <c r="I80" s="46">
        <f>'Monthly Data'!BG80</f>
        <v>79</v>
      </c>
      <c r="J80" s="46">
        <f>'Monthly Data'!BC80</f>
        <v>0</v>
      </c>
      <c r="L80" s="29">
        <f>'GS&gt;50 PW'!$B$6</f>
        <v>556.26088485683897</v>
      </c>
      <c r="M80" s="29">
        <f ca="1">F80*'GS&gt;50 PW'!$B$7</f>
        <v>0</v>
      </c>
      <c r="N80" s="29">
        <f ca="1">G80*'GS&gt;50 PW'!$B$8</f>
        <v>415.13564390534179</v>
      </c>
      <c r="O80" s="29">
        <f>H80*'GS&gt;50 PW'!$B$9</f>
        <v>2025.7911539782249</v>
      </c>
      <c r="P80" s="29">
        <f>I80*'GS&gt;50 PW'!$B$10</f>
        <v>-282.68691859603535</v>
      </c>
      <c r="Q80" s="29">
        <f>J80*'GS&gt;50 PW'!$B$11</f>
        <v>0</v>
      </c>
      <c r="R80" s="46">
        <f>'Monthly Data'!O80</f>
        <v>1034</v>
      </c>
      <c r="S80" s="46">
        <f>'Monthly Data'!BH80</f>
        <v>31</v>
      </c>
      <c r="T80" s="28">
        <f t="shared" ca="1" si="10"/>
        <v>87010607.49388364</v>
      </c>
    </row>
    <row r="81" spans="1:20" x14ac:dyDescent="0.2">
      <c r="A81" s="45">
        <f>'Monthly Data'!A81</f>
        <v>42583</v>
      </c>
      <c r="B81" s="29">
        <f t="shared" si="8"/>
        <v>2016</v>
      </c>
      <c r="C81" s="29">
        <f t="shared" si="9"/>
        <v>8</v>
      </c>
      <c r="D81" s="44">
        <f>'Monthly Data'!M81</f>
        <v>89984192.451951042</v>
      </c>
      <c r="E81" s="44">
        <f>'Monthly Data'!BQ81</f>
        <v>2807.2687481110329</v>
      </c>
      <c r="F81" s="46">
        <f t="shared" ca="1" si="11"/>
        <v>0</v>
      </c>
      <c r="G81" s="46">
        <f t="shared" ca="1" si="11"/>
        <v>239.59000000000006</v>
      </c>
      <c r="H81" s="46">
        <f>'Monthly Data'!V81</f>
        <v>692620.80000000005</v>
      </c>
      <c r="I81" s="46">
        <f>'Monthly Data'!BG81</f>
        <v>80</v>
      </c>
      <c r="J81" s="46">
        <f>'Monthly Data'!BC81</f>
        <v>0</v>
      </c>
      <c r="L81" s="29">
        <f>'GS&gt;50 PW'!$B$6</f>
        <v>556.26088485683897</v>
      </c>
      <c r="M81" s="29">
        <f ca="1">F81*'GS&gt;50 PW'!$B$7</f>
        <v>0</v>
      </c>
      <c r="N81" s="29">
        <f ca="1">G81*'GS&gt;50 PW'!$B$8</f>
        <v>370.86524077437969</v>
      </c>
      <c r="O81" s="29">
        <f>H81*'GS&gt;50 PW'!$B$9</f>
        <v>2025.7911539782249</v>
      </c>
      <c r="P81" s="29">
        <f>I81*'GS&gt;50 PW'!$B$10</f>
        <v>-286.26523402130158</v>
      </c>
      <c r="Q81" s="29">
        <f>J81*'GS&gt;50 PW'!$B$11</f>
        <v>0</v>
      </c>
      <c r="R81" s="46">
        <f>'Monthly Data'!O81</f>
        <v>1034</v>
      </c>
      <c r="S81" s="46">
        <f>'Monthly Data'!BH81</f>
        <v>31</v>
      </c>
      <c r="T81" s="28">
        <f t="shared" ca="1" si="10"/>
        <v>85476864.669282302</v>
      </c>
    </row>
    <row r="82" spans="1:20" x14ac:dyDescent="0.2">
      <c r="A82" s="45">
        <f>'Monthly Data'!A82</f>
        <v>42614</v>
      </c>
      <c r="B82" s="29">
        <f t="shared" si="8"/>
        <v>2016</v>
      </c>
      <c r="C82" s="29">
        <f t="shared" si="9"/>
        <v>9</v>
      </c>
      <c r="D82" s="44">
        <f>'Monthly Data'!M82</f>
        <v>80657191.451951042</v>
      </c>
      <c r="E82" s="44">
        <f>'Monthly Data'!BQ82</f>
        <v>2602.6844611794463</v>
      </c>
      <c r="F82" s="46">
        <f t="shared" ca="1" si="11"/>
        <v>5.2099999999999991</v>
      </c>
      <c r="G82" s="46">
        <f t="shared" ca="1" si="11"/>
        <v>132.95000000000002</v>
      </c>
      <c r="H82" s="46">
        <f>'Monthly Data'!V82</f>
        <v>692620.80000000005</v>
      </c>
      <c r="I82" s="46">
        <f>'Monthly Data'!BG82</f>
        <v>81</v>
      </c>
      <c r="J82" s="46">
        <f>'Monthly Data'!BC82</f>
        <v>0</v>
      </c>
      <c r="L82" s="29">
        <f>'GS&gt;50 PW'!$B$6</f>
        <v>556.26088485683897</v>
      </c>
      <c r="M82" s="29">
        <f ca="1">F82*'GS&gt;50 PW'!$B$7</f>
        <v>2.3716449759531315</v>
      </c>
      <c r="N82" s="29">
        <f ca="1">G82*'GS&gt;50 PW'!$B$8</f>
        <v>205.79545791123908</v>
      </c>
      <c r="O82" s="29">
        <f>H82*'GS&gt;50 PW'!$B$9</f>
        <v>2025.7911539782249</v>
      </c>
      <c r="P82" s="29">
        <f>I82*'GS&gt;50 PW'!$B$10</f>
        <v>-289.84354944656786</v>
      </c>
      <c r="Q82" s="29">
        <f>J82*'GS&gt;50 PW'!$B$11</f>
        <v>0</v>
      </c>
      <c r="R82" s="46">
        <f>'Monthly Data'!O82</f>
        <v>1033</v>
      </c>
      <c r="S82" s="46">
        <f>'Monthly Data'!BH82</f>
        <v>30</v>
      </c>
      <c r="T82" s="28">
        <f t="shared" ca="1" si="10"/>
        <v>77486639.604623571</v>
      </c>
    </row>
    <row r="83" spans="1:20" x14ac:dyDescent="0.2">
      <c r="A83" s="45">
        <f>'Monthly Data'!A83</f>
        <v>42644</v>
      </c>
      <c r="B83" s="29">
        <f t="shared" si="8"/>
        <v>2016</v>
      </c>
      <c r="C83" s="29">
        <f t="shared" si="9"/>
        <v>10</v>
      </c>
      <c r="D83" s="44">
        <f>'Monthly Data'!M83</f>
        <v>75966711.451951042</v>
      </c>
      <c r="E83" s="44">
        <f>'Monthly Data'!BQ83</f>
        <v>2365.3852114818483</v>
      </c>
      <c r="F83" s="46">
        <f t="shared" ca="1" si="11"/>
        <v>90.66</v>
      </c>
      <c r="G83" s="46">
        <f t="shared" ca="1" si="11"/>
        <v>27.9</v>
      </c>
      <c r="H83" s="46">
        <f>'Monthly Data'!V83</f>
        <v>692620.80000000005</v>
      </c>
      <c r="I83" s="46">
        <f>'Monthly Data'!BG83</f>
        <v>82</v>
      </c>
      <c r="J83" s="46">
        <f>'Monthly Data'!BC83</f>
        <v>0</v>
      </c>
      <c r="L83" s="29">
        <f>'GS&gt;50 PW'!$B$6</f>
        <v>556.26088485683897</v>
      </c>
      <c r="M83" s="29">
        <f ca="1">F83*'GS&gt;50 PW'!$B$7</f>
        <v>41.269353842593269</v>
      </c>
      <c r="N83" s="29">
        <f ca="1">G83*'GS&gt;50 PW'!$B$8</f>
        <v>43.186861795589088</v>
      </c>
      <c r="O83" s="29">
        <f>H83*'GS&gt;50 PW'!$B$9</f>
        <v>2025.7911539782249</v>
      </c>
      <c r="P83" s="29">
        <f>I83*'GS&gt;50 PW'!$B$10</f>
        <v>-293.42186487183415</v>
      </c>
      <c r="Q83" s="29">
        <f>J83*'GS&gt;50 PW'!$B$11</f>
        <v>0</v>
      </c>
      <c r="R83" s="46">
        <f>'Monthly Data'!O83</f>
        <v>1036</v>
      </c>
      <c r="S83" s="46">
        <f>'Monthly Data'!BH83</f>
        <v>31</v>
      </c>
      <c r="T83" s="28">
        <f t="shared" ca="1" si="10"/>
        <v>76214042.488438949</v>
      </c>
    </row>
    <row r="84" spans="1:20" x14ac:dyDescent="0.2">
      <c r="A84" s="45">
        <f>'Monthly Data'!A84</f>
        <v>42675</v>
      </c>
      <c r="B84" s="29">
        <f t="shared" si="8"/>
        <v>2016</v>
      </c>
      <c r="C84" s="29">
        <f t="shared" si="9"/>
        <v>11</v>
      </c>
      <c r="D84" s="44">
        <f>'Monthly Data'!M84</f>
        <v>74431571.451951042</v>
      </c>
      <c r="E84" s="44">
        <f>'Monthly Data'!BQ84</f>
        <v>2394.8382063047311</v>
      </c>
      <c r="F84" s="46">
        <f t="shared" ca="1" si="11"/>
        <v>264.88</v>
      </c>
      <c r="G84" s="46">
        <f t="shared" ca="1" si="11"/>
        <v>0.69000000000000006</v>
      </c>
      <c r="H84" s="46">
        <f>'Monthly Data'!V84</f>
        <v>692620.80000000005</v>
      </c>
      <c r="I84" s="46">
        <f>'Monthly Data'!BG84</f>
        <v>83</v>
      </c>
      <c r="J84" s="46">
        <f>'Monthly Data'!BC84</f>
        <v>0</v>
      </c>
      <c r="L84" s="29">
        <f>'GS&gt;50 PW'!$B$6</f>
        <v>556.26088485683897</v>
      </c>
      <c r="M84" s="29">
        <f ca="1">F84*'GS&gt;50 PW'!$B$7</f>
        <v>120.5760693340625</v>
      </c>
      <c r="N84" s="29">
        <f ca="1">G84*'GS&gt;50 PW'!$B$8</f>
        <v>1.0680621734393003</v>
      </c>
      <c r="O84" s="29">
        <f>H84*'GS&gt;50 PW'!$B$9</f>
        <v>2025.7911539782249</v>
      </c>
      <c r="P84" s="29">
        <f>I84*'GS&gt;50 PW'!$B$10</f>
        <v>-297.00018029710043</v>
      </c>
      <c r="Q84" s="29">
        <f>J84*'GS&gt;50 PW'!$B$11</f>
        <v>0</v>
      </c>
      <c r="R84" s="46">
        <f>'Monthly Data'!O84</f>
        <v>1036</v>
      </c>
      <c r="S84" s="46">
        <f>'Monthly Data'!BH84</f>
        <v>30</v>
      </c>
      <c r="T84" s="28">
        <f t="shared" ca="1" si="10"/>
        <v>74800111.370613068</v>
      </c>
    </row>
    <row r="85" spans="1:20" x14ac:dyDescent="0.2">
      <c r="A85" s="45">
        <f>'Monthly Data'!A85</f>
        <v>42705</v>
      </c>
      <c r="B85" s="29">
        <f t="shared" si="8"/>
        <v>2016</v>
      </c>
      <c r="C85" s="29">
        <f t="shared" si="9"/>
        <v>12</v>
      </c>
      <c r="D85" s="44">
        <f>'Monthly Data'!M85</f>
        <v>76796818.451951042</v>
      </c>
      <c r="E85" s="44">
        <f>'Monthly Data'!BQ85</f>
        <v>2391.2323593209317</v>
      </c>
      <c r="F85" s="46">
        <f t="shared" ca="1" si="11"/>
        <v>413.65</v>
      </c>
      <c r="G85" s="46">
        <f t="shared" ca="1" si="11"/>
        <v>0</v>
      </c>
      <c r="H85" s="46">
        <f>'Monthly Data'!V85</f>
        <v>692620.80000000005</v>
      </c>
      <c r="I85" s="46">
        <f>'Monthly Data'!BG85</f>
        <v>84</v>
      </c>
      <c r="J85" s="46">
        <f>'Monthly Data'!BC85</f>
        <v>1</v>
      </c>
      <c r="L85" s="29">
        <f>'GS&gt;50 PW'!$B$6</f>
        <v>556.26088485683897</v>
      </c>
      <c r="M85" s="29">
        <f ca="1">F85*'GS&gt;50 PW'!$B$7</f>
        <v>188.29768604664358</v>
      </c>
      <c r="N85" s="29">
        <f ca="1">G85*'GS&gt;50 PW'!$B$8</f>
        <v>0</v>
      </c>
      <c r="O85" s="29">
        <f>H85*'GS&gt;50 PW'!$B$9</f>
        <v>2025.7911539782249</v>
      </c>
      <c r="P85" s="29">
        <f>I85*'GS&gt;50 PW'!$B$10</f>
        <v>-300.57849572236671</v>
      </c>
      <c r="Q85" s="29">
        <f>J85*'GS&gt;50 PW'!$B$11</f>
        <v>-107.242128303215</v>
      </c>
      <c r="R85" s="46">
        <f>'Monthly Data'!O85</f>
        <v>1036</v>
      </c>
      <c r="S85" s="46">
        <f>'Monthly Data'!BH85</f>
        <v>31</v>
      </c>
      <c r="T85" s="28">
        <f t="shared" ca="1" si="10"/>
        <v>75874984.603095338</v>
      </c>
    </row>
    <row r="86" spans="1:20" x14ac:dyDescent="0.2">
      <c r="A86" s="45">
        <f>'Monthly Data'!A86</f>
        <v>42736</v>
      </c>
      <c r="B86" s="29">
        <f t="shared" si="8"/>
        <v>2017</v>
      </c>
      <c r="C86" s="29">
        <f t="shared" si="9"/>
        <v>1</v>
      </c>
      <c r="D86" s="44">
        <f>'Monthly Data'!M86</f>
        <v>79778744.666458026</v>
      </c>
      <c r="E86" s="44">
        <f>'Monthly Data'!BQ86</f>
        <v>2486.4810555230802</v>
      </c>
      <c r="F86" s="46">
        <f t="shared" ca="1" si="11"/>
        <v>539.1400000000001</v>
      </c>
      <c r="G86" s="46">
        <f t="shared" ca="1" si="11"/>
        <v>0</v>
      </c>
      <c r="H86" s="46">
        <f>'Monthly Data'!V86</f>
        <v>713254.1</v>
      </c>
      <c r="I86" s="46">
        <f>'Monthly Data'!BG86</f>
        <v>85</v>
      </c>
      <c r="J86" s="46">
        <f>'Monthly Data'!BC86</f>
        <v>0</v>
      </c>
      <c r="L86" s="29">
        <f>'GS&gt;50 PW'!$B$6</f>
        <v>556.26088485683897</v>
      </c>
      <c r="M86" s="29">
        <f ca="1">F86*'GS&gt;50 PW'!$B$7</f>
        <v>245.42201004517693</v>
      </c>
      <c r="N86" s="29">
        <f ca="1">G86*'GS&gt;50 PW'!$B$8</f>
        <v>0</v>
      </c>
      <c r="O86" s="29">
        <f>H86*'GS&gt;50 PW'!$B$9</f>
        <v>2086.1398420588871</v>
      </c>
      <c r="P86" s="29">
        <f>I86*'GS&gt;50 PW'!$B$10</f>
        <v>-304.15681114763294</v>
      </c>
      <c r="Q86" s="29">
        <f>J86*'GS&gt;50 PW'!$B$11</f>
        <v>0</v>
      </c>
      <c r="R86" s="46">
        <f>'Monthly Data'!O86</f>
        <v>1035</v>
      </c>
      <c r="S86" s="46">
        <f>'Monthly Data'!BH86</f>
        <v>31</v>
      </c>
      <c r="T86" s="28">
        <f t="shared" ca="1" si="10"/>
        <v>82896921.229718775</v>
      </c>
    </row>
    <row r="87" spans="1:20" x14ac:dyDescent="0.2">
      <c r="A87" s="45">
        <f>'Monthly Data'!A87</f>
        <v>42767</v>
      </c>
      <c r="B87" s="29">
        <f t="shared" si="8"/>
        <v>2017</v>
      </c>
      <c r="C87" s="29">
        <f t="shared" si="9"/>
        <v>2</v>
      </c>
      <c r="D87" s="44">
        <f>'Monthly Data'!M87</f>
        <v>71619045.666458026</v>
      </c>
      <c r="E87" s="44">
        <f>'Monthly Data'!BQ87</f>
        <v>2560.3834429593176</v>
      </c>
      <c r="F87" s="46">
        <f t="shared" ca="1" si="11"/>
        <v>473.45</v>
      </c>
      <c r="G87" s="46">
        <f t="shared" ca="1" si="11"/>
        <v>0</v>
      </c>
      <c r="H87" s="46">
        <f>'Monthly Data'!V87</f>
        <v>713254.1</v>
      </c>
      <c r="I87" s="46">
        <f>'Monthly Data'!BG87</f>
        <v>86</v>
      </c>
      <c r="J87" s="46">
        <f>'Monthly Data'!BC87</f>
        <v>0</v>
      </c>
      <c r="L87" s="29">
        <f>'GS&gt;50 PW'!$B$6</f>
        <v>556.26088485683897</v>
      </c>
      <c r="M87" s="29">
        <f ca="1">F87*'GS&gt;50 PW'!$B$7</f>
        <v>215.51925410076973</v>
      </c>
      <c r="N87" s="29">
        <f ca="1">G87*'GS&gt;50 PW'!$B$8</f>
        <v>0</v>
      </c>
      <c r="O87" s="29">
        <f>H87*'GS&gt;50 PW'!$B$9</f>
        <v>2086.1398420588871</v>
      </c>
      <c r="P87" s="29">
        <f>I87*'GS&gt;50 PW'!$B$10</f>
        <v>-307.73512657289922</v>
      </c>
      <c r="Q87" s="29">
        <f>J87*'GS&gt;50 PW'!$B$11</f>
        <v>0</v>
      </c>
      <c r="R87" s="46">
        <f>'Monthly Data'!O87</f>
        <v>999</v>
      </c>
      <c r="S87" s="46">
        <f>'Monthly Data'!BH87</f>
        <v>28</v>
      </c>
      <c r="T87" s="28">
        <f t="shared" ca="1" si="10"/>
        <v>71333770.748496264</v>
      </c>
    </row>
    <row r="88" spans="1:20" x14ac:dyDescent="0.2">
      <c r="A88" s="45">
        <f>'Monthly Data'!A88</f>
        <v>42795</v>
      </c>
      <c r="B88" s="29">
        <f t="shared" si="8"/>
        <v>2017</v>
      </c>
      <c r="C88" s="29">
        <f t="shared" si="9"/>
        <v>3</v>
      </c>
      <c r="D88" s="44">
        <f>'Monthly Data'!M88</f>
        <v>78853175.666458026</v>
      </c>
      <c r="E88" s="44">
        <f>'Monthly Data'!BQ88</f>
        <v>2543.6508279502591</v>
      </c>
      <c r="F88" s="46">
        <f t="shared" ca="1" si="11"/>
        <v>394.31999999999988</v>
      </c>
      <c r="G88" s="46">
        <f t="shared" ca="1" si="11"/>
        <v>3.0000000000000072E-2</v>
      </c>
      <c r="H88" s="46">
        <f>'Monthly Data'!V88</f>
        <v>713254.1</v>
      </c>
      <c r="I88" s="46">
        <f>'Monthly Data'!BG88</f>
        <v>87</v>
      </c>
      <c r="J88" s="46">
        <f>'Monthly Data'!BC88</f>
        <v>0</v>
      </c>
      <c r="L88" s="29">
        <f>'GS&gt;50 PW'!$B$6</f>
        <v>556.26088485683897</v>
      </c>
      <c r="M88" s="29">
        <f ca="1">F88*'GS&gt;50 PW'!$B$7</f>
        <v>179.49847349670608</v>
      </c>
      <c r="N88" s="29">
        <f ca="1">G88*'GS&gt;50 PW'!$B$8</f>
        <v>4.6437485801708811E-2</v>
      </c>
      <c r="O88" s="29">
        <f>H88*'GS&gt;50 PW'!$B$9</f>
        <v>2086.1398420588871</v>
      </c>
      <c r="P88" s="29">
        <f>I88*'GS&gt;50 PW'!$B$10</f>
        <v>-311.3134419981655</v>
      </c>
      <c r="Q88" s="29">
        <f>J88*'GS&gt;50 PW'!$B$11</f>
        <v>0</v>
      </c>
      <c r="R88" s="46">
        <f>'Monthly Data'!O88</f>
        <v>1000</v>
      </c>
      <c r="S88" s="46">
        <f>'Monthly Data'!BH88</f>
        <v>31</v>
      </c>
      <c r="T88" s="28">
        <f t="shared" ca="1" si="10"/>
        <v>77829598.072902113</v>
      </c>
    </row>
    <row r="89" spans="1:20" x14ac:dyDescent="0.2">
      <c r="A89" s="45">
        <f>'Monthly Data'!A89</f>
        <v>42826</v>
      </c>
      <c r="B89" s="29">
        <f t="shared" si="8"/>
        <v>2017</v>
      </c>
      <c r="C89" s="29">
        <f t="shared" si="9"/>
        <v>4</v>
      </c>
      <c r="D89" s="44">
        <f>'Monthly Data'!M89</f>
        <v>71496185.666458026</v>
      </c>
      <c r="E89" s="44">
        <f>'Monthly Data'!BQ89</f>
        <v>2383.2061888819344</v>
      </c>
      <c r="F89" s="46">
        <f t="shared" ca="1" si="11"/>
        <v>220.23999999999995</v>
      </c>
      <c r="G89" s="46">
        <f t="shared" ca="1" si="11"/>
        <v>1.45</v>
      </c>
      <c r="H89" s="46">
        <f>'Monthly Data'!V89</f>
        <v>713254.1</v>
      </c>
      <c r="I89" s="46">
        <f>'Monthly Data'!BG89</f>
        <v>88</v>
      </c>
      <c r="J89" s="46">
        <f>'Monthly Data'!BC89</f>
        <v>0</v>
      </c>
      <c r="L89" s="29">
        <f>'GS&gt;50 PW'!$B$6</f>
        <v>556.26088485683897</v>
      </c>
      <c r="M89" s="29">
        <f ca="1">F89*'GS&gt;50 PW'!$B$7</f>
        <v>100.25548742877498</v>
      </c>
      <c r="N89" s="29">
        <f ca="1">G89*'GS&gt;50 PW'!$B$8</f>
        <v>2.2444784804159204</v>
      </c>
      <c r="O89" s="29">
        <f>H89*'GS&gt;50 PW'!$B$9</f>
        <v>2086.1398420588871</v>
      </c>
      <c r="P89" s="29">
        <f>I89*'GS&gt;50 PW'!$B$10</f>
        <v>-314.89175742343178</v>
      </c>
      <c r="Q89" s="29">
        <f>J89*'GS&gt;50 PW'!$B$11</f>
        <v>0</v>
      </c>
      <c r="R89" s="46">
        <f>'Monthly Data'!O89</f>
        <v>1000</v>
      </c>
      <c r="S89" s="46">
        <f>'Monthly Data'!BH89</f>
        <v>30</v>
      </c>
      <c r="T89" s="28">
        <f t="shared" ca="1" si="10"/>
        <v>72900268.062044546</v>
      </c>
    </row>
    <row r="90" spans="1:20" x14ac:dyDescent="0.2">
      <c r="A90" s="45">
        <f>'Monthly Data'!A90</f>
        <v>42856</v>
      </c>
      <c r="B90" s="29">
        <f t="shared" si="8"/>
        <v>2017</v>
      </c>
      <c r="C90" s="29">
        <f t="shared" si="9"/>
        <v>5</v>
      </c>
      <c r="D90" s="44">
        <f>'Monthly Data'!M90</f>
        <v>75455637.666458026</v>
      </c>
      <c r="E90" s="44">
        <f>'Monthly Data'!BQ90</f>
        <v>2441.3769588267392</v>
      </c>
      <c r="F90" s="46">
        <f t="shared" ca="1" si="11"/>
        <v>68.61</v>
      </c>
      <c r="G90" s="46">
        <f t="shared" ca="1" si="11"/>
        <v>50.69</v>
      </c>
      <c r="H90" s="46">
        <f>'Monthly Data'!V90</f>
        <v>713254.1</v>
      </c>
      <c r="I90" s="46">
        <f>'Monthly Data'!BG90</f>
        <v>89</v>
      </c>
      <c r="J90" s="46">
        <f>'Monthly Data'!BC90</f>
        <v>0</v>
      </c>
      <c r="L90" s="29">
        <f>'GS&gt;50 PW'!$B$6</f>
        <v>556.26088485683897</v>
      </c>
      <c r="M90" s="29">
        <f ca="1">F90*'GS&gt;50 PW'!$B$7</f>
        <v>31.231969635344413</v>
      </c>
      <c r="N90" s="29">
        <f ca="1">G90*'GS&gt;50 PW'!$B$8</f>
        <v>78.463871842953807</v>
      </c>
      <c r="O90" s="29">
        <f>H90*'GS&gt;50 PW'!$B$9</f>
        <v>2086.1398420588871</v>
      </c>
      <c r="P90" s="29">
        <f>I90*'GS&gt;50 PW'!$B$10</f>
        <v>-318.47007284869807</v>
      </c>
      <c r="Q90" s="29">
        <f>J90*'GS&gt;50 PW'!$B$11</f>
        <v>0</v>
      </c>
      <c r="R90" s="46">
        <f>'Monthly Data'!O90</f>
        <v>997</v>
      </c>
      <c r="S90" s="46">
        <f>'Monthly Data'!BH90</f>
        <v>31</v>
      </c>
      <c r="T90" s="28">
        <f t="shared" ca="1" si="10"/>
        <v>75216094.097819388</v>
      </c>
    </row>
    <row r="91" spans="1:20" x14ac:dyDescent="0.2">
      <c r="A91" s="45">
        <f>'Monthly Data'!A91</f>
        <v>42887</v>
      </c>
      <c r="B91" s="29">
        <f t="shared" si="8"/>
        <v>2017</v>
      </c>
      <c r="C91" s="29">
        <f t="shared" si="9"/>
        <v>6</v>
      </c>
      <c r="D91" s="44">
        <f>'Monthly Data'!M91</f>
        <v>78632788.666458026</v>
      </c>
      <c r="E91" s="44">
        <f>'Monthly Data'!BQ91</f>
        <v>2618.4744810675334</v>
      </c>
      <c r="F91" s="46">
        <f t="shared" ca="1" si="11"/>
        <v>2.7299999999999995</v>
      </c>
      <c r="G91" s="46">
        <f t="shared" ca="1" si="11"/>
        <v>145.17999999999998</v>
      </c>
      <c r="H91" s="46">
        <f>'Monthly Data'!V91</f>
        <v>713254.1</v>
      </c>
      <c r="I91" s="46">
        <f>'Monthly Data'!BG91</f>
        <v>90</v>
      </c>
      <c r="J91" s="46">
        <f>'Monthly Data'!BC91</f>
        <v>0</v>
      </c>
      <c r="L91" s="29">
        <f>'GS&gt;50 PW'!$B$6</f>
        <v>556.26088485683897</v>
      </c>
      <c r="M91" s="29">
        <f ca="1">F91*'GS&gt;50 PW'!$B$7</f>
        <v>1.2427237589927158</v>
      </c>
      <c r="N91" s="29">
        <f ca="1">G91*'GS&gt;50 PW'!$B$8</f>
        <v>224.72647295640229</v>
      </c>
      <c r="O91" s="29">
        <f>H91*'GS&gt;50 PW'!$B$9</f>
        <v>2086.1398420588871</v>
      </c>
      <c r="P91" s="29">
        <f>I91*'GS&gt;50 PW'!$B$10</f>
        <v>-322.04838827396429</v>
      </c>
      <c r="Q91" s="29">
        <f>J91*'GS&gt;50 PW'!$B$11</f>
        <v>0</v>
      </c>
      <c r="R91" s="46">
        <f>'Monthly Data'!O91</f>
        <v>1001</v>
      </c>
      <c r="S91" s="46">
        <f>'Monthly Data'!BH91</f>
        <v>30</v>
      </c>
      <c r="T91" s="28">
        <f t="shared" ca="1" si="10"/>
        <v>76466035.706775427</v>
      </c>
    </row>
    <row r="92" spans="1:20" x14ac:dyDescent="0.2">
      <c r="A92" s="45">
        <f>'Monthly Data'!A92</f>
        <v>42917</v>
      </c>
      <c r="B92" s="29">
        <f t="shared" si="8"/>
        <v>2017</v>
      </c>
      <c r="C92" s="29">
        <f t="shared" si="9"/>
        <v>7</v>
      </c>
      <c r="D92" s="44">
        <f>'Monthly Data'!M92</f>
        <v>82422181.666458026</v>
      </c>
      <c r="E92" s="44">
        <f>'Monthly Data'!BQ92</f>
        <v>2656.1239298268833</v>
      </c>
      <c r="F92" s="46">
        <f t="shared" ca="1" si="11"/>
        <v>0</v>
      </c>
      <c r="G92" s="46">
        <f t="shared" ca="1" si="11"/>
        <v>268.18999999999994</v>
      </c>
      <c r="H92" s="46">
        <f>'Monthly Data'!V92</f>
        <v>713254.1</v>
      </c>
      <c r="I92" s="46">
        <f>'Monthly Data'!BG92</f>
        <v>91</v>
      </c>
      <c r="J92" s="46">
        <f>'Monthly Data'!BC92</f>
        <v>0</v>
      </c>
      <c r="L92" s="29">
        <f>'GS&gt;50 PW'!$B$6</f>
        <v>556.26088485683897</v>
      </c>
      <c r="M92" s="29">
        <f ca="1">F92*'GS&gt;50 PW'!$B$7</f>
        <v>0</v>
      </c>
      <c r="N92" s="29">
        <f ca="1">G92*'GS&gt;50 PW'!$B$8</f>
        <v>415.13564390534179</v>
      </c>
      <c r="O92" s="29">
        <f>H92*'GS&gt;50 PW'!$B$9</f>
        <v>2086.1398420588871</v>
      </c>
      <c r="P92" s="29">
        <f>I92*'GS&gt;50 PW'!$B$10</f>
        <v>-325.62670369923057</v>
      </c>
      <c r="Q92" s="29">
        <f>J92*'GS&gt;50 PW'!$B$11</f>
        <v>0</v>
      </c>
      <c r="R92" s="46">
        <f>'Monthly Data'!O92</f>
        <v>1001</v>
      </c>
      <c r="S92" s="46">
        <f>'Monthly Data'!BH92</f>
        <v>31</v>
      </c>
      <c r="T92" s="28">
        <f t="shared" ca="1" si="10"/>
        <v>84773888.880457744</v>
      </c>
    </row>
    <row r="93" spans="1:20" x14ac:dyDescent="0.2">
      <c r="A93" s="45">
        <f>'Monthly Data'!A93</f>
        <v>42948</v>
      </c>
      <c r="B93" s="29">
        <f t="shared" si="8"/>
        <v>2017</v>
      </c>
      <c r="C93" s="29">
        <f t="shared" si="9"/>
        <v>8</v>
      </c>
      <c r="D93" s="44">
        <f>'Monthly Data'!M93</f>
        <v>82320840.666458026</v>
      </c>
      <c r="E93" s="44">
        <f>'Monthly Data'!BQ93</f>
        <v>2650.2105681043727</v>
      </c>
      <c r="F93" s="46">
        <f t="shared" ca="1" si="11"/>
        <v>0</v>
      </c>
      <c r="G93" s="46">
        <f t="shared" ca="1" si="11"/>
        <v>239.59000000000006</v>
      </c>
      <c r="H93" s="46">
        <f>'Monthly Data'!V93</f>
        <v>713254.1</v>
      </c>
      <c r="I93" s="46">
        <f>'Monthly Data'!BG93</f>
        <v>92</v>
      </c>
      <c r="J93" s="46">
        <f>'Monthly Data'!BC93</f>
        <v>0</v>
      </c>
      <c r="L93" s="29">
        <f>'GS&gt;50 PW'!$B$6</f>
        <v>556.26088485683897</v>
      </c>
      <c r="M93" s="29">
        <f ca="1">F93*'GS&gt;50 PW'!$B$7</f>
        <v>0</v>
      </c>
      <c r="N93" s="29">
        <f ca="1">G93*'GS&gt;50 PW'!$B$8</f>
        <v>370.86524077437969</v>
      </c>
      <c r="O93" s="29">
        <f>H93*'GS&gt;50 PW'!$B$9</f>
        <v>2086.1398420588871</v>
      </c>
      <c r="P93" s="29">
        <f>I93*'GS&gt;50 PW'!$B$10</f>
        <v>-329.20501912449686</v>
      </c>
      <c r="Q93" s="29">
        <f>J93*'GS&gt;50 PW'!$B$11</f>
        <v>0</v>
      </c>
      <c r="R93" s="46">
        <f>'Monthly Data'!O93</f>
        <v>1002</v>
      </c>
      <c r="S93" s="46">
        <f>'Monthly Data'!BH93</f>
        <v>31</v>
      </c>
      <c r="T93" s="28">
        <f t="shared" ca="1" si="10"/>
        <v>83372301.184344947</v>
      </c>
    </row>
    <row r="94" spans="1:20" x14ac:dyDescent="0.2">
      <c r="A94" s="45">
        <f>'Monthly Data'!A94</f>
        <v>42979</v>
      </c>
      <c r="B94" s="29">
        <f t="shared" si="8"/>
        <v>2017</v>
      </c>
      <c r="C94" s="29">
        <f t="shared" si="9"/>
        <v>9</v>
      </c>
      <c r="D94" s="44">
        <f>'Monthly Data'!M94</f>
        <v>78267352.666458026</v>
      </c>
      <c r="E94" s="44">
        <f>'Monthly Data'!BQ94</f>
        <v>2606.3054500985022</v>
      </c>
      <c r="F94" s="46">
        <f t="shared" ref="F94:G109" ca="1" si="12">F82</f>
        <v>5.2099999999999991</v>
      </c>
      <c r="G94" s="46">
        <f t="shared" ca="1" si="12"/>
        <v>132.95000000000002</v>
      </c>
      <c r="H94" s="46">
        <f>'Monthly Data'!V94</f>
        <v>713254.1</v>
      </c>
      <c r="I94" s="46">
        <f>'Monthly Data'!BG94</f>
        <v>93</v>
      </c>
      <c r="J94" s="46">
        <f>'Monthly Data'!BC94</f>
        <v>0</v>
      </c>
      <c r="L94" s="29">
        <f>'GS&gt;50 PW'!$B$6</f>
        <v>556.26088485683897</v>
      </c>
      <c r="M94" s="29">
        <f ca="1">F94*'GS&gt;50 PW'!$B$7</f>
        <v>2.3716449759531315</v>
      </c>
      <c r="N94" s="29">
        <f ca="1">G94*'GS&gt;50 PW'!$B$8</f>
        <v>205.79545791123908</v>
      </c>
      <c r="O94" s="29">
        <f>H94*'GS&gt;50 PW'!$B$9</f>
        <v>2086.1398420588871</v>
      </c>
      <c r="P94" s="29">
        <f>I94*'GS&gt;50 PW'!$B$10</f>
        <v>-332.78333454976314</v>
      </c>
      <c r="Q94" s="29">
        <f>J94*'GS&gt;50 PW'!$B$11</f>
        <v>0</v>
      </c>
      <c r="R94" s="46">
        <f>'Monthly Data'!O94</f>
        <v>1001</v>
      </c>
      <c r="S94" s="46">
        <f>'Monthly Data'!BH94</f>
        <v>30</v>
      </c>
      <c r="T94" s="28">
        <f t="shared" ca="1" si="10"/>
        <v>75609068.39245224</v>
      </c>
    </row>
    <row r="95" spans="1:20" x14ac:dyDescent="0.2">
      <c r="A95" s="45">
        <f>'Monthly Data'!A95</f>
        <v>43009</v>
      </c>
      <c r="B95" s="29">
        <f t="shared" si="8"/>
        <v>2017</v>
      </c>
      <c r="C95" s="29">
        <f t="shared" si="9"/>
        <v>10</v>
      </c>
      <c r="D95" s="44">
        <f>'Monthly Data'!M95</f>
        <v>76411605.666458026</v>
      </c>
      <c r="E95" s="44">
        <f>'Monthly Data'!BQ95</f>
        <v>2459.9705642411313</v>
      </c>
      <c r="F95" s="46">
        <f t="shared" ca="1" si="12"/>
        <v>90.66</v>
      </c>
      <c r="G95" s="46">
        <f t="shared" ca="1" si="12"/>
        <v>27.9</v>
      </c>
      <c r="H95" s="46">
        <f>'Monthly Data'!V95</f>
        <v>713254.1</v>
      </c>
      <c r="I95" s="46">
        <f>'Monthly Data'!BG95</f>
        <v>94</v>
      </c>
      <c r="J95" s="46">
        <f>'Monthly Data'!BC95</f>
        <v>0</v>
      </c>
      <c r="L95" s="29">
        <f>'GS&gt;50 PW'!$B$6</f>
        <v>556.26088485683897</v>
      </c>
      <c r="M95" s="29">
        <f ca="1">F95*'GS&gt;50 PW'!$B$7</f>
        <v>41.269353842593269</v>
      </c>
      <c r="N95" s="29">
        <f ca="1">G95*'GS&gt;50 PW'!$B$8</f>
        <v>43.186861795589088</v>
      </c>
      <c r="O95" s="29">
        <f>H95*'GS&gt;50 PW'!$B$9</f>
        <v>2086.1398420588871</v>
      </c>
      <c r="P95" s="29">
        <f>I95*'GS&gt;50 PW'!$B$10</f>
        <v>-336.36164997502937</v>
      </c>
      <c r="Q95" s="29">
        <f>J95*'GS&gt;50 PW'!$B$11</f>
        <v>0</v>
      </c>
      <c r="R95" s="46">
        <f>'Monthly Data'!O95</f>
        <v>1002</v>
      </c>
      <c r="S95" s="46">
        <f>'Monthly Data'!BH95</f>
        <v>31</v>
      </c>
      <c r="T95" s="28">
        <f t="shared" ca="1" si="10"/>
        <v>74253564.778085142</v>
      </c>
    </row>
    <row r="96" spans="1:20" x14ac:dyDescent="0.2">
      <c r="A96" s="45">
        <f>'Monthly Data'!A96</f>
        <v>43040</v>
      </c>
      <c r="B96" s="29">
        <f t="shared" si="8"/>
        <v>2017</v>
      </c>
      <c r="C96" s="29">
        <f t="shared" si="9"/>
        <v>11</v>
      </c>
      <c r="D96" s="44">
        <f>'Monthly Data'!M96</f>
        <v>74842943.666458026</v>
      </c>
      <c r="E96" s="44">
        <f>'Monthly Data'!BQ96</f>
        <v>2487.3028802412105</v>
      </c>
      <c r="F96" s="46">
        <f t="shared" ca="1" si="12"/>
        <v>264.88</v>
      </c>
      <c r="G96" s="46">
        <f t="shared" ca="1" si="12"/>
        <v>0.69000000000000006</v>
      </c>
      <c r="H96" s="46">
        <f>'Monthly Data'!V96</f>
        <v>713254.1</v>
      </c>
      <c r="I96" s="46">
        <f>'Monthly Data'!BG96</f>
        <v>95</v>
      </c>
      <c r="J96" s="46">
        <f>'Monthly Data'!BC96</f>
        <v>0</v>
      </c>
      <c r="L96" s="29">
        <f>'GS&gt;50 PW'!$B$6</f>
        <v>556.26088485683897</v>
      </c>
      <c r="M96" s="29">
        <f ca="1">F96*'GS&gt;50 PW'!$B$7</f>
        <v>120.5760693340625</v>
      </c>
      <c r="N96" s="29">
        <f ca="1">G96*'GS&gt;50 PW'!$B$8</f>
        <v>1.0680621734393003</v>
      </c>
      <c r="O96" s="29">
        <f>H96*'GS&gt;50 PW'!$B$9</f>
        <v>2086.1398420588871</v>
      </c>
      <c r="P96" s="29">
        <f>I96*'GS&gt;50 PW'!$B$10</f>
        <v>-339.93996540029565</v>
      </c>
      <c r="Q96" s="29">
        <f>J96*'GS&gt;50 PW'!$B$11</f>
        <v>0</v>
      </c>
      <c r="R96" s="46">
        <f>'Monthly Data'!O96</f>
        <v>1003</v>
      </c>
      <c r="S96" s="46">
        <f>'Monthly Data'!BH96</f>
        <v>30</v>
      </c>
      <c r="T96" s="28">
        <f t="shared" ca="1" si="10"/>
        <v>72941316.231060043</v>
      </c>
    </row>
    <row r="97" spans="1:24" x14ac:dyDescent="0.2">
      <c r="A97" s="45">
        <f>'Monthly Data'!A97</f>
        <v>43070</v>
      </c>
      <c r="B97" s="29">
        <f t="shared" si="8"/>
        <v>2017</v>
      </c>
      <c r="C97" s="29">
        <f t="shared" si="9"/>
        <v>12</v>
      </c>
      <c r="D97" s="44">
        <f>'Monthly Data'!M97</f>
        <v>76074354.666458026</v>
      </c>
      <c r="E97" s="44">
        <f>'Monthly Data'!BQ97</f>
        <v>2446.6714265737637</v>
      </c>
      <c r="F97" s="46">
        <f t="shared" ca="1" si="12"/>
        <v>413.65</v>
      </c>
      <c r="G97" s="46">
        <f t="shared" ca="1" si="12"/>
        <v>0</v>
      </c>
      <c r="H97" s="46">
        <f>'Monthly Data'!V97</f>
        <v>713254.1</v>
      </c>
      <c r="I97" s="46">
        <f>'Monthly Data'!BG97</f>
        <v>96</v>
      </c>
      <c r="J97" s="46">
        <f>'Monthly Data'!BC97</f>
        <v>1</v>
      </c>
      <c r="L97" s="29">
        <f>'GS&gt;50 PW'!$B$6</f>
        <v>556.26088485683897</v>
      </c>
      <c r="M97" s="29">
        <f ca="1">F97*'GS&gt;50 PW'!$B$7</f>
        <v>188.29768604664358</v>
      </c>
      <c r="N97" s="29">
        <f ca="1">G97*'GS&gt;50 PW'!$B$8</f>
        <v>0</v>
      </c>
      <c r="O97" s="29">
        <f>H97*'GS&gt;50 PW'!$B$9</f>
        <v>2086.1398420588871</v>
      </c>
      <c r="P97" s="29">
        <f>I97*'GS&gt;50 PW'!$B$10</f>
        <v>-343.51828082556193</v>
      </c>
      <c r="Q97" s="29">
        <f>J97*'GS&gt;50 PW'!$B$11</f>
        <v>-107.242128303215</v>
      </c>
      <c r="R97" s="46">
        <f>'Monthly Data'!O97</f>
        <v>1003</v>
      </c>
      <c r="S97" s="46">
        <f>'Monthly Data'!BH97</f>
        <v>31</v>
      </c>
      <c r="T97" s="28">
        <f t="shared" ca="1" si="10"/>
        <v>73999412.353197917</v>
      </c>
    </row>
    <row r="98" spans="1:24" x14ac:dyDescent="0.2">
      <c r="A98" s="45">
        <f>'Monthly Data'!A98</f>
        <v>43101</v>
      </c>
      <c r="B98" s="29">
        <f t="shared" si="8"/>
        <v>2018</v>
      </c>
      <c r="C98" s="29">
        <f t="shared" si="9"/>
        <v>1</v>
      </c>
      <c r="D98" s="44">
        <f>'Monthly Data'!M98</f>
        <v>81501426.656842589</v>
      </c>
      <c r="E98" s="44">
        <f>'Monthly Data'!BQ98</f>
        <v>2623.8306180169525</v>
      </c>
      <c r="F98" s="46">
        <f t="shared" ca="1" si="12"/>
        <v>539.1400000000001</v>
      </c>
      <c r="G98" s="46">
        <f t="shared" ca="1" si="12"/>
        <v>0</v>
      </c>
      <c r="H98" s="46">
        <f>'Monthly Data'!V98</f>
        <v>730276.2</v>
      </c>
      <c r="I98" s="46">
        <f>'Monthly Data'!BG98</f>
        <v>97</v>
      </c>
      <c r="J98" s="46">
        <f>'Monthly Data'!BC98</f>
        <v>0</v>
      </c>
      <c r="L98" s="29">
        <f>'GS&gt;50 PW'!$B$6</f>
        <v>556.26088485683897</v>
      </c>
      <c r="M98" s="29">
        <f ca="1">F98*'GS&gt;50 PW'!$B$7</f>
        <v>245.42201004517693</v>
      </c>
      <c r="N98" s="29">
        <f ca="1">G98*'GS&gt;50 PW'!$B$8</f>
        <v>0</v>
      </c>
      <c r="O98" s="29">
        <f>H98*'GS&gt;50 PW'!$B$9</f>
        <v>2135.9264202299914</v>
      </c>
      <c r="P98" s="29">
        <f>I98*'GS&gt;50 PW'!$B$10</f>
        <v>-347.09659625082821</v>
      </c>
      <c r="Q98" s="29">
        <f>J98*'GS&gt;50 PW'!$B$11</f>
        <v>0</v>
      </c>
      <c r="R98" s="46">
        <f>'Monthly Data'!O98</f>
        <v>1002</v>
      </c>
      <c r="S98" s="46">
        <f>'Monthly Data'!BH98</f>
        <v>31</v>
      </c>
      <c r="T98" s="28">
        <f t="shared" ca="1" si="10"/>
        <v>80466506.073887184</v>
      </c>
    </row>
    <row r="99" spans="1:24" x14ac:dyDescent="0.2">
      <c r="A99" s="45">
        <f>'Monthly Data'!A99</f>
        <v>43132</v>
      </c>
      <c r="B99" s="29">
        <f t="shared" si="8"/>
        <v>2018</v>
      </c>
      <c r="C99" s="29">
        <f t="shared" si="9"/>
        <v>2</v>
      </c>
      <c r="D99" s="44">
        <f>'Monthly Data'!M99</f>
        <v>72389848.656842589</v>
      </c>
      <c r="E99" s="44">
        <f>'Monthly Data'!BQ99</f>
        <v>2575.0515316179067</v>
      </c>
      <c r="F99" s="46">
        <f t="shared" ca="1" si="12"/>
        <v>473.45</v>
      </c>
      <c r="G99" s="46">
        <f t="shared" ca="1" si="12"/>
        <v>0</v>
      </c>
      <c r="H99" s="46">
        <f>'Monthly Data'!V99</f>
        <v>730276.2</v>
      </c>
      <c r="I99" s="46">
        <f>'Monthly Data'!BG99</f>
        <v>98</v>
      </c>
      <c r="J99" s="46">
        <f>'Monthly Data'!BC99</f>
        <v>0</v>
      </c>
      <c r="L99" s="29">
        <f>'GS&gt;50 PW'!$B$6</f>
        <v>556.26088485683897</v>
      </c>
      <c r="M99" s="29">
        <f ca="1">F99*'GS&gt;50 PW'!$B$7</f>
        <v>215.51925410076973</v>
      </c>
      <c r="N99" s="29">
        <f ca="1">G99*'GS&gt;50 PW'!$B$8</f>
        <v>0</v>
      </c>
      <c r="O99" s="29">
        <f>H99*'GS&gt;50 PW'!$B$9</f>
        <v>2135.9264202299914</v>
      </c>
      <c r="P99" s="29">
        <f>I99*'GS&gt;50 PW'!$B$10</f>
        <v>-350.6749116760945</v>
      </c>
      <c r="Q99" s="29">
        <f>J99*'GS&gt;50 PW'!$B$11</f>
        <v>0</v>
      </c>
      <c r="R99" s="46">
        <f>'Monthly Data'!O99</f>
        <v>1004</v>
      </c>
      <c r="S99" s="46">
        <f>'Monthly Data'!BH99</f>
        <v>28</v>
      </c>
      <c r="T99" s="28">
        <f t="shared" ca="1" si="10"/>
        <v>71883273.674843445</v>
      </c>
    </row>
    <row r="100" spans="1:24" x14ac:dyDescent="0.2">
      <c r="A100" s="45">
        <f>'Monthly Data'!A100</f>
        <v>43160</v>
      </c>
      <c r="B100" s="29">
        <f t="shared" si="8"/>
        <v>2018</v>
      </c>
      <c r="C100" s="29">
        <f t="shared" si="9"/>
        <v>3</v>
      </c>
      <c r="D100" s="44">
        <f>'Monthly Data'!M100</f>
        <v>77808315.656842589</v>
      </c>
      <c r="E100" s="44">
        <f>'Monthly Data'!BQ100</f>
        <v>2490.0254626485721</v>
      </c>
      <c r="F100" s="46">
        <f t="shared" ca="1" si="12"/>
        <v>394.31999999999988</v>
      </c>
      <c r="G100" s="46">
        <f t="shared" ca="1" si="12"/>
        <v>3.0000000000000072E-2</v>
      </c>
      <c r="H100" s="46">
        <f>'Monthly Data'!V100</f>
        <v>730276.2</v>
      </c>
      <c r="I100" s="46">
        <f>'Monthly Data'!BG100</f>
        <v>99</v>
      </c>
      <c r="J100" s="46">
        <f>'Monthly Data'!BC100</f>
        <v>0</v>
      </c>
      <c r="L100" s="29">
        <f>'GS&gt;50 PW'!$B$6</f>
        <v>556.26088485683897</v>
      </c>
      <c r="M100" s="29">
        <f ca="1">F100*'GS&gt;50 PW'!$B$7</f>
        <v>179.49847349670608</v>
      </c>
      <c r="N100" s="29">
        <f ca="1">G100*'GS&gt;50 PW'!$B$8</f>
        <v>4.6437485801708811E-2</v>
      </c>
      <c r="O100" s="29">
        <f>H100*'GS&gt;50 PW'!$B$9</f>
        <v>2135.9264202299914</v>
      </c>
      <c r="P100" s="29">
        <f>I100*'GS&gt;50 PW'!$B$10</f>
        <v>-354.25322710136072</v>
      </c>
      <c r="Q100" s="29">
        <f>J100*'GS&gt;50 PW'!$B$11</f>
        <v>0</v>
      </c>
      <c r="R100" s="46">
        <f>'Monthly Data'!O100</f>
        <v>1008</v>
      </c>
      <c r="S100" s="46">
        <f>'Monthly Data'!BH100</f>
        <v>31</v>
      </c>
      <c r="T100" s="28">
        <f t="shared" ca="1" si="10"/>
        <v>78666183.447271362</v>
      </c>
    </row>
    <row r="101" spans="1:24" x14ac:dyDescent="0.2">
      <c r="A101" s="45">
        <f>'Monthly Data'!A101</f>
        <v>43191</v>
      </c>
      <c r="B101" s="29">
        <f t="shared" si="8"/>
        <v>2018</v>
      </c>
      <c r="C101" s="29">
        <f t="shared" si="9"/>
        <v>4</v>
      </c>
      <c r="D101" s="44">
        <f>'Monthly Data'!M101</f>
        <v>74246303.656842589</v>
      </c>
      <c r="E101" s="44">
        <f>'Monthly Data'!BQ101</f>
        <v>2460.1160920093635</v>
      </c>
      <c r="F101" s="46">
        <f t="shared" ca="1" si="12"/>
        <v>220.23999999999995</v>
      </c>
      <c r="G101" s="46">
        <f t="shared" ca="1" si="12"/>
        <v>1.45</v>
      </c>
      <c r="H101" s="46">
        <f>'Monthly Data'!V101</f>
        <v>730276.2</v>
      </c>
      <c r="I101" s="46">
        <f>'Monthly Data'!BG101</f>
        <v>100</v>
      </c>
      <c r="J101" s="46">
        <f>'Monthly Data'!BC101</f>
        <v>0</v>
      </c>
      <c r="L101" s="29">
        <f>'GS&gt;50 PW'!$B$6</f>
        <v>556.26088485683897</v>
      </c>
      <c r="M101" s="29">
        <f ca="1">F101*'GS&gt;50 PW'!$B$7</f>
        <v>100.25548742877498</v>
      </c>
      <c r="N101" s="29">
        <f ca="1">G101*'GS&gt;50 PW'!$B$8</f>
        <v>2.2444784804159204</v>
      </c>
      <c r="O101" s="29">
        <f>H101*'GS&gt;50 PW'!$B$9</f>
        <v>2135.9264202299914</v>
      </c>
      <c r="P101" s="29">
        <f>I101*'GS&gt;50 PW'!$B$10</f>
        <v>-357.831542526627</v>
      </c>
      <c r="Q101" s="29">
        <f>J101*'GS&gt;50 PW'!$B$11</f>
        <v>0</v>
      </c>
      <c r="R101" s="46">
        <f>'Monthly Data'!O101</f>
        <v>1006</v>
      </c>
      <c r="S101" s="46">
        <f>'Monthly Data'!BH101</f>
        <v>30</v>
      </c>
      <c r="T101" s="28">
        <f t="shared" ca="1" si="10"/>
        <v>73544305.885206312</v>
      </c>
    </row>
    <row r="102" spans="1:24" x14ac:dyDescent="0.2">
      <c r="A102" s="45">
        <f>'Monthly Data'!A102</f>
        <v>43221</v>
      </c>
      <c r="B102" s="29">
        <f t="shared" si="8"/>
        <v>2018</v>
      </c>
      <c r="C102" s="29">
        <f t="shared" si="9"/>
        <v>5</v>
      </c>
      <c r="D102" s="44">
        <f>'Monthly Data'!M102</f>
        <v>76803143.656842589</v>
      </c>
      <c r="E102" s="44">
        <f>'Monthly Data'!BQ102</f>
        <v>2457.8578999245578</v>
      </c>
      <c r="F102" s="46">
        <f t="shared" ca="1" si="12"/>
        <v>68.61</v>
      </c>
      <c r="G102" s="46">
        <f t="shared" ca="1" si="12"/>
        <v>50.69</v>
      </c>
      <c r="H102" s="46">
        <f>'Monthly Data'!V102</f>
        <v>730276.2</v>
      </c>
      <c r="I102" s="46">
        <f>'Monthly Data'!BG102</f>
        <v>101</v>
      </c>
      <c r="J102" s="46">
        <f>'Monthly Data'!BC102</f>
        <v>0</v>
      </c>
      <c r="L102" s="29">
        <f>'GS&gt;50 PW'!$B$6</f>
        <v>556.26088485683897</v>
      </c>
      <c r="M102" s="29">
        <f ca="1">F102*'GS&gt;50 PW'!$B$7</f>
        <v>31.231969635344413</v>
      </c>
      <c r="N102" s="29">
        <f ca="1">G102*'GS&gt;50 PW'!$B$8</f>
        <v>78.463871842953807</v>
      </c>
      <c r="O102" s="29">
        <f>H102*'GS&gt;50 PW'!$B$9</f>
        <v>2135.9264202299914</v>
      </c>
      <c r="P102" s="29">
        <f>I102*'GS&gt;50 PW'!$B$10</f>
        <v>-361.40985795189329</v>
      </c>
      <c r="Q102" s="29">
        <f>J102*'GS&gt;50 PW'!$B$11</f>
        <v>0</v>
      </c>
      <c r="R102" s="46">
        <f>'Monthly Data'!O102</f>
        <v>1008</v>
      </c>
      <c r="S102" s="46">
        <f>'Monthly Data'!BH102</f>
        <v>31</v>
      </c>
      <c r="T102" s="28">
        <f t="shared" ca="1" si="10"/>
        <v>76259909.322586387</v>
      </c>
    </row>
    <row r="103" spans="1:24" x14ac:dyDescent="0.2">
      <c r="A103" s="45">
        <f>'Monthly Data'!A103</f>
        <v>43252</v>
      </c>
      <c r="B103" s="29">
        <f t="shared" si="8"/>
        <v>2018</v>
      </c>
      <c r="C103" s="29">
        <f t="shared" si="9"/>
        <v>6</v>
      </c>
      <c r="D103" s="44">
        <f>'Monthly Data'!M103</f>
        <v>78416513.656842589</v>
      </c>
      <c r="E103" s="44">
        <f>'Monthly Data'!BQ103</f>
        <v>2694.7255552179581</v>
      </c>
      <c r="F103" s="46">
        <f t="shared" ca="1" si="12"/>
        <v>2.7299999999999995</v>
      </c>
      <c r="G103" s="46">
        <f t="shared" ca="1" si="12"/>
        <v>145.17999999999998</v>
      </c>
      <c r="H103" s="46">
        <f>'Monthly Data'!V103</f>
        <v>730276.2</v>
      </c>
      <c r="I103" s="46">
        <f>'Monthly Data'!BG103</f>
        <v>102</v>
      </c>
      <c r="J103" s="46">
        <f>'Monthly Data'!BC103</f>
        <v>0</v>
      </c>
      <c r="L103" s="29">
        <f>'GS&gt;50 PW'!$B$6</f>
        <v>556.26088485683897</v>
      </c>
      <c r="M103" s="29">
        <f ca="1">F103*'GS&gt;50 PW'!$B$7</f>
        <v>1.2427237589927158</v>
      </c>
      <c r="N103" s="29">
        <f ca="1">G103*'GS&gt;50 PW'!$B$8</f>
        <v>224.72647295640229</v>
      </c>
      <c r="O103" s="29">
        <f>H103*'GS&gt;50 PW'!$B$9</f>
        <v>2135.9264202299914</v>
      </c>
      <c r="P103" s="29">
        <f>I103*'GS&gt;50 PW'!$B$10</f>
        <v>-364.98817337715957</v>
      </c>
      <c r="Q103" s="29">
        <f>J103*'GS&gt;50 PW'!$B$11</f>
        <v>0</v>
      </c>
      <c r="R103" s="46">
        <f>'Monthly Data'!O103</f>
        <v>970</v>
      </c>
      <c r="S103" s="46">
        <f>'Monthly Data'!BH103</f>
        <v>30</v>
      </c>
      <c r="T103" s="28">
        <f t="shared" ca="1" si="10"/>
        <v>74297198.357169434</v>
      </c>
    </row>
    <row r="104" spans="1:24" x14ac:dyDescent="0.2">
      <c r="A104" s="45">
        <f>'Monthly Data'!A104</f>
        <v>43282</v>
      </c>
      <c r="B104" s="29">
        <f t="shared" si="8"/>
        <v>2018</v>
      </c>
      <c r="C104" s="29">
        <f t="shared" si="9"/>
        <v>7</v>
      </c>
      <c r="D104" s="44">
        <f>'Monthly Data'!M104</f>
        <v>83770689.656842589</v>
      </c>
      <c r="E104" s="44">
        <f>'Monthly Data'!BQ104</f>
        <v>2785.8559912485066</v>
      </c>
      <c r="F104" s="46">
        <f t="shared" ca="1" si="12"/>
        <v>0</v>
      </c>
      <c r="G104" s="46">
        <f t="shared" ca="1" si="12"/>
        <v>268.18999999999994</v>
      </c>
      <c r="H104" s="46">
        <f>'Monthly Data'!V104</f>
        <v>730276.2</v>
      </c>
      <c r="I104" s="46">
        <f>'Monthly Data'!BG104</f>
        <v>103</v>
      </c>
      <c r="J104" s="46">
        <f>'Monthly Data'!BC104</f>
        <v>0</v>
      </c>
      <c r="L104" s="29">
        <f>'GS&gt;50 PW'!$B$6</f>
        <v>556.26088485683897</v>
      </c>
      <c r="M104" s="29">
        <f ca="1">F104*'GS&gt;50 PW'!$B$7</f>
        <v>0</v>
      </c>
      <c r="N104" s="29">
        <f ca="1">G104*'GS&gt;50 PW'!$B$8</f>
        <v>415.13564390534179</v>
      </c>
      <c r="O104" s="29">
        <f>H104*'GS&gt;50 PW'!$B$9</f>
        <v>2135.9264202299914</v>
      </c>
      <c r="P104" s="29">
        <f>I104*'GS&gt;50 PW'!$B$10</f>
        <v>-368.56648880242579</v>
      </c>
      <c r="Q104" s="29">
        <f>J104*'GS&gt;50 PW'!$B$11</f>
        <v>0</v>
      </c>
      <c r="R104" s="46">
        <f>'Monthly Data'!O104</f>
        <v>970</v>
      </c>
      <c r="S104" s="46">
        <f>'Monthly Data'!BH104</f>
        <v>31</v>
      </c>
      <c r="T104" s="28">
        <f t="shared" ca="1" si="10"/>
        <v>82354406.757905677</v>
      </c>
    </row>
    <row r="105" spans="1:24" x14ac:dyDescent="0.2">
      <c r="A105" s="45">
        <f>'Monthly Data'!A105</f>
        <v>43313</v>
      </c>
      <c r="B105" s="29">
        <f t="shared" si="8"/>
        <v>2018</v>
      </c>
      <c r="C105" s="29">
        <f t="shared" si="9"/>
        <v>8</v>
      </c>
      <c r="D105" s="44">
        <f>'Monthly Data'!M105</f>
        <v>83927361.656842589</v>
      </c>
      <c r="E105" s="44">
        <f>'Monthly Data'!BQ105</f>
        <v>2791.0662340153835</v>
      </c>
      <c r="F105" s="46">
        <f t="shared" ca="1" si="12"/>
        <v>0</v>
      </c>
      <c r="G105" s="46">
        <f t="shared" ca="1" si="12"/>
        <v>239.59000000000006</v>
      </c>
      <c r="H105" s="46">
        <f>'Monthly Data'!V105</f>
        <v>730276.2</v>
      </c>
      <c r="I105" s="46">
        <f>'Monthly Data'!BG105</f>
        <v>104</v>
      </c>
      <c r="J105" s="46">
        <f>'Monthly Data'!BC105</f>
        <v>0</v>
      </c>
      <c r="L105" s="29">
        <f>'GS&gt;50 PW'!$B$6</f>
        <v>556.26088485683897</v>
      </c>
      <c r="M105" s="29">
        <f ca="1">F105*'GS&gt;50 PW'!$B$7</f>
        <v>0</v>
      </c>
      <c r="N105" s="29">
        <f ca="1">G105*'GS&gt;50 PW'!$B$8</f>
        <v>370.86524077437969</v>
      </c>
      <c r="O105" s="29">
        <f>H105*'GS&gt;50 PW'!$B$9</f>
        <v>2135.9264202299914</v>
      </c>
      <c r="P105" s="29">
        <f>I105*'GS&gt;50 PW'!$B$10</f>
        <v>-372.14480422769208</v>
      </c>
      <c r="Q105" s="29">
        <f>J105*'GS&gt;50 PW'!$B$11</f>
        <v>0</v>
      </c>
      <c r="R105" s="46">
        <f>'Monthly Data'!O105</f>
        <v>970</v>
      </c>
      <c r="S105" s="46">
        <f>'Monthly Data'!BH105</f>
        <v>31</v>
      </c>
      <c r="T105" s="28">
        <f t="shared" ca="1" si="10"/>
        <v>80915595.790919885</v>
      </c>
    </row>
    <row r="106" spans="1:24" x14ac:dyDescent="0.2">
      <c r="A106" s="45">
        <f>'Monthly Data'!A106</f>
        <v>43344</v>
      </c>
      <c r="B106" s="29">
        <f t="shared" si="8"/>
        <v>2018</v>
      </c>
      <c r="C106" s="29">
        <f t="shared" si="9"/>
        <v>9</v>
      </c>
      <c r="D106" s="44">
        <f>'Monthly Data'!M106</f>
        <v>76396317.656842589</v>
      </c>
      <c r="E106" s="44">
        <f>'Monthly Data'!BQ106</f>
        <v>2614.5214803847566</v>
      </c>
      <c r="F106" s="46">
        <f t="shared" ca="1" si="12"/>
        <v>5.2099999999999991</v>
      </c>
      <c r="G106" s="46">
        <f t="shared" ca="1" si="12"/>
        <v>132.95000000000002</v>
      </c>
      <c r="H106" s="46">
        <f>'Monthly Data'!V106</f>
        <v>730276.2</v>
      </c>
      <c r="I106" s="46">
        <f>'Monthly Data'!BG106</f>
        <v>105</v>
      </c>
      <c r="J106" s="46">
        <f>'Monthly Data'!BC106</f>
        <v>0</v>
      </c>
      <c r="L106" s="29">
        <f>'GS&gt;50 PW'!$B$6</f>
        <v>556.26088485683897</v>
      </c>
      <c r="M106" s="29">
        <f ca="1">F106*'GS&gt;50 PW'!$B$7</f>
        <v>2.3716449759531315</v>
      </c>
      <c r="N106" s="29">
        <f ca="1">G106*'GS&gt;50 PW'!$B$8</f>
        <v>205.79545791123908</v>
      </c>
      <c r="O106" s="29">
        <f>H106*'GS&gt;50 PW'!$B$9</f>
        <v>2135.9264202299914</v>
      </c>
      <c r="P106" s="29">
        <f>I106*'GS&gt;50 PW'!$B$10</f>
        <v>-375.72311965295836</v>
      </c>
      <c r="Q106" s="29">
        <f>J106*'GS&gt;50 PW'!$B$11</f>
        <v>0</v>
      </c>
      <c r="R106" s="46">
        <f>'Monthly Data'!O106</f>
        <v>974</v>
      </c>
      <c r="S106" s="46">
        <f>'Monthly Data'!BH106</f>
        <v>30</v>
      </c>
      <c r="T106" s="28">
        <f t="shared" ca="1" si="10"/>
        <v>73769726.244741499</v>
      </c>
    </row>
    <row r="107" spans="1:24" x14ac:dyDescent="0.2">
      <c r="A107" s="45">
        <v>43374</v>
      </c>
      <c r="B107" s="29">
        <f t="shared" si="8"/>
        <v>2018</v>
      </c>
      <c r="C107" s="29">
        <f t="shared" si="9"/>
        <v>10</v>
      </c>
      <c r="D107" s="44">
        <f>'Monthly Data'!M107</f>
        <v>72584854.656842589</v>
      </c>
      <c r="E107" s="44">
        <f>'Monthly Data'!BQ107</f>
        <v>2408.8960127718901</v>
      </c>
      <c r="F107" s="46">
        <f t="shared" ca="1" si="12"/>
        <v>90.66</v>
      </c>
      <c r="G107" s="46">
        <f t="shared" ca="1" si="12"/>
        <v>27.9</v>
      </c>
      <c r="H107" s="46">
        <f>'Monthly Data'!V107</f>
        <v>730276.2</v>
      </c>
      <c r="I107" s="46">
        <f>'Monthly Data'!BG107</f>
        <v>106</v>
      </c>
      <c r="J107" s="46">
        <f>'Monthly Data'!BC107</f>
        <v>0</v>
      </c>
      <c r="L107" s="29">
        <f>'GS&gt;50 PW'!$B$6</f>
        <v>556.26088485683897</v>
      </c>
      <c r="M107" s="29">
        <f ca="1">F107*'GS&gt;50 PW'!$B$7</f>
        <v>41.269353842593269</v>
      </c>
      <c r="N107" s="29">
        <f ca="1">G107*'GS&gt;50 PW'!$B$8</f>
        <v>43.186861795589088</v>
      </c>
      <c r="O107" s="29">
        <f>H107*'GS&gt;50 PW'!$B$9</f>
        <v>2135.9264202299914</v>
      </c>
      <c r="P107" s="29">
        <f>I107*'GS&gt;50 PW'!$B$10</f>
        <v>-379.30143507822464</v>
      </c>
      <c r="Q107" s="29">
        <f>J107*'GS&gt;50 PW'!$B$11</f>
        <v>0</v>
      </c>
      <c r="R107" s="46">
        <f>'Monthly Data'!O107</f>
        <v>972</v>
      </c>
      <c r="S107" s="46">
        <f>'Monthly Data'!BH107</f>
        <v>31</v>
      </c>
      <c r="T107" s="28">
        <f t="shared" ca="1" si="10"/>
        <v>72236711.724709019</v>
      </c>
    </row>
    <row r="108" spans="1:24" x14ac:dyDescent="0.2">
      <c r="A108" s="45">
        <v>43405</v>
      </c>
      <c r="B108" s="29">
        <f t="shared" si="8"/>
        <v>2018</v>
      </c>
      <c r="C108" s="29">
        <f t="shared" si="9"/>
        <v>11</v>
      </c>
      <c r="D108" s="44">
        <f>'Monthly Data'!M108</f>
        <v>72301301.656842589</v>
      </c>
      <c r="E108" s="44">
        <f>'Monthly Data'!BQ108</f>
        <v>2479.468506750432</v>
      </c>
      <c r="F108" s="46">
        <f t="shared" ca="1" si="12"/>
        <v>264.88</v>
      </c>
      <c r="G108" s="46">
        <f t="shared" ca="1" si="12"/>
        <v>0.69000000000000006</v>
      </c>
      <c r="H108" s="46">
        <f>'Monthly Data'!V108</f>
        <v>730276.2</v>
      </c>
      <c r="I108" s="46">
        <f>'Monthly Data'!BG108</f>
        <v>107</v>
      </c>
      <c r="J108" s="46">
        <f>'Monthly Data'!BC108</f>
        <v>0</v>
      </c>
      <c r="L108" s="29">
        <f>'GS&gt;50 PW'!$B$6</f>
        <v>556.26088485683897</v>
      </c>
      <c r="M108" s="29">
        <f ca="1">F108*'GS&gt;50 PW'!$B$7</f>
        <v>120.5760693340625</v>
      </c>
      <c r="N108" s="29">
        <f ca="1">G108*'GS&gt;50 PW'!$B$8</f>
        <v>1.0680621734393003</v>
      </c>
      <c r="O108" s="29">
        <f>H108*'GS&gt;50 PW'!$B$9</f>
        <v>2135.9264202299914</v>
      </c>
      <c r="P108" s="29">
        <f>I108*'GS&gt;50 PW'!$B$10</f>
        <v>-382.87975050349092</v>
      </c>
      <c r="Q108" s="29">
        <f>J108*'GS&gt;50 PW'!$B$11</f>
        <v>0</v>
      </c>
      <c r="R108" s="46">
        <f>'Monthly Data'!O108</f>
        <v>972</v>
      </c>
      <c r="S108" s="46">
        <f>'Monthly Data'!BH108</f>
        <v>30</v>
      </c>
      <c r="T108" s="28">
        <f t="shared" ca="1" si="10"/>
        <v>70886551.166408941</v>
      </c>
    </row>
    <row r="109" spans="1:24" x14ac:dyDescent="0.2">
      <c r="A109" s="45">
        <v>43435</v>
      </c>
      <c r="B109" s="29">
        <f t="shared" si="8"/>
        <v>2018</v>
      </c>
      <c r="C109" s="29">
        <f t="shared" si="9"/>
        <v>12</v>
      </c>
      <c r="D109" s="44">
        <f>'Monthly Data'!M109</f>
        <v>71622528.656842589</v>
      </c>
      <c r="E109" s="44">
        <f>'Monthly Data'!BQ109</f>
        <v>2372.0781829781608</v>
      </c>
      <c r="F109" s="46">
        <f t="shared" ca="1" si="12"/>
        <v>413.65</v>
      </c>
      <c r="G109" s="46">
        <f t="shared" ca="1" si="12"/>
        <v>0</v>
      </c>
      <c r="H109" s="46">
        <f>'Monthly Data'!V109</f>
        <v>730276.2</v>
      </c>
      <c r="I109" s="46">
        <f>'Monthly Data'!BG109</f>
        <v>108</v>
      </c>
      <c r="J109" s="46">
        <f>'Monthly Data'!BC109</f>
        <v>1</v>
      </c>
      <c r="L109" s="29">
        <f>'GS&gt;50 PW'!$B$6</f>
        <v>556.26088485683897</v>
      </c>
      <c r="M109" s="29">
        <f ca="1">F109*'GS&gt;50 PW'!$B$7</f>
        <v>188.29768604664358</v>
      </c>
      <c r="N109" s="29">
        <f ca="1">G109*'GS&gt;50 PW'!$B$8</f>
        <v>0</v>
      </c>
      <c r="O109" s="29">
        <f>H109*'GS&gt;50 PW'!$B$9</f>
        <v>2135.9264202299914</v>
      </c>
      <c r="P109" s="29">
        <f>I109*'GS&gt;50 PW'!$B$10</f>
        <v>-386.45806592875715</v>
      </c>
      <c r="Q109" s="29">
        <f>J109*'GS&gt;50 PW'!$B$11</f>
        <v>-107.242128303215</v>
      </c>
      <c r="R109" s="46">
        <f>'Monthly Data'!O109</f>
        <v>974</v>
      </c>
      <c r="S109" s="46">
        <f>'Monthly Data'!BH109</f>
        <v>31</v>
      </c>
      <c r="T109" s="28">
        <f t="shared" ca="1" si="10"/>
        <v>72066580.157643944</v>
      </c>
    </row>
    <row r="110" spans="1:24" x14ac:dyDescent="0.2">
      <c r="A110" s="45">
        <v>43466</v>
      </c>
      <c r="B110" s="29">
        <f t="shared" si="8"/>
        <v>2019</v>
      </c>
      <c r="C110" s="29">
        <f t="shared" si="9"/>
        <v>1</v>
      </c>
      <c r="D110" s="44">
        <f>'Monthly Data'!M110</f>
        <v>78801666.567807063</v>
      </c>
      <c r="E110" s="44">
        <f>'Monthly Data'!BQ110</f>
        <v>2609.8452198386121</v>
      </c>
      <c r="F110" s="46">
        <f t="shared" ref="F110:G121" ca="1" si="13">F98</f>
        <v>539.1400000000001</v>
      </c>
      <c r="G110" s="46">
        <f t="shared" ca="1" si="13"/>
        <v>0</v>
      </c>
      <c r="H110" s="46">
        <f>'Monthly Data'!V110</f>
        <v>744439.6</v>
      </c>
      <c r="I110" s="46">
        <f>'Monthly Data'!BG110</f>
        <v>109</v>
      </c>
      <c r="J110" s="46">
        <f>'Monthly Data'!BC110</f>
        <v>0</v>
      </c>
      <c r="L110" s="29">
        <f>'GS&gt;50 PW'!$B$6</f>
        <v>556.26088485683897</v>
      </c>
      <c r="M110" s="29">
        <f ca="1">F110*'GS&gt;50 PW'!$B$7</f>
        <v>245.42201004517693</v>
      </c>
      <c r="N110" s="29">
        <f ca="1">G110*'GS&gt;50 PW'!$B$8</f>
        <v>0</v>
      </c>
      <c r="O110" s="29">
        <f>H110*'GS&gt;50 PW'!$B$9</f>
        <v>2177.3518155260253</v>
      </c>
      <c r="P110" s="29">
        <f>I110*'GS&gt;50 PW'!$B$10</f>
        <v>-390.03638135402343</v>
      </c>
      <c r="Q110" s="29">
        <f>J110*'GS&gt;50 PW'!$B$11</f>
        <v>0</v>
      </c>
      <c r="R110" s="46">
        <f>'Monthly Data'!O110</f>
        <v>974</v>
      </c>
      <c r="S110" s="46">
        <f>'Monthly Data'!BH110</f>
        <v>31</v>
      </c>
      <c r="T110" s="28">
        <f t="shared" ca="1" si="10"/>
        <v>78172215.548060894</v>
      </c>
    </row>
    <row r="111" spans="1:24" x14ac:dyDescent="0.2">
      <c r="A111" s="45">
        <v>43497</v>
      </c>
      <c r="B111" s="29">
        <f t="shared" si="8"/>
        <v>2019</v>
      </c>
      <c r="C111" s="29">
        <f t="shared" si="9"/>
        <v>2</v>
      </c>
      <c r="D111" s="44">
        <f>'Monthly Data'!M111</f>
        <v>71331586.567807063</v>
      </c>
      <c r="E111" s="44">
        <f>'Monthly Data'!BQ111</f>
        <v>2620.9430690699241</v>
      </c>
      <c r="F111" s="46">
        <f t="shared" ca="1" si="13"/>
        <v>473.45</v>
      </c>
      <c r="G111" s="46">
        <f t="shared" ca="1" si="13"/>
        <v>0</v>
      </c>
      <c r="H111" s="46">
        <f>'Monthly Data'!V111</f>
        <v>744439.6</v>
      </c>
      <c r="I111" s="46">
        <f>'Monthly Data'!BG111</f>
        <v>110</v>
      </c>
      <c r="J111" s="46">
        <f>'Monthly Data'!BC111</f>
        <v>0</v>
      </c>
      <c r="L111" s="29">
        <f>'GS&gt;50 PW'!$B$6</f>
        <v>556.26088485683897</v>
      </c>
      <c r="M111" s="29">
        <f ca="1">F111*'GS&gt;50 PW'!$B$7</f>
        <v>215.51925410076973</v>
      </c>
      <c r="N111" s="29">
        <f ca="1">G111*'GS&gt;50 PW'!$B$8</f>
        <v>0</v>
      </c>
      <c r="O111" s="29">
        <f>H111*'GS&gt;50 PW'!$B$9</f>
        <v>2177.3518155260253</v>
      </c>
      <c r="P111" s="29">
        <f>I111*'GS&gt;50 PW'!$B$10</f>
        <v>-393.61469677928972</v>
      </c>
      <c r="Q111" s="29">
        <f>J111*'GS&gt;50 PW'!$B$11</f>
        <v>0</v>
      </c>
      <c r="R111" s="46">
        <f>'Monthly Data'!O111</f>
        <v>972</v>
      </c>
      <c r="S111" s="46">
        <f>'Monthly Data'!BH111</f>
        <v>28</v>
      </c>
      <c r="T111" s="28">
        <f t="shared" ca="1" si="10"/>
        <v>69550957.685681432</v>
      </c>
    </row>
    <row r="112" spans="1:24" x14ac:dyDescent="0.2">
      <c r="A112" s="45">
        <v>43525</v>
      </c>
      <c r="B112" s="29">
        <f t="shared" si="8"/>
        <v>2019</v>
      </c>
      <c r="C112" s="29">
        <f t="shared" si="9"/>
        <v>3</v>
      </c>
      <c r="D112" s="44">
        <f>'Monthly Data'!M112</f>
        <v>76137811.567807063</v>
      </c>
      <c r="E112" s="44">
        <f>'Monthly Data'!BQ112</f>
        <v>2526.8090922543165</v>
      </c>
      <c r="F112" s="46">
        <f t="shared" ca="1" si="13"/>
        <v>394.31999999999988</v>
      </c>
      <c r="G112" s="46">
        <f t="shared" ca="1" si="13"/>
        <v>3.0000000000000072E-2</v>
      </c>
      <c r="H112" s="46">
        <f>'Monthly Data'!V112</f>
        <v>744439.6</v>
      </c>
      <c r="I112" s="46">
        <f>'Monthly Data'!BG112</f>
        <v>111</v>
      </c>
      <c r="J112" s="46">
        <f>'Monthly Data'!BC112</f>
        <v>0</v>
      </c>
      <c r="L112" s="29">
        <f>'GS&gt;50 PW'!$B$6</f>
        <v>556.26088485683897</v>
      </c>
      <c r="M112" s="29">
        <f ca="1">F112*'GS&gt;50 PW'!$B$7</f>
        <v>179.49847349670608</v>
      </c>
      <c r="N112" s="29">
        <f ca="1">G112*'GS&gt;50 PW'!$B$8</f>
        <v>4.6437485801708811E-2</v>
      </c>
      <c r="O112" s="29">
        <f>H112*'GS&gt;50 PW'!$B$9</f>
        <v>2177.3518155260253</v>
      </c>
      <c r="P112" s="29">
        <f>I112*'GS&gt;50 PW'!$B$10</f>
        <v>-397.193012204556</v>
      </c>
      <c r="Q112" s="29">
        <f>J112*'GS&gt;50 PW'!$B$11</f>
        <v>0</v>
      </c>
      <c r="R112" s="46">
        <f>'Monthly Data'!O112</f>
        <v>972</v>
      </c>
      <c r="S112" s="46">
        <f>'Monthly Data'!BH112</f>
        <v>31</v>
      </c>
      <c r="T112" s="28">
        <f t="shared" ca="1" si="10"/>
        <v>75811045.301913694</v>
      </c>
      <c r="W112" s="26"/>
      <c r="X112" s="47"/>
    </row>
    <row r="113" spans="1:24" x14ac:dyDescent="0.2">
      <c r="A113" s="45">
        <v>43556</v>
      </c>
      <c r="B113" s="29">
        <f t="shared" si="8"/>
        <v>2019</v>
      </c>
      <c r="C113" s="29">
        <f t="shared" si="9"/>
        <v>4</v>
      </c>
      <c r="D113" s="44">
        <f>'Monthly Data'!M113</f>
        <v>69883776.567807063</v>
      </c>
      <c r="E113" s="44">
        <f>'Monthly Data'!BQ113</f>
        <v>2394.0999166771862</v>
      </c>
      <c r="F113" s="46">
        <f t="shared" ca="1" si="13"/>
        <v>220.23999999999995</v>
      </c>
      <c r="G113" s="46">
        <f t="shared" ca="1" si="13"/>
        <v>1.45</v>
      </c>
      <c r="H113" s="46">
        <f>'Monthly Data'!V113</f>
        <v>744439.6</v>
      </c>
      <c r="I113" s="46">
        <f>'Monthly Data'!BG113</f>
        <v>112</v>
      </c>
      <c r="J113" s="46">
        <f>'Monthly Data'!BC113</f>
        <v>0</v>
      </c>
      <c r="L113" s="29">
        <f>'GS&gt;50 PW'!$B$6</f>
        <v>556.26088485683897</v>
      </c>
      <c r="M113" s="29">
        <f ca="1">F113*'GS&gt;50 PW'!$B$7</f>
        <v>100.25548742877498</v>
      </c>
      <c r="N113" s="29">
        <f ca="1">G113*'GS&gt;50 PW'!$B$8</f>
        <v>2.2444784804159204</v>
      </c>
      <c r="O113" s="29">
        <f>H113*'GS&gt;50 PW'!$B$9</f>
        <v>2177.3518155260253</v>
      </c>
      <c r="P113" s="29">
        <f>I113*'GS&gt;50 PW'!$B$10</f>
        <v>-400.77132762982228</v>
      </c>
      <c r="Q113" s="29">
        <f>J113*'GS&gt;50 PW'!$B$11</f>
        <v>0</v>
      </c>
      <c r="R113" s="46">
        <f>'Monthly Data'!O113</f>
        <v>973</v>
      </c>
      <c r="S113" s="46">
        <f>'Monthly Data'!BH113</f>
        <v>30</v>
      </c>
      <c r="T113" s="28">
        <f t="shared" ca="1" si="10"/>
        <v>71087613.67555058</v>
      </c>
      <c r="W113" s="26"/>
      <c r="X113" s="47"/>
    </row>
    <row r="114" spans="1:24" x14ac:dyDescent="0.2">
      <c r="A114" s="45">
        <v>43586</v>
      </c>
      <c r="B114" s="29">
        <f t="shared" si="8"/>
        <v>2019</v>
      </c>
      <c r="C114" s="29">
        <f t="shared" si="9"/>
        <v>5</v>
      </c>
      <c r="D114" s="44">
        <f>'Monthly Data'!M114</f>
        <v>70924333.567807063</v>
      </c>
      <c r="E114" s="44">
        <f>'Monthly Data'!BQ114</f>
        <v>2341.74178914409</v>
      </c>
      <c r="F114" s="46">
        <f t="shared" ca="1" si="13"/>
        <v>68.61</v>
      </c>
      <c r="G114" s="46">
        <f t="shared" ca="1" si="13"/>
        <v>50.69</v>
      </c>
      <c r="H114" s="46">
        <f>'Monthly Data'!V114</f>
        <v>744439.6</v>
      </c>
      <c r="I114" s="46">
        <f>'Monthly Data'!BG114</f>
        <v>113</v>
      </c>
      <c r="J114" s="46">
        <f>'Monthly Data'!BC114</f>
        <v>0</v>
      </c>
      <c r="L114" s="29">
        <f>'GS&gt;50 PW'!$B$6</f>
        <v>556.26088485683897</v>
      </c>
      <c r="M114" s="29">
        <f ca="1">F114*'GS&gt;50 PW'!$B$7</f>
        <v>31.231969635344413</v>
      </c>
      <c r="N114" s="29">
        <f ca="1">G114*'GS&gt;50 PW'!$B$8</f>
        <v>78.463871842953807</v>
      </c>
      <c r="O114" s="29">
        <f>H114*'GS&gt;50 PW'!$B$9</f>
        <v>2177.3518155260253</v>
      </c>
      <c r="P114" s="29">
        <f>I114*'GS&gt;50 PW'!$B$10</f>
        <v>-404.34964305508851</v>
      </c>
      <c r="Q114" s="29">
        <f>J114*'GS&gt;50 PW'!$B$11</f>
        <v>0</v>
      </c>
      <c r="R114" s="46">
        <f>'Monthly Data'!O114</f>
        <v>977</v>
      </c>
      <c r="S114" s="46">
        <f>'Monthly Data'!BH114</f>
        <v>31</v>
      </c>
      <c r="T114" s="28">
        <f t="shared" ca="1" si="10"/>
        <v>73868748.168139562</v>
      </c>
      <c r="W114" s="26"/>
      <c r="X114" s="47"/>
    </row>
    <row r="115" spans="1:24" x14ac:dyDescent="0.2">
      <c r="A115" s="45">
        <v>43617</v>
      </c>
      <c r="B115" s="29">
        <f t="shared" si="8"/>
        <v>2019</v>
      </c>
      <c r="C115" s="29">
        <f t="shared" si="9"/>
        <v>6</v>
      </c>
      <c r="D115" s="44">
        <f>'Monthly Data'!M115</f>
        <v>71942833.567807063</v>
      </c>
      <c r="E115" s="44">
        <f>'Monthly Data'!BQ115</f>
        <v>2442.051377047083</v>
      </c>
      <c r="F115" s="46">
        <f t="shared" ca="1" si="13"/>
        <v>2.7299999999999995</v>
      </c>
      <c r="G115" s="46">
        <f t="shared" ca="1" si="13"/>
        <v>145.17999999999998</v>
      </c>
      <c r="H115" s="46">
        <f>'Monthly Data'!V115</f>
        <v>744439.6</v>
      </c>
      <c r="I115" s="46">
        <f>'Monthly Data'!BG115</f>
        <v>114</v>
      </c>
      <c r="J115" s="46">
        <f>'Monthly Data'!BC115</f>
        <v>0</v>
      </c>
      <c r="L115" s="29">
        <f>'GS&gt;50 PW'!$B$6</f>
        <v>556.26088485683897</v>
      </c>
      <c r="M115" s="29">
        <f ca="1">F115*'GS&gt;50 PW'!$B$7</f>
        <v>1.2427237589927158</v>
      </c>
      <c r="N115" s="29">
        <f ca="1">G115*'GS&gt;50 PW'!$B$8</f>
        <v>224.72647295640229</v>
      </c>
      <c r="O115" s="29">
        <f>H115*'GS&gt;50 PW'!$B$9</f>
        <v>2177.3518155260253</v>
      </c>
      <c r="P115" s="29">
        <f>I115*'GS&gt;50 PW'!$B$10</f>
        <v>-407.92795848035479</v>
      </c>
      <c r="Q115" s="29">
        <f>J115*'GS&gt;50 PW'!$B$11</f>
        <v>0</v>
      </c>
      <c r="R115" s="46">
        <f>'Monthly Data'!O115</f>
        <v>982</v>
      </c>
      <c r="S115" s="46">
        <f>'Monthly Data'!BH115</f>
        <v>30</v>
      </c>
      <c r="T115" s="28">
        <f t="shared" ca="1" si="10"/>
        <v>75171725.03168346</v>
      </c>
      <c r="W115" s="26"/>
      <c r="X115" s="47"/>
    </row>
    <row r="116" spans="1:24" x14ac:dyDescent="0.2">
      <c r="A116" s="45">
        <v>43647</v>
      </c>
      <c r="B116" s="29">
        <f t="shared" si="8"/>
        <v>2019</v>
      </c>
      <c r="C116" s="29">
        <f t="shared" si="9"/>
        <v>7</v>
      </c>
      <c r="D116" s="44">
        <f>'Monthly Data'!M116</f>
        <v>83258537.567807063</v>
      </c>
      <c r="E116" s="44">
        <f>'Monthly Data'!BQ116</f>
        <v>2734.9890798175898</v>
      </c>
      <c r="F116" s="46">
        <f t="shared" ca="1" si="13"/>
        <v>0</v>
      </c>
      <c r="G116" s="46">
        <f t="shared" ca="1" si="13"/>
        <v>268.18999999999994</v>
      </c>
      <c r="H116" s="46">
        <f>'Monthly Data'!V116</f>
        <v>744439.6</v>
      </c>
      <c r="I116" s="46">
        <f>'Monthly Data'!BG116</f>
        <v>115</v>
      </c>
      <c r="J116" s="46">
        <f>'Monthly Data'!BC116</f>
        <v>0</v>
      </c>
      <c r="L116" s="29">
        <f>'GS&gt;50 PW'!$B$6</f>
        <v>556.26088485683897</v>
      </c>
      <c r="M116" s="29">
        <f ca="1">F116*'GS&gt;50 PW'!$B$7</f>
        <v>0</v>
      </c>
      <c r="N116" s="29">
        <f ca="1">G116*'GS&gt;50 PW'!$B$8</f>
        <v>415.13564390534179</v>
      </c>
      <c r="O116" s="29">
        <f>H116*'GS&gt;50 PW'!$B$9</f>
        <v>2177.3518155260253</v>
      </c>
      <c r="P116" s="29">
        <f>I116*'GS&gt;50 PW'!$B$10</f>
        <v>-411.50627390562107</v>
      </c>
      <c r="Q116" s="29">
        <f>J116*'GS&gt;50 PW'!$B$11</f>
        <v>0</v>
      </c>
      <c r="R116" s="46">
        <f>'Monthly Data'!O116</f>
        <v>982</v>
      </c>
      <c r="S116" s="46">
        <f>'Monthly Data'!BH116</f>
        <v>31</v>
      </c>
      <c r="T116" s="28">
        <f t="shared" ca="1" si="10"/>
        <v>83327123.106586665</v>
      </c>
      <c r="W116" s="26"/>
      <c r="X116" s="47"/>
    </row>
    <row r="117" spans="1:24" x14ac:dyDescent="0.2">
      <c r="A117" s="45">
        <v>43678</v>
      </c>
      <c r="B117" s="29">
        <f t="shared" si="8"/>
        <v>2019</v>
      </c>
      <c r="C117" s="29">
        <f t="shared" si="9"/>
        <v>8</v>
      </c>
      <c r="D117" s="44">
        <f>'Monthly Data'!M117</f>
        <v>79859842.567807063</v>
      </c>
      <c r="E117" s="44">
        <f>'Monthly Data'!BQ117</f>
        <v>2620.6754362158981</v>
      </c>
      <c r="F117" s="46">
        <f t="shared" ca="1" si="13"/>
        <v>0</v>
      </c>
      <c r="G117" s="46">
        <f t="shared" ca="1" si="13"/>
        <v>239.59000000000006</v>
      </c>
      <c r="H117" s="46">
        <f>'Monthly Data'!V117</f>
        <v>744439.6</v>
      </c>
      <c r="I117" s="46">
        <f>'Monthly Data'!BG117</f>
        <v>116</v>
      </c>
      <c r="J117" s="46">
        <f>'Monthly Data'!BC117</f>
        <v>0</v>
      </c>
      <c r="L117" s="29">
        <f>'GS&gt;50 PW'!$B$6</f>
        <v>556.26088485683897</v>
      </c>
      <c r="M117" s="29">
        <f ca="1">F117*'GS&gt;50 PW'!$B$7</f>
        <v>0</v>
      </c>
      <c r="N117" s="29">
        <f ca="1">G117*'GS&gt;50 PW'!$B$8</f>
        <v>370.86524077437969</v>
      </c>
      <c r="O117" s="29">
        <f>H117*'GS&gt;50 PW'!$B$9</f>
        <v>2177.3518155260253</v>
      </c>
      <c r="P117" s="29">
        <f>I117*'GS&gt;50 PW'!$B$10</f>
        <v>-415.08458933088735</v>
      </c>
      <c r="Q117" s="29">
        <f>J117*'GS&gt;50 PW'!$B$11</f>
        <v>0</v>
      </c>
      <c r="R117" s="46">
        <f>'Monthly Data'!O117</f>
        <v>983</v>
      </c>
      <c r="S117" s="46">
        <f>'Monthly Data'!BH117</f>
        <v>31</v>
      </c>
      <c r="T117" s="28">
        <f t="shared" ca="1" si="10"/>
        <v>81953883.610204577</v>
      </c>
      <c r="W117" s="26"/>
      <c r="X117" s="47"/>
    </row>
    <row r="118" spans="1:24" x14ac:dyDescent="0.2">
      <c r="A118" s="45">
        <v>43709</v>
      </c>
      <c r="B118" s="29">
        <f t="shared" si="8"/>
        <v>2019</v>
      </c>
      <c r="C118" s="29">
        <f t="shared" si="9"/>
        <v>9</v>
      </c>
      <c r="D118" s="44">
        <f>'Monthly Data'!M118</f>
        <v>73220953.567807063</v>
      </c>
      <c r="E118" s="44">
        <f>'Monthly Data'!BQ118</f>
        <v>2487.9698799798525</v>
      </c>
      <c r="F118" s="46">
        <f t="shared" ca="1" si="13"/>
        <v>5.2099999999999991</v>
      </c>
      <c r="G118" s="46">
        <f t="shared" ca="1" si="13"/>
        <v>132.95000000000002</v>
      </c>
      <c r="H118" s="46">
        <f>'Monthly Data'!V118</f>
        <v>744439.6</v>
      </c>
      <c r="I118" s="46">
        <f>'Monthly Data'!BG118</f>
        <v>117</v>
      </c>
      <c r="J118" s="46">
        <f>'Monthly Data'!BC118</f>
        <v>0</v>
      </c>
      <c r="L118" s="29">
        <f>'GS&gt;50 PW'!$B$6</f>
        <v>556.26088485683897</v>
      </c>
      <c r="M118" s="29">
        <f ca="1">F118*'GS&gt;50 PW'!$B$7</f>
        <v>2.3716449759531315</v>
      </c>
      <c r="N118" s="29">
        <f ca="1">G118*'GS&gt;50 PW'!$B$8</f>
        <v>205.79545791123908</v>
      </c>
      <c r="O118" s="29">
        <f>H118*'GS&gt;50 PW'!$B$9</f>
        <v>2177.3518155260253</v>
      </c>
      <c r="P118" s="29">
        <f>I118*'GS&gt;50 PW'!$B$10</f>
        <v>-418.66290475615358</v>
      </c>
      <c r="Q118" s="29">
        <f>J118*'GS&gt;50 PW'!$B$11</f>
        <v>0</v>
      </c>
      <c r="R118" s="46">
        <f>'Monthly Data'!O118</f>
        <v>981</v>
      </c>
      <c r="S118" s="46">
        <f>'Monthly Data'!BH118</f>
        <v>30</v>
      </c>
      <c r="T118" s="28">
        <f t="shared" ca="1" si="10"/>
        <v>74255330.323264152</v>
      </c>
      <c r="W118" s="26"/>
      <c r="X118" s="47"/>
    </row>
    <row r="119" spans="1:24" x14ac:dyDescent="0.2">
      <c r="A119" s="45">
        <v>43739</v>
      </c>
      <c r="B119" s="29">
        <f t="shared" si="8"/>
        <v>2019</v>
      </c>
      <c r="C119" s="29">
        <f t="shared" si="9"/>
        <v>10</v>
      </c>
      <c r="D119" s="44">
        <f>'Monthly Data'!M119</f>
        <v>71051748.567807063</v>
      </c>
      <c r="E119" s="44">
        <f>'Monthly Data'!BQ119</f>
        <v>2338.7672339633664</v>
      </c>
      <c r="F119" s="46">
        <f t="shared" ca="1" si="13"/>
        <v>90.66</v>
      </c>
      <c r="G119" s="46">
        <f t="shared" ca="1" si="13"/>
        <v>27.9</v>
      </c>
      <c r="H119" s="46">
        <f>'Monthly Data'!V119</f>
        <v>744439.6</v>
      </c>
      <c r="I119" s="46">
        <f>'Monthly Data'!BG119</f>
        <v>118</v>
      </c>
      <c r="J119" s="46">
        <f>'Monthly Data'!BC119</f>
        <v>0</v>
      </c>
      <c r="L119" s="29">
        <f>'GS&gt;50 PW'!$B$6</f>
        <v>556.26088485683897</v>
      </c>
      <c r="M119" s="29">
        <f ca="1">F119*'GS&gt;50 PW'!$B$7</f>
        <v>41.269353842593269</v>
      </c>
      <c r="N119" s="29">
        <f ca="1">G119*'GS&gt;50 PW'!$B$8</f>
        <v>43.186861795589088</v>
      </c>
      <c r="O119" s="29">
        <f>H119*'GS&gt;50 PW'!$B$9</f>
        <v>2177.3518155260253</v>
      </c>
      <c r="P119" s="29">
        <f>I119*'GS&gt;50 PW'!$B$10</f>
        <v>-422.24122018141986</v>
      </c>
      <c r="Q119" s="29">
        <f>J119*'GS&gt;50 PW'!$B$11</f>
        <v>0</v>
      </c>
      <c r="R119" s="46">
        <f>'Monthly Data'!O119</f>
        <v>980</v>
      </c>
      <c r="S119" s="46">
        <f>'Monthly Data'!BH119</f>
        <v>31</v>
      </c>
      <c r="T119" s="28">
        <f t="shared" ca="1" si="10"/>
        <v>72785245.399607867</v>
      </c>
      <c r="W119" s="26"/>
      <c r="X119" s="47"/>
    </row>
    <row r="120" spans="1:24" x14ac:dyDescent="0.2">
      <c r="A120" s="45">
        <v>43770</v>
      </c>
      <c r="B120" s="29">
        <f t="shared" si="8"/>
        <v>2019</v>
      </c>
      <c r="C120" s="29">
        <f t="shared" si="9"/>
        <v>11</v>
      </c>
      <c r="D120" s="44">
        <f>'Monthly Data'!M120</f>
        <v>71481685.567807063</v>
      </c>
      <c r="E120" s="44">
        <f>'Monthly Data'!BQ120</f>
        <v>2336.0027963335642</v>
      </c>
      <c r="F120" s="46">
        <f t="shared" ca="1" si="13"/>
        <v>264.88</v>
      </c>
      <c r="G120" s="46">
        <f t="shared" ca="1" si="13"/>
        <v>0.69000000000000006</v>
      </c>
      <c r="H120" s="46">
        <f>'Monthly Data'!V120</f>
        <v>744439.6</v>
      </c>
      <c r="I120" s="46">
        <f>'Monthly Data'!BG120</f>
        <v>119</v>
      </c>
      <c r="J120" s="46">
        <f>'Monthly Data'!BC120</f>
        <v>0</v>
      </c>
      <c r="L120" s="29">
        <f>'GS&gt;50 PW'!$B$6</f>
        <v>556.26088485683897</v>
      </c>
      <c r="M120" s="29">
        <f ca="1">F120*'GS&gt;50 PW'!$B$7</f>
        <v>120.5760693340625</v>
      </c>
      <c r="N120" s="29">
        <f ca="1">G120*'GS&gt;50 PW'!$B$8</f>
        <v>1.0680621734393003</v>
      </c>
      <c r="O120" s="29">
        <f>H120*'GS&gt;50 PW'!$B$9</f>
        <v>2177.3518155260253</v>
      </c>
      <c r="P120" s="29">
        <f>I120*'GS&gt;50 PW'!$B$10</f>
        <v>-425.81953560668615</v>
      </c>
      <c r="Q120" s="29">
        <f>J120*'GS&gt;50 PW'!$B$11</f>
        <v>0</v>
      </c>
      <c r="R120" s="46">
        <f>'Monthly Data'!O120</f>
        <v>1020</v>
      </c>
      <c r="S120" s="46">
        <f>'Monthly Data'!BH120</f>
        <v>30</v>
      </c>
      <c r="T120" s="28">
        <f t="shared" ca="1" si="10"/>
        <v>74340781.266280591</v>
      </c>
      <c r="W120" s="26"/>
      <c r="X120" s="47"/>
    </row>
    <row r="121" spans="1:24" x14ac:dyDescent="0.2">
      <c r="A121" s="45">
        <v>43800</v>
      </c>
      <c r="B121" s="29">
        <f t="shared" si="8"/>
        <v>2019</v>
      </c>
      <c r="C121" s="29">
        <f t="shared" si="9"/>
        <v>12</v>
      </c>
      <c r="D121" s="44">
        <f>'Monthly Data'!M121</f>
        <v>72324333.567807063</v>
      </c>
      <c r="E121" s="44">
        <f>'Monthly Data'!BQ121</f>
        <v>2282.8209572567093</v>
      </c>
      <c r="F121" s="46">
        <f t="shared" ca="1" si="13"/>
        <v>413.65</v>
      </c>
      <c r="G121" s="46">
        <f t="shared" ca="1" si="13"/>
        <v>0</v>
      </c>
      <c r="H121" s="46">
        <f>'Monthly Data'!V121</f>
        <v>744439.6</v>
      </c>
      <c r="I121" s="46">
        <f>'Monthly Data'!BG121</f>
        <v>120</v>
      </c>
      <c r="J121" s="46">
        <f>'Monthly Data'!BC121</f>
        <v>1</v>
      </c>
      <c r="L121" s="29">
        <f>'GS&gt;50 PW'!$B$6</f>
        <v>556.26088485683897</v>
      </c>
      <c r="M121" s="29">
        <f ca="1">F121*'GS&gt;50 PW'!$B$7</f>
        <v>188.29768604664358</v>
      </c>
      <c r="N121" s="29">
        <f ca="1">G121*'GS&gt;50 PW'!$B$8</f>
        <v>0</v>
      </c>
      <c r="O121" s="29">
        <f>H121*'GS&gt;50 PW'!$B$9</f>
        <v>2177.3518155260253</v>
      </c>
      <c r="P121" s="29">
        <f>I121*'GS&gt;50 PW'!$B$10</f>
        <v>-429.39785103195243</v>
      </c>
      <c r="Q121" s="29">
        <f>J121*'GS&gt;50 PW'!$B$11</f>
        <v>-107.242128303215</v>
      </c>
      <c r="R121" s="46">
        <f>'Monthly Data'!O121</f>
        <v>1022</v>
      </c>
      <c r="S121" s="46">
        <f>'Monthly Data'!BH121</f>
        <v>31</v>
      </c>
      <c r="T121" s="28">
        <f t="shared" ca="1" si="10"/>
        <v>75570137.037562892</v>
      </c>
      <c r="V121" s="44"/>
      <c r="W121" s="26"/>
      <c r="X121" s="47"/>
    </row>
    <row r="122" spans="1:24" x14ac:dyDescent="0.2">
      <c r="A122" s="45">
        <v>43831</v>
      </c>
      <c r="B122" s="29">
        <f t="shared" si="8"/>
        <v>2020</v>
      </c>
      <c r="C122" s="29">
        <f t="shared" si="9"/>
        <v>1</v>
      </c>
      <c r="D122" s="192">
        <f>'Monthly Data (to June 2020)'!M122</f>
        <v>75739921.554761291</v>
      </c>
      <c r="E122" s="44"/>
      <c r="F122" s="241">
        <f ca="1">OFFSET(Weather!AW$26,0,ROW()-ROW($F$122))</f>
        <v>540.86842105263145</v>
      </c>
      <c r="G122" s="241">
        <f ca="1">OFFSET(Weather!$AW$53,0,ROW()-ROW($G$122))</f>
        <v>0</v>
      </c>
      <c r="H122" s="224">
        <f>'Economic (2020 Adj.)'!K134</f>
        <v>744439.6</v>
      </c>
      <c r="I122" s="46">
        <f>I121+1</f>
        <v>121</v>
      </c>
      <c r="J122" s="46">
        <f>J110</f>
        <v>0</v>
      </c>
      <c r="L122" s="29">
        <f>'GS&gt;50 PW'!$B$6</f>
        <v>556.26088485683897</v>
      </c>
      <c r="M122" s="29">
        <f ca="1">F122*'GS&gt;50 PW'!$B$7</f>
        <v>246.2088048831433</v>
      </c>
      <c r="N122" s="29">
        <f ca="1">G122*'GS&gt;50 PW'!$B$8</f>
        <v>0</v>
      </c>
      <c r="O122" s="29">
        <f>H122*'GS&gt;50 PW'!$B$9</f>
        <v>2177.3518155260253</v>
      </c>
      <c r="P122" s="29">
        <f>I122*'GS&gt;50 PW'!$B$10</f>
        <v>-432.97616645721871</v>
      </c>
      <c r="Q122" s="29">
        <f>J122*'GS&gt;50 PW'!$B$11</f>
        <v>0</v>
      </c>
      <c r="R122" s="164">
        <f>'Customer Count'!K37</f>
        <v>1006</v>
      </c>
      <c r="S122" s="46">
        <f>S74</f>
        <v>31</v>
      </c>
      <c r="T122" s="28">
        <f t="shared" ca="1" si="10"/>
        <v>79425918.736090884</v>
      </c>
      <c r="V122" s="44">
        <f t="shared" ref="V122:V126" ca="1" si="14">D122-T122</f>
        <v>-3685997.1813295931</v>
      </c>
      <c r="W122" s="26"/>
      <c r="X122" s="47"/>
    </row>
    <row r="123" spans="1:24" x14ac:dyDescent="0.2">
      <c r="A123" s="45">
        <v>43862</v>
      </c>
      <c r="B123" s="29">
        <f t="shared" si="8"/>
        <v>2020</v>
      </c>
      <c r="C123" s="29">
        <f t="shared" si="9"/>
        <v>2</v>
      </c>
      <c r="D123" s="192">
        <f>'Monthly Data (to June 2020)'!M123</f>
        <v>70677174.554761291</v>
      </c>
      <c r="E123" s="44"/>
      <c r="F123" s="241">
        <f ca="1">OFFSET(Weather!AW$26,0,ROW()-ROW($F$122))</f>
        <v>477.46947368421058</v>
      </c>
      <c r="G123" s="241">
        <f ca="1">OFFSET(Weather!$AW$53,0,ROW()-ROW($F$122))</f>
        <v>0</v>
      </c>
      <c r="H123" s="224">
        <f>'Economic (2020 Adj.)'!K135</f>
        <v>744439.6</v>
      </c>
      <c r="I123" s="46">
        <f t="shared" ref="I123:I145" si="15">I122+1</f>
        <v>122</v>
      </c>
      <c r="J123" s="46">
        <f t="shared" ref="J123:J145" si="16">J111</f>
        <v>0</v>
      </c>
      <c r="L123" s="29">
        <f>'GS&gt;50 PW'!$B$6</f>
        <v>556.26088485683897</v>
      </c>
      <c r="M123" s="29">
        <f ca="1">F123*'GS&gt;50 PW'!$B$7</f>
        <v>217.34895939235014</v>
      </c>
      <c r="N123" s="29">
        <f ca="1">G123*'GS&gt;50 PW'!$B$8</f>
        <v>0</v>
      </c>
      <c r="O123" s="29">
        <f>H123*'GS&gt;50 PW'!$B$9</f>
        <v>2177.3518155260253</v>
      </c>
      <c r="P123" s="29">
        <f>I123*'GS&gt;50 PW'!$B$10</f>
        <v>-436.55448188248494</v>
      </c>
      <c r="Q123" s="29">
        <f>J123*'GS&gt;50 PW'!$B$11</f>
        <v>0</v>
      </c>
      <c r="R123" s="164">
        <f>'Customer Count'!K38</f>
        <v>1006</v>
      </c>
      <c r="S123" s="46">
        <f t="shared" ref="S123:S145" si="17">S75</f>
        <v>29</v>
      </c>
      <c r="T123" s="28">
        <f t="shared" ca="1" si="10"/>
        <v>73355315.007842496</v>
      </c>
      <c r="V123" s="44">
        <f t="shared" ca="1" si="14"/>
        <v>-2678140.4530812055</v>
      </c>
      <c r="W123" s="26"/>
      <c r="X123" s="47"/>
    </row>
    <row r="124" spans="1:24" x14ac:dyDescent="0.2">
      <c r="A124" s="45">
        <v>43891</v>
      </c>
      <c r="B124" s="29">
        <f t="shared" si="8"/>
        <v>2020</v>
      </c>
      <c r="C124" s="29">
        <f t="shared" si="9"/>
        <v>3</v>
      </c>
      <c r="D124" s="192">
        <f>'Monthly Data (to June 2020)'!M124</f>
        <v>70423460.554761291</v>
      </c>
      <c r="E124" s="44"/>
      <c r="F124" s="241">
        <f ca="1">OFFSET(Weather!AW$26,0,ROW()-ROW($F$122))</f>
        <v>416.04842105263106</v>
      </c>
      <c r="G124" s="241">
        <f ca="1">OFFSET(Weather!$AW$53,0,ROW()-ROW($F$122))</f>
        <v>2.6842105263158E-2</v>
      </c>
      <c r="H124" s="224">
        <f>'Economic (2020 Adj.)'!K136</f>
        <v>678238.01268124976</v>
      </c>
      <c r="I124" s="46">
        <f t="shared" si="15"/>
        <v>123</v>
      </c>
      <c r="J124" s="46">
        <f t="shared" si="16"/>
        <v>0</v>
      </c>
      <c r="L124" s="29">
        <f>'GS&gt;50 PW'!$B$6</f>
        <v>556.26088485683897</v>
      </c>
      <c r="M124" s="29">
        <f ca="1">F124*'GS&gt;50 PW'!$B$7</f>
        <v>189.38947169725637</v>
      </c>
      <c r="N124" s="29">
        <f ca="1">G124*'GS&gt;50 PW'!$B$8</f>
        <v>4.1549329401529E-2</v>
      </c>
      <c r="O124" s="29">
        <f>H124*'GS&gt;50 PW'!$B$9</f>
        <v>1983.7240902690864</v>
      </c>
      <c r="P124" s="29">
        <f>I124*'GS&gt;50 PW'!$B$10</f>
        <v>-440.13279730775122</v>
      </c>
      <c r="Q124" s="29">
        <f>J124*'GS&gt;50 PW'!$B$11</f>
        <v>0</v>
      </c>
      <c r="R124" s="164">
        <f>'Customer Count'!K39</f>
        <v>1008</v>
      </c>
      <c r="S124" s="46">
        <f t="shared" si="17"/>
        <v>31</v>
      </c>
      <c r="T124" s="28">
        <f t="shared" ca="1" si="10"/>
        <v>71535521.397503302</v>
      </c>
      <c r="V124" s="44">
        <f t="shared" ca="1" si="14"/>
        <v>-1112060.842742011</v>
      </c>
    </row>
    <row r="125" spans="1:24" x14ac:dyDescent="0.2">
      <c r="A125" s="45">
        <v>43922</v>
      </c>
      <c r="B125" s="29">
        <f t="shared" si="8"/>
        <v>2020</v>
      </c>
      <c r="C125" s="29">
        <f t="shared" si="9"/>
        <v>4</v>
      </c>
      <c r="D125" s="192">
        <f>'Monthly Data (to June 2020)'!M125</f>
        <v>60626134.554761283</v>
      </c>
      <c r="E125" s="44"/>
      <c r="F125" s="241">
        <f ca="1">OFFSET(Weather!AW$26,0,ROW()-ROW($F$122))</f>
        <v>227.78947368421041</v>
      </c>
      <c r="G125" s="241">
        <f ca="1">OFFSET(Weather!$AW$53,0,ROW()-ROW($F$122))</f>
        <v>0</v>
      </c>
      <c r="H125" s="224">
        <f>'Economic (2020 Adj.)'!K137</f>
        <v>599261.12867187464</v>
      </c>
      <c r="I125" s="46">
        <f t="shared" si="15"/>
        <v>124</v>
      </c>
      <c r="J125" s="46">
        <f t="shared" si="16"/>
        <v>0</v>
      </c>
      <c r="L125" s="29">
        <f>'GS&gt;50 PW'!$B$6</f>
        <v>556.26088485683897</v>
      </c>
      <c r="M125" s="29">
        <f ca="1">F125*'GS&gt;50 PW'!$B$7</f>
        <v>103.69208461385141</v>
      </c>
      <c r="N125" s="29">
        <f ca="1">G125*'GS&gt;50 PW'!$B$8</f>
        <v>0</v>
      </c>
      <c r="O125" s="29">
        <f>H125*'GS&gt;50 PW'!$B$9</f>
        <v>1752.7309220088257</v>
      </c>
      <c r="P125" s="29">
        <f>I125*'GS&gt;50 PW'!$B$10</f>
        <v>-443.7111127330175</v>
      </c>
      <c r="Q125" s="29">
        <f>J125*'GS&gt;50 PW'!$B$11</f>
        <v>0</v>
      </c>
      <c r="R125" s="164">
        <f>'Customer Count'!K40</f>
        <v>1008</v>
      </c>
      <c r="S125" s="46">
        <f t="shared" si="17"/>
        <v>30</v>
      </c>
      <c r="T125" s="28">
        <f t="shared" ca="1" si="10"/>
        <v>59541736.829294123</v>
      </c>
      <c r="V125" s="44">
        <f t="shared" ca="1" si="14"/>
        <v>1084397.7254671603</v>
      </c>
      <c r="W125" s="26"/>
    </row>
    <row r="126" spans="1:24" x14ac:dyDescent="0.2">
      <c r="A126" s="45">
        <v>43952</v>
      </c>
      <c r="B126" s="29">
        <f t="shared" si="8"/>
        <v>2020</v>
      </c>
      <c r="C126" s="29">
        <f t="shared" si="9"/>
        <v>5</v>
      </c>
      <c r="D126" s="192">
        <f>'Monthly Data (to June 2020)'!M126</f>
        <v>63498080.554761283</v>
      </c>
      <c r="E126" s="44"/>
      <c r="F126" s="241">
        <f ca="1">OFFSET(Weather!AW$26,0,ROW()-ROW($F$122))</f>
        <v>68.169473684210516</v>
      </c>
      <c r="G126" s="241">
        <f ca="1">OFFSET(Weather!$AW$53,0,ROW()-ROW($F$122))</f>
        <v>53.264210526315765</v>
      </c>
      <c r="H126" s="224">
        <f>'Economic (2020 Adj.)'!K138</f>
        <v>599261.12867187464</v>
      </c>
      <c r="I126" s="46">
        <f t="shared" si="15"/>
        <v>125</v>
      </c>
      <c r="J126" s="46">
        <f t="shared" si="16"/>
        <v>0</v>
      </c>
      <c r="L126" s="29">
        <f>'GS&gt;50 PW'!$B$6</f>
        <v>556.26088485683897</v>
      </c>
      <c r="M126" s="29">
        <f ca="1">F126*'GS&gt;50 PW'!$B$7</f>
        <v>31.031437577068544</v>
      </c>
      <c r="N126" s="29">
        <f ca="1">G126*'GS&gt;50 PW'!$B$8</f>
        <v>82.448534001833721</v>
      </c>
      <c r="O126" s="29">
        <f>H126*'GS&gt;50 PW'!$B$9</f>
        <v>1752.7309220088257</v>
      </c>
      <c r="P126" s="29">
        <f>I126*'GS&gt;50 PW'!$B$10</f>
        <v>-447.28942815828378</v>
      </c>
      <c r="Q126" s="29">
        <f>J126*'GS&gt;50 PW'!$B$11</f>
        <v>0</v>
      </c>
      <c r="R126" s="164">
        <f>'Customer Count'!K41</f>
        <v>1006</v>
      </c>
      <c r="S126" s="46">
        <f t="shared" si="17"/>
        <v>31</v>
      </c>
      <c r="T126" s="28">
        <f t="shared" ca="1" si="10"/>
        <v>61598036.77602803</v>
      </c>
      <c r="V126" s="44">
        <f t="shared" ca="1" si="14"/>
        <v>1900043.7787332535</v>
      </c>
      <c r="W126" s="26"/>
    </row>
    <row r="127" spans="1:24" x14ac:dyDescent="0.2">
      <c r="A127" s="45">
        <v>43983</v>
      </c>
      <c r="B127" s="29">
        <f t="shared" si="8"/>
        <v>2020</v>
      </c>
      <c r="C127" s="29">
        <f t="shared" si="9"/>
        <v>6</v>
      </c>
      <c r="D127" s="192">
        <f>'Monthly Data (to June 2020)'!M127</f>
        <v>69985308.554761291</v>
      </c>
      <c r="E127" s="44"/>
      <c r="F127" s="241">
        <f ca="1">OFFSET(Weather!AW$26,0,ROW()-ROW($F$122))</f>
        <v>0.78578947368418994</v>
      </c>
      <c r="G127" s="241">
        <f ca="1">OFFSET(Weather!$AW$53,0,ROW()-ROW($F$122))</f>
        <v>141.64473684210543</v>
      </c>
      <c r="H127" s="224">
        <f>'Economic (2020 Adj.)'!K139</f>
        <v>599261.12867187464</v>
      </c>
      <c r="I127" s="46">
        <f t="shared" si="15"/>
        <v>126</v>
      </c>
      <c r="J127" s="46">
        <f t="shared" si="16"/>
        <v>0</v>
      </c>
      <c r="L127" s="29">
        <f>'GS&gt;50 PW'!$B$6</f>
        <v>556.26088485683897</v>
      </c>
      <c r="M127" s="29">
        <f ca="1">F127*'GS&gt;50 PW'!$B$7</f>
        <v>0.35769935842993567</v>
      </c>
      <c r="N127" s="29">
        <f ca="1">G127*'GS&gt;50 PW'!$B$8</f>
        <v>219.25418186640121</v>
      </c>
      <c r="O127" s="29">
        <f>H127*'GS&gt;50 PW'!$B$9</f>
        <v>1752.7309220088257</v>
      </c>
      <c r="P127" s="29">
        <f>I127*'GS&gt;50 PW'!$B$10</f>
        <v>-450.86774358355001</v>
      </c>
      <c r="Q127" s="29">
        <f>J127*'GS&gt;50 PW'!$B$11</f>
        <v>0</v>
      </c>
      <c r="R127" s="164">
        <f>'Customer Count'!K42</f>
        <v>1005</v>
      </c>
      <c r="S127" s="46">
        <f t="shared" si="17"/>
        <v>30</v>
      </c>
      <c r="T127" s="28">
        <f t="shared" ca="1" si="10"/>
        <v>62643738.726884425</v>
      </c>
      <c r="V127" s="44">
        <f ca="1">D127-T127</f>
        <v>7341569.8278768659</v>
      </c>
      <c r="W127" s="26"/>
    </row>
    <row r="128" spans="1:24" x14ac:dyDescent="0.2">
      <c r="A128" s="45">
        <v>44013</v>
      </c>
      <c r="B128" s="29">
        <f t="shared" si="8"/>
        <v>2020</v>
      </c>
      <c r="C128" s="29">
        <f t="shared" si="9"/>
        <v>7</v>
      </c>
      <c r="E128" s="44"/>
      <c r="F128" s="241">
        <f ca="1">OFFSET(Weather!AW$26,0,ROW()-ROW($F$122))</f>
        <v>0</v>
      </c>
      <c r="G128" s="241">
        <f ca="1">OFFSET(Weather!$AW$53,0,ROW()-ROW($F$122))</f>
        <v>274.96789473684203</v>
      </c>
      <c r="H128" s="224">
        <f>'Economic (2020 Adj.)'!K140</f>
        <v>615006.43952241109</v>
      </c>
      <c r="I128" s="46">
        <f t="shared" si="15"/>
        <v>127</v>
      </c>
      <c r="J128" s="46">
        <f t="shared" si="16"/>
        <v>0</v>
      </c>
      <c r="L128" s="29">
        <f>'GS&gt;50 PW'!$B$6</f>
        <v>556.26088485683897</v>
      </c>
      <c r="M128" s="29">
        <f ca="1">F128*'GS&gt;50 PW'!$B$7</f>
        <v>0</v>
      </c>
      <c r="N128" s="29">
        <f ca="1">G128*'GS&gt;50 PW'!$B$8</f>
        <v>425.62725692559451</v>
      </c>
      <c r="O128" s="29">
        <f>H128*'GS&gt;50 PW'!$B$9</f>
        <v>1798.7831217661158</v>
      </c>
      <c r="P128" s="29">
        <f>I128*'GS&gt;50 PW'!$B$10</f>
        <v>-454.44605900881629</v>
      </c>
      <c r="Q128" s="29">
        <f>J128*'GS&gt;50 PW'!$B$11</f>
        <v>0</v>
      </c>
      <c r="R128" s="164">
        <f>'Customer Count'!K43</f>
        <v>1004</v>
      </c>
      <c r="S128" s="46">
        <f t="shared" si="17"/>
        <v>31</v>
      </c>
      <c r="T128" s="28">
        <f t="shared" ca="1" si="10"/>
        <v>72401433.26609464</v>
      </c>
      <c r="V128" s="44"/>
      <c r="W128" s="26"/>
    </row>
    <row r="129" spans="1:23" x14ac:dyDescent="0.2">
      <c r="A129" s="45">
        <v>44044</v>
      </c>
      <c r="B129" s="29">
        <f t="shared" si="8"/>
        <v>2020</v>
      </c>
      <c r="C129" s="29">
        <f t="shared" si="9"/>
        <v>8</v>
      </c>
      <c r="E129" s="44"/>
      <c r="F129" s="241">
        <f ca="1">OFFSET(Weather!AW$26,0,ROW()-ROW($F$122))</f>
        <v>0</v>
      </c>
      <c r="G129" s="241">
        <f ca="1">OFFSET(Weather!$AW$53,0,ROW()-ROW($F$122))</f>
        <v>237.02947368421053</v>
      </c>
      <c r="H129" s="224">
        <f>'Economic (2020 Adj.)'!K141</f>
        <v>615006.43952241109</v>
      </c>
      <c r="I129" s="46">
        <f t="shared" si="15"/>
        <v>128</v>
      </c>
      <c r="J129" s="46">
        <f t="shared" si="16"/>
        <v>0</v>
      </c>
      <c r="L129" s="29">
        <f>'GS&gt;50 PW'!$B$6</f>
        <v>556.26088485683897</v>
      </c>
      <c r="M129" s="29">
        <f ca="1">F129*'GS&gt;50 PW'!$B$7</f>
        <v>0</v>
      </c>
      <c r="N129" s="29">
        <f ca="1">G129*'GS&gt;50 PW'!$B$8</f>
        <v>366.90176062656712</v>
      </c>
      <c r="O129" s="29">
        <f>H129*'GS&gt;50 PW'!$B$9</f>
        <v>1798.7831217661158</v>
      </c>
      <c r="P129" s="29">
        <f>I129*'GS&gt;50 PW'!$B$10</f>
        <v>-458.02437443408257</v>
      </c>
      <c r="Q129" s="29">
        <f>J129*'GS&gt;50 PW'!$B$11</f>
        <v>0</v>
      </c>
      <c r="R129" s="164">
        <f>'Customer Count'!K44</f>
        <v>1003.8998587704867</v>
      </c>
      <c r="S129" s="46">
        <f t="shared" si="17"/>
        <v>31</v>
      </c>
      <c r="T129" s="28">
        <f t="shared" ca="1" si="10"/>
        <v>70455261.361962005</v>
      </c>
      <c r="W129" s="26"/>
    </row>
    <row r="130" spans="1:23" x14ac:dyDescent="0.2">
      <c r="A130" s="45">
        <v>44075</v>
      </c>
      <c r="B130" s="29">
        <f t="shared" ref="B130:B145" si="18">YEAR(A130)</f>
        <v>2020</v>
      </c>
      <c r="C130" s="29">
        <f t="shared" ref="C130:C145" si="19">MONTH(A130)</f>
        <v>9</v>
      </c>
      <c r="E130" s="44"/>
      <c r="F130" s="241">
        <f ca="1">OFFSET(Weather!AW$26,0,ROW()-ROW($F$122))</f>
        <v>1.4799999999999045</v>
      </c>
      <c r="G130" s="241">
        <f ca="1">OFFSET(Weather!$AW$53,0,ROW()-ROW($F$122))</f>
        <v>141.84894736842102</v>
      </c>
      <c r="H130" s="224">
        <f>'Economic (2020 Adj.)'!K142</f>
        <v>615006.43952241109</v>
      </c>
      <c r="I130" s="46">
        <f t="shared" si="15"/>
        <v>129</v>
      </c>
      <c r="J130" s="46">
        <f t="shared" si="16"/>
        <v>0</v>
      </c>
      <c r="L130" s="29">
        <f>'GS&gt;50 PW'!$B$6</f>
        <v>556.26088485683897</v>
      </c>
      <c r="M130" s="29">
        <f ca="1">F130*'GS&gt;50 PW'!$B$7</f>
        <v>0.6737110488311725</v>
      </c>
      <c r="N130" s="29">
        <f ca="1">G130*'GS&gt;50 PW'!$B$8</f>
        <v>219.57028264694588</v>
      </c>
      <c r="O130" s="29">
        <f>H130*'GS&gt;50 PW'!$B$9</f>
        <v>1798.7831217661158</v>
      </c>
      <c r="P130" s="29">
        <f>I130*'GS&gt;50 PW'!$B$10</f>
        <v>-461.60268985934886</v>
      </c>
      <c r="Q130" s="29">
        <f>J130*'GS&gt;50 PW'!$B$11</f>
        <v>0</v>
      </c>
      <c r="R130" s="164">
        <f>'Customer Count'!K45</f>
        <v>1003.7997275292861</v>
      </c>
      <c r="S130" s="46">
        <f t="shared" si="17"/>
        <v>30</v>
      </c>
      <c r="T130" s="28">
        <f t="shared" ca="1" si="10"/>
        <v>63651502.161653481</v>
      </c>
      <c r="W130" s="26"/>
    </row>
    <row r="131" spans="1:23" x14ac:dyDescent="0.2">
      <c r="A131" s="45">
        <v>44105</v>
      </c>
      <c r="B131" s="29">
        <f t="shared" si="18"/>
        <v>2020</v>
      </c>
      <c r="C131" s="29">
        <f t="shared" si="19"/>
        <v>10</v>
      </c>
      <c r="E131" s="44"/>
      <c r="F131" s="241">
        <f ca="1">OFFSET(Weather!AW$26,0,ROW()-ROW($F$122))</f>
        <v>81.982105263157791</v>
      </c>
      <c r="G131" s="241">
        <f ca="1">OFFSET(Weather!$AW$53,0,ROW()-ROW($F$122))</f>
        <v>32.161578947368525</v>
      </c>
      <c r="H131" s="224">
        <f>'Economic (2020 Adj.)'!K143</f>
        <v>635199.15095339692</v>
      </c>
      <c r="I131" s="46">
        <f t="shared" si="15"/>
        <v>130</v>
      </c>
      <c r="J131" s="46">
        <f t="shared" si="16"/>
        <v>0</v>
      </c>
      <c r="L131" s="29">
        <f>'GS&gt;50 PW'!$B$6</f>
        <v>556.26088485683897</v>
      </c>
      <c r="M131" s="29">
        <f ca="1">F131*'GS&gt;50 PW'!$B$7</f>
        <v>37.319087920427833</v>
      </c>
      <c r="N131" s="29">
        <f ca="1">G131*'GS&gt;50 PW'!$B$8</f>
        <v>49.783428857631982</v>
      </c>
      <c r="O131" s="29">
        <f>H131*'GS&gt;50 PW'!$B$9</f>
        <v>1857.8431675974366</v>
      </c>
      <c r="P131" s="29">
        <f>I131*'GS&gt;50 PW'!$B$10</f>
        <v>-465.18100528461514</v>
      </c>
      <c r="Q131" s="29">
        <f>J131*'GS&gt;50 PW'!$B$11</f>
        <v>0</v>
      </c>
      <c r="R131" s="164">
        <f>'Customer Count'!K46</f>
        <v>1003.6996062754017</v>
      </c>
      <c r="S131" s="46">
        <f t="shared" si="17"/>
        <v>31</v>
      </c>
      <c r="T131" s="28">
        <f t="shared" ref="T131:T145" ca="1" si="20">SUM(L131:Q131)*R131*S131</f>
        <v>63350299.763930365</v>
      </c>
      <c r="W131" s="26"/>
    </row>
    <row r="132" spans="1:23" x14ac:dyDescent="0.2">
      <c r="A132" s="45">
        <v>44136</v>
      </c>
      <c r="B132" s="29">
        <f t="shared" si="18"/>
        <v>2020</v>
      </c>
      <c r="C132" s="29">
        <f t="shared" si="19"/>
        <v>11</v>
      </c>
      <c r="E132" s="44"/>
      <c r="F132" s="241">
        <f ca="1">OFFSET(Weather!AW$26,0,ROW()-ROW($F$122))</f>
        <v>283.54578947368464</v>
      </c>
      <c r="G132" s="241">
        <f ca="1">OFFSET(Weather!$AW$53,0,ROW()-ROW($F$122))</f>
        <v>0.7242105263157903</v>
      </c>
      <c r="H132" s="224">
        <f>'Economic (2020 Adj.)'!K144</f>
        <v>635199.15095339692</v>
      </c>
      <c r="I132" s="46">
        <f t="shared" si="15"/>
        <v>131</v>
      </c>
      <c r="J132" s="46">
        <f t="shared" si="16"/>
        <v>0</v>
      </c>
      <c r="L132" s="29">
        <f>'GS&gt;50 PW'!$B$6</f>
        <v>556.26088485683897</v>
      </c>
      <c r="M132" s="29">
        <f ca="1">F132*'GS&gt;50 PW'!$B$7</f>
        <v>129.07292649864274</v>
      </c>
      <c r="N132" s="29">
        <f ca="1">G132*'GS&gt;50 PW'!$B$8</f>
        <v>1.1210172011079167</v>
      </c>
      <c r="O132" s="29">
        <f>H132*'GS&gt;50 PW'!$B$9</f>
        <v>1857.8431675974366</v>
      </c>
      <c r="P132" s="29">
        <f>I132*'GS&gt;50 PW'!$B$10</f>
        <v>-468.75932070988137</v>
      </c>
      <c r="Q132" s="29">
        <f>J132*'GS&gt;50 PW'!$B$11</f>
        <v>0</v>
      </c>
      <c r="R132" s="164">
        <f>'Customer Count'!K47</f>
        <v>1003.5994950078376</v>
      </c>
      <c r="S132" s="46">
        <f t="shared" si="17"/>
        <v>30</v>
      </c>
      <c r="T132" s="28">
        <f t="shared" ca="1" si="20"/>
        <v>62490286.996349394</v>
      </c>
      <c r="W132" s="26"/>
    </row>
    <row r="133" spans="1:23" x14ac:dyDescent="0.2">
      <c r="A133" s="45">
        <v>44166</v>
      </c>
      <c r="B133" s="29">
        <f t="shared" si="18"/>
        <v>2020</v>
      </c>
      <c r="C133" s="29">
        <f t="shared" si="19"/>
        <v>12</v>
      </c>
      <c r="E133" s="44"/>
      <c r="F133" s="241">
        <f ca="1">OFFSET(Weather!AW$26,0,ROW()-ROW($F$122))</f>
        <v>399.35526315789502</v>
      </c>
      <c r="G133" s="241">
        <f ca="1">OFFSET(Weather!$AW$53,0,ROW()-ROW($F$122))</f>
        <v>0</v>
      </c>
      <c r="H133" s="224">
        <f>'Economic (2020 Adj.)'!K145</f>
        <v>635199.15095339692</v>
      </c>
      <c r="I133" s="46">
        <f t="shared" si="15"/>
        <v>132</v>
      </c>
      <c r="J133" s="46">
        <f t="shared" si="16"/>
        <v>1</v>
      </c>
      <c r="L133" s="29">
        <f>'GS&gt;50 PW'!$B$6</f>
        <v>556.26088485683897</v>
      </c>
      <c r="M133" s="29">
        <f ca="1">F133*'GS&gt;50 PW'!$B$7</f>
        <v>181.79057648538631</v>
      </c>
      <c r="N133" s="29">
        <f ca="1">G133*'GS&gt;50 PW'!$B$8</f>
        <v>0</v>
      </c>
      <c r="O133" s="29">
        <f>H133*'GS&gt;50 PW'!$B$9</f>
        <v>1857.8431675974366</v>
      </c>
      <c r="P133" s="29">
        <f>I133*'GS&gt;50 PW'!$B$10</f>
        <v>-472.33763613514765</v>
      </c>
      <c r="Q133" s="29">
        <f>J133*'GS&gt;50 PW'!$B$11</f>
        <v>-107.242128303215</v>
      </c>
      <c r="R133" s="164">
        <f>'Customer Count'!K48</f>
        <v>1003.4993937255977</v>
      </c>
      <c r="S133" s="46">
        <f t="shared" si="17"/>
        <v>31</v>
      </c>
      <c r="T133" s="28">
        <f t="shared" ca="1" si="20"/>
        <v>62724493.066695899</v>
      </c>
      <c r="W133" s="26"/>
    </row>
    <row r="134" spans="1:23" x14ac:dyDescent="0.2">
      <c r="A134" s="45">
        <v>44197</v>
      </c>
      <c r="B134" s="29">
        <f t="shared" si="18"/>
        <v>2021</v>
      </c>
      <c r="C134" s="29">
        <f t="shared" si="19"/>
        <v>1</v>
      </c>
      <c r="E134" s="44"/>
      <c r="F134" s="241">
        <f ca="1">Weather!BC61</f>
        <v>541.46541353383441</v>
      </c>
      <c r="G134" s="241">
        <f ca="1">Weather!BD61</f>
        <v>0</v>
      </c>
      <c r="H134" s="29">
        <f>'Economic (2020 Adj.)'!C146</f>
        <v>735028.76679660007</v>
      </c>
      <c r="I134" s="46">
        <f t="shared" si="15"/>
        <v>133</v>
      </c>
      <c r="J134" s="46">
        <f t="shared" si="16"/>
        <v>0</v>
      </c>
      <c r="L134" s="29">
        <f>'GS&gt;50 PW'!$B$6</f>
        <v>556.26088485683897</v>
      </c>
      <c r="M134" s="29">
        <f ca="1">F134*'GS&gt;50 PW'!$B$7</f>
        <v>246.48056193088357</v>
      </c>
      <c r="N134" s="29">
        <f ca="1">G134*'GS&gt;50 PW'!$B$8</f>
        <v>0</v>
      </c>
      <c r="O134" s="29">
        <f>H134*'GS&gt;50 PW'!$B$9</f>
        <v>2149.8268225500533</v>
      </c>
      <c r="P134" s="29">
        <f>I134*'GS&gt;50 PW'!$B$10</f>
        <v>-475.91595156041393</v>
      </c>
      <c r="Q134" s="29">
        <f>J134*'GS&gt;50 PW'!$B$11</f>
        <v>0</v>
      </c>
      <c r="R134" s="164">
        <f>'Customer Count'!K49</f>
        <v>1004.4695414818561</v>
      </c>
      <c r="S134" s="46">
        <f t="shared" si="17"/>
        <v>31</v>
      </c>
      <c r="T134" s="28">
        <f t="shared" ca="1" si="20"/>
        <v>77119376.359481886</v>
      </c>
      <c r="W134" s="26"/>
    </row>
    <row r="135" spans="1:23" x14ac:dyDescent="0.2">
      <c r="A135" s="45">
        <v>44228</v>
      </c>
      <c r="B135" s="29">
        <f t="shared" si="18"/>
        <v>2021</v>
      </c>
      <c r="C135" s="29">
        <f t="shared" si="19"/>
        <v>2</v>
      </c>
      <c r="E135" s="44"/>
      <c r="F135" s="241">
        <f ca="1">Weather!BC62</f>
        <v>477.92466165413532</v>
      </c>
      <c r="G135" s="241">
        <f ca="1">Weather!BD62</f>
        <v>0</v>
      </c>
      <c r="H135" s="29">
        <f>'Economic (2020 Adj.)'!C147</f>
        <v>735028.76679660007</v>
      </c>
      <c r="I135" s="46">
        <f t="shared" si="15"/>
        <v>134</v>
      </c>
      <c r="J135" s="46">
        <f t="shared" si="16"/>
        <v>0</v>
      </c>
      <c r="L135" s="29">
        <f>'GS&gt;50 PW'!$B$6</f>
        <v>556.26088485683897</v>
      </c>
      <c r="M135" s="29">
        <f ca="1">F135*'GS&gt;50 PW'!$B$7</f>
        <v>217.55616558466997</v>
      </c>
      <c r="N135" s="29">
        <f ca="1">G135*'GS&gt;50 PW'!$B$8</f>
        <v>0</v>
      </c>
      <c r="O135" s="29">
        <f>H135*'GS&gt;50 PW'!$B$9</f>
        <v>2149.8268225500533</v>
      </c>
      <c r="P135" s="29">
        <f>I135*'GS&gt;50 PW'!$B$10</f>
        <v>-479.49426698568021</v>
      </c>
      <c r="Q135" s="29">
        <f>J135*'GS&gt;50 PW'!$B$11</f>
        <v>0</v>
      </c>
      <c r="R135" s="164">
        <f>'Customer Count'!K50</f>
        <v>1004.3693534192141</v>
      </c>
      <c r="S135" s="46">
        <f t="shared" si="17"/>
        <v>28</v>
      </c>
      <c r="T135" s="28">
        <f t="shared" ca="1" si="20"/>
        <v>68735210.864430726</v>
      </c>
      <c r="W135" s="26"/>
    </row>
    <row r="136" spans="1:23" x14ac:dyDescent="0.2">
      <c r="A136" s="45">
        <v>44256</v>
      </c>
      <c r="B136" s="29">
        <f t="shared" si="18"/>
        <v>2021</v>
      </c>
      <c r="C136" s="29">
        <f t="shared" si="19"/>
        <v>3</v>
      </c>
      <c r="E136" s="44"/>
      <c r="F136" s="241">
        <f ca="1">Weather!BC63</f>
        <v>418.1239849624053</v>
      </c>
      <c r="G136" s="241">
        <f ca="1">Weather!BD63</f>
        <v>2.79699248120302E-2</v>
      </c>
      <c r="H136" s="29">
        <f>'Economic (2020 Adj.)'!C148</f>
        <v>735028.76679660007</v>
      </c>
      <c r="I136" s="46">
        <f t="shared" si="15"/>
        <v>135</v>
      </c>
      <c r="J136" s="46">
        <f t="shared" si="16"/>
        <v>0</v>
      </c>
      <c r="L136" s="29">
        <f>'GS&gt;50 PW'!$B$6</f>
        <v>556.26088485683897</v>
      </c>
      <c r="M136" s="29">
        <f ca="1">F136*'GS&gt;50 PW'!$B$7</f>
        <v>190.33428949358762</v>
      </c>
      <c r="N136" s="29">
        <f ca="1">G136*'GS&gt;50 PW'!$B$8</f>
        <v>4.3295099544450412E-2</v>
      </c>
      <c r="O136" s="29">
        <f>H136*'GS&gt;50 PW'!$B$9</f>
        <v>2149.8268225500533</v>
      </c>
      <c r="P136" s="29">
        <f>I136*'GS&gt;50 PW'!$B$10</f>
        <v>-483.07258241094644</v>
      </c>
      <c r="Q136" s="29">
        <f>J136*'GS&gt;50 PW'!$B$11</f>
        <v>0</v>
      </c>
      <c r="R136" s="164">
        <f>'Customer Count'!K51</f>
        <v>1004.2691753495559</v>
      </c>
      <c r="S136" s="46">
        <f t="shared" si="17"/>
        <v>31</v>
      </c>
      <c r="T136" s="28">
        <f t="shared" ca="1" si="20"/>
        <v>75134573.093863264</v>
      </c>
      <c r="W136" s="26"/>
    </row>
    <row r="137" spans="1:23" x14ac:dyDescent="0.2">
      <c r="A137" s="45">
        <v>44287</v>
      </c>
      <c r="B137" s="29">
        <f t="shared" si="18"/>
        <v>2021</v>
      </c>
      <c r="C137" s="29">
        <f t="shared" si="19"/>
        <v>4</v>
      </c>
      <c r="E137" s="44"/>
      <c r="F137" s="241">
        <f ca="1">Weather!BC64</f>
        <v>228.66751879699223</v>
      </c>
      <c r="G137" s="241">
        <f ca="1">Weather!BD64</f>
        <v>0</v>
      </c>
      <c r="H137" s="29">
        <f>'Economic (2020 Adj.)'!C149</f>
        <v>735028.76679660007</v>
      </c>
      <c r="I137" s="46">
        <f t="shared" si="15"/>
        <v>136</v>
      </c>
      <c r="J137" s="46">
        <f t="shared" si="16"/>
        <v>0</v>
      </c>
      <c r="L137" s="29">
        <f>'GS&gt;50 PW'!$B$6</f>
        <v>556.26088485683897</v>
      </c>
      <c r="M137" s="29">
        <f ca="1">F137*'GS&gt;50 PW'!$B$7</f>
        <v>104.09177967726583</v>
      </c>
      <c r="N137" s="29">
        <f ca="1">G137*'GS&gt;50 PW'!$B$8</f>
        <v>0</v>
      </c>
      <c r="O137" s="29">
        <f>H137*'GS&gt;50 PW'!$B$9</f>
        <v>2149.8268225500533</v>
      </c>
      <c r="P137" s="29">
        <f>I137*'GS&gt;50 PW'!$B$10</f>
        <v>-486.65089783621272</v>
      </c>
      <c r="Q137" s="29">
        <f>J137*'GS&gt;50 PW'!$B$11</f>
        <v>0</v>
      </c>
      <c r="R137" s="164">
        <f>'Customer Count'!K52</f>
        <v>1004.1690072718848</v>
      </c>
      <c r="S137" s="46">
        <f t="shared" si="17"/>
        <v>30</v>
      </c>
      <c r="T137" s="28">
        <f t="shared" ca="1" si="20"/>
        <v>69996461.904988572</v>
      </c>
    </row>
    <row r="138" spans="1:23" x14ac:dyDescent="0.2">
      <c r="A138" s="45">
        <v>44317</v>
      </c>
      <c r="B138" s="29">
        <f t="shared" si="18"/>
        <v>2021</v>
      </c>
      <c r="C138" s="29">
        <f t="shared" si="19"/>
        <v>5</v>
      </c>
      <c r="E138" s="44"/>
      <c r="F138" s="241">
        <f ca="1">Weather!BC65</f>
        <v>67.613233082706756</v>
      </c>
      <c r="G138" s="241">
        <f ca="1">Weather!BD65</f>
        <v>54.539849624060025</v>
      </c>
      <c r="H138" s="29">
        <f>'Economic (2020 Adj.)'!C150</f>
        <v>735028.76679660007</v>
      </c>
      <c r="I138" s="46">
        <f t="shared" si="15"/>
        <v>137</v>
      </c>
      <c r="J138" s="46">
        <f t="shared" si="16"/>
        <v>0</v>
      </c>
      <c r="L138" s="29">
        <f>'GS&gt;50 PW'!$B$6</f>
        <v>556.26088485683897</v>
      </c>
      <c r="M138" s="29">
        <f ca="1">F138*'GS&gt;50 PW'!$B$7</f>
        <v>30.778231199337732</v>
      </c>
      <c r="N138" s="29">
        <f ca="1">G138*'GS&gt;50 PW'!$B$8</f>
        <v>84.423116418153839</v>
      </c>
      <c r="O138" s="29">
        <f>H138*'GS&gt;50 PW'!$B$9</f>
        <v>2149.8268225500533</v>
      </c>
      <c r="P138" s="29">
        <f>I138*'GS&gt;50 PW'!$B$10</f>
        <v>-490.229213261479</v>
      </c>
      <c r="Q138" s="29">
        <f>J138*'GS&gt;50 PW'!$B$11</f>
        <v>0</v>
      </c>
      <c r="R138" s="164">
        <f>'Customer Count'!K53</f>
        <v>1004.0688491852042</v>
      </c>
      <c r="S138" s="46">
        <f t="shared" si="17"/>
        <v>31</v>
      </c>
      <c r="T138" s="28">
        <f t="shared" ca="1" si="20"/>
        <v>72556881.753722444</v>
      </c>
    </row>
    <row r="139" spans="1:23" x14ac:dyDescent="0.2">
      <c r="A139" s="45">
        <v>44348</v>
      </c>
      <c r="B139" s="29">
        <f t="shared" si="18"/>
        <v>2021</v>
      </c>
      <c r="C139" s="29">
        <f t="shared" si="19"/>
        <v>6</v>
      </c>
      <c r="E139" s="44"/>
      <c r="F139" s="241">
        <f ca="1">Weather!BC66</f>
        <v>0.43015037593977468</v>
      </c>
      <c r="G139" s="241">
        <f ca="1">Weather!BD66</f>
        <v>140.98947368421068</v>
      </c>
      <c r="H139" s="29">
        <f>'Economic (2020 Adj.)'!C151</f>
        <v>735028.76679660007</v>
      </c>
      <c r="I139" s="46">
        <f t="shared" si="15"/>
        <v>138</v>
      </c>
      <c r="J139" s="46">
        <f t="shared" si="16"/>
        <v>0</v>
      </c>
      <c r="L139" s="29">
        <f>'GS&gt;50 PW'!$B$6</f>
        <v>556.26088485683897</v>
      </c>
      <c r="M139" s="29">
        <f ca="1">F139*'GS&gt;50 PW'!$B$7</f>
        <v>0.19580882495238341</v>
      </c>
      <c r="N139" s="29">
        <f ca="1">G139*'GS&gt;50 PW'!$B$8</f>
        <v>218.23988941336387</v>
      </c>
      <c r="O139" s="29">
        <f>H139*'GS&gt;50 PW'!$B$9</f>
        <v>2149.8268225500533</v>
      </c>
      <c r="P139" s="29">
        <f>I139*'GS&gt;50 PW'!$B$10</f>
        <v>-493.80752868674529</v>
      </c>
      <c r="Q139" s="29">
        <f>J139*'GS&gt;50 PW'!$B$11</f>
        <v>0</v>
      </c>
      <c r="R139" s="164">
        <f>'Customer Count'!K54</f>
        <v>1003.9687010885175</v>
      </c>
      <c r="S139" s="46">
        <f t="shared" si="17"/>
        <v>30</v>
      </c>
      <c r="T139" s="28">
        <f t="shared" ca="1" si="20"/>
        <v>73210879.851156741</v>
      </c>
    </row>
    <row r="140" spans="1:23" x14ac:dyDescent="0.2">
      <c r="A140" s="45">
        <v>44378</v>
      </c>
      <c r="B140" s="29">
        <f t="shared" si="18"/>
        <v>2021</v>
      </c>
      <c r="C140" s="29">
        <f t="shared" si="19"/>
        <v>7</v>
      </c>
      <c r="E140" s="44"/>
      <c r="F140" s="241">
        <f ca="1">Weather!BC67</f>
        <v>0</v>
      </c>
      <c r="G140" s="241">
        <f ca="1">Weather!BD67</f>
        <v>277.61864661654181</v>
      </c>
      <c r="H140" s="29">
        <f>'Economic (2020 Adj.)'!C152</f>
        <v>735028.76679660007</v>
      </c>
      <c r="I140" s="46">
        <f t="shared" si="15"/>
        <v>139</v>
      </c>
      <c r="J140" s="46">
        <f t="shared" si="16"/>
        <v>0</v>
      </c>
      <c r="L140" s="29">
        <f>'GS&gt;50 PW'!$B$6</f>
        <v>556.26088485683897</v>
      </c>
      <c r="M140" s="29">
        <f ca="1">F140*'GS&gt;50 PW'!$B$7</f>
        <v>0</v>
      </c>
      <c r="N140" s="29">
        <f ca="1">G140*'GS&gt;50 PW'!$B$8</f>
        <v>429.73039868484153</v>
      </c>
      <c r="O140" s="29">
        <f>H140*'GS&gt;50 PW'!$B$9</f>
        <v>2149.8268225500533</v>
      </c>
      <c r="P140" s="29">
        <f>I140*'GS&gt;50 PW'!$B$10</f>
        <v>-497.38584411201157</v>
      </c>
      <c r="Q140" s="29">
        <f>J140*'GS&gt;50 PW'!$B$11</f>
        <v>0</v>
      </c>
      <c r="R140" s="164">
        <f>'Customer Count'!K55</f>
        <v>1003.8685629808284</v>
      </c>
      <c r="S140" s="46">
        <f t="shared" si="17"/>
        <v>31</v>
      </c>
      <c r="T140" s="28">
        <f t="shared" ca="1" si="20"/>
        <v>82107815.304031074</v>
      </c>
    </row>
    <row r="141" spans="1:23" x14ac:dyDescent="0.2">
      <c r="A141" s="45">
        <v>44409</v>
      </c>
      <c r="B141" s="29">
        <f t="shared" si="18"/>
        <v>2021</v>
      </c>
      <c r="C141" s="29">
        <f t="shared" si="19"/>
        <v>8</v>
      </c>
      <c r="E141" s="44"/>
      <c r="F141" s="241">
        <f ca="1">Weather!BC68</f>
        <v>0</v>
      </c>
      <c r="G141" s="241">
        <f ca="1">Weather!BD68</f>
        <v>237.04037593984961</v>
      </c>
      <c r="H141" s="29">
        <f>'Economic (2020 Adj.)'!C153</f>
        <v>735028.76679660007</v>
      </c>
      <c r="I141" s="46">
        <f t="shared" si="15"/>
        <v>140</v>
      </c>
      <c r="J141" s="46">
        <f t="shared" si="16"/>
        <v>0</v>
      </c>
      <c r="L141" s="29">
        <f>'GS&gt;50 PW'!$B$6</f>
        <v>556.26088485683897</v>
      </c>
      <c r="M141" s="29">
        <f ca="1">F141*'GS&gt;50 PW'!$B$7</f>
        <v>0</v>
      </c>
      <c r="N141" s="29">
        <f ca="1">G141*'GS&gt;50 PW'!$B$8</f>
        <v>366.91863640461531</v>
      </c>
      <c r="O141" s="29">
        <f>H141*'GS&gt;50 PW'!$B$9</f>
        <v>2149.8268225500533</v>
      </c>
      <c r="P141" s="29">
        <f>I141*'GS&gt;50 PW'!$B$10</f>
        <v>-500.96415953727779</v>
      </c>
      <c r="Q141" s="29">
        <f>J141*'GS&gt;50 PW'!$B$11</f>
        <v>0</v>
      </c>
      <c r="R141" s="164">
        <f>'Customer Count'!K56</f>
        <v>1003.7684348611406</v>
      </c>
      <c r="S141" s="46">
        <f t="shared" si="17"/>
        <v>31</v>
      </c>
      <c r="T141" s="28">
        <f t="shared" ca="1" si="20"/>
        <v>80033777.488878965</v>
      </c>
    </row>
    <row r="142" spans="1:23" x14ac:dyDescent="0.2">
      <c r="A142" s="45">
        <v>44440</v>
      </c>
      <c r="B142" s="29">
        <f t="shared" si="18"/>
        <v>2021</v>
      </c>
      <c r="C142" s="29">
        <f t="shared" si="19"/>
        <v>9</v>
      </c>
      <c r="E142" s="44"/>
      <c r="F142" s="241">
        <f ca="1">Weather!BC69</f>
        <v>1.0557142857142026</v>
      </c>
      <c r="G142" s="241">
        <f ca="1">Weather!BD69</f>
        <v>142.7893233082707</v>
      </c>
      <c r="H142" s="29">
        <f>'Economic (2020 Adj.)'!C154</f>
        <v>735028.76679660007</v>
      </c>
      <c r="I142" s="46">
        <f t="shared" si="15"/>
        <v>141</v>
      </c>
      <c r="J142" s="46">
        <f t="shared" si="16"/>
        <v>0</v>
      </c>
      <c r="L142" s="29">
        <f>'GS&gt;50 PW'!$B$6</f>
        <v>556.26088485683897</v>
      </c>
      <c r="M142" s="29">
        <f ca="1">F142*'GS&gt;50 PW'!$B$7</f>
        <v>0.48057187749636043</v>
      </c>
      <c r="N142" s="29">
        <f ca="1">G142*'GS&gt;50 PW'!$B$8</f>
        <v>221.0259057921138</v>
      </c>
      <c r="O142" s="29">
        <f>H142*'GS&gt;50 PW'!$B$9</f>
        <v>2149.8268225500533</v>
      </c>
      <c r="P142" s="29">
        <f>I142*'GS&gt;50 PW'!$B$10</f>
        <v>-504.54247496254408</v>
      </c>
      <c r="Q142" s="29">
        <f>J142*'GS&gt;50 PW'!$B$11</f>
        <v>0</v>
      </c>
      <c r="R142" s="164">
        <f>'Customer Count'!K57</f>
        <v>1003.6683167284577</v>
      </c>
      <c r="S142" s="46">
        <f t="shared" si="17"/>
        <v>30</v>
      </c>
      <c r="T142" s="28">
        <f t="shared" ca="1" si="20"/>
        <v>72958206.937082633</v>
      </c>
    </row>
    <row r="143" spans="1:23" x14ac:dyDescent="0.2">
      <c r="A143" s="45">
        <v>44470</v>
      </c>
      <c r="B143" s="29">
        <f t="shared" si="18"/>
        <v>2021</v>
      </c>
      <c r="C143" s="29">
        <f t="shared" si="19"/>
        <v>10</v>
      </c>
      <c r="E143" s="44"/>
      <c r="F143" s="241">
        <f ca="1">Weather!BC70</f>
        <v>80.162781954887123</v>
      </c>
      <c r="G143" s="241">
        <f ca="1">Weather!BD70</f>
        <v>32.903157894736978</v>
      </c>
      <c r="H143" s="29">
        <f>'Economic (2020 Adj.)'!C155</f>
        <v>735028.76679660007</v>
      </c>
      <c r="I143" s="46">
        <f t="shared" si="15"/>
        <v>142</v>
      </c>
      <c r="J143" s="46">
        <f t="shared" si="16"/>
        <v>0</v>
      </c>
      <c r="L143" s="29">
        <f>'GS&gt;50 PW'!$B$6</f>
        <v>556.26088485683897</v>
      </c>
      <c r="M143" s="29">
        <f ca="1">F143*'GS&gt;50 PW'!$B$7</f>
        <v>36.490913451388565</v>
      </c>
      <c r="N143" s="29">
        <f ca="1">G143*'GS&gt;50 PW'!$B$8</f>
        <v>50.931330918940937</v>
      </c>
      <c r="O143" s="29">
        <f>H143*'GS&gt;50 PW'!$B$9</f>
        <v>2149.8268225500533</v>
      </c>
      <c r="P143" s="29">
        <f>I143*'GS&gt;50 PW'!$B$10</f>
        <v>-508.12079038781036</v>
      </c>
      <c r="Q143" s="29">
        <f>J143*'GS&gt;50 PW'!$B$11</f>
        <v>0</v>
      </c>
      <c r="R143" s="164">
        <f>'Customer Count'!K58</f>
        <v>1003.5682085817838</v>
      </c>
      <c r="S143" s="46">
        <f t="shared" si="17"/>
        <v>31</v>
      </c>
      <c r="T143" s="28">
        <f t="shared" ca="1" si="20"/>
        <v>71099861.104841709</v>
      </c>
    </row>
    <row r="144" spans="1:23" x14ac:dyDescent="0.2">
      <c r="A144" s="45">
        <v>44501</v>
      </c>
      <c r="B144" s="29">
        <f t="shared" si="18"/>
        <v>2021</v>
      </c>
      <c r="C144" s="29">
        <f t="shared" si="19"/>
        <v>11</v>
      </c>
      <c r="E144" s="44"/>
      <c r="F144" s="241">
        <f ca="1">Weather!BC71</f>
        <v>286.40015037594003</v>
      </c>
      <c r="G144" s="241">
        <f ca="1">Weather!BD71</f>
        <v>0.73984962406014887</v>
      </c>
      <c r="H144" s="29">
        <f>'Economic (2020 Adj.)'!C156</f>
        <v>735028.76679660007</v>
      </c>
      <c r="I144" s="46">
        <f t="shared" si="15"/>
        <v>143</v>
      </c>
      <c r="J144" s="46">
        <f t="shared" si="16"/>
        <v>0</v>
      </c>
      <c r="L144" s="29">
        <f>'GS&gt;50 PW'!$B$6</f>
        <v>556.26088485683897</v>
      </c>
      <c r="M144" s="29">
        <f ca="1">F144*'GS&gt;50 PW'!$B$7</f>
        <v>130.37226060485983</v>
      </c>
      <c r="N144" s="29">
        <f ca="1">G144*'GS&gt;50 PW'!$B$8</f>
        <v>1.1452252137564227</v>
      </c>
      <c r="O144" s="29">
        <f>H144*'GS&gt;50 PW'!$B$9</f>
        <v>2149.8268225500533</v>
      </c>
      <c r="P144" s="29">
        <f>I144*'GS&gt;50 PW'!$B$10</f>
        <v>-511.69910581307664</v>
      </c>
      <c r="Q144" s="29">
        <f>J144*'GS&gt;50 PW'!$B$11</f>
        <v>0</v>
      </c>
      <c r="R144" s="164">
        <f>'Customer Count'!K59</f>
        <v>1003.4681104201226</v>
      </c>
      <c r="S144" s="46">
        <f t="shared" si="17"/>
        <v>30</v>
      </c>
      <c r="T144" s="28">
        <f t="shared" ca="1" si="20"/>
        <v>70019177.596512407</v>
      </c>
    </row>
    <row r="145" spans="1:20" x14ac:dyDescent="0.2">
      <c r="A145" s="45">
        <v>44531</v>
      </c>
      <c r="B145" s="29">
        <f t="shared" si="18"/>
        <v>2021</v>
      </c>
      <c r="C145" s="29">
        <f t="shared" si="19"/>
        <v>12</v>
      </c>
      <c r="E145" s="44"/>
      <c r="F145" s="241">
        <f ca="1">Weather!BC72</f>
        <v>396.52909774436102</v>
      </c>
      <c r="G145" s="241">
        <f ca="1">Weather!BD72</f>
        <v>0</v>
      </c>
      <c r="H145" s="29">
        <f>'Economic (2020 Adj.)'!C157</f>
        <v>735028.76679660007</v>
      </c>
      <c r="I145" s="46">
        <f t="shared" si="15"/>
        <v>144</v>
      </c>
      <c r="J145" s="46">
        <f t="shared" si="16"/>
        <v>1</v>
      </c>
      <c r="L145" s="29">
        <f>'GS&gt;50 PW'!$B$6</f>
        <v>556.26088485683897</v>
      </c>
      <c r="M145" s="29">
        <f ca="1">F145*'GS&gt;50 PW'!$B$7</f>
        <v>180.50407725233057</v>
      </c>
      <c r="N145" s="29">
        <f ca="1">G145*'GS&gt;50 PW'!$B$8</f>
        <v>0</v>
      </c>
      <c r="O145" s="29">
        <f>H145*'GS&gt;50 PW'!$B$9</f>
        <v>2149.8268225500533</v>
      </c>
      <c r="P145" s="29">
        <f>I145*'GS&gt;50 PW'!$B$10</f>
        <v>-515.27742123834287</v>
      </c>
      <c r="Q145" s="29">
        <f>J145*'GS&gt;50 PW'!$B$11</f>
        <v>-107.242128303215</v>
      </c>
      <c r="R145" s="164">
        <f>'Customer Count'!K60</f>
        <v>1003.3680222424783</v>
      </c>
      <c r="S145" s="46">
        <f t="shared" si="17"/>
        <v>31</v>
      </c>
      <c r="T145" s="28">
        <f t="shared" ca="1" si="20"/>
        <v>70422628.103687689</v>
      </c>
    </row>
    <row r="146" spans="1:20" x14ac:dyDescent="0.2">
      <c r="A146" s="45"/>
    </row>
    <row r="147" spans="1:20" x14ac:dyDescent="0.2">
      <c r="A147" s="45"/>
    </row>
    <row r="148" spans="1:20" x14ac:dyDescent="0.2">
      <c r="A148" s="45"/>
    </row>
    <row r="149" spans="1:20" x14ac:dyDescent="0.2">
      <c r="A149" s="45"/>
    </row>
    <row r="150" spans="1:20" x14ac:dyDescent="0.2">
      <c r="A150" s="45"/>
    </row>
    <row r="151" spans="1:20" x14ac:dyDescent="0.2">
      <c r="A151" s="45"/>
    </row>
    <row r="152" spans="1:20" x14ac:dyDescent="0.2">
      <c r="A152" s="45"/>
    </row>
    <row r="153" spans="1:20" x14ac:dyDescent="0.2">
      <c r="A153" s="45"/>
    </row>
    <row r="154" spans="1:20" x14ac:dyDescent="0.2">
      <c r="A154" s="45"/>
    </row>
    <row r="155" spans="1:20" x14ac:dyDescent="0.2">
      <c r="A155" s="45"/>
    </row>
    <row r="156" spans="1:20" x14ac:dyDescent="0.2">
      <c r="A156" s="45"/>
    </row>
    <row r="157" spans="1:20" x14ac:dyDescent="0.2">
      <c r="A157" s="45"/>
    </row>
    <row r="158" spans="1:20" x14ac:dyDescent="0.2">
      <c r="A158" s="45"/>
    </row>
    <row r="159" spans="1:20" x14ac:dyDescent="0.2">
      <c r="A159" s="45"/>
    </row>
    <row r="160" spans="1:20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5">
    <tabColor theme="8" tint="0.59999389629810485"/>
  </sheetPr>
  <dimension ref="B2:AQ16"/>
  <sheetViews>
    <sheetView topLeftCell="A25" workbookViewId="0"/>
  </sheetViews>
  <sheetFormatPr defaultRowHeight="12.75" x14ac:dyDescent="0.2"/>
  <cols>
    <col min="1" max="2" width="9.33203125" style="201"/>
    <col min="3" max="5" width="13" style="201" bestFit="1" customWidth="1"/>
    <col min="6" max="6" width="5" style="201" customWidth="1"/>
    <col min="7" max="7" width="13.83203125" style="201" customWidth="1"/>
    <col min="8" max="8" width="13" style="201" customWidth="1"/>
    <col min="9" max="9" width="15.33203125" style="201" customWidth="1"/>
    <col min="10" max="10" width="11.1640625" style="201" bestFit="1" customWidth="1"/>
    <col min="11" max="11" width="7.6640625" style="201" customWidth="1"/>
    <col min="12" max="12" width="14.83203125" style="201" customWidth="1"/>
    <col min="13" max="14" width="13" style="201" bestFit="1" customWidth="1"/>
    <col min="15" max="15" width="3.83203125" style="201" customWidth="1"/>
    <col min="16" max="18" width="13" style="201" bestFit="1" customWidth="1"/>
    <col min="19" max="19" width="11.33203125" style="201" customWidth="1"/>
    <col min="20" max="20" width="5.83203125" style="201" bestFit="1" customWidth="1"/>
    <col min="21" max="21" width="14.83203125" style="201" customWidth="1"/>
    <col min="22" max="22" width="12.33203125" style="201" customWidth="1"/>
    <col min="23" max="23" width="13" style="201" bestFit="1" customWidth="1"/>
    <col min="24" max="24" width="3.33203125" style="201" customWidth="1"/>
    <col min="25" max="25" width="13" style="201" bestFit="1" customWidth="1"/>
    <col min="26" max="26" width="12.33203125" style="201" customWidth="1"/>
    <col min="27" max="27" width="13" style="201" bestFit="1" customWidth="1"/>
    <col min="28" max="28" width="12.1640625" style="201" bestFit="1" customWidth="1"/>
    <col min="29" max="29" width="14.1640625" style="201" bestFit="1" customWidth="1"/>
    <col min="30" max="30" width="11.5" style="201" customWidth="1"/>
    <col min="31" max="31" width="11.83203125" style="201" customWidth="1"/>
    <col min="32" max="32" width="12" style="201" customWidth="1"/>
    <col min="33" max="33" width="9.6640625" style="201" customWidth="1"/>
    <col min="34" max="34" width="11.33203125" style="201" customWidth="1"/>
    <col min="35" max="35" width="13.33203125" style="201" customWidth="1"/>
    <col min="36" max="36" width="12" style="201" customWidth="1"/>
    <col min="37" max="37" width="11.83203125" style="201" customWidth="1"/>
    <col min="38" max="39" width="9.33203125" style="201"/>
    <col min="40" max="40" width="14.5" style="201" customWidth="1"/>
    <col min="41" max="41" width="13.33203125" style="201" bestFit="1" customWidth="1"/>
    <col min="42" max="42" width="12.6640625" style="201" customWidth="1"/>
    <col min="43" max="43" width="10.6640625" style="201" bestFit="1" customWidth="1"/>
    <col min="44" max="16384" width="9.33203125" style="201"/>
  </cols>
  <sheetData>
    <row r="2" spans="2:43" x14ac:dyDescent="0.2">
      <c r="B2" s="260" t="s">
        <v>111</v>
      </c>
      <c r="C2" s="260"/>
      <c r="D2" s="260"/>
      <c r="E2" s="260"/>
      <c r="F2" s="260"/>
      <c r="G2" s="260"/>
      <c r="H2" s="260"/>
      <c r="I2" s="260"/>
      <c r="K2" s="260" t="s">
        <v>124</v>
      </c>
      <c r="L2" s="260"/>
      <c r="M2" s="260"/>
      <c r="N2" s="260"/>
      <c r="O2" s="260"/>
      <c r="P2" s="260"/>
      <c r="Q2" s="260"/>
      <c r="R2" s="260"/>
      <c r="T2" s="260" t="s">
        <v>125</v>
      </c>
      <c r="U2" s="260"/>
      <c r="V2" s="260"/>
      <c r="W2" s="260"/>
      <c r="X2" s="260"/>
      <c r="Y2" s="260"/>
      <c r="Z2" s="260"/>
      <c r="AA2" s="260"/>
      <c r="AC2" s="260" t="s">
        <v>138</v>
      </c>
      <c r="AD2" s="260"/>
      <c r="AE2" s="260"/>
      <c r="AF2" s="260"/>
      <c r="AG2" s="260"/>
      <c r="AH2" s="260"/>
      <c r="AI2" s="260"/>
      <c r="AJ2" s="260"/>
      <c r="AK2" s="260"/>
      <c r="AM2" s="260" t="s">
        <v>45</v>
      </c>
      <c r="AN2" s="260"/>
      <c r="AO2" s="260"/>
      <c r="AP2" s="260"/>
      <c r="AQ2" s="260"/>
    </row>
    <row r="3" spans="2:43" ht="38.25" x14ac:dyDescent="0.2">
      <c r="B3" s="64" t="s">
        <v>0</v>
      </c>
      <c r="C3" s="64" t="s">
        <v>112</v>
      </c>
      <c r="D3" s="64" t="s">
        <v>113</v>
      </c>
      <c r="E3" s="64" t="s">
        <v>114</v>
      </c>
      <c r="F3" s="64"/>
      <c r="G3" s="64" t="s">
        <v>137</v>
      </c>
      <c r="H3" s="64" t="s">
        <v>113</v>
      </c>
      <c r="I3" s="64" t="s">
        <v>116</v>
      </c>
      <c r="K3" s="64" t="s">
        <v>0</v>
      </c>
      <c r="L3" s="64" t="s">
        <v>112</v>
      </c>
      <c r="M3" s="64" t="s">
        <v>113</v>
      </c>
      <c r="N3" s="64" t="s">
        <v>114</v>
      </c>
      <c r="O3" s="64"/>
      <c r="P3" s="64" t="s">
        <v>247</v>
      </c>
      <c r="Q3" s="64" t="s">
        <v>113</v>
      </c>
      <c r="R3" s="64" t="s">
        <v>116</v>
      </c>
      <c r="T3" s="64" t="s">
        <v>0</v>
      </c>
      <c r="U3" s="64" t="s">
        <v>112</v>
      </c>
      <c r="V3" s="64" t="s">
        <v>113</v>
      </c>
      <c r="W3" s="64" t="s">
        <v>114</v>
      </c>
      <c r="X3" s="64"/>
      <c r="Y3" s="64" t="s">
        <v>137</v>
      </c>
      <c r="Z3" s="64" t="s">
        <v>113</v>
      </c>
      <c r="AA3" s="64" t="s">
        <v>116</v>
      </c>
      <c r="AC3" s="65" t="s">
        <v>0</v>
      </c>
      <c r="AD3" s="64" t="s">
        <v>112</v>
      </c>
      <c r="AE3" s="64" t="s">
        <v>113</v>
      </c>
      <c r="AF3" s="64" t="s">
        <v>114</v>
      </c>
      <c r="AG3" s="64" t="s">
        <v>139</v>
      </c>
      <c r="AH3" s="64" t="s">
        <v>140</v>
      </c>
      <c r="AI3" s="64" t="s">
        <v>115</v>
      </c>
      <c r="AJ3" s="64" t="s">
        <v>113</v>
      </c>
      <c r="AK3" s="64" t="s">
        <v>116</v>
      </c>
      <c r="AM3" s="65" t="s">
        <v>0</v>
      </c>
      <c r="AN3" s="65" t="s">
        <v>112</v>
      </c>
      <c r="AO3" s="65" t="s">
        <v>145</v>
      </c>
      <c r="AP3" s="64" t="s">
        <v>140</v>
      </c>
      <c r="AQ3" s="64" t="s">
        <v>146</v>
      </c>
    </row>
    <row r="4" spans="2:43" x14ac:dyDescent="0.2">
      <c r="B4" s="65"/>
      <c r="C4" s="65" t="s">
        <v>117</v>
      </c>
      <c r="D4" s="65" t="s">
        <v>118</v>
      </c>
      <c r="E4" s="65" t="s">
        <v>119</v>
      </c>
      <c r="F4" s="65"/>
      <c r="G4" s="65" t="s">
        <v>120</v>
      </c>
      <c r="H4" s="65" t="s">
        <v>121</v>
      </c>
      <c r="I4" s="65" t="s">
        <v>122</v>
      </c>
      <c r="K4" s="65"/>
      <c r="L4" s="65" t="s">
        <v>117</v>
      </c>
      <c r="M4" s="65" t="s">
        <v>118</v>
      </c>
      <c r="N4" s="65" t="s">
        <v>119</v>
      </c>
      <c r="O4" s="65"/>
      <c r="P4" s="65" t="s">
        <v>120</v>
      </c>
      <c r="Q4" s="65" t="s">
        <v>121</v>
      </c>
      <c r="R4" s="65" t="s">
        <v>122</v>
      </c>
      <c r="T4" s="65"/>
      <c r="U4" s="65" t="s">
        <v>117</v>
      </c>
      <c r="V4" s="65" t="s">
        <v>118</v>
      </c>
      <c r="W4" s="65" t="s">
        <v>119</v>
      </c>
      <c r="X4" s="65"/>
      <c r="Y4" s="65" t="s">
        <v>120</v>
      </c>
      <c r="Z4" s="65" t="s">
        <v>121</v>
      </c>
      <c r="AA4" s="65" t="s">
        <v>122</v>
      </c>
      <c r="AC4" s="65"/>
      <c r="AD4" s="65" t="s">
        <v>117</v>
      </c>
      <c r="AE4" s="65" t="s">
        <v>118</v>
      </c>
      <c r="AF4" s="65" t="s">
        <v>119</v>
      </c>
      <c r="AG4" s="65" t="s">
        <v>120</v>
      </c>
      <c r="AH4" s="65" t="s">
        <v>141</v>
      </c>
      <c r="AI4" s="65" t="s">
        <v>142</v>
      </c>
      <c r="AJ4" s="65" t="s">
        <v>143</v>
      </c>
      <c r="AK4" s="65" t="s">
        <v>144</v>
      </c>
      <c r="AM4" s="65"/>
      <c r="AN4" s="65"/>
      <c r="AO4" s="65"/>
      <c r="AP4" s="65"/>
      <c r="AQ4" s="65"/>
    </row>
    <row r="5" spans="2:43" x14ac:dyDescent="0.2">
      <c r="B5" s="66">
        <v>2010</v>
      </c>
      <c r="C5" s="67">
        <f>SUMIF('Monthly Data'!$B:$B,B5,'Monthly Data'!C:C)</f>
        <v>556896336</v>
      </c>
      <c r="D5" s="67">
        <f>SUMIF('Monthly Data'!$B:$B,B5,'Monthly Data'!D:D)</f>
        <v>0</v>
      </c>
      <c r="E5" s="67">
        <f t="shared" ref="E5:E14" si="0">C5+D5</f>
        <v>556896336</v>
      </c>
      <c r="F5" s="67"/>
      <c r="G5" s="67">
        <f ca="1">SUMIF('Res Normalized Monthly Avg Tr'!$B:$B,B5,'Res Normalized Monthly Avg Tr'!$S:$S)</f>
        <v>548717332.00524092</v>
      </c>
      <c r="H5" s="67">
        <f t="shared" ref="H5:H14" si="1">D5</f>
        <v>0</v>
      </c>
      <c r="I5" s="67">
        <f t="shared" ref="I5:I14" ca="1" si="2">G5-H5</f>
        <v>548717332.00524092</v>
      </c>
      <c r="K5" s="66">
        <v>2010</v>
      </c>
      <c r="L5" s="67">
        <f>SUMIF('Monthly Data'!$B:$B,K5,'Monthly Data'!G:G)</f>
        <v>172200325</v>
      </c>
      <c r="M5" s="67">
        <f>SUMIF('Monthly Data'!$B:$B,K5,'Monthly Data'!I:I)</f>
        <v>0</v>
      </c>
      <c r="N5" s="67">
        <f t="shared" ref="N5:N14" si="3">L5+M5</f>
        <v>172200325</v>
      </c>
      <c r="O5" s="67"/>
      <c r="P5" s="67">
        <f ca="1">SUMIF('GS&lt;50 Normalized Monthly Av Tr'!$B:$B,K5,'GS&lt;50 Normalized Monthly Av Tr'!S:$S)</f>
        <v>172696984.436553</v>
      </c>
      <c r="Q5" s="67">
        <f t="shared" ref="Q5:Q14" si="4">M5</f>
        <v>0</v>
      </c>
      <c r="R5" s="67">
        <f t="shared" ref="R5:R16" ca="1" si="5">P5-Q5</f>
        <v>172696984.436553</v>
      </c>
      <c r="T5" s="66">
        <v>2010</v>
      </c>
      <c r="U5" s="67">
        <f>SUMIF('Monthly Data'!$B:$B,T5,'Monthly Data'!K:K)</f>
        <v>906197008</v>
      </c>
      <c r="V5" s="67">
        <f>SUMIF('Monthly Data'!$B:$B,T5,'Monthly Data'!L:L)</f>
        <v>0</v>
      </c>
      <c r="W5" s="67">
        <f t="shared" ref="W5:W14" si="6">U5+V5</f>
        <v>906197008</v>
      </c>
      <c r="X5" s="67"/>
      <c r="Y5" s="67">
        <f ca="1">SUMIF('GS&gt;50 Normalized Monthly Av Tr'!$B:$B,T5,'GS&gt;50 Normalized Monthly Av Tr'!$T:$T)</f>
        <v>913114003.67856932</v>
      </c>
      <c r="Z5" s="67">
        <f t="shared" ref="Z5:Z14" si="7">V5</f>
        <v>0</v>
      </c>
      <c r="AA5" s="67">
        <f t="shared" ref="AA5:AA14" ca="1" si="8">Y5-Z5</f>
        <v>913114003.67856932</v>
      </c>
      <c r="AC5" s="66">
        <v>2010</v>
      </c>
      <c r="AD5" s="67">
        <f>SUMIF('Monthly Data'!$B:$B,AC5,'Monthly Data'!P:P)</f>
        <v>9467387</v>
      </c>
      <c r="AE5" s="67">
        <f>SUMIF('Monthly Data'!$B:$B,U5,'Monthly Data'!W:W)</f>
        <v>0</v>
      </c>
      <c r="AF5" s="67">
        <f t="shared" ref="AF5:AF14" si="9">AD5+AE5</f>
        <v>9467387</v>
      </c>
      <c r="AG5" s="67">
        <f>'Customer Count'!O4</f>
        <v>14651.833333333334</v>
      </c>
      <c r="AH5" s="67">
        <f t="shared" ref="AH5:AH14" si="10">AF5/AG5</f>
        <v>646.15715894484197</v>
      </c>
      <c r="AI5" s="67">
        <f t="shared" ref="AI5:AI16" si="11">AH5*AG5</f>
        <v>9467387</v>
      </c>
      <c r="AJ5" s="67">
        <f t="shared" ref="AJ5:AJ12" si="12">AE5</f>
        <v>0</v>
      </c>
      <c r="AK5" s="67">
        <f t="shared" ref="AK5:AK16" si="13">AI5-AJ5</f>
        <v>9467387</v>
      </c>
      <c r="AM5" s="66">
        <v>2010</v>
      </c>
      <c r="AN5" s="67">
        <f>SUMIF('Monthly Data'!$B:$B,AM5,'Monthly Data'!S:S)</f>
        <v>3512551</v>
      </c>
      <c r="AO5" s="67">
        <f>'Customer Count'!S4</f>
        <v>603.58333333333337</v>
      </c>
      <c r="AP5" s="67">
        <f t="shared" ref="AP5:AP14" si="14">AN5/AO5</f>
        <v>5819.4963412950428</v>
      </c>
      <c r="AQ5" s="67">
        <f t="shared" ref="AQ5:AQ11" si="15">AP5*AO5</f>
        <v>3512551</v>
      </c>
    </row>
    <row r="6" spans="2:43" x14ac:dyDescent="0.2">
      <c r="B6" s="66">
        <f t="shared" ref="B6:B16" si="16">B5+1</f>
        <v>2011</v>
      </c>
      <c r="C6" s="67">
        <f>SUMIF('Monthly Data'!$B:$B,B6,'Monthly Data'!C:C)</f>
        <v>551353006</v>
      </c>
      <c r="D6" s="67">
        <f>SUMIF('Monthly Data'!$B:$B,B6,'Monthly Data'!D:D)</f>
        <v>1088909.7137678163</v>
      </c>
      <c r="E6" s="67">
        <f t="shared" si="0"/>
        <v>552441915.71376777</v>
      </c>
      <c r="F6" s="67"/>
      <c r="G6" s="67">
        <f ca="1">SUMIF('Res Normalized Monthly Avg Tr'!$B:$B,B6,'Res Normalized Monthly Avg Tr'!$S:$S)</f>
        <v>553723616.91967034</v>
      </c>
      <c r="H6" s="67">
        <f t="shared" si="1"/>
        <v>1088909.7137678163</v>
      </c>
      <c r="I6" s="67">
        <f t="shared" ca="1" si="2"/>
        <v>552634707.20590258</v>
      </c>
      <c r="K6" s="66">
        <f t="shared" ref="K6:K16" si="17">K5+1</f>
        <v>2011</v>
      </c>
      <c r="L6" s="67">
        <f>SUMIF('Monthly Data'!$B:$B,K6,'Monthly Data'!G:G)</f>
        <v>174484065</v>
      </c>
      <c r="M6" s="67">
        <f>SUMIF('Monthly Data'!$B:$B,K6,'Monthly Data'!I:I)</f>
        <v>554800.01924330916</v>
      </c>
      <c r="N6" s="67">
        <f t="shared" si="3"/>
        <v>175038865.0192433</v>
      </c>
      <c r="O6" s="67"/>
      <c r="P6" s="67">
        <f ca="1">SUMIF('GS&lt;50 Normalized Monthly Av Tr'!$B:$B,K6,'GS&lt;50 Normalized Monthly Av Tr'!S:$S)</f>
        <v>175362335.00548026</v>
      </c>
      <c r="Q6" s="67">
        <f t="shared" si="4"/>
        <v>554800.01924330916</v>
      </c>
      <c r="R6" s="67">
        <f t="shared" ca="1" si="5"/>
        <v>174807534.98623696</v>
      </c>
      <c r="T6" s="66">
        <f t="shared" ref="T6:T16" si="18">T5+1</f>
        <v>2011</v>
      </c>
      <c r="U6" s="67">
        <f>SUMIF('Monthly Data'!$B:$B,T6,'Monthly Data'!K:K)</f>
        <v>908229110</v>
      </c>
      <c r="V6" s="67">
        <f>SUMIF('Monthly Data'!$B:$B,T6,'Monthly Data'!L:L)</f>
        <v>2219413.1132290224</v>
      </c>
      <c r="W6" s="67">
        <f t="shared" si="6"/>
        <v>910448523.11322904</v>
      </c>
      <c r="X6" s="67"/>
      <c r="Y6" s="67">
        <f ca="1">SUMIF('GS&gt;50 Normalized Monthly Av Tr'!$B:$B,T6,'GS&gt;50 Normalized Monthly Av Tr'!$T:$T)</f>
        <v>907004598.52749944</v>
      </c>
      <c r="Z6" s="67">
        <f t="shared" si="7"/>
        <v>2219413.1132290224</v>
      </c>
      <c r="AA6" s="67">
        <f t="shared" ca="1" si="8"/>
        <v>904785185.4142704</v>
      </c>
      <c r="AC6" s="66">
        <f t="shared" ref="AC6:AC16" si="19">AC5+1</f>
        <v>2011</v>
      </c>
      <c r="AD6" s="67">
        <f>SUMIF('Monthly Data'!$B:$B,AC6,'Monthly Data'!P:P)</f>
        <v>9847280</v>
      </c>
      <c r="AE6" s="67">
        <f>SUMIF('Monthly Data'!$B:$B,U6,'Monthly Data'!W:W)</f>
        <v>0</v>
      </c>
      <c r="AF6" s="67">
        <f t="shared" si="9"/>
        <v>9847280</v>
      </c>
      <c r="AG6" s="67">
        <f>'Customer Count'!O5</f>
        <v>15024</v>
      </c>
      <c r="AH6" s="67">
        <f t="shared" si="10"/>
        <v>655.43663471778484</v>
      </c>
      <c r="AI6" s="67">
        <f t="shared" si="11"/>
        <v>9847280</v>
      </c>
      <c r="AJ6" s="67">
        <f t="shared" si="12"/>
        <v>0</v>
      </c>
      <c r="AK6" s="67">
        <f t="shared" si="13"/>
        <v>9847280</v>
      </c>
      <c r="AM6" s="66">
        <f t="shared" ref="AM6:AM16" si="20">AM5+1</f>
        <v>2011</v>
      </c>
      <c r="AN6" s="67">
        <f>SUMIF('Monthly Data'!$B:$B,AM6,'Monthly Data'!S:S)</f>
        <v>3296779</v>
      </c>
      <c r="AO6" s="67">
        <f>'Customer Count'!S5</f>
        <v>603.83333333333337</v>
      </c>
      <c r="AP6" s="67">
        <f t="shared" si="14"/>
        <v>5459.7499309964114</v>
      </c>
      <c r="AQ6" s="67">
        <f t="shared" si="15"/>
        <v>3296779</v>
      </c>
    </row>
    <row r="7" spans="2:43" x14ac:dyDescent="0.2">
      <c r="B7" s="66">
        <f t="shared" si="16"/>
        <v>2012</v>
      </c>
      <c r="C7" s="67">
        <f>SUMIF('Monthly Data'!$B:$B,B7,'Monthly Data'!C:C)</f>
        <v>551839571</v>
      </c>
      <c r="D7" s="67">
        <f>SUMIF('Monthly Data'!$B:$B,B7,'Monthly Data'!D:D)</f>
        <v>2905438.7671886571</v>
      </c>
      <c r="E7" s="67">
        <f t="shared" si="0"/>
        <v>554745009.76718867</v>
      </c>
      <c r="F7" s="67"/>
      <c r="G7" s="67">
        <f ca="1">SUMIF('Res Normalized Monthly Avg Tr'!$B:$B,B7,'Res Normalized Monthly Avg Tr'!$S:$S)</f>
        <v>553358350.50354743</v>
      </c>
      <c r="H7" s="67">
        <f t="shared" si="1"/>
        <v>2905438.7671886571</v>
      </c>
      <c r="I7" s="67">
        <f t="shared" ca="1" si="2"/>
        <v>550452911.73635876</v>
      </c>
      <c r="K7" s="66">
        <f t="shared" si="17"/>
        <v>2012</v>
      </c>
      <c r="L7" s="67">
        <f>SUMIF('Monthly Data'!$B:$B,K7,'Monthly Data'!G:G)</f>
        <v>174704767</v>
      </c>
      <c r="M7" s="67">
        <f>SUMIF('Monthly Data'!$B:$B,K7,'Monthly Data'!I:I)</f>
        <v>1372275.3798865979</v>
      </c>
      <c r="N7" s="67">
        <f t="shared" si="3"/>
        <v>176077042.3798866</v>
      </c>
      <c r="O7" s="67"/>
      <c r="P7" s="67">
        <f ca="1">SUMIF('GS&lt;50 Normalized Monthly Av Tr'!$B:$B,K7,'GS&lt;50 Normalized Monthly Av Tr'!S:$S)</f>
        <v>175967974.43524376</v>
      </c>
      <c r="Q7" s="67">
        <f t="shared" si="4"/>
        <v>1372275.3798865979</v>
      </c>
      <c r="R7" s="67">
        <f t="shared" ca="1" si="5"/>
        <v>174595699.05535716</v>
      </c>
      <c r="T7" s="66">
        <f t="shared" si="18"/>
        <v>2012</v>
      </c>
      <c r="U7" s="67">
        <f>SUMIF('Monthly Data'!$B:$B,T7,'Monthly Data'!K:K)</f>
        <v>903337846</v>
      </c>
      <c r="V7" s="67">
        <f>SUMIF('Monthly Data'!$B:$B,T7,'Monthly Data'!L:L)</f>
        <v>7938587.5560582206</v>
      </c>
      <c r="W7" s="67">
        <f t="shared" si="6"/>
        <v>911276433.55605817</v>
      </c>
      <c r="X7" s="67"/>
      <c r="Y7" s="67">
        <f ca="1">SUMIF('GS&gt;50 Normalized Monthly Av Tr'!$B:$B,T7,'GS&gt;50 Normalized Monthly Av Tr'!$T:$T)</f>
        <v>913873031.05520797</v>
      </c>
      <c r="Z7" s="67">
        <f t="shared" si="7"/>
        <v>7938587.5560582206</v>
      </c>
      <c r="AA7" s="67">
        <f t="shared" ca="1" si="8"/>
        <v>905934443.4991498</v>
      </c>
      <c r="AC7" s="66">
        <f t="shared" si="19"/>
        <v>2012</v>
      </c>
      <c r="AD7" s="67">
        <f>SUMIF('Monthly Data'!$B:$B,AC7,'Monthly Data'!P:P)</f>
        <v>9866380</v>
      </c>
      <c r="AE7" s="67">
        <f>SUMIF('Monthly Data'!$B:$B,U7,'Monthly Data'!W:W)</f>
        <v>0</v>
      </c>
      <c r="AF7" s="67">
        <f t="shared" si="9"/>
        <v>9866380</v>
      </c>
      <c r="AG7" s="67">
        <f>'Customer Count'!O6</f>
        <v>15082.666666666666</v>
      </c>
      <c r="AH7" s="67">
        <f t="shared" si="10"/>
        <v>654.15355374823196</v>
      </c>
      <c r="AI7" s="67">
        <f t="shared" si="11"/>
        <v>9866380</v>
      </c>
      <c r="AJ7" s="67">
        <f t="shared" si="12"/>
        <v>0</v>
      </c>
      <c r="AK7" s="67">
        <f t="shared" si="13"/>
        <v>9866380</v>
      </c>
      <c r="AM7" s="66">
        <f t="shared" si="20"/>
        <v>2012</v>
      </c>
      <c r="AN7" s="67">
        <f>SUMIF('Monthly Data'!$B:$B,AM7,'Monthly Data'!S:S)</f>
        <v>3353868</v>
      </c>
      <c r="AO7" s="67">
        <f>'Customer Count'!S6</f>
        <v>604.5</v>
      </c>
      <c r="AP7" s="67">
        <f t="shared" si="14"/>
        <v>5548.1687344913153</v>
      </c>
      <c r="AQ7" s="67">
        <f t="shared" si="15"/>
        <v>3353868</v>
      </c>
    </row>
    <row r="8" spans="2:43" x14ac:dyDescent="0.2">
      <c r="B8" s="66">
        <f t="shared" si="16"/>
        <v>2013</v>
      </c>
      <c r="C8" s="67">
        <f>SUMIF('Monthly Data'!$B:$B,B8,'Monthly Data'!C:C)</f>
        <v>540087395</v>
      </c>
      <c r="D8" s="67">
        <f>SUMIF('Monthly Data'!$B:$B,B8,'Monthly Data'!D:D)</f>
        <v>4435088.6506171571</v>
      </c>
      <c r="E8" s="67">
        <f t="shared" si="0"/>
        <v>544522483.65061712</v>
      </c>
      <c r="F8" s="67"/>
      <c r="G8" s="67">
        <f ca="1">SUMIF('Res Normalized Monthly Avg Tr'!$B:$B,B8,'Res Normalized Monthly Avg Tr'!$S:$S)</f>
        <v>553153188.9104408</v>
      </c>
      <c r="H8" s="67">
        <f t="shared" si="1"/>
        <v>4435088.6506171571</v>
      </c>
      <c r="I8" s="67">
        <f t="shared" ca="1" si="2"/>
        <v>548718100.25982368</v>
      </c>
      <c r="K8" s="66">
        <f t="shared" si="17"/>
        <v>2013</v>
      </c>
      <c r="L8" s="67">
        <f>SUMIF('Monthly Data'!$B:$B,K8,'Monthly Data'!G:G)</f>
        <v>175467402</v>
      </c>
      <c r="M8" s="67">
        <f>SUMIF('Monthly Data'!$B:$B,K8,'Monthly Data'!I:I)</f>
        <v>2174491.4721336304</v>
      </c>
      <c r="N8" s="67">
        <f t="shared" si="3"/>
        <v>177641893.47213364</v>
      </c>
      <c r="O8" s="67"/>
      <c r="P8" s="67">
        <f ca="1">SUMIF('GS&lt;50 Normalized Monthly Av Tr'!$B:$B,K8,'GS&lt;50 Normalized Monthly Av Tr'!S:$S)</f>
        <v>177166774.85147384</v>
      </c>
      <c r="Q8" s="67">
        <f t="shared" si="4"/>
        <v>2174491.4721336304</v>
      </c>
      <c r="R8" s="67">
        <f t="shared" ca="1" si="5"/>
        <v>174992283.3793402</v>
      </c>
      <c r="T8" s="66">
        <f t="shared" si="18"/>
        <v>2013</v>
      </c>
      <c r="U8" s="67">
        <f>SUMIF('Monthly Data'!$B:$B,T8,'Monthly Data'!K:K)</f>
        <v>899933878</v>
      </c>
      <c r="V8" s="67">
        <f>SUMIF('Monthly Data'!$B:$B,T8,'Monthly Data'!L:L)</f>
        <v>14675098.739299668</v>
      </c>
      <c r="W8" s="67">
        <f t="shared" si="6"/>
        <v>914608976.73929965</v>
      </c>
      <c r="X8" s="67"/>
      <c r="Y8" s="67">
        <f ca="1">SUMIF('GS&gt;50 Normalized Monthly Av Tr'!$B:$B,T8,'GS&gt;50 Normalized Monthly Av Tr'!$T:$T)</f>
        <v>913535395.56384826</v>
      </c>
      <c r="Z8" s="67">
        <f t="shared" si="7"/>
        <v>14675098.739299668</v>
      </c>
      <c r="AA8" s="67">
        <f t="shared" ca="1" si="8"/>
        <v>898860296.8245486</v>
      </c>
      <c r="AC8" s="66">
        <f t="shared" si="19"/>
        <v>2013</v>
      </c>
      <c r="AD8" s="67">
        <f>SUMIF('Monthly Data'!$B:$B,AC8,'Monthly Data'!P:P)</f>
        <v>9864267</v>
      </c>
      <c r="AE8" s="67">
        <f>SUMIF('Monthly Data'!$B:$B,U8,'Monthly Data'!W:W)</f>
        <v>0</v>
      </c>
      <c r="AF8" s="67">
        <f t="shared" si="9"/>
        <v>9864267</v>
      </c>
      <c r="AG8" s="67">
        <f>'Customer Count'!O7</f>
        <v>15114.416666666666</v>
      </c>
      <c r="AH8" s="67">
        <f t="shared" si="10"/>
        <v>652.63961008529384</v>
      </c>
      <c r="AI8" s="67">
        <f t="shared" si="11"/>
        <v>9864267</v>
      </c>
      <c r="AJ8" s="67">
        <f t="shared" si="12"/>
        <v>0</v>
      </c>
      <c r="AK8" s="67">
        <f t="shared" si="13"/>
        <v>9864267</v>
      </c>
      <c r="AM8" s="66">
        <f t="shared" si="20"/>
        <v>2013</v>
      </c>
      <c r="AN8" s="67">
        <f>SUMIF('Monthly Data'!$B:$B,AM8,'Monthly Data'!S:S)</f>
        <v>3104444</v>
      </c>
      <c r="AO8" s="67">
        <f>'Customer Count'!S7</f>
        <v>568.58333333333337</v>
      </c>
      <c r="AP8" s="67">
        <f t="shared" si="14"/>
        <v>5459.9630660999555</v>
      </c>
      <c r="AQ8" s="67">
        <f t="shared" si="15"/>
        <v>3104444</v>
      </c>
    </row>
    <row r="9" spans="2:43" x14ac:dyDescent="0.2">
      <c r="B9" s="66">
        <f t="shared" si="16"/>
        <v>2014</v>
      </c>
      <c r="C9" s="67">
        <f>SUMIF('Monthly Data'!$B:$B,B9,'Monthly Data'!C:C)</f>
        <v>530303117</v>
      </c>
      <c r="D9" s="67">
        <f>SUMIF('Monthly Data'!$B:$B,B9,'Monthly Data'!D:D)</f>
        <v>6994830.8620939618</v>
      </c>
      <c r="E9" s="67">
        <f t="shared" si="0"/>
        <v>537297947.86209393</v>
      </c>
      <c r="F9" s="67"/>
      <c r="G9" s="67">
        <f ca="1">SUMIF('Res Normalized Monthly Avg Tr'!$B:$B,B9,'Res Normalized Monthly Avg Tr'!$S:$S)</f>
        <v>551625701.60963845</v>
      </c>
      <c r="H9" s="67">
        <f t="shared" si="1"/>
        <v>6994830.8620939618</v>
      </c>
      <c r="I9" s="67">
        <f t="shared" ca="1" si="2"/>
        <v>544630870.74754453</v>
      </c>
      <c r="K9" s="66">
        <f t="shared" si="17"/>
        <v>2014</v>
      </c>
      <c r="L9" s="67">
        <f>SUMIF('Monthly Data'!$B:$B,K9,'Monthly Data'!G:G)</f>
        <v>172644356</v>
      </c>
      <c r="M9" s="67">
        <f>SUMIF('Monthly Data'!$B:$B,K9,'Monthly Data'!I:I)</f>
        <v>3084511.7297402783</v>
      </c>
      <c r="N9" s="67">
        <f t="shared" si="3"/>
        <v>175728867.72974029</v>
      </c>
      <c r="O9" s="67"/>
      <c r="P9" s="67">
        <f ca="1">SUMIF('GS&lt;50 Normalized Monthly Av Tr'!$B:$B,K9,'GS&lt;50 Normalized Monthly Av Tr'!S:$S)</f>
        <v>176459486.01467234</v>
      </c>
      <c r="Q9" s="67">
        <f t="shared" si="4"/>
        <v>3084511.7297402783</v>
      </c>
      <c r="R9" s="67">
        <f t="shared" ca="1" si="5"/>
        <v>173374974.28493205</v>
      </c>
      <c r="T9" s="66">
        <f t="shared" si="18"/>
        <v>2014</v>
      </c>
      <c r="U9" s="67">
        <f>SUMIF('Monthly Data'!$B:$B,T9,'Monthly Data'!K:K)</f>
        <v>901672321</v>
      </c>
      <c r="V9" s="67">
        <f>SUMIF('Monthly Data'!$B:$B,T9,'Monthly Data'!L:L)</f>
        <v>20152767.537717268</v>
      </c>
      <c r="W9" s="67">
        <f t="shared" si="6"/>
        <v>921825088.53771722</v>
      </c>
      <c r="X9" s="67"/>
      <c r="Y9" s="67">
        <f ca="1">SUMIF('GS&gt;50 Normalized Monthly Av Tr'!$B:$B,T9,'GS&gt;50 Normalized Monthly Av Tr'!$T:$T)</f>
        <v>927242272.81771791</v>
      </c>
      <c r="Z9" s="67">
        <f t="shared" si="7"/>
        <v>20152767.537717268</v>
      </c>
      <c r="AA9" s="67">
        <f t="shared" ca="1" si="8"/>
        <v>907089505.28000069</v>
      </c>
      <c r="AC9" s="66">
        <f t="shared" si="19"/>
        <v>2014</v>
      </c>
      <c r="AD9" s="67">
        <f>SUMIF('Monthly Data'!$B:$B,AC9,'Monthly Data'!P:P)</f>
        <v>9908447</v>
      </c>
      <c r="AE9" s="67">
        <f>SUMIF('Monthly Data'!$B:$B,U9,'Monthly Data'!W:W)</f>
        <v>0</v>
      </c>
      <c r="AF9" s="67">
        <f t="shared" si="9"/>
        <v>9908447</v>
      </c>
      <c r="AG9" s="67">
        <f>'Customer Count'!O8</f>
        <v>15170.75</v>
      </c>
      <c r="AH9" s="67">
        <f t="shared" si="10"/>
        <v>653.12835555262598</v>
      </c>
      <c r="AI9" s="67">
        <f t="shared" si="11"/>
        <v>9908447</v>
      </c>
      <c r="AJ9" s="67">
        <f t="shared" si="12"/>
        <v>0</v>
      </c>
      <c r="AK9" s="67">
        <f t="shared" si="13"/>
        <v>9908447</v>
      </c>
      <c r="AM9" s="66">
        <f t="shared" si="20"/>
        <v>2014</v>
      </c>
      <c r="AN9" s="67">
        <f>SUMIF('Monthly Data'!$B:$B,AM9,'Monthly Data'!S:S)</f>
        <v>3098633</v>
      </c>
      <c r="AO9" s="67">
        <f>'Customer Count'!S8</f>
        <v>559</v>
      </c>
      <c r="AP9" s="71">
        <f t="shared" si="14"/>
        <v>5543.1717352415026</v>
      </c>
      <c r="AQ9" s="67">
        <f t="shared" si="15"/>
        <v>3098633</v>
      </c>
    </row>
    <row r="10" spans="2:43" x14ac:dyDescent="0.2">
      <c r="B10" s="66">
        <f t="shared" si="16"/>
        <v>2015</v>
      </c>
      <c r="C10" s="67">
        <f>SUMIF('Monthly Data'!$B:$B,B10,'Monthly Data'!C:C)</f>
        <v>530999846</v>
      </c>
      <c r="D10" s="67">
        <f>SUMIF('Monthly Data'!$B:$B,B10,'Monthly Data'!D:D)</f>
        <v>10177948.606862321</v>
      </c>
      <c r="E10" s="67">
        <f t="shared" si="0"/>
        <v>541177794.60686231</v>
      </c>
      <c r="F10" s="67"/>
      <c r="G10" s="67">
        <f ca="1">SUMIF('Res Normalized Monthly Avg Tr'!$B:$B,B10,'Res Normalized Monthly Avg Tr'!$S:$S)</f>
        <v>546663547.73507869</v>
      </c>
      <c r="H10" s="67">
        <f t="shared" si="1"/>
        <v>10177948.606862321</v>
      </c>
      <c r="I10" s="67">
        <f t="shared" ca="1" si="2"/>
        <v>536485599.12821639</v>
      </c>
      <c r="K10" s="66">
        <f t="shared" si="17"/>
        <v>2015</v>
      </c>
      <c r="L10" s="67">
        <f>SUMIF('Monthly Data'!$B:$B,K10,'Monthly Data'!G:G)</f>
        <v>170245509</v>
      </c>
      <c r="M10" s="67">
        <f>SUMIF('Monthly Data'!$B:$B,K10,'Monthly Data'!I:I)</f>
        <v>5518520.389078605</v>
      </c>
      <c r="N10" s="67">
        <f t="shared" si="3"/>
        <v>175764029.38907862</v>
      </c>
      <c r="O10" s="67"/>
      <c r="P10" s="67">
        <f ca="1">SUMIF('GS&lt;50 Normalized Monthly Av Tr'!$B:$B,K10,'GS&lt;50 Normalized Monthly Av Tr'!S:$S)</f>
        <v>177442974.5192914</v>
      </c>
      <c r="Q10" s="67">
        <f t="shared" si="4"/>
        <v>5518520.389078605</v>
      </c>
      <c r="R10" s="67">
        <f t="shared" ca="1" si="5"/>
        <v>171924454.13021278</v>
      </c>
      <c r="T10" s="66">
        <f t="shared" si="18"/>
        <v>2015</v>
      </c>
      <c r="U10" s="67">
        <f>SUMIF('Monthly Data'!$B:$B,T10,'Monthly Data'!K:K)</f>
        <v>907051642</v>
      </c>
      <c r="V10" s="67">
        <f>SUMIF('Monthly Data'!$B:$B,T10,'Monthly Data'!L:L)</f>
        <v>25607530.815657511</v>
      </c>
      <c r="W10" s="67">
        <f t="shared" si="6"/>
        <v>932659172.8156575</v>
      </c>
      <c r="X10" s="67"/>
      <c r="Y10" s="67">
        <f ca="1">SUMIF('GS&gt;50 Normalized Monthly Av Tr'!$B:$B,T10,'GS&gt;50 Normalized Monthly Av Tr'!$T:$T)</f>
        <v>936373979.4188931</v>
      </c>
      <c r="Z10" s="67">
        <f t="shared" si="7"/>
        <v>25607530.815657511</v>
      </c>
      <c r="AA10" s="67">
        <f t="shared" ca="1" si="8"/>
        <v>910766448.6032356</v>
      </c>
      <c r="AC10" s="66">
        <f t="shared" si="19"/>
        <v>2015</v>
      </c>
      <c r="AD10" s="67">
        <f>SUMIF('Monthly Data'!$B:$B,AC10,'Monthly Data'!P:P)</f>
        <v>9918681</v>
      </c>
      <c r="AE10" s="67">
        <f>SUMIF('Monthly Data'!$B:$B,U10,'Monthly Data'!W:W)</f>
        <v>0</v>
      </c>
      <c r="AF10" s="67">
        <f t="shared" si="9"/>
        <v>9918681</v>
      </c>
      <c r="AG10" s="67">
        <f>'Customer Count'!O9</f>
        <v>15228.583333333334</v>
      </c>
      <c r="AH10" s="67">
        <f t="shared" si="10"/>
        <v>651.32000678548559</v>
      </c>
      <c r="AI10" s="67">
        <f t="shared" si="11"/>
        <v>9918681</v>
      </c>
      <c r="AJ10" s="67">
        <f t="shared" si="12"/>
        <v>0</v>
      </c>
      <c r="AK10" s="67">
        <f t="shared" si="13"/>
        <v>9918681</v>
      </c>
      <c r="AM10" s="66">
        <f t="shared" si="20"/>
        <v>2015</v>
      </c>
      <c r="AN10" s="67">
        <f>SUMIF('Monthly Data'!$B:$B,AM10,'Monthly Data'!S:S)</f>
        <v>3110148</v>
      </c>
      <c r="AO10" s="67">
        <f>'Customer Count'!S9</f>
        <v>556.75</v>
      </c>
      <c r="AP10" s="67">
        <f t="shared" si="14"/>
        <v>5586.2559497081274</v>
      </c>
      <c r="AQ10" s="67">
        <f t="shared" si="15"/>
        <v>3110148</v>
      </c>
    </row>
    <row r="11" spans="2:43" x14ac:dyDescent="0.2">
      <c r="B11" s="66">
        <f t="shared" si="16"/>
        <v>2016</v>
      </c>
      <c r="C11" s="67">
        <f>SUMIF('Monthly Data'!$B:$B,B11,'Monthly Data'!C:C)</f>
        <v>545123880</v>
      </c>
      <c r="D11" s="67">
        <f>SUMIF('Monthly Data'!$B:$B,B11,'Monthly Data'!D:D)</f>
        <v>15147695.810655469</v>
      </c>
      <c r="E11" s="67">
        <f t="shared" si="0"/>
        <v>560271575.81065547</v>
      </c>
      <c r="F11" s="67"/>
      <c r="G11" s="67">
        <f ca="1">SUMIF('Res Normalized Monthly Avg Tr'!$B:$B,B11,'Res Normalized Monthly Avg Tr'!$S:$S)</f>
        <v>544915548.60520172</v>
      </c>
      <c r="H11" s="67">
        <f t="shared" si="1"/>
        <v>15147695.810655469</v>
      </c>
      <c r="I11" s="67">
        <f t="shared" ca="1" si="2"/>
        <v>529767852.79454625</v>
      </c>
      <c r="K11" s="66">
        <f t="shared" si="17"/>
        <v>2016</v>
      </c>
      <c r="L11" s="67">
        <f>SUMIF('Monthly Data'!$B:$B,K11,'Monthly Data'!G:G)</f>
        <v>169905557</v>
      </c>
      <c r="M11" s="67">
        <f>SUMIF('Monthly Data'!$B:$B,K11,'Monthly Data'!I:I)</f>
        <v>8433291.647576699</v>
      </c>
      <c r="N11" s="67">
        <f t="shared" si="3"/>
        <v>178338848.64757669</v>
      </c>
      <c r="O11" s="67"/>
      <c r="P11" s="67">
        <f ca="1">SUMIF('GS&lt;50 Normalized Monthly Av Tr'!$B:$B,K11,'GS&lt;50 Normalized Monthly Av Tr'!S:$S)</f>
        <v>178149286.44904298</v>
      </c>
      <c r="Q11" s="67">
        <f t="shared" si="4"/>
        <v>8433291.647576699</v>
      </c>
      <c r="R11" s="67">
        <f t="shared" ca="1" si="5"/>
        <v>169715994.80146629</v>
      </c>
      <c r="T11" s="66">
        <f t="shared" si="18"/>
        <v>2016</v>
      </c>
      <c r="U11" s="67">
        <f>SUMIF('Monthly Data'!$B:$B,T11,'Monthly Data'!K:K)</f>
        <v>920835908</v>
      </c>
      <c r="V11" s="67">
        <f>SUMIF('Monthly Data'!$B:$B,T11,'Monthly Data'!L:L)</f>
        <v>33797597.423412584</v>
      </c>
      <c r="W11" s="67">
        <f t="shared" si="6"/>
        <v>954633505.42341256</v>
      </c>
      <c r="X11" s="67"/>
      <c r="Y11" s="67">
        <f ca="1">SUMIF('GS&gt;50 Normalized Monthly Av Tr'!$B:$B,T11,'GS&gt;50 Normalized Monthly Av Tr'!$T:$T)</f>
        <v>945482114.48795593</v>
      </c>
      <c r="Z11" s="67">
        <f t="shared" si="7"/>
        <v>33797597.423412584</v>
      </c>
      <c r="AA11" s="67">
        <f t="shared" ca="1" si="8"/>
        <v>911684517.06454337</v>
      </c>
      <c r="AC11" s="66">
        <f t="shared" si="19"/>
        <v>2016</v>
      </c>
      <c r="AD11" s="67">
        <f>SUMIF('Monthly Data'!$B:$B,AC11,'Monthly Data'!P:P)</f>
        <v>9945876</v>
      </c>
      <c r="AE11" s="67">
        <f>SUMIF('Monthly Data'!$B:$B,U11,'Monthly Data'!W:W)</f>
        <v>0</v>
      </c>
      <c r="AF11" s="67">
        <f t="shared" si="9"/>
        <v>9945876</v>
      </c>
      <c r="AG11" s="67">
        <f>'Customer Count'!O10</f>
        <v>15252.666666666666</v>
      </c>
      <c r="AH11" s="67">
        <f t="shared" si="10"/>
        <v>652.07456619607501</v>
      </c>
      <c r="AI11" s="67">
        <f t="shared" si="11"/>
        <v>9945876</v>
      </c>
      <c r="AJ11" s="67">
        <f t="shared" si="12"/>
        <v>0</v>
      </c>
      <c r="AK11" s="67">
        <f t="shared" si="13"/>
        <v>9945876</v>
      </c>
      <c r="AM11" s="66">
        <f t="shared" si="20"/>
        <v>2016</v>
      </c>
      <c r="AN11" s="67">
        <f>SUMIF('Monthly Data'!$B:$B,AM11,'Monthly Data'!S:S)</f>
        <v>3115033</v>
      </c>
      <c r="AO11" s="67">
        <f>'Customer Count'!S10</f>
        <v>559.08333333333337</v>
      </c>
      <c r="AP11" s="67">
        <f t="shared" si="14"/>
        <v>5571.6792368460274</v>
      </c>
      <c r="AQ11" s="67">
        <f t="shared" si="15"/>
        <v>3115033</v>
      </c>
    </row>
    <row r="12" spans="2:43" x14ac:dyDescent="0.2">
      <c r="B12" s="66">
        <f t="shared" si="16"/>
        <v>2017</v>
      </c>
      <c r="C12" s="67">
        <f>SUMIF('Monthly Data'!$B:$B,B12,'Monthly Data'!C:C)</f>
        <v>501428451</v>
      </c>
      <c r="D12" s="67">
        <f>SUMIF('Monthly Data'!$B:$B,B12,'Monthly Data'!D:D)</f>
        <v>28746497.150071185</v>
      </c>
      <c r="E12" s="67">
        <f t="shared" si="0"/>
        <v>530174948.1500712</v>
      </c>
      <c r="F12" s="67"/>
      <c r="G12" s="67">
        <f ca="1">SUMIF('Res Normalized Monthly Avg Tr'!$B:$B,B12,'Res Normalized Monthly Avg Tr'!$S:$S)</f>
        <v>544335663.36682534</v>
      </c>
      <c r="H12" s="67">
        <f t="shared" si="1"/>
        <v>28746497.150071185</v>
      </c>
      <c r="I12" s="67">
        <f t="shared" ca="1" si="2"/>
        <v>515589166.21675414</v>
      </c>
      <c r="K12" s="66">
        <f t="shared" si="17"/>
        <v>2017</v>
      </c>
      <c r="L12" s="67">
        <f>SUMIF('Monthly Data'!$B:$B,K12,'Monthly Data'!G:G)</f>
        <v>166894185</v>
      </c>
      <c r="M12" s="67">
        <f>SUMIF('Monthly Data'!$B:$B,K12,'Monthly Data'!I:I)</f>
        <v>9671900.595605839</v>
      </c>
      <c r="N12" s="67">
        <f t="shared" si="3"/>
        <v>176566085.59560585</v>
      </c>
      <c r="O12" s="67"/>
      <c r="P12" s="67">
        <f ca="1">SUMIF('GS&lt;50 Normalized Monthly Av Tr'!$B:$B,K12,'GS&lt;50 Normalized Monthly Av Tr'!S:$S)</f>
        <v>179224744.4479841</v>
      </c>
      <c r="Q12" s="67">
        <f t="shared" si="4"/>
        <v>9671900.595605839</v>
      </c>
      <c r="R12" s="67">
        <f t="shared" ca="1" si="5"/>
        <v>169552843.85237825</v>
      </c>
      <c r="T12" s="66">
        <f t="shared" si="18"/>
        <v>2017</v>
      </c>
      <c r="U12" s="67">
        <f>SUMIF('Monthly Data'!$B:$B,T12,'Monthly Data'!K:K)</f>
        <v>885596225</v>
      </c>
      <c r="V12" s="67">
        <f>SUMIF('Monthly Data'!$B:$B,T12,'Monthly Data'!L:L)</f>
        <v>40578631.997496277</v>
      </c>
      <c r="W12" s="67">
        <f t="shared" si="6"/>
        <v>926174856.99749625</v>
      </c>
      <c r="X12" s="67"/>
      <c r="Y12" s="67">
        <f ca="1">SUMIF('GS&gt;50 Normalized Monthly Av Tr'!$B:$B,T12,'GS&gt;50 Normalized Monthly Av Tr'!$T:$T)</f>
        <v>921592239.73735452</v>
      </c>
      <c r="Z12" s="67">
        <f t="shared" si="7"/>
        <v>40578631.997496277</v>
      </c>
      <c r="AA12" s="67">
        <f t="shared" ca="1" si="8"/>
        <v>881013607.73985827</v>
      </c>
      <c r="AC12" s="66">
        <f t="shared" si="19"/>
        <v>2017</v>
      </c>
      <c r="AD12" s="67">
        <f>SUMIF('Monthly Data'!$B:$B,AC12,'Monthly Data'!P:P)</f>
        <v>11286654.700000001</v>
      </c>
      <c r="AE12" s="67">
        <f>SUMIF('Monthly Data'!$B:$B,U12,'Monthly Data'!W:W)</f>
        <v>0</v>
      </c>
      <c r="AF12" s="67">
        <f t="shared" si="9"/>
        <v>11286654.700000001</v>
      </c>
      <c r="AG12" s="67">
        <f>'Customer Count'!O11</f>
        <v>17184</v>
      </c>
      <c r="AH12" s="67">
        <f t="shared" si="10"/>
        <v>656.81184241154574</v>
      </c>
      <c r="AI12" s="67">
        <f t="shared" si="11"/>
        <v>11286654.700000001</v>
      </c>
      <c r="AJ12" s="67">
        <f t="shared" si="12"/>
        <v>0</v>
      </c>
      <c r="AK12" s="67">
        <f t="shared" si="13"/>
        <v>11286654.700000001</v>
      </c>
      <c r="AM12" s="66">
        <f t="shared" si="20"/>
        <v>2017</v>
      </c>
      <c r="AN12" s="67">
        <f>SUMIF('Monthly Data'!$B:$B,AM12,'Monthly Data'!S:S)</f>
        <v>3130244</v>
      </c>
      <c r="AO12" s="67">
        <f>'Customer Count'!S11</f>
        <v>561.91666666666663</v>
      </c>
      <c r="AP12" s="67">
        <f t="shared" si="14"/>
        <v>5570.6551979830938</v>
      </c>
      <c r="AQ12" s="67">
        <f>AP12*AO12</f>
        <v>3130244</v>
      </c>
    </row>
    <row r="13" spans="2:43" x14ac:dyDescent="0.2">
      <c r="B13" s="66">
        <f t="shared" si="16"/>
        <v>2018</v>
      </c>
      <c r="C13" s="67">
        <f>SUMIF('Monthly Data'!$B:$B,B13,'Monthly Data'!C:C)</f>
        <v>536801589</v>
      </c>
      <c r="D13" s="67">
        <f>SUMIF('Monthly Data'!$B:$B,B13,'Monthly Data'!D:D)</f>
        <v>36457766.657361999</v>
      </c>
      <c r="E13" s="67">
        <f t="shared" si="0"/>
        <v>573259355.65736198</v>
      </c>
      <c r="F13" s="68"/>
      <c r="G13" s="67">
        <f ca="1">SUMIF('Res Normalized Monthly Avg Tr'!$B:$B,B13,'Res Normalized Monthly Avg Tr'!$S:$S)</f>
        <v>547440601.65432239</v>
      </c>
      <c r="H13" s="67">
        <f t="shared" si="1"/>
        <v>36457766.657361999</v>
      </c>
      <c r="I13" s="67">
        <f t="shared" ca="1" si="2"/>
        <v>510982834.9969604</v>
      </c>
      <c r="K13" s="66">
        <f t="shared" si="17"/>
        <v>2018</v>
      </c>
      <c r="L13" s="67">
        <f>SUMIF('Monthly Data'!$B:$B,K13,'Monthly Data'!G:G)</f>
        <v>174257110</v>
      </c>
      <c r="M13" s="67">
        <f>SUMIF('Monthly Data'!$B:$B,K13,'Monthly Data'!I:I)</f>
        <v>12127348.408072384</v>
      </c>
      <c r="N13" s="67">
        <f t="shared" si="3"/>
        <v>186384458.40807238</v>
      </c>
      <c r="O13" s="68"/>
      <c r="P13" s="67">
        <f ca="1">SUMIF('GS&lt;50 Normalized Monthly Av Tr'!$B:$B,K13,'GS&lt;50 Normalized Monthly Av Tr'!S:$S)</f>
        <v>181695490.03422678</v>
      </c>
      <c r="Q13" s="67">
        <f t="shared" si="4"/>
        <v>12127348.408072384</v>
      </c>
      <c r="R13" s="67">
        <f t="shared" ca="1" si="5"/>
        <v>169568141.62615439</v>
      </c>
      <c r="T13" s="66">
        <f t="shared" si="18"/>
        <v>2018</v>
      </c>
      <c r="U13" s="67">
        <f>SUMIF('Monthly Data'!$B:$B,T13,'Monthly Data'!K:K)</f>
        <v>874283086</v>
      </c>
      <c r="V13" s="67">
        <f>SUMIF('Monthly Data'!$B:$B,T13,'Monthly Data'!L:L)</f>
        <v>47485519.882111043</v>
      </c>
      <c r="W13" s="67">
        <f t="shared" si="6"/>
        <v>921768605.88211107</v>
      </c>
      <c r="X13" s="68"/>
      <c r="Y13" s="67">
        <f ca="1">SUMIF('GS&gt;50 Normalized Monthly Av Tr'!$B:$B,T13,'GS&gt;50 Normalized Monthly Av Tr'!$T:$T)</f>
        <v>907346948.60329318</v>
      </c>
      <c r="Z13" s="67">
        <f t="shared" si="7"/>
        <v>47485519.882111043</v>
      </c>
      <c r="AA13" s="67">
        <f t="shared" ca="1" si="8"/>
        <v>859861428.72118211</v>
      </c>
      <c r="AC13" s="66">
        <f t="shared" si="19"/>
        <v>2018</v>
      </c>
      <c r="AD13" s="67">
        <f>SUMIF('Monthly Data'!$B:$B,AC13,'Monthly Data'!P:P)</f>
        <v>6528022.6000000006</v>
      </c>
      <c r="AE13" s="67">
        <f>SUMIF('Monthly Data'!$B:$B,U13,'Monthly Data'!W:W)</f>
        <v>0</v>
      </c>
      <c r="AF13" s="67">
        <f t="shared" si="9"/>
        <v>6528022.6000000006</v>
      </c>
      <c r="AG13" s="67">
        <f>'Customer Count'!O12</f>
        <v>17184</v>
      </c>
      <c r="AH13" s="67">
        <f t="shared" si="10"/>
        <v>379.88958333333335</v>
      </c>
      <c r="AI13" s="67">
        <f t="shared" si="11"/>
        <v>6528022.6000000006</v>
      </c>
      <c r="AJ13" s="67">
        <f>CDM!K95</f>
        <v>0</v>
      </c>
      <c r="AK13" s="67">
        <f t="shared" si="13"/>
        <v>6528022.6000000006</v>
      </c>
      <c r="AM13" s="66">
        <f t="shared" si="20"/>
        <v>2018</v>
      </c>
      <c r="AN13" s="67">
        <f>SUMIF('Monthly Data'!$B:$B,AM13,'Monthly Data'!S:S)</f>
        <v>3138478</v>
      </c>
      <c r="AO13" s="67">
        <f>'Customer Count'!S12</f>
        <v>563.33333333333337</v>
      </c>
      <c r="AP13" s="67">
        <f t="shared" si="14"/>
        <v>5571.2627218934904</v>
      </c>
      <c r="AQ13" s="67">
        <f>AP13*AO13</f>
        <v>3138478</v>
      </c>
    </row>
    <row r="14" spans="2:43" x14ac:dyDescent="0.2">
      <c r="B14" s="66">
        <f t="shared" si="16"/>
        <v>2019</v>
      </c>
      <c r="C14" s="67">
        <f>SUMIF('Monthly Data'!$B:$B,B14,'Monthly Data'!C:C)</f>
        <v>512580883</v>
      </c>
      <c r="D14" s="67">
        <f>SUMIF('Monthly Data'!$B:$B,B14,'Monthly Data'!D:D)</f>
        <v>38326730.720622465</v>
      </c>
      <c r="E14" s="67">
        <f t="shared" si="0"/>
        <v>550907613.72062242</v>
      </c>
      <c r="F14" s="68"/>
      <c r="G14" s="67">
        <f ca="1">SUMIF('Res Normalized Monthly Avg Tr'!$B:$B,B14,'Res Normalized Monthly Avg Tr'!$S:$S)</f>
        <v>558400911.46908247</v>
      </c>
      <c r="H14" s="67">
        <f t="shared" si="1"/>
        <v>38326730.720622465</v>
      </c>
      <c r="I14" s="67">
        <f t="shared" ca="1" si="2"/>
        <v>520074180.74845999</v>
      </c>
      <c r="K14" s="66">
        <f t="shared" si="17"/>
        <v>2019</v>
      </c>
      <c r="L14" s="67">
        <f>SUMIF('Monthly Data'!$B:$B,K14,'Monthly Data'!G:G)</f>
        <v>170703484</v>
      </c>
      <c r="M14" s="67">
        <f>SUMIF('Monthly Data'!$B:$B,K14,'Monthly Data'!I:I)</f>
        <v>14162688.79294453</v>
      </c>
      <c r="N14" s="67">
        <f t="shared" si="3"/>
        <v>184866172.79294452</v>
      </c>
      <c r="O14" s="68"/>
      <c r="P14" s="67">
        <f ca="1">SUMIF('GS&lt;50 Normalized Monthly Av Tr'!$B:$B,K14,'GS&lt;50 Normalized Monthly Av Tr'!S:$S)</f>
        <v>184619090.47287428</v>
      </c>
      <c r="Q14" s="67">
        <f t="shared" si="4"/>
        <v>14162688.79294453</v>
      </c>
      <c r="R14" s="67">
        <f t="shared" ca="1" si="5"/>
        <v>170456401.67992976</v>
      </c>
      <c r="T14" s="66">
        <f t="shared" si="18"/>
        <v>2019</v>
      </c>
      <c r="U14" s="67">
        <f>SUMIF('Monthly Data'!$B:$B,T14,'Monthly Data'!K:K)</f>
        <v>837536595</v>
      </c>
      <c r="V14" s="67">
        <f>SUMIF('Monthly Data'!$B:$B,T14,'Monthly Data'!L:L)</f>
        <v>52682514.813684769</v>
      </c>
      <c r="W14" s="67">
        <f t="shared" si="6"/>
        <v>890219109.81368482</v>
      </c>
      <c r="X14" s="68"/>
      <c r="Y14" s="67">
        <f ca="1">SUMIF('GS&gt;50 Normalized Monthly Av Tr'!$B:$B,T14,'GS&gt;50 Normalized Monthly Av Tr'!$T:$T)</f>
        <v>905894806.15453625</v>
      </c>
      <c r="Z14" s="67">
        <f t="shared" si="7"/>
        <v>52682514.813684769</v>
      </c>
      <c r="AA14" s="67">
        <f t="shared" ca="1" si="8"/>
        <v>853212291.34085143</v>
      </c>
      <c r="AC14" s="66">
        <f t="shared" si="19"/>
        <v>2019</v>
      </c>
      <c r="AD14" s="67">
        <f>SUMIF('Monthly Data'!$B:$B,AC14,'Monthly Data'!P:P)</f>
        <v>5537652.8999999994</v>
      </c>
      <c r="AE14" s="67">
        <f>SUMIF('Monthly Data'!$B:$B,U14,'Monthly Data'!W:W)</f>
        <v>0</v>
      </c>
      <c r="AF14" s="67">
        <f t="shared" si="9"/>
        <v>5537652.8999999994</v>
      </c>
      <c r="AG14" s="67">
        <f>'Customer Count'!O13</f>
        <v>17184</v>
      </c>
      <c r="AH14" s="67">
        <f t="shared" si="10"/>
        <v>322.25633729050276</v>
      </c>
      <c r="AI14" s="67">
        <f t="shared" si="11"/>
        <v>5537652.8999999994</v>
      </c>
      <c r="AJ14" s="67">
        <f>CDM!K96</f>
        <v>0</v>
      </c>
      <c r="AK14" s="67">
        <f t="shared" si="13"/>
        <v>5537652.8999999994</v>
      </c>
      <c r="AM14" s="66">
        <f t="shared" si="20"/>
        <v>2019</v>
      </c>
      <c r="AN14" s="67">
        <f>SUMIF('Monthly Data'!$B:$B,AM14,'Monthly Data'!S:S)</f>
        <v>3144191</v>
      </c>
      <c r="AO14" s="67">
        <f>'Customer Count'!S13</f>
        <v>561.5</v>
      </c>
      <c r="AP14" s="67">
        <f t="shared" si="14"/>
        <v>5599.6277827248441</v>
      </c>
      <c r="AQ14" s="67">
        <f>AP14*AO14</f>
        <v>3144191</v>
      </c>
    </row>
    <row r="15" spans="2:43" x14ac:dyDescent="0.2">
      <c r="B15" s="69">
        <f t="shared" si="16"/>
        <v>2020</v>
      </c>
      <c r="C15" s="66"/>
      <c r="D15" s="66"/>
      <c r="E15" s="66"/>
      <c r="F15" s="66"/>
      <c r="G15" s="67">
        <f ca="1">SUMIF('Res Normalized Monthly Avg Tr'!$B:$B,B15,'Res Normalized Monthly Avg Tr'!$S:$S)</f>
        <v>585538532.9382875</v>
      </c>
      <c r="H15" s="68">
        <f>CDM!J22</f>
        <v>37950635.567019001</v>
      </c>
      <c r="I15" s="68">
        <f ca="1">G15-H15</f>
        <v>547587897.37126851</v>
      </c>
      <c r="J15" s="210"/>
      <c r="K15" s="69">
        <f t="shared" si="17"/>
        <v>2020</v>
      </c>
      <c r="L15" s="66"/>
      <c r="M15" s="66"/>
      <c r="N15" s="66"/>
      <c r="O15" s="66"/>
      <c r="P15" s="67">
        <f ca="1">SUMIF('GS&lt;50 Normalized Monthly Av Tr'!$B:$B,K15,'GS&lt;50 Normalized Monthly Av Tr'!S:$S)</f>
        <v>165537913.91047886</v>
      </c>
      <c r="Q15" s="68">
        <f>CDM!K22</f>
        <v>14647571.655614007</v>
      </c>
      <c r="R15" s="68">
        <f t="shared" ca="1" si="5"/>
        <v>150890342.25486484</v>
      </c>
      <c r="T15" s="69">
        <f t="shared" si="18"/>
        <v>2020</v>
      </c>
      <c r="U15" s="66"/>
      <c r="V15" s="66"/>
      <c r="W15" s="66"/>
      <c r="X15" s="66"/>
      <c r="Y15" s="67">
        <f ca="1">SUMIF('GS&gt;50 Normalized Monthly Av Tr'!$B:$B,T15,'GS&gt;50 Normalized Monthly Av Tr'!$T:$T)</f>
        <v>803173544.09032917</v>
      </c>
      <c r="Z15" s="68">
        <f>CDM!L22</f>
        <v>54709947.517272115</v>
      </c>
      <c r="AA15" s="68">
        <f ca="1">Y15-Z15</f>
        <v>748463596.57305706</v>
      </c>
      <c r="AB15" s="201">
        <f ca="1">AA15-'CDM Adjustment'!E9-'CDM Adjustment'!F9/2</f>
        <v>747367129.4331938</v>
      </c>
      <c r="AC15" s="69">
        <f t="shared" si="19"/>
        <v>2020</v>
      </c>
      <c r="AD15" s="66"/>
      <c r="AE15" s="66"/>
      <c r="AF15" s="66"/>
      <c r="AG15" s="68">
        <f>'Customer Count'!O18</f>
        <v>17196.600593685107</v>
      </c>
      <c r="AH15" s="76">
        <f>AH14</f>
        <v>322.25633729050276</v>
      </c>
      <c r="AI15" s="68">
        <f t="shared" si="11"/>
        <v>5541713.5211686473</v>
      </c>
      <c r="AJ15" s="68">
        <f>CDM!K97</f>
        <v>0</v>
      </c>
      <c r="AK15" s="67">
        <f t="shared" si="13"/>
        <v>5541713.5211686473</v>
      </c>
      <c r="AM15" s="69">
        <f t="shared" si="20"/>
        <v>2020</v>
      </c>
      <c r="AN15" s="66"/>
      <c r="AO15" s="68">
        <f>'Customer Count'!S18</f>
        <v>558.67964797739762</v>
      </c>
      <c r="AP15" s="68">
        <f>AP14</f>
        <v>5599.6277827248441</v>
      </c>
      <c r="AQ15" s="68">
        <f>AP15*AO15</f>
        <v>3128398.0784571716</v>
      </c>
    </row>
    <row r="16" spans="2:43" x14ac:dyDescent="0.2">
      <c r="B16" s="69">
        <f t="shared" si="16"/>
        <v>2021</v>
      </c>
      <c r="C16" s="66"/>
      <c r="D16" s="66"/>
      <c r="E16" s="66"/>
      <c r="F16" s="66"/>
      <c r="G16" s="67">
        <f ca="1">SUMIF('Res Normalized Monthly Avg Tr'!$B:$B,B16,'Res Normalized Monthly Avg Tr'!$S:$S)</f>
        <v>563694165.09772944</v>
      </c>
      <c r="H16" s="68">
        <f>CDM!J23</f>
        <v>37491693.702602401</v>
      </c>
      <c r="I16" s="68">
        <f ca="1">G16-H16</f>
        <v>526202471.39512706</v>
      </c>
      <c r="K16" s="69">
        <f t="shared" si="17"/>
        <v>2021</v>
      </c>
      <c r="L16" s="66"/>
      <c r="M16" s="66"/>
      <c r="N16" s="66"/>
      <c r="O16" s="66"/>
      <c r="P16" s="67">
        <f ca="1">SUMIF('GS&lt;50 Normalized Monthly Av Tr'!$B:$B,K16,'GS&lt;50 Normalized Monthly Av Tr'!S:$S)</f>
        <v>183112242.55754042</v>
      </c>
      <c r="Q16" s="68">
        <f>CDM!K23</f>
        <v>14164690.263616811</v>
      </c>
      <c r="R16" s="68">
        <f t="shared" ca="1" si="5"/>
        <v>168947552.29392362</v>
      </c>
      <c r="T16" s="69">
        <f t="shared" si="18"/>
        <v>2021</v>
      </c>
      <c r="U16" s="66"/>
      <c r="V16" s="66"/>
      <c r="W16" s="66"/>
      <c r="X16" s="66"/>
      <c r="Y16" s="67">
        <f ca="1">SUMIF('GS&gt;50 Normalized Monthly Av Tr'!$B:$B,T16,'GS&gt;50 Normalized Monthly Av Tr'!$T:$T)</f>
        <v>883394850.36267817</v>
      </c>
      <c r="Z16" s="68">
        <f>CDM!L23</f>
        <v>52112827.751174524</v>
      </c>
      <c r="AA16" s="68">
        <f ca="1">Y16-Z16</f>
        <v>831282022.6115036</v>
      </c>
      <c r="AC16" s="69">
        <f t="shared" si="19"/>
        <v>2021</v>
      </c>
      <c r="AD16" s="66"/>
      <c r="AE16" s="66"/>
      <c r="AF16" s="66"/>
      <c r="AG16" s="68">
        <f>'Customer Count'!O19</f>
        <v>17283.271460677272</v>
      </c>
      <c r="AH16" s="76">
        <f>AH15</f>
        <v>322.25633729050276</v>
      </c>
      <c r="AI16" s="68">
        <f t="shared" si="11"/>
        <v>5569643.7573153349</v>
      </c>
      <c r="AJ16" s="68">
        <f>CDM!K98</f>
        <v>0</v>
      </c>
      <c r="AK16" s="67">
        <f t="shared" si="13"/>
        <v>5569643.7573153349</v>
      </c>
      <c r="AM16" s="69">
        <f t="shared" si="20"/>
        <v>2021</v>
      </c>
      <c r="AN16" s="66"/>
      <c r="AO16" s="68">
        <f>'Customer Count'!S19</f>
        <v>554.21021079357854</v>
      </c>
      <c r="AP16" s="68">
        <f>AP15</f>
        <v>5599.6277827248441</v>
      </c>
      <c r="AQ16" s="68">
        <f>AP16*AO16</f>
        <v>3103370.8938295147</v>
      </c>
    </row>
  </sheetData>
  <mergeCells count="5">
    <mergeCell ref="B2:I2"/>
    <mergeCell ref="K2:R2"/>
    <mergeCell ref="T2:AA2"/>
    <mergeCell ref="AC2:AK2"/>
    <mergeCell ref="AM2:AQ2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9">
    <tabColor theme="8" tint="0.59999389629810485"/>
  </sheetPr>
  <dimension ref="A2:R49"/>
  <sheetViews>
    <sheetView topLeftCell="A13" workbookViewId="0"/>
  </sheetViews>
  <sheetFormatPr defaultRowHeight="12.75" x14ac:dyDescent="0.2"/>
  <cols>
    <col min="1" max="2" width="9.33203125" style="201"/>
    <col min="3" max="3" width="17.5" style="201" bestFit="1" customWidth="1"/>
    <col min="4" max="4" width="15.33203125" style="201" customWidth="1"/>
    <col min="5" max="5" width="12.83203125" style="201" customWidth="1"/>
    <col min="6" max="6" width="11.33203125" style="201" bestFit="1" customWidth="1"/>
    <col min="7" max="8" width="9.33203125" style="201"/>
    <col min="9" max="9" width="14.6640625" style="201" customWidth="1"/>
    <col min="10" max="10" width="16.1640625" style="201" customWidth="1"/>
    <col min="11" max="11" width="15.83203125" style="201" customWidth="1"/>
    <col min="12" max="12" width="11" style="201" customWidth="1"/>
    <col min="13" max="13" width="9.33203125" style="201"/>
    <col min="14" max="14" width="9.33203125" style="201" customWidth="1"/>
    <col min="15" max="15" width="10.6640625" style="201" bestFit="1" customWidth="1"/>
    <col min="16" max="16384" width="9.33203125" style="201"/>
  </cols>
  <sheetData>
    <row r="2" spans="1:18" x14ac:dyDescent="0.2">
      <c r="C2" s="261" t="s">
        <v>128</v>
      </c>
      <c r="D2" s="261"/>
      <c r="E2" s="261"/>
      <c r="I2" s="261" t="s">
        <v>131</v>
      </c>
      <c r="J2" s="261"/>
      <c r="K2" s="261"/>
      <c r="O2" s="255"/>
      <c r="P2" s="255"/>
      <c r="Q2" s="255"/>
    </row>
    <row r="3" spans="1:18" x14ac:dyDescent="0.2">
      <c r="A3" s="80"/>
      <c r="B3" s="80"/>
      <c r="C3" s="229" t="s">
        <v>132</v>
      </c>
      <c r="D3" s="229" t="s">
        <v>133</v>
      </c>
      <c r="E3" s="229" t="s">
        <v>174</v>
      </c>
      <c r="F3" s="229" t="s">
        <v>175</v>
      </c>
      <c r="H3" s="80"/>
      <c r="I3" s="229" t="s">
        <v>132</v>
      </c>
      <c r="J3" s="229" t="s">
        <v>133</v>
      </c>
      <c r="K3" s="229" t="s">
        <v>174</v>
      </c>
      <c r="L3" s="229" t="s">
        <v>175</v>
      </c>
      <c r="N3" s="80"/>
      <c r="O3" s="229"/>
      <c r="P3" s="229"/>
      <c r="Q3" s="80"/>
    </row>
    <row r="4" spans="1:18" x14ac:dyDescent="0.2">
      <c r="A4" s="80"/>
      <c r="B4" s="80"/>
      <c r="C4" s="80" t="s">
        <v>117</v>
      </c>
      <c r="D4" s="80" t="s">
        <v>118</v>
      </c>
      <c r="E4" s="80" t="s">
        <v>170</v>
      </c>
      <c r="F4" s="229"/>
      <c r="H4" s="80"/>
      <c r="I4" s="80"/>
      <c r="J4" s="229"/>
      <c r="K4" s="229"/>
      <c r="L4" s="229"/>
      <c r="N4" s="80"/>
      <c r="O4" s="229"/>
      <c r="P4" s="229"/>
      <c r="Q4" s="80"/>
    </row>
    <row r="5" spans="1:18" x14ac:dyDescent="0.2">
      <c r="A5" s="15"/>
      <c r="B5" s="15">
        <v>2010</v>
      </c>
      <c r="C5" s="71">
        <f>'Normalized Annual Summary Tr'!U5</f>
        <v>906197008</v>
      </c>
      <c r="D5" s="71">
        <f>SUMIF('Monthly Data'!B:B,B5,'Monthly Data'!N:N)</f>
        <v>2403006</v>
      </c>
      <c r="E5" s="81">
        <f t="shared" ref="E5:E14" si="0">D5/C5</f>
        <v>2.6517478857091968E-3</v>
      </c>
      <c r="H5" s="15">
        <v>2010</v>
      </c>
      <c r="I5" s="71">
        <f>'Normalized Annual Summary Tr'!AD5</f>
        <v>9467387</v>
      </c>
      <c r="J5" s="71">
        <f>SUMIF('Monthly Data'!$B:$B,H5,'Monthly Data'!Q:Q)</f>
        <v>26416</v>
      </c>
      <c r="K5" s="81">
        <f t="shared" ref="K5:K14" si="1">J5/I5</f>
        <v>2.7902102237924785E-3</v>
      </c>
      <c r="N5" s="15"/>
      <c r="O5" s="71"/>
      <c r="P5" s="71"/>
      <c r="Q5" s="81"/>
    </row>
    <row r="6" spans="1:18" x14ac:dyDescent="0.2">
      <c r="A6" s="15"/>
      <c r="B6" s="15">
        <f t="shared" ref="B6:B14" si="2">B5+1</f>
        <v>2011</v>
      </c>
      <c r="C6" s="71">
        <f>'Normalized Annual Summary Tr'!U6</f>
        <v>908229110</v>
      </c>
      <c r="D6" s="71">
        <f>SUMIF('Monthly Data'!B:B,B6,'Monthly Data'!N:N)</f>
        <v>2396756</v>
      </c>
      <c r="E6" s="81">
        <f t="shared" si="0"/>
        <v>2.6389332533065363E-3</v>
      </c>
      <c r="F6" s="27"/>
      <c r="H6" s="15">
        <f t="shared" ref="H6:H14" si="3">H5+1</f>
        <v>2011</v>
      </c>
      <c r="I6" s="71">
        <f>'Normalized Annual Summary Tr'!AD6</f>
        <v>9847280</v>
      </c>
      <c r="J6" s="71">
        <f>SUMIF('Monthly Data'!$B:$B,H6,'Monthly Data'!Q:Q)</f>
        <v>27334</v>
      </c>
      <c r="K6" s="81">
        <f t="shared" si="1"/>
        <v>2.7757918938021466E-3</v>
      </c>
      <c r="L6" s="27"/>
      <c r="M6" s="27"/>
      <c r="N6" s="15"/>
      <c r="O6" s="71"/>
      <c r="P6" s="71"/>
      <c r="Q6" s="81"/>
      <c r="R6" s="27"/>
    </row>
    <row r="7" spans="1:18" x14ac:dyDescent="0.2">
      <c r="A7" s="15"/>
      <c r="B7" s="15">
        <f t="shared" si="2"/>
        <v>2012</v>
      </c>
      <c r="C7" s="71">
        <f>'Normalized Annual Summary Tr'!U7</f>
        <v>903337846</v>
      </c>
      <c r="D7" s="71">
        <f>SUMIF('Monthly Data'!B:B,B7,'Monthly Data'!N:N)</f>
        <v>2423043</v>
      </c>
      <c r="E7" s="81">
        <f t="shared" si="0"/>
        <v>2.6823220246215613E-3</v>
      </c>
      <c r="F7" s="27">
        <f t="shared" ref="F7:F14" si="4">AVERAGE(E5:E7)</f>
        <v>2.6576677212124312E-3</v>
      </c>
      <c r="H7" s="15">
        <f t="shared" si="3"/>
        <v>2012</v>
      </c>
      <c r="I7" s="71">
        <f>'Normalized Annual Summary Tr'!AD7</f>
        <v>9866380</v>
      </c>
      <c r="J7" s="71">
        <f>SUMIF('Monthly Data'!$B:$B,H7,'Monthly Data'!Q:Q)</f>
        <v>27457</v>
      </c>
      <c r="K7" s="81">
        <f t="shared" si="1"/>
        <v>2.7828849081426013E-3</v>
      </c>
      <c r="L7" s="27">
        <f t="shared" ref="L7:L11" si="5">AVERAGE(K5:K7)</f>
        <v>2.7829623419124093E-3</v>
      </c>
      <c r="M7" s="27"/>
      <c r="N7" s="15"/>
      <c r="O7" s="71"/>
      <c r="P7" s="71"/>
      <c r="Q7" s="81"/>
      <c r="R7" s="27"/>
    </row>
    <row r="8" spans="1:18" x14ac:dyDescent="0.2">
      <c r="A8" s="15"/>
      <c r="B8" s="15">
        <f t="shared" si="2"/>
        <v>2013</v>
      </c>
      <c r="C8" s="71">
        <f>'Normalized Annual Summary Tr'!U8</f>
        <v>899933878</v>
      </c>
      <c r="D8" s="71">
        <f>SUMIF('Monthly Data'!B:B,B8,'Monthly Data'!N:N)</f>
        <v>2424733</v>
      </c>
      <c r="E8" s="81">
        <f t="shared" si="0"/>
        <v>2.6943457283647235E-3</v>
      </c>
      <c r="F8" s="27">
        <f t="shared" si="4"/>
        <v>2.6718670020976069E-3</v>
      </c>
      <c r="H8" s="15">
        <f t="shared" si="3"/>
        <v>2013</v>
      </c>
      <c r="I8" s="71">
        <f>'Normalized Annual Summary Tr'!AD8</f>
        <v>9864267</v>
      </c>
      <c r="J8" s="71">
        <f>SUMIF('Monthly Data'!$B:$B,H8,'Monthly Data'!Q:Q)</f>
        <v>27500</v>
      </c>
      <c r="K8" s="81">
        <f t="shared" si="1"/>
        <v>2.78784019126814E-3</v>
      </c>
      <c r="L8" s="27">
        <f t="shared" si="5"/>
        <v>2.782172331070963E-3</v>
      </c>
      <c r="M8" s="27"/>
      <c r="N8" s="15"/>
      <c r="O8" s="71"/>
      <c r="P8" s="71"/>
      <c r="Q8" s="81"/>
      <c r="R8" s="27"/>
    </row>
    <row r="9" spans="1:18" x14ac:dyDescent="0.2">
      <c r="A9" s="15"/>
      <c r="B9" s="15">
        <f t="shared" si="2"/>
        <v>2014</v>
      </c>
      <c r="C9" s="71">
        <f>'Normalized Annual Summary Tr'!U9</f>
        <v>901672321</v>
      </c>
      <c r="D9" s="71">
        <f>SUMIF('Monthly Data'!B:B,B9,'Monthly Data'!N:N)</f>
        <v>2373361</v>
      </c>
      <c r="E9" s="81">
        <f t="shared" si="0"/>
        <v>2.6321768393287523E-3</v>
      </c>
      <c r="F9" s="27">
        <f t="shared" si="4"/>
        <v>2.6696148641050122E-3</v>
      </c>
      <c r="H9" s="15">
        <f t="shared" si="3"/>
        <v>2014</v>
      </c>
      <c r="I9" s="71">
        <f>'Normalized Annual Summary Tr'!AD9</f>
        <v>9908447</v>
      </c>
      <c r="J9" s="71">
        <f>SUMIF('Monthly Data'!$B:$B,H9,'Monthly Data'!Q:Q)</f>
        <v>27636</v>
      </c>
      <c r="K9" s="81">
        <f t="shared" si="1"/>
        <v>2.7891353710626904E-3</v>
      </c>
      <c r="L9" s="27">
        <f t="shared" si="5"/>
        <v>2.7866201568244771E-3</v>
      </c>
      <c r="M9" s="27"/>
      <c r="N9" s="15"/>
      <c r="O9" s="71"/>
      <c r="P9" s="71"/>
      <c r="Q9" s="81"/>
      <c r="R9" s="27"/>
    </row>
    <row r="10" spans="1:18" x14ac:dyDescent="0.2">
      <c r="A10" s="15"/>
      <c r="B10" s="15">
        <f t="shared" si="2"/>
        <v>2015</v>
      </c>
      <c r="C10" s="71">
        <f>'Normalized Annual Summary Tr'!U10</f>
        <v>907051642</v>
      </c>
      <c r="D10" s="71">
        <f>SUMIF('Monthly Data'!B:B,B10,'Monthly Data'!N:N)</f>
        <v>2374100</v>
      </c>
      <c r="E10" s="81">
        <f t="shared" si="0"/>
        <v>2.6173812934897922E-3</v>
      </c>
      <c r="F10" s="27">
        <f t="shared" si="4"/>
        <v>2.6479679537277558E-3</v>
      </c>
      <c r="H10" s="15">
        <f t="shared" si="3"/>
        <v>2015</v>
      </c>
      <c r="I10" s="71">
        <f>'Normalized Annual Summary Tr'!AD10</f>
        <v>9918681</v>
      </c>
      <c r="J10" s="71">
        <f>SUMIF('Monthly Data'!$B:$B,H10,'Monthly Data'!Q:Q)</f>
        <v>27661</v>
      </c>
      <c r="K10" s="81">
        <f t="shared" si="1"/>
        <v>2.788778064341418E-3</v>
      </c>
      <c r="L10" s="27">
        <f t="shared" si="5"/>
        <v>2.7885845422240831E-3</v>
      </c>
      <c r="M10" s="27"/>
      <c r="N10" s="15"/>
      <c r="O10" s="71"/>
      <c r="P10" s="71"/>
      <c r="Q10" s="81"/>
      <c r="R10" s="27"/>
    </row>
    <row r="11" spans="1:18" x14ac:dyDescent="0.2">
      <c r="A11" s="15"/>
      <c r="B11" s="15">
        <f t="shared" si="2"/>
        <v>2016</v>
      </c>
      <c r="C11" s="71">
        <f>'Normalized Annual Summary Tr'!U11</f>
        <v>920835908</v>
      </c>
      <c r="D11" s="71">
        <f>SUMIF('Monthly Data'!B:B,B11,'Monthly Data'!N:N)</f>
        <v>2410544</v>
      </c>
      <c r="E11" s="81">
        <f t="shared" si="0"/>
        <v>2.6177780200117911E-3</v>
      </c>
      <c r="F11" s="27">
        <f t="shared" si="4"/>
        <v>2.6224453842767781E-3</v>
      </c>
      <c r="H11" s="15">
        <f t="shared" si="3"/>
        <v>2016</v>
      </c>
      <c r="I11" s="71">
        <f>'Normalized Annual Summary Tr'!AD11</f>
        <v>9945876</v>
      </c>
      <c r="J11" s="71">
        <f>SUMIF('Monthly Data'!$B:$B,H11,'Monthly Data'!Q:Q)</f>
        <v>27648</v>
      </c>
      <c r="K11" s="81">
        <f t="shared" si="1"/>
        <v>2.7798456365231176E-3</v>
      </c>
      <c r="L11" s="27">
        <f t="shared" si="5"/>
        <v>2.7859196906424091E-3</v>
      </c>
      <c r="M11" s="27"/>
      <c r="N11" s="15"/>
      <c r="O11" s="71"/>
      <c r="P11" s="71"/>
      <c r="Q11" s="81"/>
      <c r="R11" s="27"/>
    </row>
    <row r="12" spans="1:18" x14ac:dyDescent="0.2">
      <c r="A12" s="15"/>
      <c r="B12" s="15">
        <f t="shared" si="2"/>
        <v>2017</v>
      </c>
      <c r="C12" s="71">
        <f>'Normalized Annual Summary Tr'!U12</f>
        <v>885596225</v>
      </c>
      <c r="D12" s="71">
        <f>SUMIF('Monthly Data'!B:B,B12,'Monthly Data'!N:N)</f>
        <v>2363980</v>
      </c>
      <c r="E12" s="81">
        <f t="shared" si="0"/>
        <v>2.6693654887700092E-3</v>
      </c>
      <c r="F12" s="27">
        <f t="shared" si="4"/>
        <v>2.6348416007571976E-3</v>
      </c>
      <c r="H12" s="15">
        <f t="shared" si="3"/>
        <v>2017</v>
      </c>
      <c r="I12" s="71">
        <f>'Normalized Annual Summary Tr'!AD12</f>
        <v>11286654.700000001</v>
      </c>
      <c r="J12" s="71">
        <f>SUMIF('Monthly Data'!$B:$B,H12,'Monthly Data'!Q:Q)</f>
        <v>30451.800000000003</v>
      </c>
      <c r="K12" s="154">
        <f t="shared" si="1"/>
        <v>2.6980359379648604E-3</v>
      </c>
      <c r="L12" s="27">
        <f>AVERAGE(K10:K11)</f>
        <v>2.7843118504322678E-3</v>
      </c>
      <c r="M12" s="27"/>
      <c r="N12" s="15" t="s">
        <v>197</v>
      </c>
      <c r="O12" s="71"/>
      <c r="P12" s="71"/>
      <c r="Q12" s="81"/>
      <c r="R12" s="27"/>
    </row>
    <row r="13" spans="1:18" x14ac:dyDescent="0.2">
      <c r="A13" s="15"/>
      <c r="B13" s="15">
        <f t="shared" si="2"/>
        <v>2018</v>
      </c>
      <c r="C13" s="71">
        <f>'Normalized Annual Summary Tr'!U13</f>
        <v>874283086</v>
      </c>
      <c r="D13" s="71">
        <f>SUMIF('Monthly Data'!B:B,B13,'Monthly Data'!N:N)</f>
        <v>2353522</v>
      </c>
      <c r="E13" s="81">
        <f t="shared" si="0"/>
        <v>2.6919450206543283E-3</v>
      </c>
      <c r="F13" s="27">
        <f t="shared" si="4"/>
        <v>2.6596961764787097E-3</v>
      </c>
      <c r="H13" s="15">
        <f t="shared" si="3"/>
        <v>2018</v>
      </c>
      <c r="I13" s="71">
        <f>'Normalized Annual Summary Tr'!AD13</f>
        <v>6528022.6000000006</v>
      </c>
      <c r="J13" s="71">
        <f>SUMIF('Monthly Data'!$B:$B,H13,'Monthly Data'!Q:Q)</f>
        <v>18200.899999999998</v>
      </c>
      <c r="K13" s="81">
        <f t="shared" si="1"/>
        <v>2.7881184112322154E-3</v>
      </c>
      <c r="L13" s="27">
        <f>AVERAGE(K11,K13)</f>
        <v>2.7839820238776663E-3</v>
      </c>
      <c r="M13" s="27"/>
      <c r="N13" s="15"/>
      <c r="O13" s="71"/>
      <c r="P13" s="71"/>
      <c r="Q13" s="81"/>
      <c r="R13" s="27"/>
    </row>
    <row r="14" spans="1:18" x14ac:dyDescent="0.2">
      <c r="A14" s="15"/>
      <c r="B14" s="15">
        <f t="shared" si="2"/>
        <v>2019</v>
      </c>
      <c r="C14" s="71">
        <f>'Normalized Annual Summary Tr'!U14</f>
        <v>837536595</v>
      </c>
      <c r="D14" s="71">
        <f>SUMIF('Monthly Data'!B:B,B14,'Monthly Data'!N:N)</f>
        <v>2275484</v>
      </c>
      <c r="E14" s="81">
        <f t="shared" si="0"/>
        <v>2.7168771055311319E-3</v>
      </c>
      <c r="F14" s="27">
        <f t="shared" si="4"/>
        <v>2.6927292049851565E-3</v>
      </c>
      <c r="H14" s="15">
        <f t="shared" si="3"/>
        <v>2019</v>
      </c>
      <c r="I14" s="71">
        <f>'Normalized Annual Summary Tr'!AD14</f>
        <v>5537652.8999999994</v>
      </c>
      <c r="J14" s="71">
        <f>SUMIF('Monthly Data'!$B:$B,H14,'Monthly Data'!Q:Q)</f>
        <v>15445.800000000001</v>
      </c>
      <c r="K14" s="81">
        <f t="shared" si="1"/>
        <v>2.7892322395287727E-3</v>
      </c>
      <c r="L14" s="27">
        <f>AVERAGE(K13:K14)</f>
        <v>2.7886753253804943E-3</v>
      </c>
      <c r="M14" s="27"/>
      <c r="N14" s="15"/>
      <c r="O14" s="71"/>
      <c r="P14" s="71"/>
      <c r="Q14" s="81"/>
      <c r="R14" s="27"/>
    </row>
    <row r="16" spans="1:18" x14ac:dyDescent="0.2">
      <c r="B16" s="15"/>
      <c r="C16" s="15" t="s">
        <v>134</v>
      </c>
      <c r="D16" s="82" t="s">
        <v>135</v>
      </c>
      <c r="E16" s="201" t="s">
        <v>219</v>
      </c>
      <c r="F16" s="201" t="s">
        <v>220</v>
      </c>
      <c r="H16" s="15"/>
      <c r="I16" s="15" t="s">
        <v>134</v>
      </c>
      <c r="J16" s="82" t="s">
        <v>135</v>
      </c>
      <c r="K16" s="201" t="s">
        <v>219</v>
      </c>
      <c r="L16" s="201" t="s">
        <v>221</v>
      </c>
      <c r="N16" s="15"/>
      <c r="O16" s="15"/>
      <c r="P16" s="81"/>
      <c r="Q16" s="82"/>
    </row>
    <row r="17" spans="1:17" x14ac:dyDescent="0.2">
      <c r="B17" s="80"/>
      <c r="C17" s="80" t="s">
        <v>120</v>
      </c>
      <c r="D17" s="83" t="s">
        <v>218</v>
      </c>
      <c r="E17" s="84" t="s">
        <v>160</v>
      </c>
      <c r="F17" s="201" t="s">
        <v>184</v>
      </c>
      <c r="H17" s="80"/>
      <c r="I17" s="80" t="s">
        <v>120</v>
      </c>
      <c r="J17" s="83" t="s">
        <v>185</v>
      </c>
      <c r="K17" s="84" t="s">
        <v>160</v>
      </c>
      <c r="L17" s="201" t="s">
        <v>184</v>
      </c>
      <c r="N17" s="80"/>
      <c r="O17" s="80"/>
      <c r="P17" s="83"/>
      <c r="Q17" s="84"/>
    </row>
    <row r="18" spans="1:17" x14ac:dyDescent="0.2">
      <c r="B18" s="73">
        <v>2019</v>
      </c>
      <c r="C18" s="74">
        <f ca="1">'Normalized Annual Summary Tr'!AA14</f>
        <v>853212291.34085143</v>
      </c>
      <c r="D18" s="85">
        <f ca="1">C18*F18</f>
        <v>2310072.4071587897</v>
      </c>
      <c r="E18" s="86">
        <f>AVERAGE(E5:E14)</f>
        <v>2.6612872659787824E-3</v>
      </c>
      <c r="F18" s="247">
        <f>TREND($E$9:$E$14,$B$9:$B$14,B18)</f>
        <v>2.7075001504355198E-3</v>
      </c>
      <c r="G18" s="201" t="s">
        <v>215</v>
      </c>
      <c r="H18" s="73">
        <v>2019</v>
      </c>
      <c r="I18" s="74">
        <f>'Normalized Annual Summary Tr'!AK14</f>
        <v>5537652.8999999994</v>
      </c>
      <c r="J18" s="85">
        <f>I18*L18</f>
        <v>15433.700370536344</v>
      </c>
      <c r="K18" s="177">
        <f>AVERAGE(K5:K11,K13:K14)</f>
        <v>2.7857596599659535E-3</v>
      </c>
      <c r="L18" s="86">
        <f>TREND($L$7:$L$14,$H$7:$H$14,H18)</f>
        <v>2.7870472651935888E-3</v>
      </c>
      <c r="N18" s="73"/>
      <c r="O18" s="74"/>
      <c r="P18" s="85"/>
      <c r="Q18" s="86"/>
    </row>
    <row r="19" spans="1:17" x14ac:dyDescent="0.2">
      <c r="B19" s="73">
        <v>2020</v>
      </c>
      <c r="C19" s="74">
        <f ca="1">'Normalized Annual Summary Tr'!AA15</f>
        <v>748463596.57305706</v>
      </c>
      <c r="D19" s="85">
        <f t="shared" ref="D19:D20" ca="1" si="6">C19*F19</f>
        <v>2041408.4825453428</v>
      </c>
      <c r="E19" s="86">
        <f>E18</f>
        <v>2.6612872659787824E-3</v>
      </c>
      <c r="F19" s="247">
        <f t="shared" ref="F19:F20" si="7">TREND($E$9:$E$14,$B$9:$B$14,B19)</f>
        <v>2.7274652927573376E-3</v>
      </c>
      <c r="H19" s="73">
        <v>2020</v>
      </c>
      <c r="I19" s="74">
        <f>'Normalized Annual Summary Tr'!AK15</f>
        <v>5541713.5211686473</v>
      </c>
      <c r="J19" s="85">
        <f>I19*L19</f>
        <v>15447.62011196088</v>
      </c>
      <c r="K19" s="177">
        <f>K18</f>
        <v>2.7857596599659535E-3</v>
      </c>
      <c r="L19" s="86">
        <f t="shared" ref="L19:L20" si="8">TREND($L$7:$L$14,$H$7:$H$14,H19)</f>
        <v>2.7875169030215866E-3</v>
      </c>
      <c r="N19" s="73"/>
      <c r="O19" s="74"/>
      <c r="P19" s="85"/>
      <c r="Q19" s="86"/>
    </row>
    <row r="20" spans="1:17" x14ac:dyDescent="0.2">
      <c r="B20" s="73">
        <v>2021</v>
      </c>
      <c r="C20" s="74">
        <f ca="1">'Normalized Annual Summary Tr'!AA16</f>
        <v>831282022.6115036</v>
      </c>
      <c r="D20" s="85">
        <f t="shared" ca="1" si="6"/>
        <v>2283889.5290570091</v>
      </c>
      <c r="E20" s="86">
        <f>E19</f>
        <v>2.6612872659787824E-3</v>
      </c>
      <c r="F20" s="247">
        <f t="shared" si="7"/>
        <v>2.7474304350791623E-3</v>
      </c>
      <c r="H20" s="73">
        <v>2021</v>
      </c>
      <c r="I20" s="74">
        <f>'Normalized Annual Summary Tr'!AK16</f>
        <v>5569643.7573153349</v>
      </c>
      <c r="J20" s="85">
        <f>I20*L20</f>
        <v>15528.091832722061</v>
      </c>
      <c r="K20" s="177">
        <f>K19</f>
        <v>2.7857596599659535E-3</v>
      </c>
      <c r="L20" s="86">
        <f t="shared" si="8"/>
        <v>2.787986540849584E-3</v>
      </c>
      <c r="N20" s="73"/>
      <c r="O20" s="74"/>
      <c r="P20" s="85"/>
      <c r="Q20" s="86"/>
    </row>
    <row r="22" spans="1:17" x14ac:dyDescent="0.2">
      <c r="A22" s="15"/>
      <c r="B22" s="15"/>
      <c r="C22" s="149" t="s">
        <v>132</v>
      </c>
      <c r="D22" s="150" t="s">
        <v>133</v>
      </c>
      <c r="E22" s="81" t="s">
        <v>186</v>
      </c>
      <c r="F22" s="15"/>
      <c r="G22" s="15"/>
      <c r="H22" s="15"/>
      <c r="I22" s="149" t="s">
        <v>132</v>
      </c>
      <c r="J22" s="150" t="s">
        <v>133</v>
      </c>
      <c r="K22" s="81" t="s">
        <v>186</v>
      </c>
    </row>
    <row r="23" spans="1:17" x14ac:dyDescent="0.2">
      <c r="A23" s="15" t="s">
        <v>187</v>
      </c>
      <c r="B23" s="15"/>
      <c r="C23" s="151">
        <f>C14/C10-1</f>
        <v>-7.663846663319307E-2</v>
      </c>
      <c r="D23" s="151">
        <f>D14/D10-1</f>
        <v>-4.1538267132808171E-2</v>
      </c>
      <c r="E23" s="152">
        <f>D23-C23</f>
        <v>3.5100199500384899E-2</v>
      </c>
      <c r="F23" s="15"/>
      <c r="G23" s="15"/>
      <c r="H23" s="15"/>
      <c r="I23" s="151">
        <f>I14/I10-1</f>
        <v>-0.44169462653350788</v>
      </c>
      <c r="J23" s="151">
        <f>J14/J10-1</f>
        <v>-0.44160370196305265</v>
      </c>
      <c r="K23" s="153">
        <f>J23-I23</f>
        <v>9.0924570455230835E-5</v>
      </c>
    </row>
    <row r="24" spans="1:17" x14ac:dyDescent="0.2">
      <c r="A24" s="15" t="s">
        <v>188</v>
      </c>
      <c r="B24" s="15"/>
      <c r="C24" s="151">
        <f>C14/C5-1</f>
        <v>-7.576764477686293E-2</v>
      </c>
      <c r="D24" s="151">
        <f>D14/D5-1</f>
        <v>-5.3067699373201771E-2</v>
      </c>
      <c r="E24" s="152">
        <f>D24-C24</f>
        <v>2.2699945403661159E-2</v>
      </c>
      <c r="F24" s="15"/>
      <c r="G24" s="15"/>
      <c r="H24" s="15"/>
      <c r="I24" s="151">
        <f>I14/I5-1</f>
        <v>-0.41508117287272617</v>
      </c>
      <c r="J24" s="151">
        <f>J14/J5-1</f>
        <v>-0.41528619018776491</v>
      </c>
      <c r="K24" s="153">
        <f>J24-I24</f>
        <v>-2.0501731503874687E-4</v>
      </c>
    </row>
    <row r="25" spans="1:17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7" x14ac:dyDescent="0.2">
      <c r="A26" s="15"/>
      <c r="B26" s="15"/>
      <c r="C26" s="15"/>
      <c r="D26" s="15" t="s">
        <v>189</v>
      </c>
      <c r="E26" s="15"/>
      <c r="F26" s="15" t="s">
        <v>198</v>
      </c>
      <c r="G26" s="15"/>
      <c r="H26" s="15"/>
      <c r="I26" s="15"/>
      <c r="J26" s="15" t="s">
        <v>183</v>
      </c>
      <c r="K26" s="15"/>
    </row>
    <row r="46" spans="10:10" x14ac:dyDescent="0.2">
      <c r="J46" s="201" t="s">
        <v>216</v>
      </c>
    </row>
    <row r="49" spans="5:5" x14ac:dyDescent="0.2">
      <c r="E49" s="41"/>
    </row>
  </sheetData>
  <mergeCells count="3">
    <mergeCell ref="C2:E2"/>
    <mergeCell ref="I2:K2"/>
    <mergeCell ref="O2:Q2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0">
    <tabColor theme="8" tint="0.59999389629810485"/>
  </sheetPr>
  <dimension ref="B1:K38"/>
  <sheetViews>
    <sheetView workbookViewId="0">
      <selection activeCell="B26" sqref="B26"/>
    </sheetView>
  </sheetViews>
  <sheetFormatPr defaultColWidth="9.1640625" defaultRowHeight="12.75" x14ac:dyDescent="0.2"/>
  <cols>
    <col min="1" max="1" width="3" style="66" customWidth="1"/>
    <col min="2" max="2" width="19.5" style="66" customWidth="1"/>
    <col min="3" max="3" width="18.6640625" style="66" customWidth="1"/>
    <col min="4" max="4" width="15" style="66" customWidth="1"/>
    <col min="5" max="8" width="15" style="66" bestFit="1" customWidth="1"/>
    <col min="9" max="9" width="19" style="66" bestFit="1" customWidth="1"/>
    <col min="10" max="11" width="15.83203125" style="66" customWidth="1"/>
    <col min="12" max="13" width="9.1640625" style="66"/>
    <col min="14" max="14" width="17.33203125" style="66" customWidth="1"/>
    <col min="15" max="15" width="17" style="66" customWidth="1"/>
    <col min="16" max="16" width="21" style="66" bestFit="1" customWidth="1"/>
    <col min="17" max="17" width="17.6640625" style="66" customWidth="1"/>
    <col min="18" max="16384" width="9.1640625" style="66"/>
  </cols>
  <sheetData>
    <row r="1" spans="2:11" ht="16.5" thickBot="1" x14ac:dyDescent="0.3">
      <c r="B1" s="88" t="s">
        <v>261</v>
      </c>
      <c r="C1" s="88"/>
    </row>
    <row r="2" spans="2:11" x14ac:dyDescent="0.2">
      <c r="B2" s="89" t="s">
        <v>132</v>
      </c>
      <c r="C2" s="90" t="s">
        <v>240</v>
      </c>
      <c r="D2" s="90" t="s">
        <v>147</v>
      </c>
      <c r="E2" s="90" t="s">
        <v>148</v>
      </c>
      <c r="F2" s="90" t="s">
        <v>149</v>
      </c>
      <c r="G2" s="90" t="s">
        <v>150</v>
      </c>
      <c r="H2" s="90" t="s">
        <v>194</v>
      </c>
      <c r="I2" s="90" t="s">
        <v>195</v>
      </c>
      <c r="J2" s="90" t="s">
        <v>151</v>
      </c>
      <c r="K2" s="91" t="s">
        <v>196</v>
      </c>
    </row>
    <row r="3" spans="2:11" x14ac:dyDescent="0.2">
      <c r="B3" s="92" t="s">
        <v>33</v>
      </c>
      <c r="C3" s="101">
        <f ca="1">OFFSET('Normalized Annual Summary Tr'!$C$14,COLUMN(D3)-COLUMN($I3),0)</f>
        <v>530303117</v>
      </c>
      <c r="D3" s="101">
        <f ca="1">OFFSET('Normalized Annual Summary Tr'!$C$14,COLUMN(E3)-COLUMN($I3),0)</f>
        <v>530999846</v>
      </c>
      <c r="E3" s="101">
        <f ca="1">OFFSET('Normalized Annual Summary Tr'!$C$14,COLUMN(F3)-COLUMN($I3),0)</f>
        <v>545123880</v>
      </c>
      <c r="F3" s="101">
        <f ca="1">OFFSET('Normalized Annual Summary Tr'!$C$14,COLUMN(G3)-COLUMN($I3),0)</f>
        <v>501428451</v>
      </c>
      <c r="G3" s="101">
        <f ca="1">OFFSET('Normalized Annual Summary Tr'!$C$14,COLUMN(H3)-COLUMN($I3),0)</f>
        <v>536801589</v>
      </c>
      <c r="H3" s="101">
        <f ca="1">OFFSET('Normalized Annual Summary Tr'!$C$14,COLUMN(I3)-COLUMN($I3),0)</f>
        <v>512580883</v>
      </c>
      <c r="I3" s="101">
        <f ca="1">OFFSET('Normalized Annual Summary Tr'!$I$14,COLUMN(I3)-COLUMN($I3),0)</f>
        <v>520074180.74845999</v>
      </c>
      <c r="J3" s="101">
        <f ca="1">OFFSET('Normalized Annual Summary Tr'!$I$14,COLUMN(J3)-COLUMN($I3),0)</f>
        <v>547587897.37126851</v>
      </c>
      <c r="K3" s="93">
        <f ca="1">OFFSET('Normalized Annual Summary Tr'!$I$14,COLUMN(K3)-COLUMN($I3),0)</f>
        <v>526202471.39512706</v>
      </c>
    </row>
    <row r="4" spans="2:11" x14ac:dyDescent="0.2">
      <c r="B4" s="94" t="s">
        <v>127</v>
      </c>
      <c r="C4" s="101">
        <f ca="1">OFFSET('Normalized Annual Summary Tr'!$L$14,COLUMN(D4)-COLUMN($I4),0)</f>
        <v>172644356</v>
      </c>
      <c r="D4" s="101">
        <f ca="1">OFFSET('Normalized Annual Summary Tr'!$L$14,COLUMN(E4)-COLUMN($I4),0)</f>
        <v>170245509</v>
      </c>
      <c r="E4" s="101">
        <f ca="1">OFFSET('Normalized Annual Summary Tr'!$L$14,COLUMN(F4)-COLUMN($I4),0)</f>
        <v>169905557</v>
      </c>
      <c r="F4" s="101">
        <f ca="1">OFFSET('Normalized Annual Summary Tr'!$L$14,COLUMN(G4)-COLUMN($I4),0)</f>
        <v>166894185</v>
      </c>
      <c r="G4" s="101">
        <f ca="1">OFFSET('Normalized Annual Summary Tr'!$L$14,COLUMN(H4)-COLUMN($I4),0)</f>
        <v>174257110</v>
      </c>
      <c r="H4" s="101">
        <f ca="1">OFFSET('Normalized Annual Summary Tr'!$L$14,COLUMN(I4)-COLUMN($I4),0)</f>
        <v>170703484</v>
      </c>
      <c r="I4" s="101">
        <f ca="1">OFFSET('Normalized Annual Summary Tr'!$R$14,COLUMN(I4)-COLUMN($I4),0)</f>
        <v>170456401.67992976</v>
      </c>
      <c r="J4" s="101">
        <f ca="1">OFFSET('Normalized Annual Summary Tr'!$R$14,COLUMN(J4)-COLUMN($I4),0)</f>
        <v>150890342.25486484</v>
      </c>
      <c r="K4" s="93">
        <f ca="1">OFFSET('Normalized Annual Summary Tr'!$R$14,COLUMN(K4)-COLUMN($I4),0)</f>
        <v>168947552.29392362</v>
      </c>
    </row>
    <row r="5" spans="2:11" x14ac:dyDescent="0.2">
      <c r="B5" s="94" t="s">
        <v>128</v>
      </c>
      <c r="C5" s="101">
        <f ca="1">OFFSET('Normalized Annual Summary Tr'!$U$14,COLUMN(D5)-COLUMN($I5),0)</f>
        <v>901672321</v>
      </c>
      <c r="D5" s="101">
        <f ca="1">OFFSET('Normalized Annual Summary Tr'!$U$14,COLUMN(E5)-COLUMN($I5),0)</f>
        <v>907051642</v>
      </c>
      <c r="E5" s="101">
        <f ca="1">OFFSET('Normalized Annual Summary Tr'!$U$14,COLUMN(F5)-COLUMN($I5),0)</f>
        <v>920835908</v>
      </c>
      <c r="F5" s="101">
        <f ca="1">OFFSET('Normalized Annual Summary Tr'!$U$14,COLUMN(G5)-COLUMN($I5),0)</f>
        <v>885596225</v>
      </c>
      <c r="G5" s="101">
        <f ca="1">OFFSET('Normalized Annual Summary Tr'!$U$14,COLUMN(H5)-COLUMN($I5),0)</f>
        <v>874283086</v>
      </c>
      <c r="H5" s="101">
        <f ca="1">OFFSET('Normalized Annual Summary Tr'!$U$14,COLUMN(I5)-COLUMN($I5),0)</f>
        <v>837536595</v>
      </c>
      <c r="I5" s="101">
        <f ca="1">OFFSET('Normalized Annual Summary Tr'!$AA$14,COLUMN(I5)-COLUMN($I5),0)</f>
        <v>853212291.34085143</v>
      </c>
      <c r="J5" s="101">
        <f ca="1">OFFSET('Normalized Annual Summary Tr'!$AA$14,COLUMN(J5)-COLUMN($I5),0)</f>
        <v>748463596.57305706</v>
      </c>
      <c r="K5" s="93">
        <f ca="1">OFFSET('Normalized Annual Summary Tr'!$AA$14,COLUMN(K5)-COLUMN($I5),0)</f>
        <v>831282022.6115036</v>
      </c>
    </row>
    <row r="6" spans="2:11" x14ac:dyDescent="0.2">
      <c r="B6" s="94" t="s">
        <v>138</v>
      </c>
      <c r="C6" s="101">
        <f ca="1">OFFSET('Normalized Annual Summary Tr'!$AD$14,COLUMN(D6)-COLUMN($I6),0)</f>
        <v>9908447</v>
      </c>
      <c r="D6" s="101">
        <f ca="1">OFFSET('Normalized Annual Summary Tr'!$AD$14,COLUMN(E6)-COLUMN($I6),0)</f>
        <v>9918681</v>
      </c>
      <c r="E6" s="101">
        <f ca="1">OFFSET('Normalized Annual Summary Tr'!$AD$14,COLUMN(F6)-COLUMN($I6),0)</f>
        <v>9945876</v>
      </c>
      <c r="F6" s="101">
        <f ca="1">OFFSET('Normalized Annual Summary Tr'!$AD$14,COLUMN(G6)-COLUMN($I6),0)</f>
        <v>11286654.700000001</v>
      </c>
      <c r="G6" s="101">
        <f ca="1">OFFSET('Normalized Annual Summary Tr'!$AD$14,COLUMN(H6)-COLUMN($I6),0)</f>
        <v>6528022.6000000006</v>
      </c>
      <c r="H6" s="101">
        <f ca="1">OFFSET('Normalized Annual Summary Tr'!$AD$14,COLUMN(I6)-COLUMN($I6),0)</f>
        <v>5537652.8999999994</v>
      </c>
      <c r="I6" s="101">
        <f ca="1">OFFSET('Normalized Annual Summary Tr'!$AK$14,COLUMN(I6)-COLUMN($I6),0)</f>
        <v>5537652.8999999994</v>
      </c>
      <c r="J6" s="101">
        <f ca="1">OFFSET('Normalized Annual Summary Tr'!$AK$14,COLUMN(J6)-COLUMN($I6),0)</f>
        <v>5541713.5211686473</v>
      </c>
      <c r="K6" s="93">
        <f ca="1">OFFSET('Normalized Annual Summary Tr'!$AK$14,COLUMN(K6)-COLUMN($I6),0)</f>
        <v>5569643.7573153349</v>
      </c>
    </row>
    <row r="7" spans="2:11" x14ac:dyDescent="0.2">
      <c r="B7" s="94" t="s">
        <v>45</v>
      </c>
      <c r="C7" s="101">
        <f ca="1">OFFSET('Normalized Annual Summary Tr'!$AN$14,COLUMN(D7)-COLUMN($I7),0)</f>
        <v>3098633</v>
      </c>
      <c r="D7" s="101">
        <f ca="1">OFFSET('Normalized Annual Summary Tr'!$AN$14,COLUMN(E7)-COLUMN($I7),0)</f>
        <v>3110148</v>
      </c>
      <c r="E7" s="101">
        <f ca="1">OFFSET('Normalized Annual Summary Tr'!$AN$14,COLUMN(F7)-COLUMN($I7),0)</f>
        <v>3115033</v>
      </c>
      <c r="F7" s="101">
        <f ca="1">OFFSET('Normalized Annual Summary Tr'!$AN$14,COLUMN(G7)-COLUMN($I7),0)</f>
        <v>3130244</v>
      </c>
      <c r="G7" s="101">
        <f ca="1">OFFSET('Normalized Annual Summary Tr'!$AN$14,COLUMN(H7)-COLUMN($I7),0)</f>
        <v>3138478</v>
      </c>
      <c r="H7" s="101">
        <f ca="1">OFFSET('Normalized Annual Summary Tr'!$AN$14,COLUMN(I7)-COLUMN($I7),0)</f>
        <v>3144191</v>
      </c>
      <c r="I7" s="101">
        <f ca="1">OFFSET('Normalized Annual Summary Tr'!$AQ$14,COLUMN(I7)-COLUMN($I7),0)</f>
        <v>3144191</v>
      </c>
      <c r="J7" s="101">
        <f ca="1">OFFSET('Normalized Annual Summary Tr'!$AQ$14,COLUMN(J7)-COLUMN($I7),0)</f>
        <v>3128398.0784571716</v>
      </c>
      <c r="K7" s="93">
        <f ca="1">OFFSET('Normalized Annual Summary Tr'!$AQ$14,COLUMN(K7)-COLUMN($I7),0)</f>
        <v>3103370.8938295147</v>
      </c>
    </row>
    <row r="8" spans="2:11" ht="13.5" thickBot="1" x14ac:dyDescent="0.25">
      <c r="B8" s="95" t="s">
        <v>152</v>
      </c>
      <c r="C8" s="96">
        <f t="shared" ref="C8:K8" ca="1" si="0">SUM(C3:C7)</f>
        <v>1617626874</v>
      </c>
      <c r="D8" s="96">
        <f t="shared" ca="1" si="0"/>
        <v>1621325826</v>
      </c>
      <c r="E8" s="96">
        <f t="shared" ca="1" si="0"/>
        <v>1648926254</v>
      </c>
      <c r="F8" s="96">
        <f t="shared" ca="1" si="0"/>
        <v>1568335759.7</v>
      </c>
      <c r="G8" s="96">
        <f t="shared" ca="1" si="0"/>
        <v>1595008285.5999999</v>
      </c>
      <c r="H8" s="96">
        <f t="shared" ca="1" si="0"/>
        <v>1529502805.9000001</v>
      </c>
      <c r="I8" s="96">
        <f t="shared" ca="1" si="0"/>
        <v>1552424717.6692414</v>
      </c>
      <c r="J8" s="96">
        <f t="shared" ca="1" si="0"/>
        <v>1455611947.7988162</v>
      </c>
      <c r="K8" s="97">
        <f t="shared" ca="1" si="0"/>
        <v>1535105060.9516993</v>
      </c>
    </row>
    <row r="10" spans="2:11" ht="16.5" thickBot="1" x14ac:dyDescent="0.3">
      <c r="B10" s="88" t="s">
        <v>262</v>
      </c>
      <c r="C10" s="88"/>
      <c r="G10" s="67"/>
      <c r="H10" s="67"/>
    </row>
    <row r="11" spans="2:11" ht="38.25" x14ac:dyDescent="0.2">
      <c r="B11" s="98" t="s">
        <v>132</v>
      </c>
      <c r="C11" s="99" t="s">
        <v>192</v>
      </c>
      <c r="D11" s="99" t="s">
        <v>154</v>
      </c>
      <c r="E11" s="100" t="s">
        <v>193</v>
      </c>
    </row>
    <row r="12" spans="2:11" x14ac:dyDescent="0.2">
      <c r="B12" s="92" t="str">
        <f>B3</f>
        <v>Residential</v>
      </c>
      <c r="C12" s="67">
        <f ca="1">K3</f>
        <v>526202471.39512706</v>
      </c>
      <c r="D12" s="67">
        <f>'CDM Adjustment'!J7</f>
        <v>0</v>
      </c>
      <c r="E12" s="93">
        <f ca="1">C12-D12</f>
        <v>526202471.39512706</v>
      </c>
    </row>
    <row r="13" spans="2:11" x14ac:dyDescent="0.2">
      <c r="B13" s="94" t="str">
        <f>B4</f>
        <v>GS &lt; 50</v>
      </c>
      <c r="C13" s="67">
        <f ca="1">K4</f>
        <v>168947552.29392362</v>
      </c>
      <c r="D13" s="67">
        <f>'CDM Adjustment'!J8</f>
        <v>122603.59542882007</v>
      </c>
      <c r="E13" s="93">
        <f ca="1">C13-D13</f>
        <v>168824948.69849479</v>
      </c>
    </row>
    <row r="14" spans="2:11" x14ac:dyDescent="0.2">
      <c r="B14" s="94" t="str">
        <f>B5</f>
        <v>GS &gt; 50</v>
      </c>
      <c r="C14" s="67">
        <f ca="1">K5</f>
        <v>831282022.6115036</v>
      </c>
      <c r="D14" s="67">
        <f>'CDM Adjustment'!J9</f>
        <v>2192934.2797265826</v>
      </c>
      <c r="E14" s="93">
        <f ca="1">C14-D14</f>
        <v>829089088.33177698</v>
      </c>
    </row>
    <row r="15" spans="2:11" x14ac:dyDescent="0.2">
      <c r="B15" s="94" t="str">
        <f>B6</f>
        <v>Street Light</v>
      </c>
      <c r="C15" s="67">
        <f ca="1">K6</f>
        <v>5569643.7573153349</v>
      </c>
      <c r="D15" s="67"/>
      <c r="E15" s="93">
        <f ca="1">C15</f>
        <v>5569643.7573153349</v>
      </c>
    </row>
    <row r="16" spans="2:11" x14ac:dyDescent="0.2">
      <c r="B16" s="94" t="str">
        <f>B7</f>
        <v>USL</v>
      </c>
      <c r="C16" s="67">
        <f ca="1">K7</f>
        <v>3103370.8938295147</v>
      </c>
      <c r="D16" s="67"/>
      <c r="E16" s="93">
        <f ca="1">C16-D16</f>
        <v>3103370.8938295147</v>
      </c>
    </row>
    <row r="17" spans="2:11" ht="13.5" thickBot="1" x14ac:dyDescent="0.25">
      <c r="B17" s="95" t="s">
        <v>152</v>
      </c>
      <c r="C17" s="96">
        <f ca="1">SUM(C12:C16)</f>
        <v>1535105060.9516993</v>
      </c>
      <c r="D17" s="96">
        <f>SUM(D12:D16)</f>
        <v>2315537.8751554028</v>
      </c>
      <c r="E17" s="97">
        <f ca="1">SUM(E12:E16)</f>
        <v>1532789523.0765438</v>
      </c>
    </row>
    <row r="19" spans="2:11" ht="16.5" thickBot="1" x14ac:dyDescent="0.3">
      <c r="B19" s="88" t="s">
        <v>261</v>
      </c>
      <c r="C19" s="88"/>
    </row>
    <row r="20" spans="2:11" x14ac:dyDescent="0.2">
      <c r="B20" s="89" t="s">
        <v>133</v>
      </c>
      <c r="C20" s="90" t="s">
        <v>240</v>
      </c>
      <c r="D20" s="90" t="s">
        <v>147</v>
      </c>
      <c r="E20" s="90" t="s">
        <v>148</v>
      </c>
      <c r="F20" s="90" t="s">
        <v>149</v>
      </c>
      <c r="G20" s="90" t="s">
        <v>150</v>
      </c>
      <c r="H20" s="90" t="s">
        <v>194</v>
      </c>
      <c r="I20" s="90" t="s">
        <v>195</v>
      </c>
      <c r="J20" s="90" t="s">
        <v>151</v>
      </c>
      <c r="K20" s="91" t="s">
        <v>196</v>
      </c>
    </row>
    <row r="21" spans="2:11" x14ac:dyDescent="0.2">
      <c r="B21" s="94" t="s">
        <v>128</v>
      </c>
      <c r="C21" s="101">
        <f ca="1">OFFSET('kW Forecast Tr'!$D$10,COLUMN()-COLUMN($D21),0)</f>
        <v>2373361</v>
      </c>
      <c r="D21" s="101">
        <f ca="1">OFFSET('kW Forecast Tr'!$D$10,COLUMN()-COLUMN($D21),0)</f>
        <v>2374100</v>
      </c>
      <c r="E21" s="101">
        <f ca="1">OFFSET('kW Forecast Tr'!$D$10,COLUMN()-COLUMN($D21),0)</f>
        <v>2410544</v>
      </c>
      <c r="F21" s="101">
        <f ca="1">OFFSET('kW Forecast Tr'!$D$10,COLUMN()-COLUMN($D21),0)</f>
        <v>2363980</v>
      </c>
      <c r="G21" s="101">
        <f ca="1">OFFSET('kW Forecast Tr'!$D$10,COLUMN()-COLUMN($D21),0)</f>
        <v>2353522</v>
      </c>
      <c r="H21" s="101">
        <f ca="1">OFFSET('kW Forecast Tr'!$D$10,COLUMN()-COLUMN($D21),0)</f>
        <v>2275484</v>
      </c>
      <c r="I21" s="101">
        <f ca="1">OFFSET('kW Forecast Tr'!$D$18,COLUMN()-COLUMN($I21),0)</f>
        <v>2310072.4071587897</v>
      </c>
      <c r="J21" s="101">
        <f ca="1">OFFSET('kW Forecast Tr'!$D$18,COLUMN()-COLUMN($I21),0)</f>
        <v>2041408.4825453428</v>
      </c>
      <c r="K21" s="93">
        <f ca="1">OFFSET('kW Forecast Tr'!$D$18,COLUMN()-COLUMN($I21),0)</f>
        <v>2283889.5290570091</v>
      </c>
    </row>
    <row r="22" spans="2:11" x14ac:dyDescent="0.2">
      <c r="B22" s="94" t="s">
        <v>138</v>
      </c>
      <c r="C22" s="101">
        <f ca="1">OFFSET('kW Forecast Tr'!$J$10,COLUMN()-COLUMN($D22),0)</f>
        <v>27636</v>
      </c>
      <c r="D22" s="101">
        <f ca="1">OFFSET('kW Forecast Tr'!$J$10,COLUMN()-COLUMN($D22),0)</f>
        <v>27661</v>
      </c>
      <c r="E22" s="101">
        <f ca="1">OFFSET('kW Forecast Tr'!$J$10,COLUMN()-COLUMN($D22),0)</f>
        <v>27648</v>
      </c>
      <c r="F22" s="101">
        <f ca="1">OFFSET('kW Forecast Tr'!$J$10,COLUMN()-COLUMN($D22),0)</f>
        <v>30451.800000000003</v>
      </c>
      <c r="G22" s="101">
        <f ca="1">OFFSET('kW Forecast Tr'!$J$10,COLUMN()-COLUMN($D22),0)</f>
        <v>18200.899999999998</v>
      </c>
      <c r="H22" s="101">
        <f ca="1">OFFSET('kW Forecast Tr'!$J$10,COLUMN()-COLUMN($D22),0)</f>
        <v>15445.800000000001</v>
      </c>
      <c r="I22" s="101">
        <f ca="1">OFFSET('kW Forecast Tr'!$J$18,COLUMN()-COLUMN($I22),0)</f>
        <v>15433.700370536344</v>
      </c>
      <c r="J22" s="101">
        <f ca="1">OFFSET('kW Forecast Tr'!$J$18,COLUMN()-COLUMN($I22),0)</f>
        <v>15447.62011196088</v>
      </c>
      <c r="K22" s="93">
        <f ca="1">OFFSET('kW Forecast Tr'!$J$18,COLUMN()-COLUMN($I22),0)</f>
        <v>15528.091832722061</v>
      </c>
    </row>
    <row r="23" spans="2:11" ht="13.5" thickBot="1" x14ac:dyDescent="0.25">
      <c r="B23" s="95" t="s">
        <v>152</v>
      </c>
      <c r="C23" s="96">
        <f t="shared" ref="C23" ca="1" si="1">SUM(C18:C22)</f>
        <v>2400997</v>
      </c>
      <c r="D23" s="96">
        <f t="shared" ref="D23:K23" ca="1" si="2">SUM(D18:D22)</f>
        <v>2401761</v>
      </c>
      <c r="E23" s="96">
        <f t="shared" ca="1" si="2"/>
        <v>2438192</v>
      </c>
      <c r="F23" s="96">
        <f t="shared" ca="1" si="2"/>
        <v>2394431.7999999998</v>
      </c>
      <c r="G23" s="96">
        <f t="shared" ca="1" si="2"/>
        <v>2371722.9</v>
      </c>
      <c r="H23" s="96">
        <f t="shared" ca="1" si="2"/>
        <v>2290929.7999999998</v>
      </c>
      <c r="I23" s="96">
        <f t="shared" ca="1" si="2"/>
        <v>2325506.1075293259</v>
      </c>
      <c r="J23" s="96">
        <f t="shared" ca="1" si="2"/>
        <v>2056856.1026573037</v>
      </c>
      <c r="K23" s="97">
        <f t="shared" ca="1" si="2"/>
        <v>2299417.6208897312</v>
      </c>
    </row>
    <row r="25" spans="2:11" ht="16.5" thickBot="1" x14ac:dyDescent="0.3">
      <c r="B25" s="88" t="s">
        <v>262</v>
      </c>
      <c r="C25" s="88"/>
    </row>
    <row r="26" spans="2:11" ht="38.25" x14ac:dyDescent="0.2">
      <c r="B26" s="98" t="s">
        <v>133</v>
      </c>
      <c r="C26" s="99" t="s">
        <v>192</v>
      </c>
      <c r="D26" s="99" t="s">
        <v>154</v>
      </c>
      <c r="E26" s="100" t="s">
        <v>193</v>
      </c>
    </row>
    <row r="27" spans="2:11" x14ac:dyDescent="0.2">
      <c r="B27" s="94" t="str">
        <f>B21</f>
        <v>GS &gt; 50</v>
      </c>
      <c r="C27" s="67">
        <f ca="1">K21</f>
        <v>2283889.5290570091</v>
      </c>
      <c r="D27" s="67">
        <f ca="1">'CDM Adjustment'!G18</f>
        <v>5981.1521372520647</v>
      </c>
      <c r="E27" s="93">
        <f ca="1">C27-D27</f>
        <v>2277908.3769197571</v>
      </c>
    </row>
    <row r="28" spans="2:11" x14ac:dyDescent="0.2">
      <c r="B28" s="94" t="str">
        <f>B22</f>
        <v>Street Light</v>
      </c>
      <c r="C28" s="67">
        <f ca="1">K22</f>
        <v>15528.091832722061</v>
      </c>
      <c r="D28" s="67"/>
      <c r="E28" s="93">
        <f t="shared" ref="E28" ca="1" si="3">C28-D28</f>
        <v>15528.091832722061</v>
      </c>
    </row>
    <row r="29" spans="2:11" ht="13.5" thickBot="1" x14ac:dyDescent="0.25">
      <c r="B29" s="95" t="s">
        <v>152</v>
      </c>
      <c r="C29" s="96">
        <f ca="1">SUM(C27:C28)</f>
        <v>2299417.6208897312</v>
      </c>
      <c r="D29" s="96">
        <f ca="1">SUM(D27:D28)</f>
        <v>5981.1521372520647</v>
      </c>
      <c r="E29" s="97">
        <f ca="1">SUM(E27:E28)</f>
        <v>2293436.4687524792</v>
      </c>
    </row>
    <row r="31" spans="2:11" ht="16.5" thickBot="1" x14ac:dyDescent="0.3">
      <c r="B31" s="88" t="s">
        <v>257</v>
      </c>
      <c r="C31" s="88"/>
    </row>
    <row r="32" spans="2:11" x14ac:dyDescent="0.2">
      <c r="B32" s="89" t="s">
        <v>130</v>
      </c>
      <c r="C32" s="90" t="s">
        <v>240</v>
      </c>
      <c r="D32" s="90" t="s">
        <v>147</v>
      </c>
      <c r="E32" s="90" t="s">
        <v>148</v>
      </c>
      <c r="F32" s="90" t="s">
        <v>149</v>
      </c>
      <c r="G32" s="90" t="s">
        <v>150</v>
      </c>
      <c r="H32" s="90" t="s">
        <v>194</v>
      </c>
      <c r="I32" s="90" t="s">
        <v>151</v>
      </c>
      <c r="J32" s="91" t="s">
        <v>196</v>
      </c>
    </row>
    <row r="33" spans="2:10" x14ac:dyDescent="0.2">
      <c r="B33" s="92" t="str">
        <f>B3</f>
        <v>Residential</v>
      </c>
      <c r="C33" s="101">
        <f ca="1">OFFSET('Customer Count'!$C$9,COLUMN()-COLUMN($D33),0)</f>
        <v>59824.416666666664</v>
      </c>
      <c r="D33" s="101">
        <f ca="1">OFFSET('Customer Count'!$C$9,COLUMN()-COLUMN($D33),0)</f>
        <v>60123.25</v>
      </c>
      <c r="E33" s="101">
        <f ca="1">OFFSET('Customer Count'!$C$9,COLUMN()-COLUMN($D33),0)</f>
        <v>60318.833333333336</v>
      </c>
      <c r="F33" s="101">
        <f ca="1">OFFSET('Customer Count'!$C$9,COLUMN()-COLUMN($D33),0)</f>
        <v>60502</v>
      </c>
      <c r="G33" s="101">
        <f ca="1">OFFSET('Customer Count'!$C$9,COLUMN()-COLUMN($D33),0)</f>
        <v>60920.083333333336</v>
      </c>
      <c r="H33" s="101">
        <f ca="1">OFFSET('Customer Count'!$C$9,COLUMN()-COLUMN($D33),0)</f>
        <v>61427.666666666664</v>
      </c>
      <c r="I33" s="101">
        <f ca="1">OFFSET('Customer Count'!$C$9,COLUMN()-COLUMN($D33)+4,0)</f>
        <v>61651.285485351538</v>
      </c>
      <c r="J33" s="93">
        <f ca="1">OFFSET('Customer Count'!$C$9,COLUMN()-COLUMN($D33)+4,0)</f>
        <v>62055.717918135437</v>
      </c>
    </row>
    <row r="34" spans="2:10" x14ac:dyDescent="0.2">
      <c r="B34" s="94" t="str">
        <f>B4</f>
        <v>GS &lt; 50</v>
      </c>
      <c r="C34" s="101">
        <f ca="1">OFFSET('Customer Count'!$G$9,COLUMN()-COLUMN($D34),0)</f>
        <v>5198.458333333333</v>
      </c>
      <c r="D34" s="101">
        <f ca="1">OFFSET('Customer Count'!$G$9,COLUMN()-COLUMN($D34),0)</f>
        <v>5238.5</v>
      </c>
      <c r="E34" s="101">
        <f ca="1">OFFSET('Customer Count'!$G$9,COLUMN()-COLUMN($D34),0)</f>
        <v>5272.833333333333</v>
      </c>
      <c r="F34" s="101">
        <f ca="1">OFFSET('Customer Count'!$G$9,COLUMN()-COLUMN($D34),0)</f>
        <v>5341.666666666667</v>
      </c>
      <c r="G34" s="101">
        <f ca="1">OFFSET('Customer Count'!$G$9,COLUMN()-COLUMN($D34),0)</f>
        <v>5427.75</v>
      </c>
      <c r="H34" s="101">
        <f ca="1">OFFSET('Customer Count'!$G$9,COLUMN()-COLUMN($D34),0)</f>
        <v>5489.5</v>
      </c>
      <c r="I34" s="101">
        <f ca="1">OFFSET('Customer Count'!$G$9,COLUMN()-COLUMN($D34)+4,0)</f>
        <v>5505.5601358758804</v>
      </c>
      <c r="J34" s="93">
        <f ca="1">OFFSET('Customer Count'!$G$9,COLUMN()-COLUMN($D34)+4,0)</f>
        <v>5564.469629329752</v>
      </c>
    </row>
    <row r="35" spans="2:10" ht="13.5" customHeight="1" x14ac:dyDescent="0.2">
      <c r="B35" s="94" t="str">
        <f>B5</f>
        <v>GS &gt; 50</v>
      </c>
      <c r="C35" s="101">
        <f ca="1">OFFSET('Customer Count'!$K$9,COLUMN()-COLUMN($D35),0)</f>
        <v>1021.2083333333334</v>
      </c>
      <c r="D35" s="101">
        <f ca="1">OFFSET('Customer Count'!$K$9,COLUMN()-COLUMN($D35),0)</f>
        <v>1027.6666666666667</v>
      </c>
      <c r="E35" s="101">
        <f ca="1">OFFSET('Customer Count'!$K$9,COLUMN()-COLUMN($D35),0)</f>
        <v>1034.1666666666667</v>
      </c>
      <c r="F35" s="101">
        <f ca="1">OFFSET('Customer Count'!$K$9,COLUMN()-COLUMN($D35),0)</f>
        <v>1003.6666666666666</v>
      </c>
      <c r="G35" s="101">
        <f ca="1">OFFSET('Customer Count'!$K$9,COLUMN()-COLUMN($D35),0)</f>
        <v>985.83333333333337</v>
      </c>
      <c r="H35" s="101">
        <f ca="1">OFFSET('Customer Count'!$K$9,COLUMN()-COLUMN($D35),0)</f>
        <v>984.83333333333337</v>
      </c>
      <c r="I35" s="101">
        <f ca="1">OFFSET('Customer Count'!$K$9,COLUMN()-COLUMN($D35)+4,0)</f>
        <v>1005.124840109051</v>
      </c>
      <c r="J35" s="93">
        <f ca="1">OFFSET('Customer Count'!$K$9,COLUMN()-COLUMN($D35)+4,0)</f>
        <v>1003.9186903009204</v>
      </c>
    </row>
    <row r="36" spans="2:10" x14ac:dyDescent="0.2">
      <c r="B36" s="94" t="str">
        <f>B6</f>
        <v>Street Light</v>
      </c>
      <c r="C36" s="101">
        <f ca="1">OFFSET('Customer Count'!$O$9,COLUMN()-COLUMN($D36),0)</f>
        <v>15170.75</v>
      </c>
      <c r="D36" s="101">
        <f ca="1">OFFSET('Customer Count'!$O$9,COLUMN()-COLUMN($D36),0)</f>
        <v>15228.583333333334</v>
      </c>
      <c r="E36" s="101">
        <f ca="1">OFFSET('Customer Count'!$O$9,COLUMN()-COLUMN($D36),0)</f>
        <v>15252.666666666666</v>
      </c>
      <c r="F36" s="101">
        <f ca="1">OFFSET('Customer Count'!$O$9,COLUMN()-COLUMN($D36),0)</f>
        <v>17184</v>
      </c>
      <c r="G36" s="101">
        <f ca="1">OFFSET('Customer Count'!$O$9,COLUMN()-COLUMN($D36),0)</f>
        <v>17184</v>
      </c>
      <c r="H36" s="101">
        <f ca="1">OFFSET('Customer Count'!$O$9,COLUMN()-COLUMN($D36),0)</f>
        <v>17184</v>
      </c>
      <c r="I36" s="101">
        <f ca="1">OFFSET('Customer Count'!$O$9,COLUMN()-COLUMN($D36)+4,0)</f>
        <v>17196.600593685107</v>
      </c>
      <c r="J36" s="93">
        <f ca="1">OFFSET('Customer Count'!$O$9,COLUMN()-COLUMN($D36)+4,0)</f>
        <v>17283.271460677272</v>
      </c>
    </row>
    <row r="37" spans="2:10" x14ac:dyDescent="0.2">
      <c r="B37" s="94" t="str">
        <f>B7</f>
        <v>USL</v>
      </c>
      <c r="C37" s="101">
        <f ca="1">OFFSET('Customer Count'!$S$9,COLUMN()-COLUMN($D37),0)</f>
        <v>559</v>
      </c>
      <c r="D37" s="101">
        <f ca="1">OFFSET('Customer Count'!$S$9,COLUMN()-COLUMN($D37),0)</f>
        <v>556.75</v>
      </c>
      <c r="E37" s="101">
        <f ca="1">OFFSET('Customer Count'!$S$9,COLUMN()-COLUMN($D37),0)</f>
        <v>559.08333333333337</v>
      </c>
      <c r="F37" s="101">
        <f ca="1">OFFSET('Customer Count'!$S$9,COLUMN()-COLUMN($D37),0)</f>
        <v>561.91666666666663</v>
      </c>
      <c r="G37" s="101">
        <f ca="1">OFFSET('Customer Count'!$S$9,COLUMN()-COLUMN($D37),0)</f>
        <v>563.33333333333337</v>
      </c>
      <c r="H37" s="101">
        <f ca="1">OFFSET('Customer Count'!$S$9,COLUMN()-COLUMN($D37),0)</f>
        <v>561.5</v>
      </c>
      <c r="I37" s="101">
        <f ca="1">OFFSET('Customer Count'!$S$9,COLUMN()-COLUMN($D37)+4,0)</f>
        <v>558.67964797739762</v>
      </c>
      <c r="J37" s="93">
        <f ca="1">OFFSET('Customer Count'!$S$9,COLUMN()-COLUMN($D37)+4,0)</f>
        <v>554.21021079357854</v>
      </c>
    </row>
    <row r="38" spans="2:10" ht="13.5" thickBot="1" x14ac:dyDescent="0.25">
      <c r="B38" s="95" t="s">
        <v>152</v>
      </c>
      <c r="C38" s="96">
        <f t="shared" ref="C38" ca="1" si="4">SUM(C33:C37)</f>
        <v>81773.833333333328</v>
      </c>
      <c r="D38" s="96">
        <f t="shared" ref="D38:J38" ca="1" si="5">SUM(D33:D37)</f>
        <v>82174.75</v>
      </c>
      <c r="E38" s="96">
        <f t="shared" ca="1" si="5"/>
        <v>82437.583333333343</v>
      </c>
      <c r="F38" s="96">
        <f t="shared" ca="1" si="5"/>
        <v>84593.250000000015</v>
      </c>
      <c r="G38" s="96">
        <f t="shared" ca="1" si="5"/>
        <v>85081</v>
      </c>
      <c r="H38" s="96">
        <f t="shared" ca="1" si="5"/>
        <v>85647.499999999985</v>
      </c>
      <c r="I38" s="96">
        <f t="shared" ca="1" si="5"/>
        <v>85917.250702998965</v>
      </c>
      <c r="J38" s="97">
        <f t="shared" ca="1" si="5"/>
        <v>86461.587909236972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Monthly Data</vt:lpstr>
      <vt:lpstr>Economic</vt:lpstr>
      <vt:lpstr>Monthly Data (to June 2020)</vt:lpstr>
      <vt:lpstr>Economic (2020 Adj.)</vt:lpstr>
      <vt:lpstr>Weather</vt:lpstr>
      <vt:lpstr>CDM</vt:lpstr>
      <vt:lpstr>Res PW</vt:lpstr>
      <vt:lpstr>Res Predicted Monthly</vt:lpstr>
      <vt:lpstr>GS&lt;50 PW</vt:lpstr>
      <vt:lpstr>GS&lt;50 Predicted Monthly</vt:lpstr>
      <vt:lpstr>GS&gt;50 PW</vt:lpstr>
      <vt:lpstr>GS&gt;50 Predicted Monthly</vt:lpstr>
      <vt:lpstr>Model Summary</vt:lpstr>
      <vt:lpstr>Res Normalized Monthly Avg</vt:lpstr>
      <vt:lpstr>GS&lt;50 Normalized Monthly Avg</vt:lpstr>
      <vt:lpstr>GS&gt;50 Normalized Monthly Avg</vt:lpstr>
      <vt:lpstr>Normalized Annual Summary</vt:lpstr>
      <vt:lpstr>Customer Count</vt:lpstr>
      <vt:lpstr>kW Forecast</vt:lpstr>
      <vt:lpstr>kW Forecast (Weather Normal)</vt:lpstr>
      <vt:lpstr>CDM Adjustment</vt:lpstr>
      <vt:lpstr>Summary Tables</vt:lpstr>
      <vt:lpstr>Summary Tables (Weather Normal)</vt:lpstr>
      <vt:lpstr>Res Normalized Monthly Avg Tr</vt:lpstr>
      <vt:lpstr>GS&lt;50 Normalized Monthly Av Tr</vt:lpstr>
      <vt:lpstr>GS&gt;50 Normalized Monthly Av Tr</vt:lpstr>
      <vt:lpstr>Normalized Annual Summary Tr</vt:lpstr>
      <vt:lpstr>kW Forecast Tr</vt:lpstr>
      <vt:lpstr>Summary Tables 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Sally Blackwell</cp:lastModifiedBy>
  <cp:lastPrinted>2020-08-20T20:35:33Z</cp:lastPrinted>
  <dcterms:created xsi:type="dcterms:W3CDTF">2018-12-19T20:07:02Z</dcterms:created>
  <dcterms:modified xsi:type="dcterms:W3CDTF">2021-02-18T23:22:52Z</dcterms:modified>
</cp:coreProperties>
</file>