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T:\5. TESI UTILITIES\Hearst Power\2021 Cost of Service\IRs\Models with 2020 Actuals for IRs\Final Filing\"/>
    </mc:Choice>
  </mc:AlternateContent>
  <xr:revisionPtr revIDLastSave="0" documentId="13_ncr:1_{900DD316-72D5-4BBF-9F03-AFE64989540C}" xr6:coauthVersionLast="45" xr6:coauthVersionMax="45" xr10:uidLastSave="{00000000-0000-0000-0000-000000000000}"/>
  <bookViews>
    <workbookView xWindow="0" yWindow="1170" windowWidth="28830" windowHeight="14970" xr2:uid="{00000000-000D-0000-FFFF-FFFF00000000}"/>
  </bookViews>
  <sheets>
    <sheet name="HPDC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H20" i="2" l="1"/>
  <c r="E20" i="2" s="1"/>
  <c r="H19" i="2"/>
  <c r="D20" i="2" l="1"/>
  <c r="G14" i="2" l="1"/>
  <c r="H22" i="2" l="1"/>
  <c r="H18" i="2"/>
  <c r="H27" i="2" l="1"/>
  <c r="E14" i="2"/>
  <c r="C14" i="2"/>
  <c r="B14" i="2"/>
  <c r="H14" i="2" l="1"/>
  <c r="B25" i="2" s="1"/>
  <c r="C25" i="2" l="1"/>
  <c r="B19" i="2"/>
  <c r="E25" i="2"/>
  <c r="E21" i="2"/>
  <c r="E23" i="2"/>
  <c r="C24" i="2"/>
  <c r="C21" i="2"/>
  <c r="D25" i="2"/>
  <c r="D21" i="2"/>
  <c r="C23" i="2"/>
  <c r="B24" i="2"/>
  <c r="B21" i="2"/>
  <c r="D23" i="2"/>
  <c r="F21" i="2"/>
  <c r="F25" i="2"/>
  <c r="F23" i="2"/>
  <c r="G21" i="2"/>
  <c r="G23" i="2"/>
  <c r="G25" i="2"/>
  <c r="G22" i="2"/>
  <c r="E22" i="2"/>
  <c r="D24" i="2"/>
  <c r="F18" i="2"/>
  <c r="F19" i="2"/>
  <c r="F17" i="2"/>
  <c r="C22" i="2"/>
  <c r="G18" i="2"/>
  <c r="D19" i="2"/>
  <c r="E17" i="2"/>
  <c r="B23" i="2"/>
  <c r="C18" i="2"/>
  <c r="B18" i="2"/>
  <c r="C17" i="2"/>
  <c r="G17" i="2"/>
  <c r="E19" i="2"/>
  <c r="D18" i="2"/>
  <c r="D17" i="2"/>
  <c r="E18" i="2"/>
  <c r="D22" i="2"/>
  <c r="B17" i="2"/>
  <c r="G19" i="2"/>
  <c r="B22" i="2"/>
  <c r="F22" i="2"/>
  <c r="C19" i="2"/>
  <c r="D16" i="2"/>
  <c r="C16" i="2"/>
  <c r="H13" i="2"/>
  <c r="D27" i="2" l="1"/>
  <c r="D29" i="2" s="1"/>
  <c r="B27" i="2"/>
  <c r="F27" i="2"/>
  <c r="E27" i="2"/>
  <c r="G27" i="2"/>
  <c r="G29" i="2" s="1"/>
  <c r="C27" i="2"/>
  <c r="C29" i="2" s="1"/>
  <c r="H8" i="1"/>
  <c r="E29" i="2" l="1"/>
  <c r="F29" i="2"/>
  <c r="B29" i="2"/>
  <c r="B31" i="2" s="1"/>
  <c r="B7" i="1"/>
  <c r="C7" i="1"/>
  <c r="F31" i="2" l="1"/>
  <c r="E31" i="2"/>
  <c r="C31" i="2"/>
  <c r="G31" i="2"/>
  <c r="D31" i="2"/>
  <c r="H11" i="1"/>
  <c r="H14" i="1" s="1"/>
  <c r="H4" i="1"/>
  <c r="H6" i="1"/>
  <c r="C12" i="1" l="1"/>
  <c r="D12" i="1"/>
  <c r="D14" i="1" s="1"/>
  <c r="B12" i="1"/>
  <c r="D11" i="1"/>
  <c r="E11" i="1"/>
  <c r="B11" i="1"/>
  <c r="F11" i="1"/>
  <c r="C6" i="1"/>
  <c r="G6" i="1"/>
  <c r="D6" i="1"/>
  <c r="E6" i="1"/>
  <c r="B6" i="1"/>
  <c r="F6" i="1"/>
  <c r="C11" i="1"/>
  <c r="G11" i="1"/>
  <c r="G12" i="1"/>
  <c r="C9" i="1"/>
  <c r="D9" i="1"/>
  <c r="B9" i="1"/>
  <c r="B14" i="1" s="1"/>
  <c r="E12" i="1"/>
  <c r="F12" i="1"/>
  <c r="G14" i="1" l="1"/>
  <c r="G16" i="1" s="1"/>
  <c r="C14" i="1"/>
  <c r="C16" i="1" s="1"/>
  <c r="B16" i="1"/>
  <c r="B18" i="1" s="1"/>
  <c r="F14" i="1"/>
  <c r="F16" i="1" s="1"/>
  <c r="E14" i="1"/>
  <c r="E16" i="1" s="1"/>
  <c r="D16" i="1"/>
  <c r="E18" i="1" l="1"/>
  <c r="C18" i="1"/>
  <c r="G18" i="1"/>
  <c r="F18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Kittel, Ethan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November 2016 bill multiplied by 12.  
Breakdown on bill shows $8,523 related to GS greater than 50 and streetlights.  The $8,523 is for 179 points.  Of these 179 points 6 are streetlights and 173 are GS over 50
$5,109.06 for residential and GS less than 50.  
$150 for shadow billing applied equal across all bills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Used for Residential and GS&lt;50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See excel file AR Analysis by Rate Category in Management Drive - 2017 COS Application</t>
        </r>
      </text>
    </comment>
    <comment ref="A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Used same split as bad debt expense</t>
        </r>
      </text>
    </comment>
    <comment ref="A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Account is mostly made up of postage fees for sending bills. Split GL Account across all invoices evenly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Account is mostly made up of the collections staff wages.  Half applied evenly across all bills and half applied at same rate as bad debt</t>
        </r>
      </text>
    </comment>
  </commentList>
</comments>
</file>

<file path=xl/sharedStrings.xml><?xml version="1.0" encoding="utf-8"?>
<sst xmlns="http://schemas.openxmlformats.org/spreadsheetml/2006/main" count="57" uniqueCount="46">
  <si>
    <t>Residential</t>
  </si>
  <si>
    <t>GS &lt; 50</t>
  </si>
  <si>
    <t>GS &gt; 50</t>
  </si>
  <si>
    <t>Street Lighting</t>
  </si>
  <si>
    <t>Sentinel Lighting</t>
  </si>
  <si>
    <t>USL</t>
  </si>
  <si>
    <t>Utilismart</t>
  </si>
  <si>
    <t>Utiliassist</t>
  </si>
  <si>
    <t>Total Annual Cost</t>
  </si>
  <si>
    <t># of Connections</t>
  </si>
  <si>
    <t>Cost Per Connection</t>
  </si>
  <si>
    <t>Total</t>
  </si>
  <si>
    <t>Bad Debt</t>
  </si>
  <si>
    <t>Accounts 5305 - 5340</t>
  </si>
  <si>
    <t>Collection Charges</t>
  </si>
  <si>
    <t>5315 - Customer Billing</t>
  </si>
  <si>
    <t>Acct</t>
  </si>
  <si>
    <t>5320 - Collecting</t>
  </si>
  <si>
    <t>Weighting (Residential set as standard)</t>
  </si>
  <si>
    <t># bills</t>
  </si>
  <si>
    <t>Intermediate</t>
  </si>
  <si>
    <t xml:space="preserve">5305-Supervision
</t>
  </si>
  <si>
    <t xml:space="preserve">5310-Meter Reading Expense
</t>
  </si>
  <si>
    <t xml:space="preserve">5315-Customer Billing
</t>
  </si>
  <si>
    <t xml:space="preserve">5320-Collecting
</t>
  </si>
  <si>
    <t xml:space="preserve">5325-Collecting- Cash Over and Short
</t>
  </si>
  <si>
    <t xml:space="preserve">5330-Collection Charges
</t>
  </si>
  <si>
    <t xml:space="preserve">5340-Miscellaneous Customer Accounts Expenses
</t>
  </si>
  <si>
    <r>
      <rPr>
        <b/>
        <u/>
        <sz val="11"/>
        <color theme="1"/>
        <rFont val="Calibri"/>
        <family val="2"/>
        <scheme val="minor"/>
      </rPr>
      <t>2021</t>
    </r>
    <r>
      <rPr>
        <sz val="11"/>
        <color theme="1"/>
        <rFont val="Calibri"/>
        <family val="2"/>
        <scheme val="minor"/>
      </rPr>
      <t xml:space="preserve"> Projected # of Customer/Connections (load forecast)</t>
    </r>
  </si>
  <si>
    <t>Should total $23,361</t>
  </si>
  <si>
    <t>Should total $206,542</t>
  </si>
  <si>
    <t>Should total $16,649</t>
  </si>
  <si>
    <t>Should total $44,427</t>
  </si>
  <si>
    <t>5310 - Meter Reading - Labor</t>
  </si>
  <si>
    <t>5310 - Meter Reading expenses (ERTH Holdings &amp; Metersense)</t>
  </si>
  <si>
    <t>5315 - Customer Billing expenses (ERTH Holdings, Canada Post, IT services &amp; Supplies)</t>
  </si>
  <si>
    <t>5315 - Customer Billing - Labor &amp; overheads</t>
  </si>
  <si>
    <t>5320 - Collecting - Labour</t>
  </si>
  <si>
    <t>5320 - Collecting - Services provided by other parties</t>
  </si>
  <si>
    <t>5330 - Credit bureau collection fees</t>
  </si>
  <si>
    <t>5340 - Misc. Cust Account Exp. - Communication services (24 hr emergency service)</t>
  </si>
  <si>
    <t>Amounts as per 2019 actual expenses, NOT AS PER 2021 BUDGET</t>
  </si>
  <si>
    <t>GS &lt; 50 *</t>
  </si>
  <si>
    <t xml:space="preserve"> *includes 48 MicroFit Connections</t>
  </si>
  <si>
    <t>5315 - Customer Billing expenses (Utilismart - Meter reads)</t>
  </si>
  <si>
    <t>5315 - Customer Billing expenses (Utilismart - Settlements)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</si>
</sst>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/>
    </xf>
    <xf numFmtId="43" fontId="0" fillId="0" borderId="0" xfId="1" applyFont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0" borderId="2" xfId="1" applyFont="1" applyBorder="1"/>
    <xf numFmtId="43" fontId="0" fillId="0" borderId="0" xfId="0" applyNumberFormat="1"/>
    <xf numFmtId="2" fontId="0" fillId="0" borderId="0" xfId="0" applyNumberFormat="1"/>
    <xf numFmtId="0" fontId="0" fillId="2" borderId="0" xfId="0" applyFont="1" applyFill="1" applyBorder="1" applyAlignment="1">
      <alignment horizontal="center"/>
    </xf>
    <xf numFmtId="43" fontId="0" fillId="2" borderId="0" xfId="1" applyFont="1" applyFill="1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Font="1" applyFill="1" applyBorder="1" applyAlignment="1">
      <alignment horizontal="center"/>
    </xf>
    <xf numFmtId="0" fontId="7" fillId="0" borderId="0" xfId="0" applyFont="1"/>
    <xf numFmtId="164" fontId="0" fillId="0" borderId="0" xfId="0" applyNumberFormat="1"/>
    <xf numFmtId="43" fontId="0" fillId="2" borderId="0" xfId="1" applyNumberFormat="1" applyFont="1" applyFill="1"/>
    <xf numFmtId="0" fontId="11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0" borderId="0" xfId="0" applyFont="1"/>
    <xf numFmtId="43" fontId="12" fillId="0" borderId="0" xfId="1" applyFont="1"/>
    <xf numFmtId="43" fontId="12" fillId="2" borderId="0" xfId="1" applyFont="1" applyFill="1"/>
    <xf numFmtId="0" fontId="12" fillId="0" borderId="0" xfId="1" applyNumberFormat="1" applyFont="1"/>
    <xf numFmtId="43" fontId="12" fillId="0" borderId="0" xfId="0" applyNumberFormat="1" applyFont="1"/>
    <xf numFmtId="0" fontId="12" fillId="0" borderId="0" xfId="0" applyNumberFormat="1" applyFont="1"/>
    <xf numFmtId="43" fontId="9" fillId="0" borderId="0" xfId="1" applyFont="1"/>
    <xf numFmtId="43" fontId="9" fillId="0" borderId="0" xfId="1" applyFont="1" applyFill="1"/>
    <xf numFmtId="0" fontId="9" fillId="0" borderId="0" xfId="1" applyNumberFormat="1" applyFont="1"/>
    <xf numFmtId="43" fontId="9" fillId="2" borderId="0" xfId="1" applyFont="1" applyFill="1"/>
    <xf numFmtId="43" fontId="9" fillId="0" borderId="2" xfId="1" applyFont="1" applyBorder="1"/>
    <xf numFmtId="43" fontId="9" fillId="0" borderId="0" xfId="0" applyNumberFormat="1" applyFont="1"/>
    <xf numFmtId="2" fontId="9" fillId="0" borderId="0" xfId="0" applyNumberFormat="1" applyFont="1"/>
    <xf numFmtId="43" fontId="5" fillId="3" borderId="3" xfId="1" applyFont="1" applyFill="1" applyBorder="1"/>
    <xf numFmtId="0" fontId="5" fillId="0" borderId="4" xfId="0" applyFont="1" applyBorder="1"/>
    <xf numFmtId="43" fontId="5" fillId="3" borderId="6" xfId="1" applyFont="1" applyFill="1" applyBorder="1"/>
    <xf numFmtId="0" fontId="5" fillId="0" borderId="0" xfId="0" applyFont="1" applyBorder="1"/>
    <xf numFmtId="0" fontId="5" fillId="0" borderId="0" xfId="1" applyNumberFormat="1" applyFont="1" applyBorder="1"/>
    <xf numFmtId="0" fontId="0" fillId="0" borderId="0" xfId="0" applyBorder="1"/>
    <xf numFmtId="43" fontId="0" fillId="3" borderId="6" xfId="1" applyFont="1" applyFill="1" applyBorder="1"/>
    <xf numFmtId="0" fontId="0" fillId="0" borderId="0" xfId="1" applyNumberFormat="1" applyFont="1" applyBorder="1"/>
    <xf numFmtId="43" fontId="0" fillId="3" borderId="8" xfId="1" applyFont="1" applyFill="1" applyBorder="1"/>
    <xf numFmtId="0" fontId="0" fillId="0" borderId="9" xfId="0" applyBorder="1"/>
    <xf numFmtId="0" fontId="5" fillId="0" borderId="9" xfId="1" applyNumberFormat="1" applyFont="1" applyBorder="1"/>
    <xf numFmtId="0" fontId="0" fillId="3" borderId="0" xfId="0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663F-E496-4EE4-930B-C363D7F4D7A2}">
  <sheetPr codeName="Sheet1"/>
  <dimension ref="A1:N35"/>
  <sheetViews>
    <sheetView tabSelected="1" zoomScaleNormal="100" workbookViewId="0">
      <selection activeCell="H28" sqref="H28"/>
    </sheetView>
  </sheetViews>
  <sheetFormatPr defaultRowHeight="15" x14ac:dyDescent="0.25"/>
  <cols>
    <col min="1" max="1" width="53.28515625" bestFit="1" customWidth="1"/>
    <col min="2" max="3" width="21.7109375" customWidth="1"/>
    <col min="4" max="7" width="17" customWidth="1"/>
    <col min="8" max="8" width="19.28515625" customWidth="1"/>
    <col min="9" max="9" width="1.7109375" customWidth="1"/>
    <col min="10" max="10" width="9.5703125" bestFit="1" customWidth="1"/>
    <col min="11" max="11" width="21.5703125" customWidth="1"/>
    <col min="12" max="12" width="10.5703125" customWidth="1"/>
    <col min="13" max="13" width="10.28515625" bestFit="1" customWidth="1"/>
  </cols>
  <sheetData>
    <row r="1" spans="1:14" ht="15.75" x14ac:dyDescent="0.25">
      <c r="A1" s="10">
        <v>2019</v>
      </c>
    </row>
    <row r="2" spans="1:14" ht="15.75" x14ac:dyDescent="0.25">
      <c r="A2" s="11" t="s">
        <v>13</v>
      </c>
      <c r="B2">
        <v>2019</v>
      </c>
    </row>
    <row r="3" spans="1:14" ht="15.75" x14ac:dyDescent="0.25">
      <c r="A3" s="13" t="s">
        <v>21</v>
      </c>
      <c r="B3" s="14">
        <v>0</v>
      </c>
    </row>
    <row r="4" spans="1:14" ht="15.75" x14ac:dyDescent="0.25">
      <c r="A4" s="13" t="s">
        <v>22</v>
      </c>
      <c r="B4" s="14">
        <v>16648.88</v>
      </c>
    </row>
    <row r="5" spans="1:14" ht="15.75" x14ac:dyDescent="0.25">
      <c r="A5" s="13" t="s">
        <v>23</v>
      </c>
      <c r="B5" s="14">
        <v>206541.55</v>
      </c>
    </row>
    <row r="6" spans="1:14" ht="15.75" x14ac:dyDescent="0.25">
      <c r="A6" s="13" t="s">
        <v>24</v>
      </c>
      <c r="B6" s="14">
        <v>44427.21</v>
      </c>
    </row>
    <row r="7" spans="1:14" ht="15.75" x14ac:dyDescent="0.25">
      <c r="A7" s="13" t="s">
        <v>25</v>
      </c>
      <c r="B7" s="14">
        <v>0</v>
      </c>
    </row>
    <row r="8" spans="1:14" ht="15.75" x14ac:dyDescent="0.25">
      <c r="A8" s="13" t="s">
        <v>26</v>
      </c>
      <c r="B8" s="14">
        <v>710.91</v>
      </c>
    </row>
    <row r="9" spans="1:14" ht="15.75" x14ac:dyDescent="0.25">
      <c r="A9" s="13" t="s">
        <v>27</v>
      </c>
      <c r="B9" s="14">
        <v>23360.62</v>
      </c>
    </row>
    <row r="10" spans="1:14" ht="15.75" x14ac:dyDescent="0.25">
      <c r="A10" s="11"/>
    </row>
    <row r="11" spans="1:14" ht="15.75" x14ac:dyDescent="0.25">
      <c r="A11" s="11"/>
    </row>
    <row r="12" spans="1:14" x14ac:dyDescent="0.25">
      <c r="B12" s="1" t="s">
        <v>0</v>
      </c>
      <c r="C12" s="1" t="s">
        <v>42</v>
      </c>
      <c r="D12" s="1" t="s">
        <v>2</v>
      </c>
      <c r="E12" s="1" t="s">
        <v>20</v>
      </c>
      <c r="F12" s="1" t="s">
        <v>3</v>
      </c>
      <c r="G12" s="1" t="s">
        <v>4</v>
      </c>
      <c r="H12" s="4" t="s">
        <v>8</v>
      </c>
      <c r="J12" s="3" t="s">
        <v>16</v>
      </c>
      <c r="K12" s="3"/>
    </row>
    <row r="13" spans="1:14" x14ac:dyDescent="0.25">
      <c r="A13" t="s">
        <v>28</v>
      </c>
      <c r="B13" s="12">
        <v>2253</v>
      </c>
      <c r="C13" s="46">
        <v>458</v>
      </c>
      <c r="D13" s="12">
        <v>37</v>
      </c>
      <c r="E13" s="12">
        <v>2</v>
      </c>
      <c r="F13" s="12">
        <v>967</v>
      </c>
      <c r="G13" s="12">
        <v>12</v>
      </c>
      <c r="H13" s="3">
        <f>SUM(B13:G13)</f>
        <v>3729</v>
      </c>
    </row>
    <row r="14" spans="1:14" x14ac:dyDescent="0.25">
      <c r="A14" t="s">
        <v>19</v>
      </c>
      <c r="B14" s="8">
        <f>B13*12</f>
        <v>27036</v>
      </c>
      <c r="C14" s="8">
        <f>C13*12</f>
        <v>5496</v>
      </c>
      <c r="D14" s="8">
        <f>D13*12</f>
        <v>444</v>
      </c>
      <c r="E14" s="8">
        <f>E13*12</f>
        <v>24</v>
      </c>
      <c r="F14" s="8">
        <v>24</v>
      </c>
      <c r="G14" s="8">
        <f>9*12</f>
        <v>108</v>
      </c>
      <c r="H14" s="3">
        <f>SUM(B14:G14)</f>
        <v>33132</v>
      </c>
    </row>
    <row r="15" spans="1:14" ht="15.75" thickBot="1" x14ac:dyDescent="0.3"/>
    <row r="16" spans="1:14" x14ac:dyDescent="0.25">
      <c r="A16" s="47" t="s">
        <v>33</v>
      </c>
      <c r="B16" s="9"/>
      <c r="C16" s="9">
        <f t="shared" ref="C16:D16" si="0">$H$16*C14/$H$14</f>
        <v>218.41009779065556</v>
      </c>
      <c r="D16" s="9">
        <f t="shared" si="0"/>
        <v>17.644483882651215</v>
      </c>
      <c r="E16" s="9"/>
      <c r="F16" s="9"/>
      <c r="G16" s="9"/>
      <c r="H16" s="35">
        <v>1316.66</v>
      </c>
      <c r="I16" s="36"/>
      <c r="J16" s="36">
        <v>5310</v>
      </c>
      <c r="K16" s="56" t="s">
        <v>31</v>
      </c>
      <c r="L16" s="49" t="s">
        <v>41</v>
      </c>
      <c r="M16" s="49"/>
      <c r="N16" s="50"/>
    </row>
    <row r="17" spans="1:14" x14ac:dyDescent="0.25">
      <c r="A17" s="47" t="s">
        <v>34</v>
      </c>
      <c r="B17" s="9">
        <f t="shared" ref="B17:G17" si="1">$H$17*B14/$H$14</f>
        <v>12511.224795363998</v>
      </c>
      <c r="C17" s="9">
        <f t="shared" si="1"/>
        <v>2543.3381963056859</v>
      </c>
      <c r="D17" s="9">
        <f t="shared" si="1"/>
        <v>205.46618616443317</v>
      </c>
      <c r="E17" s="9">
        <f t="shared" si="1"/>
        <v>11.106280333212602</v>
      </c>
      <c r="F17" s="9">
        <f t="shared" si="1"/>
        <v>11.106280333212602</v>
      </c>
      <c r="G17" s="9">
        <f t="shared" si="1"/>
        <v>49.978261499456721</v>
      </c>
      <c r="H17" s="37">
        <v>15332.22</v>
      </c>
      <c r="I17" s="38"/>
      <c r="J17" s="39">
        <v>5310</v>
      </c>
      <c r="K17" s="55"/>
      <c r="L17" s="51"/>
      <c r="M17" s="51"/>
      <c r="N17" s="52"/>
    </row>
    <row r="18" spans="1:14" x14ac:dyDescent="0.25">
      <c r="A18" s="47" t="s">
        <v>36</v>
      </c>
      <c r="B18" s="9">
        <f t="shared" ref="B18:G18" si="2">$H$18*B14/$H$14</f>
        <v>85812.673636363645</v>
      </c>
      <c r="C18" s="9">
        <f t="shared" si="2"/>
        <v>17444.387272727272</v>
      </c>
      <c r="D18" s="9">
        <f t="shared" si="2"/>
        <v>1409.2627272727273</v>
      </c>
      <c r="E18" s="9">
        <f t="shared" si="2"/>
        <v>76.176363636363646</v>
      </c>
      <c r="F18" s="9">
        <f t="shared" si="2"/>
        <v>76.176363636363646</v>
      </c>
      <c r="G18" s="9">
        <f t="shared" si="2"/>
        <v>342.79363636363638</v>
      </c>
      <c r="H18" s="37">
        <f>79665.08+25496.39</f>
        <v>105161.47</v>
      </c>
      <c r="I18" s="38"/>
      <c r="J18" s="39">
        <v>5315</v>
      </c>
      <c r="K18" s="55" t="s">
        <v>30</v>
      </c>
      <c r="L18" s="51"/>
      <c r="M18" s="51"/>
      <c r="N18" s="52"/>
    </row>
    <row r="19" spans="1:14" x14ac:dyDescent="0.25">
      <c r="A19" s="47" t="s">
        <v>35</v>
      </c>
      <c r="B19" s="15">
        <f>$H$19*B14/$H$14</f>
        <v>67756.857457442966</v>
      </c>
      <c r="C19" s="15">
        <f t="shared" ref="C19:F19" si="3">$H$19*C14/$H$14</f>
        <v>13773.919536399857</v>
      </c>
      <c r="D19" s="15">
        <f t="shared" si="3"/>
        <v>1112.7402245563203</v>
      </c>
      <c r="E19" s="15">
        <f t="shared" si="3"/>
        <v>60.148120246287583</v>
      </c>
      <c r="F19" s="15">
        <f t="shared" si="3"/>
        <v>60.148120246287583</v>
      </c>
      <c r="G19" s="15">
        <f>$H$19*G14/$H$14</f>
        <v>270.66654110829415</v>
      </c>
      <c r="H19" s="37">
        <f>101380.08-18345.6</f>
        <v>83034.48000000001</v>
      </c>
      <c r="I19" s="38"/>
      <c r="J19" s="39">
        <v>5315</v>
      </c>
      <c r="K19" s="55"/>
      <c r="L19" s="51"/>
      <c r="M19" s="51"/>
      <c r="N19" s="52"/>
    </row>
    <row r="20" spans="1:14" x14ac:dyDescent="0.25">
      <c r="A20" s="47" t="s">
        <v>44</v>
      </c>
      <c r="B20" s="15"/>
      <c r="C20" s="15"/>
      <c r="D20" s="15">
        <f>H20/2</f>
        <v>1672.7999999999993</v>
      </c>
      <c r="E20" s="15">
        <f>H20/2</f>
        <v>1672.7999999999993</v>
      </c>
      <c r="F20" s="15"/>
      <c r="G20" s="15"/>
      <c r="H20" s="37">
        <f>18345.6-15000</f>
        <v>3345.5999999999985</v>
      </c>
      <c r="I20" s="38"/>
      <c r="J20" s="39">
        <v>5315</v>
      </c>
      <c r="K20" s="55"/>
      <c r="L20" s="51"/>
      <c r="M20" s="51"/>
      <c r="N20" s="52"/>
    </row>
    <row r="21" spans="1:14" x14ac:dyDescent="0.25">
      <c r="A21" s="47" t="s">
        <v>45</v>
      </c>
      <c r="B21" s="15">
        <f t="shared" ref="B21:G21" si="4">$H$21*B14/$H$14</f>
        <v>12240.130387540747</v>
      </c>
      <c r="C21" s="15">
        <f t="shared" si="4"/>
        <v>2488.2289025715322</v>
      </c>
      <c r="D21" s="15">
        <f t="shared" si="4"/>
        <v>201.01412531691417</v>
      </c>
      <c r="E21" s="15">
        <f t="shared" si="4"/>
        <v>10.865628395508873</v>
      </c>
      <c r="F21" s="15">
        <f t="shared" si="4"/>
        <v>10.865628395508873</v>
      </c>
      <c r="G21" s="15">
        <f t="shared" si="4"/>
        <v>48.89532777978993</v>
      </c>
      <c r="H21" s="37">
        <v>15000</v>
      </c>
      <c r="I21" s="38"/>
      <c r="J21" s="39">
        <v>5315</v>
      </c>
      <c r="K21" s="55"/>
      <c r="L21" s="51"/>
      <c r="M21" s="51"/>
      <c r="N21" s="52"/>
    </row>
    <row r="22" spans="1:14" x14ac:dyDescent="0.25">
      <c r="A22" s="47" t="s">
        <v>37</v>
      </c>
      <c r="B22" s="15">
        <f t="shared" ref="B22:G22" si="5">$H$22*B14/$H$14</f>
        <v>2850.4570843897141</v>
      </c>
      <c r="C22" s="15">
        <f t="shared" si="5"/>
        <v>579.4537703730532</v>
      </c>
      <c r="D22" s="15">
        <f t="shared" si="5"/>
        <v>46.811767475552337</v>
      </c>
      <c r="E22" s="15">
        <f t="shared" si="5"/>
        <v>2.5303658094893153</v>
      </c>
      <c r="F22" s="15">
        <f t="shared" si="5"/>
        <v>2.5303658094893153</v>
      </c>
      <c r="G22" s="15">
        <f t="shared" si="5"/>
        <v>11.386646142701919</v>
      </c>
      <c r="H22" s="37">
        <f>3468.17+25</f>
        <v>3493.17</v>
      </c>
      <c r="I22" s="38"/>
      <c r="J22" s="39">
        <v>5320</v>
      </c>
      <c r="K22" s="55" t="s">
        <v>32</v>
      </c>
      <c r="L22" s="51"/>
      <c r="M22" s="51"/>
      <c r="N22" s="52"/>
    </row>
    <row r="23" spans="1:14" x14ac:dyDescent="0.25">
      <c r="A23" s="47" t="s">
        <v>38</v>
      </c>
      <c r="B23" s="15">
        <f t="shared" ref="B23:G23" si="6">$H$23*B14/$H$14</f>
        <v>33402.532459253896</v>
      </c>
      <c r="C23" s="15">
        <f t="shared" si="6"/>
        <v>6790.2174284679468</v>
      </c>
      <c r="D23" s="15">
        <f t="shared" si="6"/>
        <v>548.55468308583852</v>
      </c>
      <c r="E23" s="15">
        <f t="shared" si="6"/>
        <v>29.651604491126403</v>
      </c>
      <c r="F23" s="15">
        <f t="shared" si="6"/>
        <v>29.651604491126403</v>
      </c>
      <c r="G23" s="15">
        <f t="shared" si="6"/>
        <v>133.43222021006883</v>
      </c>
      <c r="H23" s="37">
        <v>40934.04</v>
      </c>
      <c r="I23" s="38"/>
      <c r="J23" s="39">
        <v>5320</v>
      </c>
      <c r="K23" s="55"/>
      <c r="L23" s="51"/>
      <c r="M23" s="51"/>
      <c r="N23" s="52"/>
    </row>
    <row r="24" spans="1:14" x14ac:dyDescent="0.25">
      <c r="A24" s="47" t="s">
        <v>39</v>
      </c>
      <c r="B24" s="15">
        <f>$H$24*B14/$H$14</f>
        <v>580.10873958710602</v>
      </c>
      <c r="C24" s="15">
        <f>$H$24*C14/$H$14</f>
        <v>117.92712060847519</v>
      </c>
      <c r="D24" s="15">
        <f>$H$24*D14/$H$14</f>
        <v>9.5268634552698295</v>
      </c>
      <c r="E24" s="15"/>
      <c r="F24" s="15"/>
      <c r="G24" s="15"/>
      <c r="H24" s="41">
        <v>710.91</v>
      </c>
      <c r="I24" s="40"/>
      <c r="J24" s="42">
        <v>5330</v>
      </c>
      <c r="K24" s="40"/>
      <c r="L24" s="51"/>
      <c r="M24" s="51"/>
      <c r="N24" s="52"/>
    </row>
    <row r="25" spans="1:14" ht="15.75" thickBot="1" x14ac:dyDescent="0.3">
      <c r="A25" s="47" t="s">
        <v>40</v>
      </c>
      <c r="B25" s="15">
        <f t="shared" ref="B25:G25" si="7">$H$23*B14/$H$14</f>
        <v>33402.532459253896</v>
      </c>
      <c r="C25" s="15">
        <f t="shared" si="7"/>
        <v>6790.2174284679468</v>
      </c>
      <c r="D25" s="15">
        <f t="shared" si="7"/>
        <v>548.55468308583852</v>
      </c>
      <c r="E25" s="15">
        <f t="shared" si="7"/>
        <v>29.651604491126403</v>
      </c>
      <c r="F25" s="15">
        <f t="shared" si="7"/>
        <v>29.651604491126403</v>
      </c>
      <c r="G25" s="15">
        <f t="shared" si="7"/>
        <v>133.43222021006883</v>
      </c>
      <c r="H25" s="43">
        <v>23360.62</v>
      </c>
      <c r="I25" s="44"/>
      <c r="J25" s="45">
        <v>5340</v>
      </c>
      <c r="K25" s="44" t="s">
        <v>29</v>
      </c>
      <c r="L25" s="53"/>
      <c r="M25" s="53"/>
      <c r="N25" s="54"/>
    </row>
    <row r="26" spans="1:14" x14ac:dyDescent="0.25">
      <c r="B26" s="2"/>
      <c r="C26" s="2"/>
      <c r="D26" s="2"/>
      <c r="E26" s="2"/>
      <c r="F26" s="2"/>
      <c r="G26" s="2"/>
    </row>
    <row r="27" spans="1:14" x14ac:dyDescent="0.25">
      <c r="A27" t="s">
        <v>15</v>
      </c>
      <c r="B27" s="5">
        <f t="shared" ref="B27:G27" si="8">SUM(B16:B25)</f>
        <v>248556.51701919595</v>
      </c>
      <c r="C27" s="5">
        <f t="shared" si="8"/>
        <v>50746.099753712428</v>
      </c>
      <c r="D27" s="5">
        <f t="shared" si="8"/>
        <v>5772.3757442955439</v>
      </c>
      <c r="E27" s="5">
        <f t="shared" si="8"/>
        <v>1892.9299674031138</v>
      </c>
      <c r="F27" s="5">
        <f t="shared" si="8"/>
        <v>220.12996740311482</v>
      </c>
      <c r="G27" s="5">
        <f t="shared" si="8"/>
        <v>990.58485331401687</v>
      </c>
      <c r="H27" s="5">
        <f>SUM(H16:H26)</f>
        <v>291689.17</v>
      </c>
    </row>
    <row r="28" spans="1:14" x14ac:dyDescent="0.25">
      <c r="B28" s="2"/>
      <c r="C28" s="2"/>
      <c r="D28" s="2"/>
      <c r="E28" s="2"/>
      <c r="F28" s="2"/>
      <c r="G28" s="2"/>
    </row>
    <row r="29" spans="1:14" x14ac:dyDescent="0.25">
      <c r="A29" t="s">
        <v>11</v>
      </c>
      <c r="B29" s="6">
        <f>B27/B14</f>
        <v>9.1935388748038154</v>
      </c>
      <c r="C29" s="6">
        <f>C27/C14</f>
        <v>9.2332787033683452</v>
      </c>
      <c r="D29" s="6">
        <f t="shared" ref="D29:G29" si="9">D27/D14</f>
        <v>13.000846270935909</v>
      </c>
      <c r="E29" s="6">
        <f t="shared" si="9"/>
        <v>78.872081975129746</v>
      </c>
      <c r="F29" s="6">
        <f t="shared" si="9"/>
        <v>9.1720819751297835</v>
      </c>
      <c r="G29" s="6">
        <f t="shared" si="9"/>
        <v>9.1720819751297853</v>
      </c>
    </row>
    <row r="31" spans="1:14" x14ac:dyDescent="0.25">
      <c r="A31" t="s">
        <v>10</v>
      </c>
      <c r="B31" s="7">
        <f>B29/$B$29</f>
        <v>1</v>
      </c>
      <c r="C31" s="7">
        <f>C29/$B$29</f>
        <v>1.0043225823163093</v>
      </c>
      <c r="D31" s="7">
        <f t="shared" ref="D31:G31" si="10">D29/$B$29</f>
        <v>1.4141286013992451</v>
      </c>
      <c r="E31" s="7">
        <f>E29/$B$29</f>
        <v>8.5790774422338902</v>
      </c>
      <c r="F31" s="7">
        <f>F29/$B$29</f>
        <v>0.997666089199575</v>
      </c>
      <c r="G31" s="7">
        <f t="shared" si="10"/>
        <v>0.99766608919957522</v>
      </c>
    </row>
    <row r="33" spans="1:4" x14ac:dyDescent="0.25">
      <c r="A33" t="s">
        <v>18</v>
      </c>
    </row>
    <row r="35" spans="1:4" x14ac:dyDescent="0.25">
      <c r="C35" s="48" t="s">
        <v>43</v>
      </c>
      <c r="D35" s="48"/>
    </row>
  </sheetData>
  <mergeCells count="4">
    <mergeCell ref="L16:N25"/>
    <mergeCell ref="K18:K21"/>
    <mergeCell ref="K16:K17"/>
    <mergeCell ref="K22:K23"/>
  </mergeCells>
  <phoneticPr fontId="10" type="noConversion"/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20"/>
  <sheetViews>
    <sheetView workbookViewId="0">
      <selection activeCell="C23" sqref="C23"/>
    </sheetView>
  </sheetViews>
  <sheetFormatPr defaultRowHeight="15" x14ac:dyDescent="0.25"/>
  <cols>
    <col min="1" max="1" width="38.7109375" customWidth="1"/>
    <col min="2" max="3" width="21.7109375" customWidth="1"/>
    <col min="4" max="7" width="17" customWidth="1"/>
    <col min="8" max="8" width="19.28515625" customWidth="1"/>
    <col min="9" max="9" width="3.42578125" customWidth="1"/>
    <col min="10" max="10" width="9.5703125" bestFit="1" customWidth="1"/>
  </cols>
  <sheetData>
    <row r="1" spans="1:11" x14ac:dyDescent="0.2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25">
      <c r="A3" s="17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9" t="s">
        <v>8</v>
      </c>
      <c r="I3" s="17"/>
      <c r="J3" s="20" t="s">
        <v>16</v>
      </c>
      <c r="K3" s="3"/>
    </row>
    <row r="4" spans="1:11" x14ac:dyDescent="0.25">
      <c r="A4" s="17" t="s">
        <v>9</v>
      </c>
      <c r="B4" s="21">
        <v>20269</v>
      </c>
      <c r="C4" s="21">
        <v>2546</v>
      </c>
      <c r="D4" s="21">
        <v>234</v>
      </c>
      <c r="E4" s="21">
        <v>6244</v>
      </c>
      <c r="F4" s="21">
        <v>8</v>
      </c>
      <c r="G4" s="21">
        <v>57</v>
      </c>
      <c r="H4" s="20">
        <f>SUM(B4:G4)</f>
        <v>29358</v>
      </c>
      <c r="I4" s="17"/>
      <c r="J4" s="17"/>
    </row>
    <row r="5" spans="1:1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1" x14ac:dyDescent="0.25">
      <c r="A6" s="22" t="s">
        <v>6</v>
      </c>
      <c r="B6" s="23">
        <f>5109.06*12*B4/(B4+C4)+150*12*B4/H4</f>
        <v>55709.815197201176</v>
      </c>
      <c r="C6" s="23">
        <f>5109.06*12*C4/(B4+C4)+150*12*C4/H4</f>
        <v>6997.7398733077207</v>
      </c>
      <c r="D6" s="23">
        <f>8523*12*173/179+150*12*D4/H4</f>
        <v>98862.101216308321</v>
      </c>
      <c r="E6" s="23">
        <f>8523*12*6/179+150*12*E4/H4</f>
        <v>3811.0784280816169</v>
      </c>
      <c r="F6" s="23">
        <f>150*12*F4/H4</f>
        <v>0.49049662783568365</v>
      </c>
      <c r="G6" s="23">
        <f>150*12*G4/H4</f>
        <v>3.4947884733292458</v>
      </c>
      <c r="H6" s="23">
        <f>13782.06*12</f>
        <v>165384.72</v>
      </c>
      <c r="I6" s="22"/>
      <c r="J6" s="22">
        <v>5310</v>
      </c>
    </row>
    <row r="7" spans="1:11" x14ac:dyDescent="0.25">
      <c r="A7" s="22" t="s">
        <v>7</v>
      </c>
      <c r="B7" s="23">
        <f>H7/(B4+C4)*B4</f>
        <v>33151.075555555552</v>
      </c>
      <c r="C7" s="23">
        <f>H7/(B4+C4)*C4</f>
        <v>4164.1244444444437</v>
      </c>
      <c r="D7" s="23">
        <v>0</v>
      </c>
      <c r="E7" s="23">
        <v>0</v>
      </c>
      <c r="F7" s="23">
        <v>0</v>
      </c>
      <c r="G7" s="23">
        <v>0</v>
      </c>
      <c r="H7" s="24">
        <v>37315.199999999997</v>
      </c>
      <c r="I7" s="22"/>
      <c r="J7" s="25">
        <v>5310</v>
      </c>
    </row>
    <row r="8" spans="1:11" x14ac:dyDescent="0.25">
      <c r="A8" s="22" t="s">
        <v>12</v>
      </c>
      <c r="B8" s="24">
        <v>51130.93</v>
      </c>
      <c r="C8" s="24">
        <v>5010.28</v>
      </c>
      <c r="D8" s="24">
        <v>9513.7900000000009</v>
      </c>
      <c r="E8" s="23">
        <v>0</v>
      </c>
      <c r="F8" s="23">
        <v>0</v>
      </c>
      <c r="G8" s="23">
        <v>0</v>
      </c>
      <c r="H8" s="26">
        <f>SUM(B8:G8)</f>
        <v>65655</v>
      </c>
      <c r="I8" s="22"/>
      <c r="J8" s="27">
        <v>5335</v>
      </c>
    </row>
    <row r="9" spans="1:11" x14ac:dyDescent="0.25">
      <c r="A9" s="22" t="s">
        <v>14</v>
      </c>
      <c r="B9" s="23">
        <f>$H$9*B8/$H$8</f>
        <v>33253.989962683729</v>
      </c>
      <c r="C9" s="23">
        <f>$H$9*C8/$H$8</f>
        <v>3258.5325717767114</v>
      </c>
      <c r="D9" s="23">
        <f>$H$9*D8/$H$8</f>
        <v>6187.477465539564</v>
      </c>
      <c r="E9" s="23">
        <v>0</v>
      </c>
      <c r="F9" s="23">
        <v>0</v>
      </c>
      <c r="G9" s="23">
        <v>0</v>
      </c>
      <c r="H9" s="24">
        <v>42700</v>
      </c>
      <c r="I9" s="22"/>
      <c r="J9" s="25">
        <v>5330</v>
      </c>
    </row>
    <row r="10" spans="1:11" x14ac:dyDescent="0.25">
      <c r="A10" s="17"/>
      <c r="B10" s="28"/>
      <c r="C10" s="28"/>
      <c r="D10" s="28"/>
      <c r="E10" s="28"/>
      <c r="F10" s="28"/>
      <c r="G10" s="28"/>
      <c r="H10" s="29"/>
      <c r="I10" s="17"/>
      <c r="J10" s="30"/>
    </row>
    <row r="11" spans="1:11" x14ac:dyDescent="0.25">
      <c r="A11" s="17" t="s">
        <v>15</v>
      </c>
      <c r="B11" s="28">
        <f t="shared" ref="B11:G11" si="0">$H$11*B4/$H$4</f>
        <v>285367.74671299133</v>
      </c>
      <c r="C11" s="28">
        <f t="shared" si="0"/>
        <v>35845.196266775667</v>
      </c>
      <c r="D11" s="28">
        <f t="shared" si="0"/>
        <v>3294.4917228694053</v>
      </c>
      <c r="E11" s="28">
        <f t="shared" si="0"/>
        <v>87909.428707677638</v>
      </c>
      <c r="F11" s="28">
        <f t="shared" si="0"/>
        <v>112.63219565365488</v>
      </c>
      <c r="G11" s="28">
        <f t="shared" si="0"/>
        <v>802.50439403229097</v>
      </c>
      <c r="H11" s="28">
        <f>413332</f>
        <v>413332</v>
      </c>
      <c r="I11" s="17"/>
      <c r="J11" s="30">
        <v>5315</v>
      </c>
    </row>
    <row r="12" spans="1:11" x14ac:dyDescent="0.25">
      <c r="A12" s="17" t="s">
        <v>17</v>
      </c>
      <c r="B12" s="28">
        <f t="shared" ref="B12:G12" si="1">$H$12*0.5*B4/$H$4+$H$12*0.5*B8/$H$8</f>
        <v>223193.47294441724</v>
      </c>
      <c r="C12" s="28">
        <f t="shared" si="1"/>
        <v>24767.589663196144</v>
      </c>
      <c r="D12" s="28">
        <f t="shared" si="1"/>
        <v>23224.36596381518</v>
      </c>
      <c r="E12" s="28">
        <f t="shared" si="1"/>
        <v>32310.222222222223</v>
      </c>
      <c r="F12" s="28">
        <f t="shared" si="1"/>
        <v>41.396825396825399</v>
      </c>
      <c r="G12" s="28">
        <f t="shared" si="1"/>
        <v>294.95238095238096</v>
      </c>
      <c r="H12" s="31">
        <v>303832</v>
      </c>
      <c r="I12" s="17"/>
      <c r="J12" s="30">
        <v>5320</v>
      </c>
    </row>
    <row r="13" spans="1:11" x14ac:dyDescent="0.25">
      <c r="A13" s="17"/>
      <c r="B13" s="28"/>
      <c r="C13" s="28"/>
      <c r="D13" s="28"/>
      <c r="E13" s="28"/>
      <c r="F13" s="28"/>
      <c r="G13" s="28"/>
      <c r="H13" s="17"/>
      <c r="I13" s="17"/>
      <c r="J13" s="17"/>
    </row>
    <row r="14" spans="1:11" x14ac:dyDescent="0.25">
      <c r="A14" s="17" t="s">
        <v>11</v>
      </c>
      <c r="B14" s="32">
        <f>SUM(B11:B13)</f>
        <v>508561.21965740854</v>
      </c>
      <c r="C14" s="32">
        <f t="shared" ref="C14:H14" si="2">SUM(C11:C13)</f>
        <v>60612.785929971811</v>
      </c>
      <c r="D14" s="32">
        <f t="shared" si="2"/>
        <v>26518.857686684587</v>
      </c>
      <c r="E14" s="32">
        <f t="shared" si="2"/>
        <v>120219.65092989986</v>
      </c>
      <c r="F14" s="32">
        <f t="shared" si="2"/>
        <v>154.02902105048028</v>
      </c>
      <c r="G14" s="32">
        <f t="shared" si="2"/>
        <v>1097.4567749846719</v>
      </c>
      <c r="H14" s="32">
        <f t="shared" si="2"/>
        <v>717164</v>
      </c>
      <c r="I14" s="17"/>
      <c r="J14" s="17"/>
    </row>
    <row r="15" spans="1:11" x14ac:dyDescent="0.25">
      <c r="A15" s="17"/>
      <c r="B15" s="28"/>
      <c r="C15" s="28"/>
      <c r="D15" s="28"/>
      <c r="E15" s="28"/>
      <c r="F15" s="28"/>
      <c r="G15" s="28"/>
      <c r="H15" s="17"/>
      <c r="I15" s="17"/>
      <c r="J15" s="17"/>
    </row>
    <row r="16" spans="1:11" x14ac:dyDescent="0.25">
      <c r="A16" s="17" t="s">
        <v>10</v>
      </c>
      <c r="B16" s="33">
        <f t="shared" ref="B16:G16" si="3">B14/B4</f>
        <v>25.090592513563003</v>
      </c>
      <c r="C16" s="33">
        <f t="shared" si="3"/>
        <v>23.807064387263082</v>
      </c>
      <c r="D16" s="33">
        <f t="shared" si="3"/>
        <v>113.32845165249823</v>
      </c>
      <c r="E16" s="33">
        <f t="shared" si="3"/>
        <v>19.253627631310035</v>
      </c>
      <c r="F16" s="33">
        <f t="shared" si="3"/>
        <v>19.253627631310035</v>
      </c>
      <c r="G16" s="33">
        <f t="shared" si="3"/>
        <v>19.253627631310035</v>
      </c>
      <c r="H16" s="17"/>
      <c r="I16" s="17"/>
      <c r="J16" s="17"/>
    </row>
    <row r="17" spans="1:10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7" t="s">
        <v>18</v>
      </c>
      <c r="B18" s="34">
        <f t="shared" ref="B18:G18" si="4">B16/$B$16</f>
        <v>1</v>
      </c>
      <c r="C18" s="34">
        <f t="shared" si="4"/>
        <v>0.94884424807401047</v>
      </c>
      <c r="D18" s="34">
        <f t="shared" si="4"/>
        <v>4.5167706418745297</v>
      </c>
      <c r="E18" s="34">
        <f t="shared" si="4"/>
        <v>0.76736440643648685</v>
      </c>
      <c r="F18" s="34">
        <f t="shared" si="4"/>
        <v>0.76736440643648685</v>
      </c>
      <c r="G18" s="34">
        <f t="shared" si="4"/>
        <v>0.76736440643648685</v>
      </c>
      <c r="H18" s="17"/>
      <c r="I18" s="17"/>
      <c r="J18" s="17"/>
    </row>
    <row r="19" spans="1:1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HPDC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Kittel, Ethan</dc:creator>
  <cp:lastModifiedBy>Tandem Energy Services</cp:lastModifiedBy>
  <cp:lastPrinted>2018-07-23T20:58:00Z</cp:lastPrinted>
  <dcterms:created xsi:type="dcterms:W3CDTF">2017-04-06T18:54:34Z</dcterms:created>
  <dcterms:modified xsi:type="dcterms:W3CDTF">2021-03-18T21:17:25Z</dcterms:modified>
</cp:coreProperties>
</file>