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ontarioenergyboard-my.sharepoint.com/personal/pickerjo_oeb_ca/Documents/"/>
    </mc:Choice>
  </mc:AlternateContent>
  <xr:revisionPtr revIDLastSave="0" documentId="8_{498A4BE2-052C-4A34-8A40-E9F968621A29}" xr6:coauthVersionLast="45" xr6:coauthVersionMax="45" xr10:uidLastSave="{00000000-0000-0000-0000-000000000000}"/>
  <bookViews>
    <workbookView xWindow="-120" yWindow="-120" windowWidth="29040" windowHeight="15840" tabRatio="789"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0" i="47" l="1"/>
  <c r="H168" i="47"/>
  <c r="I165" i="47"/>
  <c r="H167" i="47"/>
  <c r="I167" i="47" s="1"/>
  <c r="H166" i="47"/>
  <c r="I166" i="47" s="1"/>
  <c r="H165" i="47"/>
  <c r="H150" i="47" l="1"/>
  <c r="H151" i="47"/>
  <c r="H152" i="47"/>
  <c r="H153" i="47"/>
  <c r="H154" i="47"/>
  <c r="H155" i="47"/>
  <c r="H156" i="47"/>
  <c r="H157" i="47"/>
  <c r="H158" i="47"/>
  <c r="H159" i="47"/>
  <c r="H160" i="47"/>
  <c r="H161" i="47"/>
  <c r="J75" i="47"/>
  <c r="Z760" i="79" l="1"/>
  <c r="Y760" i="79"/>
  <c r="M23" i="45" l="1"/>
  <c r="M17" i="45" l="1"/>
  <c r="K697" i="86" l="1"/>
  <c r="L697" i="86" s="1"/>
  <c r="K621" i="86"/>
  <c r="L622" i="86" s="1"/>
  <c r="K579" i="86"/>
  <c r="L580" i="86" s="1"/>
  <c r="J532" i="86"/>
  <c r="K533" i="86" s="1"/>
  <c r="J467" i="86"/>
  <c r="K468" i="86" s="1"/>
  <c r="J321" i="86"/>
  <c r="J324" i="86" s="1"/>
  <c r="J294" i="86"/>
  <c r="J297" i="86" s="1"/>
  <c r="F173" i="86"/>
  <c r="F172" i="86"/>
  <c r="F166" i="86"/>
  <c r="F165" i="86"/>
  <c r="F164" i="86"/>
  <c r="F163" i="86"/>
  <c r="G114" i="86"/>
  <c r="G113" i="86"/>
  <c r="J109" i="86"/>
  <c r="H109" i="86"/>
  <c r="G109" i="86"/>
  <c r="G75" i="86"/>
  <c r="G74" i="86"/>
  <c r="J70" i="86"/>
  <c r="H70" i="86"/>
  <c r="G70" i="86"/>
  <c r="G55" i="86"/>
  <c r="G54" i="86"/>
  <c r="J50" i="86"/>
  <c r="H50" i="86"/>
  <c r="G50" i="86"/>
  <c r="G31" i="86"/>
  <c r="G30" i="86"/>
  <c r="J26" i="86"/>
  <c r="H26" i="86"/>
  <c r="G26" i="86"/>
  <c r="L621" i="86" l="1"/>
  <c r="J325" i="86"/>
  <c r="J326" i="86"/>
  <c r="L579" i="86"/>
  <c r="G32" i="86"/>
  <c r="H30" i="86" s="1"/>
  <c r="G56" i="86"/>
  <c r="H54" i="86" s="1"/>
  <c r="G76" i="86"/>
  <c r="H75" i="86" s="1"/>
  <c r="G115" i="86"/>
  <c r="H113" i="86" s="1"/>
  <c r="J296" i="86"/>
  <c r="K467" i="86"/>
  <c r="J323" i="86"/>
  <c r="K532" i="86"/>
  <c r="H31" i="86" l="1"/>
  <c r="H114" i="86"/>
  <c r="H74" i="86"/>
  <c r="H55" i="86"/>
  <c r="P27" i="85" l="1"/>
  <c r="P49" i="85" s="1"/>
  <c r="C28" i="85" s="1"/>
  <c r="K27" i="85"/>
  <c r="K49" i="85" s="1"/>
  <c r="C27" i="85" s="1"/>
  <c r="D28" i="85" l="1"/>
  <c r="F28" i="85" s="1"/>
  <c r="F39" i="85" s="1"/>
  <c r="D22" i="45" l="1"/>
  <c r="O927" i="79" l="1"/>
  <c r="O1110" i="79" l="1"/>
  <c r="O744" i="79"/>
  <c r="O561" i="79"/>
  <c r="O378" i="79"/>
  <c r="O195" i="79"/>
  <c r="O513" i="46"/>
  <c r="O127" i="46"/>
  <c r="D195" i="79"/>
  <c r="F22" i="45" l="1"/>
  <c r="Q52" i="43" l="1"/>
  <c r="N511" i="46" l="1"/>
  <c r="N382" i="46"/>
  <c r="N253"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511" i="46" l="1"/>
  <c r="Z511" i="46"/>
  <c r="AA511" i="46"/>
  <c r="AB511" i="46"/>
  <c r="AC511" i="46"/>
  <c r="AD511" i="46"/>
  <c r="AE511" i="46"/>
  <c r="AF511" i="46"/>
  <c r="AG511" i="46"/>
  <c r="AH511" i="46"/>
  <c r="AI511" i="46"/>
  <c r="AJ511" i="46"/>
  <c r="AK511" i="46"/>
  <c r="Y511" i="46"/>
  <c r="AL382" i="46"/>
  <c r="Z382" i="46"/>
  <c r="AA382" i="46"/>
  <c r="AB382" i="46"/>
  <c r="AC382" i="46"/>
  <c r="AD382" i="46"/>
  <c r="AE382" i="46"/>
  <c r="AF382" i="46"/>
  <c r="AG382" i="46"/>
  <c r="AH382" i="46"/>
  <c r="AI382" i="46"/>
  <c r="AJ382" i="46"/>
  <c r="AK382" i="46"/>
  <c r="Y382" i="46"/>
  <c r="Z253" i="46"/>
  <c r="AA253" i="46"/>
  <c r="AB253" i="46"/>
  <c r="AC253" i="46"/>
  <c r="AD253" i="46"/>
  <c r="AE253" i="46"/>
  <c r="AF253" i="46"/>
  <c r="AG253" i="46"/>
  <c r="AH253" i="46"/>
  <c r="AI253" i="46"/>
  <c r="AJ253" i="46"/>
  <c r="AK253" i="46"/>
  <c r="AL253" i="46"/>
  <c r="Y253" i="46"/>
  <c r="C16" i="44" l="1"/>
  <c r="C15" i="44"/>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Z576" i="79"/>
  <c r="Y944" i="79" l="1"/>
  <c r="Y268" i="46"/>
  <c r="Y265" i="46"/>
  <c r="Y526" i="46"/>
  <c r="Y395" i="46"/>
  <c r="Y135" i="46"/>
  <c r="E3" i="80"/>
  <c r="E2" i="80"/>
  <c r="P52" i="43" l="1"/>
  <c r="O52" i="43"/>
  <c r="N52" i="43"/>
  <c r="M52" i="43"/>
  <c r="L52" i="43"/>
  <c r="K52" i="43"/>
  <c r="J52" i="43"/>
  <c r="I52" i="43"/>
  <c r="H52" i="43"/>
  <c r="G52" i="43"/>
  <c r="F52" i="43"/>
  <c r="E52" i="43"/>
  <c r="D52" i="43"/>
  <c r="E22" i="45" l="1"/>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K53" i="44"/>
  <c r="K46" i="44"/>
  <c r="C95" i="45"/>
  <c r="O46" i="44"/>
  <c r="L53" i="44"/>
  <c r="L46" i="44"/>
  <c r="C102" i="45"/>
  <c r="P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4" i="44"/>
  <c r="E46" i="44"/>
  <c r="F53" i="44"/>
  <c r="F50" i="44"/>
  <c r="F46" i="44"/>
  <c r="J53" i="44"/>
  <c r="J46" i="44"/>
  <c r="D44" i="44"/>
  <c r="D50" i="44"/>
  <c r="D46" i="44"/>
  <c r="I53" i="44"/>
  <c r="I50" i="44"/>
  <c r="I46" i="44"/>
  <c r="AA760" i="79"/>
  <c r="AA744" i="79"/>
  <c r="G53" i="44"/>
  <c r="G50" i="44"/>
  <c r="G46" i="44"/>
  <c r="H53" i="44"/>
  <c r="H50" i="44"/>
  <c r="H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41"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8" i="79"/>
  <c r="AK566" i="79"/>
  <c r="AK567" i="79"/>
  <c r="AK570" i="79"/>
  <c r="AK569" i="79"/>
  <c r="AK571"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Z941" i="79" l="1"/>
  <c r="E79" i="43" s="1"/>
  <c r="Y932" i="79"/>
  <c r="Y938"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V39" i="47" s="1"/>
  <c r="AK261" i="46"/>
  <c r="T32" i="47"/>
  <c r="T35" i="47"/>
  <c r="T38" i="47"/>
  <c r="T39" i="47"/>
  <c r="T41" i="47"/>
  <c r="T30" i="47"/>
  <c r="AL391" i="46"/>
  <c r="T34" i="47"/>
  <c r="AK572"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Z940" i="79" l="1"/>
  <c r="Y940" i="79"/>
  <c r="AM383" i="79"/>
  <c r="R54" i="43"/>
  <c r="Z756" i="79"/>
  <c r="E75" i="43" s="1"/>
  <c r="Y572" i="79"/>
  <c r="AM382" i="79"/>
  <c r="AM384"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AM386" i="79"/>
  <c r="AM385" i="79"/>
  <c r="AM570" i="79"/>
  <c r="AM931" i="79"/>
  <c r="AM933" i="79"/>
  <c r="AM1125" i="79"/>
  <c r="L104" i="43" s="1"/>
  <c r="AM936" i="79"/>
  <c r="AM755" i="79"/>
  <c r="AM939" i="79"/>
  <c r="AM938" i="79"/>
  <c r="AM757" i="79"/>
  <c r="D103" i="43"/>
  <c r="C103" i="43"/>
  <c r="AB204" i="79"/>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H94" i="43"/>
  <c r="H96" i="43"/>
  <c r="AI204" i="79"/>
  <c r="AE572" i="79"/>
  <c r="P51" i="47"/>
  <c r="K94" i="43"/>
  <c r="AH572" i="79"/>
  <c r="AC388" i="79"/>
  <c r="I99" i="43"/>
  <c r="H93" i="43"/>
  <c r="H98" i="43"/>
  <c r="P55" i="47"/>
  <c r="AI1124" i="79"/>
  <c r="N81" i="43" s="1"/>
  <c r="AB1124" i="79"/>
  <c r="J99" i="43"/>
  <c r="I95" i="43"/>
  <c r="P50" i="47"/>
  <c r="K101" i="43"/>
  <c r="R76" i="43"/>
  <c r="J98" i="43"/>
  <c r="R70" i="43"/>
  <c r="AC204" i="79"/>
  <c r="AC572" i="79"/>
  <c r="K97" i="43"/>
  <c r="L100" i="43"/>
  <c r="J97" i="43"/>
  <c r="P47" i="47"/>
  <c r="P35" i="47"/>
  <c r="P38" i="47"/>
  <c r="AD388" i="79"/>
  <c r="AD1124" i="79"/>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Z572" i="79"/>
  <c r="AH940" i="79"/>
  <c r="M78" i="43" s="1"/>
  <c r="K99" i="43"/>
  <c r="AD756" i="79"/>
  <c r="I75" i="43" s="1"/>
  <c r="J93" i="43"/>
  <c r="AE940" i="79"/>
  <c r="J78" i="43" s="1"/>
  <c r="AL1124" i="79"/>
  <c r="Q81" i="43" s="1"/>
  <c r="AK756" i="79"/>
  <c r="P75" i="43" s="1"/>
  <c r="L93" i="43"/>
  <c r="Z1124" i="79"/>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AL940" i="79"/>
  <c r="Q78" i="43" s="1"/>
  <c r="L101" i="43"/>
  <c r="AA940" i="79"/>
  <c r="AC1124" i="79"/>
  <c r="AI940" i="79"/>
  <c r="N78" i="43" s="1"/>
  <c r="AB940" i="79"/>
  <c r="G78" i="43" s="1"/>
  <c r="AJ756" i="79"/>
  <c r="O75" i="43" s="1"/>
  <c r="AH756" i="79"/>
  <c r="M75" i="43" s="1"/>
  <c r="AK940" i="79"/>
  <c r="P78" i="43" s="1"/>
  <c r="AG756" i="79"/>
  <c r="L75" i="43" s="1"/>
  <c r="AB756" i="79"/>
  <c r="G75" i="43" s="1"/>
  <c r="L96" i="43"/>
  <c r="J100" i="43"/>
  <c r="AA1124" i="79"/>
  <c r="AH391" i="46"/>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R78" i="43" l="1"/>
  <c r="J210" i="47"/>
  <c r="I233" i="47"/>
  <c r="V228" i="47"/>
  <c r="M229" i="47"/>
  <c r="L210" i="47"/>
  <c r="R203" i="47"/>
  <c r="O204" i="47"/>
  <c r="U187" i="47"/>
  <c r="N227" i="47"/>
  <c r="T174" i="47"/>
  <c r="S196" i="47"/>
  <c r="Q236" i="47"/>
  <c r="K214" i="47"/>
  <c r="P220" i="47"/>
  <c r="V204" i="47"/>
  <c r="L205" i="47"/>
  <c r="T169" i="47"/>
  <c r="K175" i="47"/>
  <c r="M234" i="47"/>
  <c r="V168" i="47"/>
  <c r="Q228" i="47"/>
  <c r="U180" i="47"/>
  <c r="N206" i="47"/>
  <c r="T176" i="47"/>
  <c r="I170" i="47"/>
  <c r="I186" i="47"/>
  <c r="I168" i="47"/>
  <c r="I198" i="47"/>
  <c r="I227" i="47"/>
  <c r="I211" i="47"/>
  <c r="I213" i="47"/>
  <c r="V166" i="47"/>
  <c r="L212" i="47"/>
  <c r="R176" i="47"/>
  <c r="K190" i="47"/>
  <c r="S171" i="47"/>
  <c r="M165" i="47"/>
  <c r="Q171" i="47"/>
  <c r="U183" i="47"/>
  <c r="N174" i="47"/>
  <c r="Q204" i="47"/>
  <c r="U189" i="47"/>
  <c r="L176" i="47"/>
  <c r="K187" i="47"/>
  <c r="V171" i="47"/>
  <c r="Q172" i="47"/>
  <c r="L196" i="47"/>
  <c r="V213" i="47"/>
  <c r="M232" i="47"/>
  <c r="R229" i="47"/>
  <c r="S221" i="47"/>
  <c r="U47" i="47"/>
  <c r="U195" i="47"/>
  <c r="U170" i="47"/>
  <c r="U196" i="47"/>
  <c r="U235" i="47"/>
  <c r="U212" i="47"/>
  <c r="U203" i="47"/>
  <c r="U191" i="47"/>
  <c r="U214" i="47"/>
  <c r="U202" i="47"/>
  <c r="U200" i="47"/>
  <c r="U228" i="47"/>
  <c r="U201" i="47"/>
  <c r="U232" i="47"/>
  <c r="U167" i="47"/>
  <c r="U186" i="47"/>
  <c r="U206" i="47"/>
  <c r="U217" i="47"/>
  <c r="U176" i="47"/>
  <c r="U173" i="47"/>
  <c r="U169" i="47"/>
  <c r="U175" i="47"/>
  <c r="U198" i="47"/>
  <c r="U236" i="47"/>
  <c r="U221" i="47"/>
  <c r="U190" i="47"/>
  <c r="U210" i="47"/>
  <c r="U227" i="47"/>
  <c r="E41" i="43"/>
  <c r="U211" i="47"/>
  <c r="U215" i="47"/>
  <c r="U233" i="47"/>
  <c r="U165" i="47"/>
  <c r="U184" i="47"/>
  <c r="U182" i="47"/>
  <c r="U188" i="47"/>
  <c r="U225" i="47"/>
  <c r="U230" i="47"/>
  <c r="U219" i="47"/>
  <c r="U234" i="47"/>
  <c r="U197" i="47"/>
  <c r="U185" i="47"/>
  <c r="Q205" i="47"/>
  <c r="E32" i="43"/>
  <c r="P190" i="47"/>
  <c r="K166" i="47"/>
  <c r="M216" i="47"/>
  <c r="Q198" i="47"/>
  <c r="U171" i="47"/>
  <c r="S195" i="47"/>
  <c r="N196" i="47"/>
  <c r="P170" i="47"/>
  <c r="I175" i="47"/>
  <c r="I187" i="47"/>
  <c r="I190" i="47"/>
  <c r="I196" i="47"/>
  <c r="I181" i="47"/>
  <c r="I231" i="47"/>
  <c r="I218" i="47"/>
  <c r="I217" i="47"/>
  <c r="Q181" i="47"/>
  <c r="U199" i="47"/>
  <c r="K200" i="47"/>
  <c r="T172" i="47"/>
  <c r="M171" i="47"/>
  <c r="R172" i="47"/>
  <c r="T204" i="47"/>
  <c r="N173" i="47"/>
  <c r="E38" i="43"/>
  <c r="S228" i="47"/>
  <c r="Q183" i="47"/>
  <c r="K169" i="47"/>
  <c r="Q189" i="47"/>
  <c r="U218" i="47"/>
  <c r="T182" i="47"/>
  <c r="N229" i="47"/>
  <c r="R182" i="47"/>
  <c r="E31" i="43"/>
  <c r="O170" i="47"/>
  <c r="R57" i="43"/>
  <c r="J218" i="47"/>
  <c r="J219" i="47"/>
  <c r="J212" i="47"/>
  <c r="J184" i="47"/>
  <c r="J189" i="47"/>
  <c r="J201" i="47"/>
  <c r="J172" i="47"/>
  <c r="J171" i="47"/>
  <c r="J214" i="47"/>
  <c r="J215" i="47"/>
  <c r="J221" i="47"/>
  <c r="J180" i="47"/>
  <c r="J185" i="47"/>
  <c r="J202" i="47"/>
  <c r="J167" i="47"/>
  <c r="J236" i="47"/>
  <c r="J235" i="47"/>
  <c r="J217" i="47"/>
  <c r="J203" i="47"/>
  <c r="J197" i="47"/>
  <c r="J187" i="47"/>
  <c r="J170" i="47"/>
  <c r="J232" i="47"/>
  <c r="J228" i="47"/>
  <c r="J231" i="47"/>
  <c r="J206" i="47"/>
  <c r="J199" i="47"/>
  <c r="J190" i="47"/>
  <c r="J183" i="47"/>
  <c r="J165" i="47"/>
  <c r="J233" i="47"/>
  <c r="J234" i="47"/>
  <c r="J227" i="47"/>
  <c r="J198" i="47"/>
  <c r="E30" i="43"/>
  <c r="J186" i="47"/>
  <c r="J166" i="47"/>
  <c r="J173" i="47"/>
  <c r="J229" i="47"/>
  <c r="J230" i="47"/>
  <c r="J220" i="47"/>
  <c r="J195" i="47"/>
  <c r="J204" i="47"/>
  <c r="J182" i="47"/>
  <c r="J174" i="47"/>
  <c r="J168" i="47"/>
  <c r="J225" i="47"/>
  <c r="J226" i="47"/>
  <c r="J216" i="47"/>
  <c r="J188" i="47"/>
  <c r="J196" i="47"/>
  <c r="J205" i="47"/>
  <c r="J169" i="47"/>
  <c r="J176" i="47"/>
  <c r="V187" i="47"/>
  <c r="V186" i="47"/>
  <c r="V218" i="47"/>
  <c r="V169" i="47"/>
  <c r="V229" i="47"/>
  <c r="V233" i="47"/>
  <c r="V221" i="47"/>
  <c r="V175" i="47"/>
  <c r="V203" i="47"/>
  <c r="V173" i="47"/>
  <c r="V176" i="47"/>
  <c r="V185" i="47"/>
  <c r="V230" i="47"/>
  <c r="V214" i="47"/>
  <c r="V196" i="47"/>
  <c r="V206" i="47"/>
  <c r="V165" i="47"/>
  <c r="V234" i="47"/>
  <c r="V232" i="47"/>
  <c r="V184" i="47"/>
  <c r="V167" i="47"/>
  <c r="V200" i="47"/>
  <c r="V227" i="47"/>
  <c r="V226" i="47"/>
  <c r="V211" i="47"/>
  <c r="V210" i="47"/>
  <c r="V198" i="47"/>
  <c r="V201" i="47"/>
  <c r="V170" i="47"/>
  <c r="V172" i="47"/>
  <c r="V219" i="47"/>
  <c r="V216" i="47"/>
  <c r="V231" i="47"/>
  <c r="V183" i="47"/>
  <c r="V190" i="47"/>
  <c r="V188" i="47"/>
  <c r="V202" i="47"/>
  <c r="V180" i="47"/>
  <c r="V182" i="47"/>
  <c r="V197" i="47"/>
  <c r="Q225" i="47"/>
  <c r="M186" i="47"/>
  <c r="M215" i="47"/>
  <c r="M191" i="47"/>
  <c r="M226" i="47"/>
  <c r="M166" i="47"/>
  <c r="M214" i="47"/>
  <c r="M174" i="47"/>
  <c r="M167" i="47"/>
  <c r="M183" i="47"/>
  <c r="M173" i="47"/>
  <c r="M195" i="47"/>
  <c r="M235" i="47"/>
  <c r="M202" i="47"/>
  <c r="M181" i="47"/>
  <c r="M227" i="47"/>
  <c r="M180" i="47"/>
  <c r="M213" i="47"/>
  <c r="M182" i="47"/>
  <c r="M190" i="47"/>
  <c r="M206" i="47"/>
  <c r="M219" i="47"/>
  <c r="M201" i="47"/>
  <c r="M210" i="47"/>
  <c r="M176" i="47"/>
  <c r="M218" i="47"/>
  <c r="M197" i="47"/>
  <c r="M175" i="47"/>
  <c r="M200" i="47"/>
  <c r="M228" i="47"/>
  <c r="M203" i="47"/>
  <c r="M236" i="47"/>
  <c r="M225" i="47"/>
  <c r="M170" i="47"/>
  <c r="M233" i="47"/>
  <c r="M220" i="47"/>
  <c r="M198" i="47"/>
  <c r="M211" i="47"/>
  <c r="M212" i="47"/>
  <c r="M196" i="47"/>
  <c r="L81" i="47"/>
  <c r="L201" i="47"/>
  <c r="L226" i="47"/>
  <c r="L186" i="47"/>
  <c r="L203" i="47"/>
  <c r="L225" i="47"/>
  <c r="L187" i="47"/>
  <c r="L181" i="47"/>
  <c r="L165" i="47"/>
  <c r="L189" i="47"/>
  <c r="L190" i="47"/>
  <c r="L215" i="47"/>
  <c r="L220" i="47"/>
  <c r="L202" i="47"/>
  <c r="L231" i="47"/>
  <c r="L232" i="47"/>
  <c r="L188" i="47"/>
  <c r="L229" i="47"/>
  <c r="L219" i="47"/>
  <c r="L182" i="47"/>
  <c r="L230" i="47"/>
  <c r="L235" i="47"/>
  <c r="L183" i="47"/>
  <c r="L170" i="47"/>
  <c r="L185" i="47"/>
  <c r="L169" i="47"/>
  <c r="L234" i="47"/>
  <c r="L197" i="47"/>
  <c r="L175" i="47"/>
  <c r="L221" i="47"/>
  <c r="L180" i="47"/>
  <c r="L173" i="47"/>
  <c r="L218" i="47"/>
  <c r="L198" i="47"/>
  <c r="L227" i="47"/>
  <c r="L206" i="47"/>
  <c r="L184" i="47"/>
  <c r="L236" i="47"/>
  <c r="R191" i="47"/>
  <c r="L166" i="47"/>
  <c r="K225" i="47"/>
  <c r="V225" i="47"/>
  <c r="M221" i="47"/>
  <c r="R195" i="47"/>
  <c r="S168" i="47"/>
  <c r="T187" i="47"/>
  <c r="N166" i="47"/>
  <c r="V181" i="47"/>
  <c r="I173" i="47"/>
  <c r="I197" i="47"/>
  <c r="I199" i="47"/>
  <c r="I185" i="47"/>
  <c r="I235" i="47"/>
  <c r="I225" i="47"/>
  <c r="I221" i="47"/>
  <c r="R204" i="47"/>
  <c r="L204" i="47"/>
  <c r="S188" i="47"/>
  <c r="K191" i="47"/>
  <c r="P165" i="47"/>
  <c r="V215" i="47"/>
  <c r="S169" i="47"/>
  <c r="P183" i="47"/>
  <c r="V220" i="47"/>
  <c r="U213" i="47"/>
  <c r="T221" i="47"/>
  <c r="U181" i="47"/>
  <c r="Q175" i="47"/>
  <c r="N211" i="47"/>
  <c r="R236" i="47"/>
  <c r="K205" i="47"/>
  <c r="J175" i="47"/>
  <c r="L228" i="47"/>
  <c r="U220" i="47"/>
  <c r="S215" i="47"/>
  <c r="R68" i="47"/>
  <c r="R169" i="47"/>
  <c r="R188" i="47"/>
  <c r="R210" i="47"/>
  <c r="R225" i="47"/>
  <c r="R196" i="47"/>
  <c r="R215" i="47"/>
  <c r="R202" i="47"/>
  <c r="R174" i="47"/>
  <c r="R171" i="47"/>
  <c r="R235" i="47"/>
  <c r="R219" i="47"/>
  <c r="R168" i="47"/>
  <c r="R199" i="47"/>
  <c r="R231" i="47"/>
  <c r="R197" i="47"/>
  <c r="R184" i="47"/>
  <c r="R166" i="47"/>
  <c r="R201" i="47"/>
  <c r="R187" i="47"/>
  <c r="R220" i="47"/>
  <c r="R170" i="47"/>
  <c r="R185" i="47"/>
  <c r="R186" i="47"/>
  <c r="R228" i="47"/>
  <c r="R173" i="47"/>
  <c r="R205" i="47"/>
  <c r="R221" i="47"/>
  <c r="R212" i="47"/>
  <c r="R175" i="47"/>
  <c r="R189" i="47"/>
  <c r="R217" i="47"/>
  <c r="R226" i="47"/>
  <c r="R198" i="47"/>
  <c r="R234" i="47"/>
  <c r="R232" i="47"/>
  <c r="R213" i="47"/>
  <c r="R167" i="47"/>
  <c r="R183" i="47"/>
  <c r="R181" i="47"/>
  <c r="O98" i="47"/>
  <c r="O216" i="47"/>
  <c r="O211" i="47"/>
  <c r="O230" i="47"/>
  <c r="O187" i="47"/>
  <c r="E35" i="43"/>
  <c r="O185" i="47"/>
  <c r="O167" i="47"/>
  <c r="O174" i="47"/>
  <c r="O212" i="47"/>
  <c r="O236" i="47"/>
  <c r="O226" i="47"/>
  <c r="O183" i="47"/>
  <c r="O203" i="47"/>
  <c r="O181" i="47"/>
  <c r="O175" i="47"/>
  <c r="O217" i="47"/>
  <c r="O229" i="47"/>
  <c r="O215" i="47"/>
  <c r="O184" i="47"/>
  <c r="O197" i="47"/>
  <c r="O200" i="47"/>
  <c r="O168" i="47"/>
  <c r="O235" i="47"/>
  <c r="O214" i="47"/>
  <c r="O225" i="47"/>
  <c r="O205" i="47"/>
  <c r="O180" i="47"/>
  <c r="O190" i="47"/>
  <c r="O182" i="47"/>
  <c r="O176" i="47"/>
  <c r="O231" i="47"/>
  <c r="O232" i="47"/>
  <c r="O218" i="47"/>
  <c r="O201" i="47"/>
  <c r="O206" i="47"/>
  <c r="O186" i="47"/>
  <c r="O172" i="47"/>
  <c r="O171" i="47"/>
  <c r="O227" i="47"/>
  <c r="O228" i="47"/>
  <c r="O210" i="47"/>
  <c r="O188" i="47"/>
  <c r="O202" i="47"/>
  <c r="O196" i="47"/>
  <c r="O165" i="47"/>
  <c r="O169" i="47"/>
  <c r="O220" i="47"/>
  <c r="O213" i="47"/>
  <c r="O234" i="47"/>
  <c r="O191" i="47"/>
  <c r="O198" i="47"/>
  <c r="O189" i="47"/>
  <c r="O173" i="47"/>
  <c r="O166" i="47"/>
  <c r="S182" i="47"/>
  <c r="L174" i="47"/>
  <c r="K230" i="47"/>
  <c r="Q214" i="47"/>
  <c r="M185" i="47"/>
  <c r="U229" i="47"/>
  <c r="T171" i="47"/>
  <c r="P184" i="47"/>
  <c r="N165" i="47"/>
  <c r="Q201" i="47"/>
  <c r="I171" i="47"/>
  <c r="I201" i="47"/>
  <c r="I203" i="47"/>
  <c r="I202" i="47"/>
  <c r="I215" i="47"/>
  <c r="I212" i="47"/>
  <c r="I228" i="47"/>
  <c r="U205" i="47"/>
  <c r="L191" i="47"/>
  <c r="T202" i="47"/>
  <c r="K170" i="47"/>
  <c r="M230" i="47"/>
  <c r="R227" i="47"/>
  <c r="T188" i="47"/>
  <c r="T173" i="47"/>
  <c r="P230" i="47"/>
  <c r="S190" i="47"/>
  <c r="U168" i="47"/>
  <c r="U172" i="47"/>
  <c r="S197" i="47"/>
  <c r="T197" i="47"/>
  <c r="J191" i="47"/>
  <c r="R216" i="47"/>
  <c r="S205" i="47"/>
  <c r="T167" i="47"/>
  <c r="M199" i="47"/>
  <c r="O199" i="47"/>
  <c r="N183" i="47"/>
  <c r="N226" i="47"/>
  <c r="N191" i="47"/>
  <c r="N180" i="47"/>
  <c r="N216" i="47"/>
  <c r="N188" i="47"/>
  <c r="N186" i="47"/>
  <c r="N176" i="47"/>
  <c r="N197" i="47"/>
  <c r="N201" i="47"/>
  <c r="N198" i="47"/>
  <c r="N232" i="47"/>
  <c r="N203" i="47"/>
  <c r="N230" i="47"/>
  <c r="N233" i="47"/>
  <c r="N181" i="47"/>
  <c r="N217" i="47"/>
  <c r="N189" i="47"/>
  <c r="N235" i="47"/>
  <c r="N187" i="47"/>
  <c r="N234" i="47"/>
  <c r="N212" i="47"/>
  <c r="N184" i="47"/>
  <c r="N220" i="47"/>
  <c r="N170" i="47"/>
  <c r="N190" i="47"/>
  <c r="N168" i="47"/>
  <c r="N205" i="47"/>
  <c r="N172" i="47"/>
  <c r="N225" i="47"/>
  <c r="N200" i="47"/>
  <c r="N175" i="47"/>
  <c r="N215" i="47"/>
  <c r="N169" i="47"/>
  <c r="N199" i="47"/>
  <c r="N236" i="47"/>
  <c r="E34" i="43"/>
  <c r="N204" i="47"/>
  <c r="N213" i="47"/>
  <c r="N185" i="47"/>
  <c r="P199" i="47"/>
  <c r="V235" i="47"/>
  <c r="K212" i="47"/>
  <c r="R230" i="47"/>
  <c r="M187" i="47"/>
  <c r="S216" i="47"/>
  <c r="P167" i="47"/>
  <c r="N231" i="47"/>
  <c r="V217" i="47"/>
  <c r="R200" i="47"/>
  <c r="I169" i="47"/>
  <c r="I205" i="47"/>
  <c r="I200" i="47"/>
  <c r="I195" i="47"/>
  <c r="I206" i="47"/>
  <c r="I219" i="47"/>
  <c r="I210" i="47"/>
  <c r="I232" i="47"/>
  <c r="L199" i="47"/>
  <c r="P189" i="47"/>
  <c r="K174" i="47"/>
  <c r="M217" i="47"/>
  <c r="U216" i="47"/>
  <c r="P200" i="47"/>
  <c r="N221" i="47"/>
  <c r="U166" i="47"/>
  <c r="P182" i="47"/>
  <c r="L233" i="47"/>
  <c r="P198" i="47"/>
  <c r="T180" i="47"/>
  <c r="T175" i="47"/>
  <c r="T212" i="47"/>
  <c r="M172" i="47"/>
  <c r="J181" i="47"/>
  <c r="K181" i="47"/>
  <c r="N171" i="47"/>
  <c r="P227" i="47"/>
  <c r="O195" i="47"/>
  <c r="T75" i="47"/>
  <c r="T165" i="47"/>
  <c r="T211" i="47"/>
  <c r="T205" i="47"/>
  <c r="T228" i="47"/>
  <c r="T166" i="47"/>
  <c r="T203" i="47"/>
  <c r="T190" i="47"/>
  <c r="T186" i="47"/>
  <c r="T220" i="47"/>
  <c r="T235" i="47"/>
  <c r="T181" i="47"/>
  <c r="T196" i="47"/>
  <c r="T200" i="47"/>
  <c r="T218" i="47"/>
  <c r="T216" i="47"/>
  <c r="T234" i="47"/>
  <c r="T199" i="47"/>
  <c r="T226" i="47"/>
  <c r="T225" i="47"/>
  <c r="T184" i="47"/>
  <c r="T191" i="47"/>
  <c r="T189" i="47"/>
  <c r="T217" i="47"/>
  <c r="T232" i="47"/>
  <c r="T210" i="47"/>
  <c r="T183" i="47"/>
  <c r="T195" i="47"/>
  <c r="T198" i="47"/>
  <c r="T168" i="47"/>
  <c r="T215" i="47"/>
  <c r="T230" i="47"/>
  <c r="E40" i="43"/>
  <c r="T206" i="47"/>
  <c r="T214" i="47"/>
  <c r="T219" i="47"/>
  <c r="T201" i="47"/>
  <c r="T213" i="47"/>
  <c r="T231" i="47"/>
  <c r="S234" i="47"/>
  <c r="S204" i="47"/>
  <c r="S217" i="47"/>
  <c r="S211" i="47"/>
  <c r="S210" i="47"/>
  <c r="S174" i="47"/>
  <c r="S226" i="47"/>
  <c r="S185" i="47"/>
  <c r="S232" i="47"/>
  <c r="S176" i="47"/>
  <c r="S198" i="47"/>
  <c r="S166" i="47"/>
  <c r="S175" i="47"/>
  <c r="S202" i="47"/>
  <c r="S200" i="47"/>
  <c r="S227" i="47"/>
  <c r="S212" i="47"/>
  <c r="S170" i="47"/>
  <c r="S181" i="47"/>
  <c r="S203" i="47"/>
  <c r="S231" i="47"/>
  <c r="S218" i="47"/>
  <c r="S187" i="47"/>
  <c r="S229" i="47"/>
  <c r="S233" i="47"/>
  <c r="S220" i="47"/>
  <c r="S172" i="47"/>
  <c r="S201" i="47"/>
  <c r="S186" i="47"/>
  <c r="S189" i="47"/>
  <c r="S213" i="47"/>
  <c r="S236" i="47"/>
  <c r="E39" i="43"/>
  <c r="S191" i="47"/>
  <c r="S184" i="47"/>
  <c r="S206" i="47"/>
  <c r="S230" i="47"/>
  <c r="S214" i="47"/>
  <c r="S165" i="47"/>
  <c r="S183" i="47"/>
  <c r="S180" i="47"/>
  <c r="Q211" i="47"/>
  <c r="Q202" i="47"/>
  <c r="Q173" i="47"/>
  <c r="Q191" i="47"/>
  <c r="Q185" i="47"/>
  <c r="Q196" i="47"/>
  <c r="Q219" i="47"/>
  <c r="Q229" i="47"/>
  <c r="E37" i="43"/>
  <c r="Q212" i="47"/>
  <c r="Q168" i="47"/>
  <c r="Q230" i="47"/>
  <c r="Q213" i="47"/>
  <c r="Q186" i="47"/>
  <c r="Q180" i="47"/>
  <c r="Q220" i="47"/>
  <c r="Q221" i="47"/>
  <c r="Q231" i="47"/>
  <c r="Q235" i="47"/>
  <c r="Q200" i="47"/>
  <c r="Q195" i="47"/>
  <c r="Q167" i="47"/>
  <c r="Q166" i="47"/>
  <c r="Q227" i="47"/>
  <c r="Q232" i="47"/>
  <c r="Q199" i="47"/>
  <c r="Q234" i="47"/>
  <c r="Q190" i="47"/>
  <c r="Q184" i="47"/>
  <c r="Q182" i="47"/>
  <c r="Q206" i="47"/>
  <c r="Q216" i="47"/>
  <c r="Q203" i="47"/>
  <c r="Q187" i="47"/>
  <c r="Q210" i="47"/>
  <c r="Q170" i="47"/>
  <c r="Q233" i="47"/>
  <c r="L216" i="47"/>
  <c r="R165" i="47"/>
  <c r="K199" i="47"/>
  <c r="U231" i="47"/>
  <c r="M188" i="47"/>
  <c r="T236" i="47"/>
  <c r="V199" i="47"/>
  <c r="N228" i="47"/>
  <c r="Q218" i="47"/>
  <c r="U204" i="47"/>
  <c r="I176" i="47"/>
  <c r="I191" i="47"/>
  <c r="I204" i="47"/>
  <c r="I184" i="47"/>
  <c r="I183" i="47"/>
  <c r="I226" i="47"/>
  <c r="I214" i="47"/>
  <c r="I236" i="47"/>
  <c r="T185" i="47"/>
  <c r="L168" i="47"/>
  <c r="K218" i="47"/>
  <c r="V236" i="47"/>
  <c r="M204" i="47"/>
  <c r="S219" i="47"/>
  <c r="V195" i="47"/>
  <c r="N210" i="47"/>
  <c r="S173" i="47"/>
  <c r="P236" i="47"/>
  <c r="L214" i="47"/>
  <c r="P197" i="47"/>
  <c r="T227" i="47"/>
  <c r="N167" i="47"/>
  <c r="V191" i="47"/>
  <c r="J200" i="47"/>
  <c r="S199" i="47"/>
  <c r="L171" i="47"/>
  <c r="P218" i="47"/>
  <c r="Q169" i="47"/>
  <c r="O219" i="47"/>
  <c r="K167" i="47"/>
  <c r="K231" i="47"/>
  <c r="K202" i="47"/>
  <c r="K168" i="47"/>
  <c r="K228" i="47"/>
  <c r="K165" i="47"/>
  <c r="K184" i="47"/>
  <c r="K211" i="47"/>
  <c r="K201" i="47"/>
  <c r="K206" i="47"/>
  <c r="K220" i="47"/>
  <c r="K203" i="47"/>
  <c r="K171" i="47"/>
  <c r="K217" i="47"/>
  <c r="K185" i="47"/>
  <c r="K196" i="47"/>
  <c r="K227" i="47"/>
  <c r="K198" i="47"/>
  <c r="K235" i="47"/>
  <c r="K221" i="47"/>
  <c r="K173" i="47"/>
  <c r="K216" i="47"/>
  <c r="K188" i="47"/>
  <c r="K215" i="47"/>
  <c r="K213" i="47"/>
  <c r="K183" i="47"/>
  <c r="K219" i="47"/>
  <c r="K229" i="47"/>
  <c r="K182" i="47"/>
  <c r="K234" i="47"/>
  <c r="K186" i="47"/>
  <c r="K172" i="47"/>
  <c r="K195" i="47"/>
  <c r="K176" i="47"/>
  <c r="K189" i="47"/>
  <c r="H20" i="43"/>
  <c r="L213" i="47"/>
  <c r="U174" i="47"/>
  <c r="K204" i="47"/>
  <c r="S225" i="47"/>
  <c r="M189" i="47"/>
  <c r="P235" i="47"/>
  <c r="Q165" i="47"/>
  <c r="N214" i="47"/>
  <c r="R214" i="47"/>
  <c r="S235" i="47"/>
  <c r="I174" i="47"/>
  <c r="E29" i="43"/>
  <c r="I188" i="47"/>
  <c r="I216" i="47"/>
  <c r="I230" i="47"/>
  <c r="I229" i="47"/>
  <c r="V189" i="47"/>
  <c r="K226" i="47"/>
  <c r="Q217" i="47"/>
  <c r="M205" i="47"/>
  <c r="T233" i="47"/>
  <c r="Q197" i="47"/>
  <c r="N202" i="47"/>
  <c r="T170" i="47"/>
  <c r="Q188" i="47"/>
  <c r="L200" i="47"/>
  <c r="K232" i="47"/>
  <c r="M231" i="47"/>
  <c r="L167" i="47"/>
  <c r="V174" i="47"/>
  <c r="Q226" i="47"/>
  <c r="J213" i="47"/>
  <c r="E33" i="43"/>
  <c r="K233" i="47"/>
  <c r="Q176" i="47"/>
  <c r="N218" i="47"/>
  <c r="O233" i="47"/>
  <c r="P213" i="47"/>
  <c r="P226" i="47"/>
  <c r="P216" i="47"/>
  <c r="P203" i="47"/>
  <c r="P172" i="47"/>
  <c r="P186" i="47"/>
  <c r="P191" i="47"/>
  <c r="P202" i="47"/>
  <c r="P214" i="47"/>
  <c r="P229" i="47"/>
  <c r="P181" i="47"/>
  <c r="P210" i="47"/>
  <c r="P205" i="47"/>
  <c r="P188" i="47"/>
  <c r="P212" i="47"/>
  <c r="P176" i="47"/>
  <c r="P166" i="47"/>
  <c r="P174" i="47"/>
  <c r="P225" i="47"/>
  <c r="P231" i="47"/>
  <c r="P211" i="47"/>
  <c r="P180" i="47"/>
  <c r="P204" i="47"/>
  <c r="P185" i="47"/>
  <c r="P169" i="47"/>
  <c r="P168" i="47"/>
  <c r="P228" i="47"/>
  <c r="P195" i="47"/>
  <c r="P196" i="47"/>
  <c r="P215" i="47"/>
  <c r="P232" i="47"/>
  <c r="P206" i="47"/>
  <c r="P219" i="47"/>
  <c r="P233" i="47"/>
  <c r="P175" i="47"/>
  <c r="P221" i="47"/>
  <c r="P187" i="47"/>
  <c r="P234" i="47"/>
  <c r="P171" i="47"/>
  <c r="P201" i="47"/>
  <c r="L172" i="47"/>
  <c r="S167" i="47"/>
  <c r="K180" i="47"/>
  <c r="T229" i="47"/>
  <c r="M169" i="47"/>
  <c r="V212" i="47"/>
  <c r="R206" i="47"/>
  <c r="N182" i="47"/>
  <c r="U226" i="47"/>
  <c r="P173" i="47"/>
  <c r="I172" i="47"/>
  <c r="I182" i="47"/>
  <c r="I189" i="47"/>
  <c r="I180" i="47"/>
  <c r="I220" i="47"/>
  <c r="I234" i="47"/>
  <c r="R218" i="47"/>
  <c r="L211" i="47"/>
  <c r="Q174" i="47"/>
  <c r="K236" i="47"/>
  <c r="R233" i="47"/>
  <c r="M184" i="47"/>
  <c r="P217" i="47"/>
  <c r="R190" i="47"/>
  <c r="N195" i="47"/>
  <c r="E42" i="43"/>
  <c r="R180" i="47"/>
  <c r="L195" i="47"/>
  <c r="K197" i="47"/>
  <c r="M168" i="47"/>
  <c r="K210" i="47"/>
  <c r="Q215" i="47"/>
  <c r="N219" i="47"/>
  <c r="J211" i="47"/>
  <c r="E36" i="43"/>
  <c r="V205" i="47"/>
  <c r="L217" i="47"/>
  <c r="R211" i="47"/>
  <c r="O221" i="47"/>
  <c r="U83" i="47"/>
  <c r="AM204" i="79"/>
  <c r="AM206" i="79" s="1"/>
  <c r="J104" i="43"/>
  <c r="I104" i="43"/>
  <c r="R75" i="43"/>
  <c r="S76" i="43" s="1"/>
  <c r="U76" i="43" s="1"/>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50" i="47" l="1"/>
  <c r="W75" i="47"/>
  <c r="W230" i="47"/>
  <c r="W216" i="47"/>
  <c r="W236" i="47"/>
  <c r="W234" i="47"/>
  <c r="H19" i="43"/>
  <c r="W233" i="47"/>
  <c r="W172" i="47"/>
  <c r="W189" i="47"/>
  <c r="W166" i="47"/>
  <c r="W183" i="47"/>
  <c r="W215" i="47"/>
  <c r="W197" i="47"/>
  <c r="W181" i="47"/>
  <c r="W198" i="47"/>
  <c r="W182" i="47"/>
  <c r="W174" i="47"/>
  <c r="W188" i="47"/>
  <c r="W184" i="47"/>
  <c r="W210" i="47"/>
  <c r="W202" i="47"/>
  <c r="W165" i="47"/>
  <c r="W196" i="47"/>
  <c r="W168" i="47"/>
  <c r="W217" i="47"/>
  <c r="W204" i="47"/>
  <c r="W219" i="47"/>
  <c r="W203" i="47"/>
  <c r="W173" i="47"/>
  <c r="W190" i="47"/>
  <c r="W186" i="47"/>
  <c r="W229" i="47"/>
  <c r="W228" i="47"/>
  <c r="W191" i="47"/>
  <c r="W206" i="47"/>
  <c r="W167" i="47"/>
  <c r="W187" i="47"/>
  <c r="W170" i="47"/>
  <c r="W221" i="47"/>
  <c r="W176" i="47"/>
  <c r="W201" i="47"/>
  <c r="W225" i="47"/>
  <c r="W175" i="47"/>
  <c r="W200" i="47"/>
  <c r="W171" i="47"/>
  <c r="W235" i="47"/>
  <c r="W220" i="47"/>
  <c r="W214" i="47"/>
  <c r="W205" i="47"/>
  <c r="W185" i="47"/>
  <c r="W218" i="47"/>
  <c r="W211" i="47"/>
  <c r="W180" i="47"/>
  <c r="W232" i="47"/>
  <c r="E43" i="43"/>
  <c r="W213" i="47"/>
  <c r="W226" i="47"/>
  <c r="W169" i="47"/>
  <c r="W212" i="47"/>
  <c r="W199" i="47"/>
  <c r="W195" i="47"/>
  <c r="W231"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F39" i="43" s="1"/>
  <c r="G39"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M164" i="47"/>
  <c r="M177" i="47" s="1"/>
  <c r="M179" i="47" s="1"/>
  <c r="M192" i="47" s="1"/>
  <c r="M194" i="47" s="1"/>
  <c r="M207" i="47" s="1"/>
  <c r="M209" i="47" s="1"/>
  <c r="M222" i="47" s="1"/>
  <c r="M224" i="47" s="1"/>
  <c r="M237" i="47" s="1"/>
  <c r="H84" i="43" s="1"/>
  <c r="H85" i="43" s="1"/>
  <c r="F36" i="43"/>
  <c r="G36" i="43" s="1"/>
  <c r="F37" i="43"/>
  <c r="G37" i="43" s="1"/>
  <c r="F38" i="43"/>
  <c r="G38" i="43" s="1"/>
  <c r="J164" i="47"/>
  <c r="J177" i="47" s="1"/>
  <c r="J179" i="47" s="1"/>
  <c r="J192" i="47" s="1"/>
  <c r="J194" i="47" s="1"/>
  <c r="J207" i="47" s="1"/>
  <c r="J209" i="47" s="1"/>
  <c r="J222" i="47" s="1"/>
  <c r="J224" i="47" s="1"/>
  <c r="J237" i="47" s="1"/>
  <c r="E84" i="43" s="1"/>
  <c r="F30" i="43" s="1"/>
  <c r="G30" i="43" s="1"/>
  <c r="Q85" i="43"/>
  <c r="N85" i="43"/>
  <c r="O164" i="47"/>
  <c r="O177" i="47" s="1"/>
  <c r="O179" i="47" s="1"/>
  <c r="O192" i="47" s="1"/>
  <c r="O194" i="47" s="1"/>
  <c r="O207" i="47" s="1"/>
  <c r="O209" i="47" s="1"/>
  <c r="O222" i="47" s="1"/>
  <c r="O224" i="47" s="1"/>
  <c r="O237" i="47" s="1"/>
  <c r="J84" i="43" s="1"/>
  <c r="J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E85" i="43"/>
  <c r="F34" i="43"/>
  <c r="G34" i="43" s="1"/>
  <c r="F33" i="43"/>
  <c r="G33" i="43" s="1"/>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R85" i="43" l="1"/>
  <c r="S84" i="43"/>
  <c r="U84" i="43" s="1"/>
  <c r="F31" i="43"/>
  <c r="F43" i="43" s="1"/>
  <c r="F85" i="43"/>
  <c r="H21" i="43"/>
  <c r="H22" i="43" s="1"/>
  <c r="G106" i="43"/>
  <c r="W104" i="47"/>
  <c r="W117" i="47" s="1"/>
  <c r="H105" i="43"/>
  <c r="H106" i="43" s="1"/>
  <c r="G31" i="43" l="1"/>
  <c r="G43" i="43" s="1"/>
  <c r="W119" i="47"/>
  <c r="W132" i="47" s="1"/>
  <c r="I105" i="43"/>
  <c r="I106" i="43" s="1"/>
  <c r="W134" i="47" l="1"/>
  <c r="W147" i="47" s="1"/>
  <c r="W149" i="47" s="1"/>
  <c r="J105" i="43"/>
  <c r="W162" i="47" l="1"/>
  <c r="W164" i="47" s="1"/>
  <c r="W177" i="47" s="1"/>
  <c r="W179" i="47" s="1"/>
  <c r="W192" i="47" s="1"/>
  <c r="W194" i="47" s="1"/>
  <c r="W207" i="47" s="1"/>
  <c r="W209" i="47" s="1"/>
  <c r="W222" i="47" s="1"/>
  <c r="W224" i="47" s="1"/>
  <c r="W237" i="47" s="1"/>
  <c r="J106" i="43"/>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Marjorie MacDonald</author>
    <author>Kristie Bullock</author>
  </authors>
  <commentList>
    <comment ref="B159" authorId="0" shapeId="0" xr:uid="{7E5C0549-2A20-4CA2-884E-640AD267F0C4}">
      <text>
        <r>
          <rPr>
            <b/>
            <sz val="9"/>
            <color indexed="81"/>
            <rFont val="Tahoma"/>
            <family val="2"/>
          </rPr>
          <t>Marjorie MacDonald:</t>
        </r>
        <r>
          <rPr>
            <sz val="9"/>
            <color indexed="81"/>
            <rFont val="Tahoma"/>
            <family val="2"/>
          </rPr>
          <t xml:space="preserve">
from Harris System</t>
        </r>
      </text>
    </comment>
    <comment ref="P186" authorId="1" shapeId="0" xr:uid="{F3C1A131-AE25-40D1-A8F5-0881AC33A4E7}">
      <text>
        <r>
          <rPr>
            <b/>
            <sz val="9"/>
            <color indexed="81"/>
            <rFont val="Tahoma"/>
            <family val="2"/>
          </rPr>
          <t>Kristie Bullock:</t>
        </r>
        <r>
          <rPr>
            <sz val="9"/>
            <color indexed="81"/>
            <rFont val="Tahoma"/>
            <family val="2"/>
          </rPr>
          <t xml:space="preserve">
Allocated to LP only, none to Parry Sound as per Jen M. </t>
        </r>
      </text>
    </comment>
    <comment ref="P187" authorId="1" shapeId="0" xr:uid="{0AD8F47C-4608-4804-8915-EF9752571493}">
      <text>
        <r>
          <rPr>
            <b/>
            <sz val="9"/>
            <color indexed="81"/>
            <rFont val="Tahoma"/>
            <family val="2"/>
          </rPr>
          <t>Kristie Bullock:</t>
        </r>
        <r>
          <rPr>
            <sz val="9"/>
            <color indexed="81"/>
            <rFont val="Tahoma"/>
            <family val="2"/>
          </rPr>
          <t xml:space="preserve">
Allocated to LP only, none to Parry Sound as per Jen M. </t>
        </r>
      </text>
    </comment>
    <comment ref="P188" authorId="1" shapeId="0" xr:uid="{A172D8D1-8920-45BE-BC0E-06291D9B134A}">
      <text>
        <r>
          <rPr>
            <b/>
            <sz val="9"/>
            <color indexed="81"/>
            <rFont val="Tahoma"/>
            <family val="2"/>
          </rPr>
          <t>Kristie Bullock:</t>
        </r>
        <r>
          <rPr>
            <sz val="9"/>
            <color indexed="81"/>
            <rFont val="Tahoma"/>
            <family val="2"/>
          </rPr>
          <t xml:space="preserve">
Allocated to LP only, none to Parry Sound as per Jen M. </t>
        </r>
      </text>
    </comment>
    <comment ref="P194" authorId="1" shapeId="0" xr:uid="{32B5A397-11CB-4A75-8A7B-883C52F00E81}">
      <text>
        <r>
          <rPr>
            <b/>
            <sz val="9"/>
            <color indexed="81"/>
            <rFont val="Tahoma"/>
            <family val="2"/>
          </rPr>
          <t>Kristie Bullock:</t>
        </r>
        <r>
          <rPr>
            <sz val="9"/>
            <color indexed="81"/>
            <rFont val="Tahoma"/>
            <family val="2"/>
          </rPr>
          <t xml:space="preserve">
Allocated based on avg % of customers during 2016 - PS =26% &amp; LP=74%</t>
        </r>
      </text>
    </comment>
    <comment ref="P195" authorId="1" shapeId="0" xr:uid="{4BE7663C-9C07-4156-AB39-532E11C5A7E9}">
      <text>
        <r>
          <rPr>
            <b/>
            <sz val="9"/>
            <color indexed="81"/>
            <rFont val="Tahoma"/>
            <family val="2"/>
          </rPr>
          <t>Kristie Bullock:</t>
        </r>
        <r>
          <rPr>
            <sz val="9"/>
            <color indexed="81"/>
            <rFont val="Tahoma"/>
            <family val="2"/>
          </rPr>
          <t xml:space="preserve">
Allocated based on avg % of customers during 2016 - PS =26% &amp; LP=74%</t>
        </r>
      </text>
    </comment>
    <comment ref="P306" authorId="1" shapeId="0" xr:uid="{552993FB-A35A-4C27-B1A0-3DCE907B8F08}">
      <text>
        <r>
          <rPr>
            <b/>
            <sz val="9"/>
            <color indexed="81"/>
            <rFont val="Tahoma"/>
            <family val="2"/>
          </rPr>
          <t>Kristie Bullock:</t>
        </r>
        <r>
          <rPr>
            <sz val="9"/>
            <color indexed="81"/>
            <rFont val="Tahoma"/>
            <family val="2"/>
          </rPr>
          <t xml:space="preserve">
Split based on % of kw &amp; kWh savings on application 44% PS &amp; 56% BB</t>
        </r>
      </text>
    </comment>
    <comment ref="P333" authorId="1" shapeId="0" xr:uid="{20C08BFF-BF33-48E7-8734-F947E35E6FAF}">
      <text>
        <r>
          <rPr>
            <b/>
            <sz val="9"/>
            <color indexed="81"/>
            <rFont val="Tahoma"/>
            <family val="2"/>
          </rPr>
          <t>Kristie Bullock:</t>
        </r>
        <r>
          <rPr>
            <sz val="9"/>
            <color indexed="81"/>
            <rFont val="Tahoma"/>
            <family val="2"/>
          </rPr>
          <t xml:space="preserve">
Allocated based on avg % of customers during 2017 - PS =26% &amp; LP=74%</t>
        </r>
      </text>
    </comment>
    <comment ref="P334" authorId="1" shapeId="0" xr:uid="{B951AAB0-4248-4E94-AE00-D0DB702453D7}">
      <text>
        <r>
          <rPr>
            <b/>
            <sz val="9"/>
            <color indexed="81"/>
            <rFont val="Tahoma"/>
            <family val="2"/>
          </rPr>
          <t>Kristie Bullock:</t>
        </r>
        <r>
          <rPr>
            <sz val="9"/>
            <color indexed="81"/>
            <rFont val="Tahoma"/>
            <family val="2"/>
          </rPr>
          <t xml:space="preserve">
Allocated based on avg % of customers during 2017 - PS =26% &amp; LP=74%</t>
        </r>
      </text>
    </comment>
    <comment ref="P335" authorId="1" shapeId="0" xr:uid="{C88091E9-53F7-4628-901B-457852D60692}">
      <text>
        <r>
          <rPr>
            <b/>
            <sz val="9"/>
            <color indexed="81"/>
            <rFont val="Tahoma"/>
            <family val="2"/>
          </rPr>
          <t>Kristie Bullock:</t>
        </r>
        <r>
          <rPr>
            <sz val="9"/>
            <color indexed="81"/>
            <rFont val="Tahoma"/>
            <family val="2"/>
          </rPr>
          <t xml:space="preserve">
Allocated based on avg % of customers during 2017 - PS =26% &amp; LP=74%</t>
        </r>
      </text>
    </comment>
    <comment ref="P338" authorId="1" shapeId="0" xr:uid="{38D86B0C-5AB4-4502-9E8C-44FAE914BB2B}">
      <text>
        <r>
          <rPr>
            <b/>
            <sz val="9"/>
            <color indexed="81"/>
            <rFont val="Tahoma"/>
            <family val="2"/>
          </rPr>
          <t>Kristie Bullock:</t>
        </r>
        <r>
          <rPr>
            <sz val="9"/>
            <color indexed="81"/>
            <rFont val="Tahoma"/>
            <family val="2"/>
          </rPr>
          <t xml:space="preserve">
Allocated to LP only, none to Parry Sound as per Jen M. </t>
        </r>
      </text>
    </comment>
    <comment ref="P445" authorId="1" shapeId="0" xr:uid="{2032594D-5297-4A92-A6A4-564B0C466EC4}">
      <text>
        <r>
          <rPr>
            <b/>
            <sz val="9"/>
            <color indexed="81"/>
            <rFont val="Tahoma"/>
            <family val="2"/>
          </rPr>
          <t>Kristie Bullock:</t>
        </r>
        <r>
          <rPr>
            <sz val="9"/>
            <color indexed="81"/>
            <rFont val="Tahoma"/>
            <family val="2"/>
          </rPr>
          <t xml:space="preserve">
Allocated based on avg % of customers during 2017 - PS =26% &amp; LP=74%</t>
        </r>
      </text>
    </comment>
    <comment ref="P534" authorId="1" shapeId="0" xr:uid="{2F3DA8B2-222F-4DE9-A843-5C9ABC1B4ACC}">
      <text>
        <r>
          <rPr>
            <b/>
            <sz val="9"/>
            <color indexed="81"/>
            <rFont val="Tahoma"/>
            <family val="2"/>
          </rPr>
          <t>Kristie Bullock:</t>
        </r>
        <r>
          <rPr>
            <sz val="9"/>
            <color indexed="81"/>
            <rFont val="Tahoma"/>
            <family val="2"/>
          </rPr>
          <t xml:space="preserve">
Allocated based on avg % of customers during 2017 - PS =26% &amp; LP=74%</t>
        </r>
      </text>
    </comment>
    <comment ref="P535" authorId="1" shapeId="0" xr:uid="{5E66E3C6-90CD-4AF4-9158-864512C5395F}">
      <text>
        <r>
          <rPr>
            <b/>
            <sz val="9"/>
            <color indexed="81"/>
            <rFont val="Tahoma"/>
            <family val="2"/>
          </rPr>
          <t>Kristie Bullock:</t>
        </r>
        <r>
          <rPr>
            <sz val="9"/>
            <color indexed="81"/>
            <rFont val="Tahoma"/>
            <family val="2"/>
          </rPr>
          <t xml:space="preserve">
Allocated based on avg % of customers during 2017 - PS =26% &amp; LP=74%</t>
        </r>
      </text>
    </comment>
    <comment ref="P536" authorId="1" shapeId="0" xr:uid="{357A4C7F-95A7-4408-83EF-B1EA50748148}">
      <text>
        <r>
          <rPr>
            <b/>
            <sz val="9"/>
            <color indexed="81"/>
            <rFont val="Tahoma"/>
            <family val="2"/>
          </rPr>
          <t>Kristie Bullock:</t>
        </r>
        <r>
          <rPr>
            <sz val="9"/>
            <color indexed="81"/>
            <rFont val="Tahoma"/>
            <family val="2"/>
          </rPr>
          <t xml:space="preserve">
Allocated based on avg % of customers during 2017 - PS =26% &amp; LP=74%</t>
        </r>
      </text>
    </comment>
    <comment ref="P537" authorId="1" shapeId="0" xr:uid="{B6805888-222A-4D28-BD02-A43C282C50EF}">
      <text>
        <r>
          <rPr>
            <b/>
            <sz val="9"/>
            <color indexed="81"/>
            <rFont val="Tahoma"/>
            <family val="2"/>
          </rPr>
          <t>Kristie Bullock:</t>
        </r>
        <r>
          <rPr>
            <sz val="9"/>
            <color indexed="81"/>
            <rFont val="Tahoma"/>
            <family val="2"/>
          </rPr>
          <t xml:space="preserve">
Allocated based on avg % of customers during 2017 - PS =26% &amp; LP=74%</t>
        </r>
      </text>
    </comment>
    <comment ref="P538" authorId="1" shapeId="0" xr:uid="{9D8FE131-B194-4534-AF0A-9EDD48ADE96B}">
      <text>
        <r>
          <rPr>
            <b/>
            <sz val="9"/>
            <color indexed="81"/>
            <rFont val="Tahoma"/>
            <family val="2"/>
          </rPr>
          <t>Kristie Bullock:</t>
        </r>
        <r>
          <rPr>
            <sz val="9"/>
            <color indexed="81"/>
            <rFont val="Tahoma"/>
            <family val="2"/>
          </rPr>
          <t xml:space="preserve">
Allocated based on avg % of customers during 2017 - PS =26% &amp; LP=74%</t>
        </r>
      </text>
    </comment>
    <comment ref="P539" authorId="1" shapeId="0" xr:uid="{FDCBDC86-F546-46E9-BBC8-ED52CD0E2DE1}">
      <text>
        <r>
          <rPr>
            <b/>
            <sz val="9"/>
            <color indexed="81"/>
            <rFont val="Tahoma"/>
            <family val="2"/>
          </rPr>
          <t>Kristie Bullock:</t>
        </r>
        <r>
          <rPr>
            <sz val="9"/>
            <color indexed="81"/>
            <rFont val="Tahoma"/>
            <family val="2"/>
          </rPr>
          <t xml:space="preserve">
Allocated based on avg % of customers during 2017 - PS =26% &amp; LP=74%</t>
        </r>
      </text>
    </comment>
    <comment ref="P540" authorId="1" shapeId="0" xr:uid="{87A147FE-D341-48A7-BC33-17E71198794B}">
      <text>
        <r>
          <rPr>
            <b/>
            <sz val="9"/>
            <color indexed="81"/>
            <rFont val="Tahoma"/>
            <family val="2"/>
          </rPr>
          <t>Kristie Bullock:</t>
        </r>
        <r>
          <rPr>
            <sz val="9"/>
            <color indexed="81"/>
            <rFont val="Tahoma"/>
            <family val="2"/>
          </rPr>
          <t xml:space="preserve">
Allocated based on avg % of customers during 2017 - PS =26% &amp; LP=74%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<sst xmlns="http://schemas.openxmlformats.org/spreadsheetml/2006/main" count="8263" uniqueCount="1742">
  <si>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</si>
  <si>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</si>
  <si>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</si>
  <si>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</si>
  <si>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</si>
  <si>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</si>
  <si>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</si>
  <si>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</si>
  <si>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</si>
  <si>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</si>
  <si>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</si>
  <si>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</si>
  <si>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</si>
  <si>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</si>
  <si>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</si>
  <si>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</si>
  <si>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</si>
  <si>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</si>
  <si>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</si>
  <si>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</si>
  <si>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</si>
  <si>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</si>
  <si>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</si>
  <si>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</si>
  <si>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</si>
  <si>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</si>
  <si>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</si>
  <si>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</si>
  <si>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</si>
  <si>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</si>
  <si>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</si>
  <si>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</si>
  <si>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</si>
  <si>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</si>
  <si>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</si>
  <si>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</si>
  <si>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</si>
  <si>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</si>
  <si>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</si>
  <si>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</si>
  <si>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</si>
  <si>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</si>
  <si>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</si>
  <si>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</si>
  <si>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</si>
  <si>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</si>
  <si>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</si>
  <si>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</si>
  <si>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</si>
  <si>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</si>
  <si>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</si>
  <si>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</si>
  <si>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</si>
  <si>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</si>
  <si>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</si>
  <si>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</si>
  <si>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</si>
  <si>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</si>
  <si>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</si>
  <si>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</si>
  <si>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</si>
  <si>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</si>
  <si>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</si>
  <si>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</si>
  <si>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</si>
  <si>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</si>
  <si>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</si>
  <si>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</si>
  <si>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</si>
  <si>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</si>
  <si>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</si>
  <si>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</si>
  <si>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</si>
  <si>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</si>
  <si>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</si>
  <si>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</si>
  <si>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</si>
  <si>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</si>
  <si>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</si>
  <si>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</si>
  <si>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</si>
  <si>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</si>
  <si>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</si>
  <si>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</si>
  <si>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</si>
  <si>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</si>
  <si>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</si>
  <si>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</si>
  <si>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</si>
  <si>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</si>
  <si>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</si>
  <si>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</si>
  <si>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</si>
  <si>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</si>
  <si>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</si>
  <si>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</si>
  <si>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</si>
  <si>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</si>
  <si>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</si>
  <si>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</si>
  <si>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</si>
  <si>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</si>
  <si>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</si>
  <si>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</si>
  <si>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</si>
  <si>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</si>
  <si>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</si>
  <si>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</si>
  <si>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</si>
  <si>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</si>
  <si>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</si>
  <si>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</si>
  <si>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</si>
  <si>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</si>
  <si>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</si>
  <si>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</si>
  <si>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</si>
  <si>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</si>
  <si>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</si>
  <si>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</si>
  <si>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</si>
  <si>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</si>
  <si>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</si>
  <si>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</si>
  <si>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</si>
  <si>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</si>
  <si>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</si>
  <si>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</si>
  <si>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</si>
  <si>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</si>
  <si>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</si>
  <si>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</si>
  <si>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</si>
  <si>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</si>
  <si>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</si>
  <si>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</si>
  <si>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</si>
  <si>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</si>
  <si>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</si>
  <si>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</si>
  <si>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</si>
  <si>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</si>
  <si>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</si>
  <si>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</si>
  <si>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</si>
  <si>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</si>
  <si>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</si>
  <si>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</si>
  <si>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</si>
  <si>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</si>
  <si>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</si>
  <si>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</si>
  <si>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</si>
  <si>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</si>
  <si>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</si>
  <si>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</si>
  <si>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</si>
  <si>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</si>
  <si>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</si>
  <si>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</si>
  <si>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</si>
  <si>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</si>
  <si>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</si>
  <si>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</si>
  <si>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</si>
  <si>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</si>
  <si>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</si>
  <si>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</si>
  <si>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</si>
  <si>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</si>
  <si>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</si>
  <si>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</si>
  <si>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</si>
  <si>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</si>
  <si>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</si>
  <si>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</si>
  <si>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</si>
  <si>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</si>
  <si>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</si>
  <si>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</si>
  <si>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</si>
  <si>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</si>
  <si>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</si>
  <si>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</si>
  <si>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</si>
  <si>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</si>
  <si>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</si>
  <si>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</si>
  <si>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</si>
  <si>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</si>
  <si>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</si>
  <si>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</si>
  <si>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</si>
  <si>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</si>
  <si>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</si>
  <si>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</si>
  <si>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</si>
  <si>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</si>
  <si>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</si>
  <si>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</si>
  <si>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</si>
  <si>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</si>
  <si>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</si>
  <si>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</si>
  <si>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</si>
  <si>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</si>
  <si>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</si>
  <si>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</si>
  <si>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</si>
  <si>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</si>
  <si>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</si>
  <si>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</si>
  <si>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</si>
  <si>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</si>
  <si>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</si>
  <si>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</si>
  <si>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</si>
  <si>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</si>
  <si>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</si>
  <si>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</si>
  <si>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</si>
  <si>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</si>
  <si>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</si>
  <si>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</si>
  <si>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</si>
  <si>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</si>
  <si>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</si>
  <si>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</si>
  <si>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</si>
  <si>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</si>
  <si>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</si>
  <si>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</si>
  <si>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</si>
  <si>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</si>
  <si>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</si>
  <si>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</si>
  <si>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</si>
  <si>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</si>
  <si>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</si>
  <si>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</si>
  <si>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</si>
  <si>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</si>
  <si>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</si>
  <si>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</si>
  <si>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</si>
  <si>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</si>
  <si>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</si>
  <si>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</si>
  <si>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</si>
  <si>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</si>
  <si>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</si>
  <si>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</si>
  <si>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</si>
  <si>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</si>
  <si>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</si>
  <si>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</si>
  <si>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</si>
  <si>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</si>
  <si>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</si>
  <si>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</si>
  <si>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</si>
  <si>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</si>
  <si>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</si>
  <si>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</si>
  <si>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</si>
  <si>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</si>
  <si>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</si>
  <si>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</si>
  <si>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</si>
  <si>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</si>
  <si>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</si>
  <si>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</si>
  <si>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</si>
  <si>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</si>
  <si>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</si>
  <si>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</si>
  <si>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</si>
  <si>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</si>
  <si>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</si>
  <si>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</si>
  <si>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</si>
  <si>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</si>
  <si>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</si>
  <si>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</si>
  <si>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</si>
  <si>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</si>
  <si>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</si>
  <si>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</si>
  <si>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</si>
  <si>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</si>
  <si>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</si>
  <si>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</si>
  <si>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</si>
  <si>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</si>
  <si>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</si>
  <si>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</si>
  <si>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</si>
  <si>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</si>
  <si>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</si>
  <si>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</si>
  <si>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</si>
  <si>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</si>
  <si>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</si>
  <si>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</si>
  <si>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</si>
  <si>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</si>
  <si>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</si>
  <si>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</si>
  <si>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</si>
  <si>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</si>
  <si>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</si>
  <si>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</si>
  <si>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</si>
  <si>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</si>
  <si>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</si>
  <si>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</si>
  <si>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</si>
  <si>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</si>
  <si>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</si>
  <si>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</si>
  <si>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</si>
  <si>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</si>
  <si>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</si>
  <si>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</si>
  <si>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</si>
  <si>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</si>
  <si>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</si>
  <si>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</si>
  <si>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</si>
  <si>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</si>
  <si>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</si>
  <si>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</si>
  <si>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</si>
  <si>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</si>
  <si>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</si>
  <si>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</si>
  <si>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</si>
  <si>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</si>
  <si>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</si>
  <si>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</si>
  <si>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</si>
  <si>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</si>
  <si>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</si>
  <si>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</si>
  <si>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</si>
  <si>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</si>
  <si>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</si>
  <si>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</si>
  <si>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</si>
  <si>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</si>
  <si>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</si>
  <si>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</si>
  <si>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</si>
  <si>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</si>
  <si>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</si>
  <si>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</si>
  <si>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</si>
  <si>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</si>
  <si>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</si>
  <si>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</si>
  <si>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</si>
  <si>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</si>
  <si>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</si>
  <si>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</si>
  <si>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</si>
  <si>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</si>
  <si>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</si>
  <si>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</si>
  <si>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</si>
  <si>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</si>
  <si>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</si>
  <si>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</si>
  <si>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</si>
  <si>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</si>
  <si>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</si>
  <si>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</si>
  <si>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</si>
  <si>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</si>
  <si>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</si>
  <si>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</si>
  <si>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</si>
  <si>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</si>
  <si>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</si>
  <si>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</si>
  <si>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</si>
  <si>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</si>
  <si>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</si>
  <si>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</si>
  <si>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</si>
  <si>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</si>
  <si>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</si>
  <si>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</si>
  <si>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</si>
  <si>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</si>
  <si>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</si>
  <si>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</si>
  <si>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</si>
  <si>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</si>
  <si>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</si>
  <si>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</si>
  <si>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</si>
  <si>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</si>
  <si>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</si>
  <si>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</si>
  <si>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</si>
  <si>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</si>
  <si>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</si>
  <si>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</si>
  <si>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</si>
  <si>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</si>
  <si>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</si>
  <si>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</si>
  <si>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</si>
  <si>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</si>
  <si>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</si>
  <si>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</si>
  <si>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</si>
  <si>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</si>
  <si>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</si>
  <si>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</si>
  <si>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</si>
  <si>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</si>
  <si>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</si>
  <si>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</si>
  <si>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</si>
  <si>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</si>
  <si>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</si>
  <si>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</si>
  <si>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</si>
  <si>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</si>
  <si>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</si>
  <si>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</si>
  <si>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</si>
  <si>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</si>
  <si>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</si>
  <si>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</si>
  <si>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</si>
  <si>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</si>
  <si>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</si>
  <si>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</si>
  <si>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</si>
  <si>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</si>
  <si>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</si>
  <si>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</si>
  <si>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</si>
  <si>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</si>
  <si>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</si>
  <si>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</si>
  <si>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</si>
  <si>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</si>
  <si>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</si>
  <si>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</si>
  <si>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</si>
  <si>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</si>
  <si>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</si>
  <si>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</si>
  <si>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</si>
  <si>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</si>
  <si>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</si>
  <si>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</si>
  <si>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</si>
  <si>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</si>
  <si>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</si>
  <si>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</si>
  <si>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</si>
  <si>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</si>
  <si>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</si>
  <si>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</si>
  <si>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</si>
  <si>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</si>
  <si>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</si>
  <si>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</si>
  <si>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</si>
  <si>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</si>
  <si>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</si>
  <si>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</si>
  <si>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</si>
  <si>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</si>
  <si>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</si>
  <si>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</si>
  <si>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</si>
  <si>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</si>
  <si>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</si>
  <si>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</si>
  <si>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</si>
  <si>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</si>
  <si>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</si>
  <si>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</si>
  <si>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</si>
  <si>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</si>
  <si>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</si>
  <si>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</si>
  <si>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</si>
  <si>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</si>
  <si>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</si>
  <si>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</si>
  <si>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</si>
  <si>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</si>
  <si>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</si>
  <si>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</si>
  <si>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</si>
  <si>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</si>
  <si>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</si>
  <si>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</si>
  <si>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</si>
  <si>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</si>
  <si>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</si>
  <si>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</si>
  <si>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</si>
  <si>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</si>
  <si>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</si>
  <si>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</si>
  <si>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</si>
  <si>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</si>
  <si>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</si>
  <si>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</si>
  <si>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</si>
  <si>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</si>
  <si>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</si>
  <si>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</si>
  <si>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</si>
  <si>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</si>
  <si>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</si>
  <si>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</si>
  <si>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</si>
  <si>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</si>
  <si>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</si>
  <si>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</si>
  <si>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</si>
  <si>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</si>
  <si>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</si>
  <si>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</si>
  <si>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</si>
  <si>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</si>
  <si>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</si>
  <si>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</si>
  <si>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</si>
  <si>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</si>
  <si>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</si>
  <si>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</si>
  <si>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</si>
  <si>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</si>
  <si>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</si>
  <si>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</si>
  <si>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</si>
  <si>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</si>
  <si>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</si>
  <si>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</si>
  <si>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</si>
  <si>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</si>
  <si>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</si>
  <si>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</si>
  <si>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</si>
  <si>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</si>
  <si>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</si>
  <si>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</si>
  <si>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</si>
  <si>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</si>
  <si>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</si>
  <si>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</si>
  <si>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</si>
  <si>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</si>
  <si>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</si>
  <si>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</si>
  <si>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</si>
  <si>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</si>
  <si>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</si>
  <si>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</si>
  <si>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</si>
  <si>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</si>
  <si>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</si>
  <si>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</si>
  <si>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</si>
  <si>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</si>
  <si>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</si>
  <si>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</si>
  <si>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</si>
  <si>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</si>
  <si>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</si>
  <si>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</si>
  <si>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</si>
  <si>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</si>
  <si>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</si>
  <si>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</si>
  <si>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</si>
  <si>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</si>
  <si>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</si>
  <si>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</si>
  <si>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</si>
  <si>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</si>
  <si>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</si>
  <si>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</si>
  <si>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</si>
  <si>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</si>
  <si>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</si>
  <si>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</si>
  <si>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</si>
  <si>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</si>
  <si>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</si>
  <si>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</si>
  <si>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</si>
  <si>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</si>
  <si>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</si>
  <si>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</si>
  <si>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</si>
  <si>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</si>
  <si>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</si>
  <si>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</si>
  <si>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</si>
  <si>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</si>
  <si>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</si>
  <si>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</si>
  <si>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</si>
  <si>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</si>
  <si>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</si>
  <si>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</si>
  <si>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</si>
  <si>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</si>
  <si>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</si>
  <si>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</si>
  <si>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</si>
  <si>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</si>
  <si>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</si>
  <si>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</si>
  <si>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</si>
  <si>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</si>
  <si>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</si>
  <si>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</si>
  <si>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</si>
  <si>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</si>
  <si>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</si>
  <si>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</si>
  <si>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</si>
  <si>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</si>
  <si>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</si>
  <si>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</si>
  <si>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</si>
  <si>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</si>
  <si>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</si>
  <si>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</si>
  <si>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</si>
  <si>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</si>
  <si>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</si>
  <si>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</si>
  <si>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</si>
  <si>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</si>
  <si>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</si>
  <si>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</si>
  <si>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</si>
  <si>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</si>
  <si>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</si>
  <si>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</si>
  <si>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</si>
  <si>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</si>
  <si>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</si>
  <si>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</si>
  <si>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</si>
  <si>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</si>
  <si>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</si>
  <si>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</si>
  <si>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</si>
  <si>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</si>
  <si>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</si>
  <si>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</si>
  <si>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</si>
  <si>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</si>
  <si>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</si>
  <si>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</si>
  <si>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</si>
  <si>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</si>
  <si>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</si>
  <si>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</si>
  <si>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</si>
  <si>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</si>
  <si>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</si>
  <si>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</si>
  <si>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</si>
  <si>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</si>
  <si>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</si>
  <si>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</si>
  <si>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</si>
  <si>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</si>
  <si>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</si>
  <si>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</si>
  <si>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</si>
  <si>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</si>
  <si>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</si>
  <si>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</si>
  <si>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</si>
  <si>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</si>
  <si>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</si>
  <si>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</si>
  <si>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</si>
  <si>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</si>
  <si>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</si>
  <si>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</si>
  <si>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</si>
  <si>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</si>
  <si>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</si>
  <si>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</si>
  <si>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</si>
  <si>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</si>
  <si>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</si>
  <si>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</si>
  <si>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</si>
  <si>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</si>
  <si>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</si>
  <si>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</si>
  <si>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</si>
  <si>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</si>
  <si>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</si>
  <si>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</si>
  <si>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</si>
  <si>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</si>
  <si>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</si>
  <si>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</si>
  <si>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</si>
  <si>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</si>
  <si>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</si>
  <si>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</si>
  <si>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</si>
  <si>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</si>
  <si>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</si>
  <si>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</si>
  <si>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</si>
  <si>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</si>
  <si>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</si>
  <si>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</si>
  <si>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</si>
  <si>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</si>
  <si>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</si>
  <si>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</si>
  <si>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</si>
  <si>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</si>
  <si>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</si>
  <si>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</si>
  <si>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</si>
  <si>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</si>
  <si>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</si>
  <si>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</si>
  <si>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</si>
  <si>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</si>
  <si>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</si>
  <si>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</si>
  <si>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</si>
  <si>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</si>
  <si>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</si>
  <si>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</si>
  <si>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</si>
  <si>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</si>
  <si>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</si>
  <si>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</si>
  <si>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EB-2019-0051</t>
  </si>
  <si>
    <t>2020 IRM Rate Application</t>
  </si>
  <si>
    <t>2013-2017</t>
  </si>
  <si>
    <t>2021 IRM Application</t>
  </si>
  <si>
    <t>Lakeland Power Distribution Ltd. - except Parry Sound</t>
  </si>
  <si>
    <t>GS 50 - 4,999 kW</t>
  </si>
  <si>
    <t>2013 Settlement Agreement, p. 20</t>
  </si>
  <si>
    <t>EB-2009-0234</t>
  </si>
  <si>
    <t>EB-2010-0096</t>
  </si>
  <si>
    <t>EB-2011-0180</t>
  </si>
  <si>
    <t>EB-2012-0145</t>
  </si>
  <si>
    <t>EB-2013-0149</t>
  </si>
  <si>
    <t>EB-2014-0091</t>
  </si>
  <si>
    <t>EB-2015-0086</t>
  </si>
  <si>
    <t>EB-2016-0090</t>
  </si>
  <si>
    <t>EB-2017-0058</t>
  </si>
  <si>
    <t>Year: 2011</t>
  </si>
  <si>
    <t>Application Number</t>
  </si>
  <si>
    <t>Address</t>
  </si>
  <si>
    <t>Applicant Name</t>
  </si>
  <si>
    <t>Company Name</t>
  </si>
  <si>
    <t>Application Status</t>
  </si>
  <si>
    <t>Total Actual Demand Savings</t>
  </si>
  <si>
    <t>Total Estimated Energy Savings (kWh)</t>
  </si>
  <si>
    <t>Rate Class</t>
  </si>
  <si>
    <t xml:space="preserve">Retrofit </t>
  </si>
  <si>
    <t>50 Highway 118, Bracebridge</t>
  </si>
  <si>
    <t>Released for Payment</t>
  </si>
  <si>
    <t>GS&lt;50 KW</t>
  </si>
  <si>
    <t>505 Hwy. #118, Bracebridge</t>
  </si>
  <si>
    <t>GS&gt;50 KW</t>
  </si>
  <si>
    <t>14 Mill Street, Huntsville</t>
  </si>
  <si>
    <t>NNDSB_12 lighting Magnetawan, Magnetawan</t>
  </si>
  <si>
    <t>95 Manitoba St., Bracebridge</t>
  </si>
  <si>
    <t>1000 Taylor, Bracebridge</t>
  </si>
  <si>
    <t>kWh Estimated Energy Savings</t>
  </si>
  <si>
    <t>Ratio</t>
  </si>
  <si>
    <t>GS &lt; 50 kW</t>
  </si>
  <si>
    <t>GS &gt; 50 kW</t>
  </si>
  <si>
    <t>Year: 2012</t>
  </si>
  <si>
    <t>1964 MUSKOKA BEACH RD, GRAVENHURST</t>
  </si>
  <si>
    <t>MandM P1 E 5 London, London</t>
  </si>
  <si>
    <t>#505 - 118, Bracebridge</t>
  </si>
  <si>
    <t>1964 muskoka beach road, Gravenhurst</t>
  </si>
  <si>
    <t>20 Mountview, Huntsville</t>
  </si>
  <si>
    <t>The District Municipality of Muskoka</t>
  </si>
  <si>
    <t>Various, Bracebridge</t>
  </si>
  <si>
    <t>22 Main, Huntsville</t>
  </si>
  <si>
    <t>37 Manitoba, Bracebridge</t>
  </si>
  <si>
    <t>185 Ontario, Burk's Falls</t>
  </si>
  <si>
    <t>Staples DCV - BUILDING #266 - 95 Ellesmere Road, Toronto</t>
  </si>
  <si>
    <t>2-4 Elm, Huntsville</t>
  </si>
  <si>
    <t>Year: 2013</t>
  </si>
  <si>
    <t>2 Monica Lane West, Bracebridge</t>
  </si>
  <si>
    <t>375 Ecclestone, Bracebridge</t>
  </si>
  <si>
    <t>1200 KING, TORONTO</t>
  </si>
  <si>
    <t>641 COLLEGE, Toronto</t>
  </si>
  <si>
    <t>CTC-206 - 450 Muskoka Rd W Bracebridge -T8, Bracebridge</t>
  </si>
  <si>
    <t>75 Ann, Bracebridge</t>
  </si>
  <si>
    <t>78 Main St. E., Huntsville</t>
  </si>
  <si>
    <t>4751 Steeles, Scarborough</t>
  </si>
  <si>
    <t>Year: 2014</t>
  </si>
  <si>
    <t>2 Main, Huntsville</t>
  </si>
  <si>
    <t>130 Ontario St, Sundridge</t>
  </si>
  <si>
    <t>1964 Muskoka Beach, Gravenhurst</t>
  </si>
  <si>
    <t>2 Finch Road, Bracebridge</t>
  </si>
  <si>
    <t>10 John, Sundridge</t>
  </si>
  <si>
    <t>500 Highway 118 W, Bracebridge</t>
  </si>
  <si>
    <t>168 Muskoka, Bracebridge</t>
  </si>
  <si>
    <t>Store 647 - 51 King William, Huntsville</t>
  </si>
  <si>
    <t>Store 914 - 248 Manitoba, Bracebridge</t>
  </si>
  <si>
    <t>LCBO Store 605, INNISFIL</t>
  </si>
  <si>
    <t>SDM-0647 - 51 King William - PAR38 LED, Huntsville</t>
  </si>
  <si>
    <t>SDM-0914 - 248 Manitoba, Bracebridge - PAR38 LED</t>
  </si>
  <si>
    <t>Head office application, Toronto</t>
  </si>
  <si>
    <t>Store# 110 - 295 Wellington, Bracebridge</t>
  </si>
  <si>
    <t>Store#0033 - 143 Manitoba, Bracebridge</t>
  </si>
  <si>
    <t>Store#0018- 215 Taylor, Bracebridge</t>
  </si>
  <si>
    <t>729 Cedar Lane, Bracebridge</t>
  </si>
  <si>
    <t>510 Muskoka Road Hwy 118 West, Bracebridge</t>
  </si>
  <si>
    <t>320 Taylor Road, Bracebridge</t>
  </si>
  <si>
    <t>117 Main St W, Huntsville</t>
  </si>
  <si>
    <t>3-560 Ecclestone, Bracebridge</t>
  </si>
  <si>
    <t>420 Ecclestone, Bracebridge</t>
  </si>
  <si>
    <t>2015:</t>
  </si>
  <si>
    <t>Unique Identifier (System Generated)</t>
  </si>
  <si>
    <t>Account Number</t>
  </si>
  <si>
    <t>Business Name</t>
  </si>
  <si>
    <t>Class (GS&lt;50 or GS&gt;50)</t>
  </si>
  <si>
    <t>LDC (if applicable)</t>
  </si>
  <si>
    <t>CFF/2011-15 Legacy Framework</t>
  </si>
  <si>
    <t>Region</t>
  </si>
  <si>
    <t>Project Completion Date (dd/month/yy)</t>
  </si>
  <si>
    <t>Implementation Year</t>
  </si>
  <si>
    <t>Net Verified Incremental Summer Peak Demand Savings (kW)</t>
  </si>
  <si>
    <t>Net Verified Incremental Energy Savings (kWh)</t>
  </si>
  <si>
    <t>Gross Verified Lifetime Energy Savings (kWh)</t>
  </si>
  <si>
    <t>Net Verified Lifetime Energy Savings (kWh)</t>
  </si>
  <si>
    <t>Net Verified Lifetime Energy Savings at 2020 (kWh)</t>
  </si>
  <si>
    <t>Net Verified Summer Demand Savings at 2020 (kW)</t>
  </si>
  <si>
    <t>Realization Rate (Energy)</t>
  </si>
  <si>
    <t>Realization Rate (Summer Demand)</t>
  </si>
  <si>
    <t>NTG: Free-riders</t>
  </si>
  <si>
    <t>NTG: Spillover</t>
  </si>
  <si>
    <t>NTG: Other</t>
  </si>
  <si>
    <t>Total NTG Ratio (Energy)</t>
  </si>
  <si>
    <t>Total NTG Ratio (Summer Demand)</t>
  </si>
  <si>
    <t>Contracted Capacity (kW)</t>
  </si>
  <si>
    <t>Ex ante Capacity (kW)</t>
  </si>
  <si>
    <t>Ex post Energy Savings (kWh)</t>
  </si>
  <si>
    <t>Per Unit Incremental Equipment Cost</t>
  </si>
  <si>
    <t>Total Incremental Equipment Cost</t>
  </si>
  <si>
    <t>Notes (loadshapes used if different from IESO, etc.)</t>
  </si>
  <si>
    <t>2011 kW (Gross Annual Summer)</t>
  </si>
  <si>
    <t>2012 kW (Gross Annual Summer)</t>
  </si>
  <si>
    <t>2013 kW (Gross Annual Summer)</t>
  </si>
  <si>
    <t>2014 kW (Gross Annual Summer)</t>
  </si>
  <si>
    <t>2015 kW (Gross Annual Summer)</t>
  </si>
  <si>
    <t>2016 kW (Gross Annual Summer)</t>
  </si>
  <si>
    <t>2017 kW (Gross Annual Summer)</t>
  </si>
  <si>
    <t>2018 kW (Gross Annual Summer)</t>
  </si>
  <si>
    <t>2019 kW (Gross Annual Summer)</t>
  </si>
  <si>
    <t>2020 kW (Gross Annual Summer)</t>
  </si>
  <si>
    <t>2021 kW (Gross Annual Summer)</t>
  </si>
  <si>
    <t>2022 kW (Gross Annual Summer)</t>
  </si>
  <si>
    <t>2023 kW (Gross Annual Summer)</t>
  </si>
  <si>
    <t>2024 kW (Gross Annual Summer)</t>
  </si>
  <si>
    <t>2025 kW (Gross Annual Summer)</t>
  </si>
  <si>
    <t>2026 kW (Gross Annual Summer)</t>
  </si>
  <si>
    <t>2027 kW (Gross Annual Summer)</t>
  </si>
  <si>
    <t>2028 kW (Gross Annual Summer)</t>
  </si>
  <si>
    <t>2029 kW (Gross Annual Summer)</t>
  </si>
  <si>
    <t>2030 kW (Gross Annual Summer)</t>
  </si>
  <si>
    <t>2031 kW (Gross Annual Summer)</t>
  </si>
  <si>
    <t>2032 kW (Gross Annual Summer)</t>
  </si>
  <si>
    <t>2033 kW (Gross Annual Summer)</t>
  </si>
  <si>
    <t>2034 kW (Gross Annual Summer)</t>
  </si>
  <si>
    <t>2035 kW (Gross Annual Summer)</t>
  </si>
  <si>
    <t>2036 kW (Gross Annual Summer)</t>
  </si>
  <si>
    <t>2037 kW (Gross Annual Summer)</t>
  </si>
  <si>
    <t>2038 kW (Gross Annual Summer)</t>
  </si>
  <si>
    <t>2039 kW (Gross Annual Summer)</t>
  </si>
  <si>
    <t>2040 kW (Gross Annual Summer)</t>
  </si>
  <si>
    <t>2011 kW (Net Annual Summer)</t>
  </si>
  <si>
    <t>2012 kW (Net Annual Summer)</t>
  </si>
  <si>
    <t>2013 kW (Net Annual Summer)</t>
  </si>
  <si>
    <t>2014 kW (Net Annual Summer)</t>
  </si>
  <si>
    <t>2015 kW (Net Annual Summer)</t>
  </si>
  <si>
    <t>2016 kW (Net Annual Summer)</t>
  </si>
  <si>
    <t>2017 kW (Net Annual Summer)</t>
  </si>
  <si>
    <t>2018 kW (Net Annual Summer)</t>
  </si>
  <si>
    <t>2019 kW (Net Annual Summer)</t>
  </si>
  <si>
    <t>2020 kW (Net Annual Summer)</t>
  </si>
  <si>
    <t>2021 kW (Net Annual Summer)</t>
  </si>
  <si>
    <t>2022 kW (Net Annual Summer)</t>
  </si>
  <si>
    <t>2023 kW (Net Annual Summer)</t>
  </si>
  <si>
    <t>2024 kW (Net Annual Summer)</t>
  </si>
  <si>
    <t>2025 kW (Net Annual Summer)</t>
  </si>
  <si>
    <t>2026 kW (Net Annual Summer)</t>
  </si>
  <si>
    <t>2027 kW (Net Annual Summer)</t>
  </si>
  <si>
    <t>2028 kW (Net Annual Summer)</t>
  </si>
  <si>
    <t>2029 kW (Net Annual Summer)</t>
  </si>
  <si>
    <t>2030 kW (Net Annual Summer)</t>
  </si>
  <si>
    <t>2031 kW (Net Annual Summer)</t>
  </si>
  <si>
    <t>2032 kW (Net Annual Summer)</t>
  </si>
  <si>
    <t>2033 kW (Net Annual Summer)</t>
  </si>
  <si>
    <t>2034 kW (Net Annual Summer)</t>
  </si>
  <si>
    <t>2035 kW (Net Annual Summer)</t>
  </si>
  <si>
    <t>2036 kW (Net Annual Summer)</t>
  </si>
  <si>
    <t>2037 kW (Net Annual Summer)</t>
  </si>
  <si>
    <t>2038 kW (Net Annual Summer)</t>
  </si>
  <si>
    <t>2039 kW (Net Annual Summer)</t>
  </si>
  <si>
    <t>2040 kW (Net Annual Summer)</t>
  </si>
  <si>
    <t>2011 kWh (Gross Annual)</t>
  </si>
  <si>
    <t>2012 kWh (Gross Annual)</t>
  </si>
  <si>
    <t>2013 kWh (Gross Annual)</t>
  </si>
  <si>
    <t>2014 kWh (Gross Annual)</t>
  </si>
  <si>
    <t>2015 kWh (Gross Annual)</t>
  </si>
  <si>
    <t>2016 kWh (Gross Annual)</t>
  </si>
  <si>
    <t>2017 kWh (Gross Annual)</t>
  </si>
  <si>
    <t>2018 kWh (Gross Annual)</t>
  </si>
  <si>
    <t>2019 kWh (Gross Annual)</t>
  </si>
  <si>
    <t>2020 kWh (Gross Annual)</t>
  </si>
  <si>
    <t>2021 kWh (Gross Annual)</t>
  </si>
  <si>
    <t>2022 kWh (Gross Annual)</t>
  </si>
  <si>
    <t>2023 kWh (Gross Annual)</t>
  </si>
  <si>
    <t>2024 kWh (Gross Annual)</t>
  </si>
  <si>
    <t>2025 kWh (Gross Annual)</t>
  </si>
  <si>
    <t>2026 kWh (Gross Annual)</t>
  </si>
  <si>
    <t>2027 kWh (Gross Annual)</t>
  </si>
  <si>
    <t>2028 kWh (Gross Annual)</t>
  </si>
  <si>
    <t>2029 kWh (Gross Annual)</t>
  </si>
  <si>
    <t>2030 kWh (Gross Annual)</t>
  </si>
  <si>
    <t>2031 kWh (Gross Annual)</t>
  </si>
  <si>
    <t>2032 kWh (Gross Annual)</t>
  </si>
  <si>
    <t>2033 kWh (Gross Annual)</t>
  </si>
  <si>
    <t>2034 kWh (Gross Annual)</t>
  </si>
  <si>
    <t>2035 kWh (Gross Annual)</t>
  </si>
  <si>
    <t>2036 kWh (Gross Annual)</t>
  </si>
  <si>
    <t>2037 kWh (Gross Annual)</t>
  </si>
  <si>
    <t>2038 kWh (Gross Annual)</t>
  </si>
  <si>
    <t>2039 kWh (Gross Annual)</t>
  </si>
  <si>
    <t>2040 kWh (Gross Annual)</t>
  </si>
  <si>
    <t>2011 kWh (Net Annual)</t>
  </si>
  <si>
    <t>2012 kWh (Net Annual)</t>
  </si>
  <si>
    <t>2013 kWh (Net Annual)</t>
  </si>
  <si>
    <t>2014 kWh (Net Annual)</t>
  </si>
  <si>
    <t>2015 kWh (Net Annual)</t>
  </si>
  <si>
    <t>2016 kWh (Net Annual)</t>
  </si>
  <si>
    <t>2017 kWh (Net Annual)</t>
  </si>
  <si>
    <t>2018 kWh (Net Annual)</t>
  </si>
  <si>
    <t>2019 kWh (Net Annual)</t>
  </si>
  <si>
    <t>2020 kWh (Net Annual)</t>
  </si>
  <si>
    <t>2021 kWh (Net Annual)</t>
  </si>
  <si>
    <t>2022 kWh (Net Annual)</t>
  </si>
  <si>
    <t>2023 kWh (Net Annual)</t>
  </si>
  <si>
    <t>2024 kWh (Net Annual)</t>
  </si>
  <si>
    <t>2025 kWh (Net Annual)</t>
  </si>
  <si>
    <t>2026 kWh (Net Annual)</t>
  </si>
  <si>
    <t>2027 kWh (Net Annual)</t>
  </si>
  <si>
    <t>2028 kWh (Net Annual)</t>
  </si>
  <si>
    <t>2029 kWh (Net Annual)</t>
  </si>
  <si>
    <t>2030 kWh (Net Annual)</t>
  </si>
  <si>
    <t>2031 kWh (Net Annual)</t>
  </si>
  <si>
    <t>2032 kWh (Net Annual)</t>
  </si>
  <si>
    <t>2033 kWh (Net Annual)</t>
  </si>
  <si>
    <t>2034 kWh (Net Annual)</t>
  </si>
  <si>
    <t>2035 kWh (Net Annual)</t>
  </si>
  <si>
    <t>2036 kWh (Net Annual)</t>
  </si>
  <si>
    <t>2037 kWh (Net Annual)</t>
  </si>
  <si>
    <t>2038 kWh (Net Annual)</t>
  </si>
  <si>
    <t>2039 kWh (Net Annual)</t>
  </si>
  <si>
    <t>2040 kWh (Net Annual)</t>
  </si>
  <si>
    <t>Transition Date (yyyymmdd)</t>
  </si>
  <si>
    <t>Number of Measures per Coupon</t>
  </si>
  <si>
    <t>Total Number of Measures</t>
  </si>
  <si>
    <t>Multiple accounts, all gs&lt;50</t>
  </si>
  <si>
    <t>248 Manitoba St. Bracebridge</t>
  </si>
  <si>
    <t>GS&lt;50</t>
  </si>
  <si>
    <t>Lakeland Power Distribution Ltd.</t>
  </si>
  <si>
    <t>East Prescriptive</t>
  </si>
  <si>
    <t>Business</t>
  </si>
  <si>
    <t>551-0</t>
  </si>
  <si>
    <t>295 Wellington St, Bracebridge</t>
  </si>
  <si>
    <t>East Engineered</t>
  </si>
  <si>
    <t>65570-0</t>
  </si>
  <si>
    <t>143 Manitoba St, Bracebridge</t>
  </si>
  <si>
    <t>71056-0</t>
  </si>
  <si>
    <t>215 Taylor Rd, Bracebridge</t>
  </si>
  <si>
    <t>070872-04</t>
  </si>
  <si>
    <t>071410-00</t>
  </si>
  <si>
    <t>70809-0</t>
  </si>
  <si>
    <t>1105 Kirk Line, Bracebridge</t>
  </si>
  <si>
    <t>HAS 21 ACCOUNTS ALL GS&lt;50</t>
  </si>
  <si>
    <t>440 Ecclestone, Bracebridge</t>
  </si>
  <si>
    <t>073942-03</t>
  </si>
  <si>
    <t>84 Main St. E, Huntsville</t>
  </si>
  <si>
    <t>076824-00</t>
  </si>
  <si>
    <t>18 Main, Huntsville</t>
  </si>
  <si>
    <t xml:space="preserve">7081200 </t>
  </si>
  <si>
    <t>1042 Kirk, Bracebridge</t>
  </si>
  <si>
    <t>East Custom</t>
  </si>
  <si>
    <t/>
  </si>
  <si>
    <t>37 Main, Huntsville</t>
  </si>
  <si>
    <t>073944-01</t>
  </si>
  <si>
    <t>86 Main St. Huntsville</t>
  </si>
  <si>
    <t>7652700</t>
  </si>
  <si>
    <t>46 Florence, Huntsville</t>
  </si>
  <si>
    <t>7622100</t>
  </si>
  <si>
    <t>41 Nichols Country, Bracebridge</t>
  </si>
  <si>
    <t>071062-08</t>
  </si>
  <si>
    <t>34 E P Lee, Bracebridge</t>
  </si>
  <si>
    <t>111 Wellington, Bracebridge</t>
  </si>
  <si>
    <t>46 E P Lee, Bracebridge</t>
  </si>
  <si>
    <t>076339-01</t>
  </si>
  <si>
    <t>Home Depot (Head Office)</t>
  </si>
  <si>
    <t>GS&gt;50</t>
  </si>
  <si>
    <t>071346-02</t>
  </si>
  <si>
    <t>320 Taylor Rd, Bracebridge</t>
  </si>
  <si>
    <t>510 Muskoka Rd Hwy 118W, Bracebridge</t>
  </si>
  <si>
    <t>444-01</t>
  </si>
  <si>
    <t>105 #118, Bracebridge</t>
  </si>
  <si>
    <t>74276-01</t>
  </si>
  <si>
    <t>40 King William, Huntsville</t>
  </si>
  <si>
    <t>72058-01</t>
  </si>
  <si>
    <t>117-00</t>
  </si>
  <si>
    <t>505 Hwy 118, Bracebridge</t>
  </si>
  <si>
    <t>74274-01</t>
  </si>
  <si>
    <t>20 King William, Huntsville</t>
  </si>
  <si>
    <t>072058-01 REPEAT OF LINE 15</t>
  </si>
  <si>
    <t>1964 Muskoka Beach, Bracebridge</t>
  </si>
  <si>
    <t>000864-00</t>
  </si>
  <si>
    <t>Monck PS, Bracebridge</t>
  </si>
  <si>
    <t>70719-02</t>
  </si>
  <si>
    <t>1000 Taylor Rd, Bracebridge</t>
  </si>
  <si>
    <t>073305-00</t>
  </si>
  <si>
    <t>37 Centre St. N, Huntsville</t>
  </si>
  <si>
    <t>072445-01</t>
  </si>
  <si>
    <t>73305 REPEAT OF LINE 26</t>
  </si>
  <si>
    <t>073305-00 REPEAT OF LINE 26 &amp; 36</t>
  </si>
  <si>
    <t>74306-00</t>
  </si>
  <si>
    <t>13 Dufferin St. N. Huntsville</t>
  </si>
  <si>
    <t>071346-02 REPEAT OF LINE 14</t>
  </si>
  <si>
    <t>74300-03</t>
  </si>
  <si>
    <t>29 Main, Huntsville</t>
  </si>
  <si>
    <t>70010 FINALED 2014…127 MANITOBA ACTIVE 69060-0</t>
  </si>
  <si>
    <t>127 Manitoba, Bracebridge</t>
  </si>
  <si>
    <t>076082-00</t>
  </si>
  <si>
    <t>172 Ontario St, Burks Falls</t>
  </si>
  <si>
    <t>Streetlight</t>
  </si>
  <si>
    <t>107 Shoreline, Bracebridge</t>
  </si>
  <si>
    <t>UNMETERED SCATTERED LOAD</t>
  </si>
  <si>
    <t>Energy Audits:</t>
  </si>
  <si>
    <t>31 Sparks St, Magnetawan</t>
  </si>
  <si>
    <t>92 Ontario St, Burks Falls</t>
  </si>
  <si>
    <t>118 Main St, Sundridge</t>
  </si>
  <si>
    <t>2016:</t>
  </si>
  <si>
    <t>#</t>
  </si>
  <si>
    <t>LDC
Name</t>
  </si>
  <si>
    <t>Program
Name</t>
  </si>
  <si>
    <t>Framework
(Legacy / CFF)</t>
  </si>
  <si>
    <t>Funding
Mechanism
(FCR/P4P)</t>
  </si>
  <si>
    <t>Implementation
Year</t>
  </si>
  <si>
    <t>Application
Identification
Number</t>
  </si>
  <si>
    <t>Applicant
First and Last 
Name</t>
  </si>
  <si>
    <t>Facility
Address
Line
1</t>
  </si>
  <si>
    <t>Facility
Address
Line
2</t>
  </si>
  <si>
    <t>Facility
Address
Line
3</t>
  </si>
  <si>
    <t>Facility
Address
City</t>
  </si>
  <si>
    <t>Home Depot Home Appliance Market Uplift Conservation Fund Pilot Program</t>
  </si>
  <si>
    <t>Conservation Fund Framework - Pilot Program</t>
  </si>
  <si>
    <t>FCR</t>
  </si>
  <si>
    <t>residential</t>
  </si>
  <si>
    <t>Bracebridge</t>
  </si>
  <si>
    <t>BRACEBRIDGE</t>
  </si>
  <si>
    <t xml:space="preserve">Residential </t>
  </si>
  <si>
    <t>N/A</t>
  </si>
  <si>
    <t>2015 - 2020 Conservation First Framework - Approved Province Wide Program</t>
  </si>
  <si>
    <t>LLP-AFPC-16</t>
  </si>
  <si>
    <t>L (GS&gt;1000)</t>
  </si>
  <si>
    <t>n/a</t>
  </si>
  <si>
    <t>Dave Wilde</t>
  </si>
  <si>
    <t>500 Ontario St</t>
  </si>
  <si>
    <t>Burks Falls</t>
  </si>
  <si>
    <t>Southwest Ontario</t>
  </si>
  <si>
    <t>Save on Energy Heating &amp; Cooling Program</t>
  </si>
  <si>
    <t>P1L1P7</t>
  </si>
  <si>
    <t xml:space="preserve">28   Southdale  DRIVE  </t>
  </si>
  <si>
    <t>P1L1C8</t>
  </si>
  <si>
    <t xml:space="preserve">17  Brobst Forest  CRESCENT  </t>
  </si>
  <si>
    <t>P1L1B2</t>
  </si>
  <si>
    <t xml:space="preserve">15  CATHARINE CRESCENT  </t>
  </si>
  <si>
    <t>P1L1A1</t>
  </si>
  <si>
    <t xml:space="preserve">27  Davis COURT  </t>
  </si>
  <si>
    <t>P1L1K4</t>
  </si>
  <si>
    <t xml:space="preserve">175  MAPLE STREET  </t>
  </si>
  <si>
    <t>P1L1A5</t>
  </si>
  <si>
    <t xml:space="preserve">16  BRIAN  ROAD  </t>
  </si>
  <si>
    <t>P1L1A7</t>
  </si>
  <si>
    <t xml:space="preserve">2  KEVIN  CRESCENT  </t>
  </si>
  <si>
    <t xml:space="preserve">5   Sadler  DRIVE  </t>
  </si>
  <si>
    <t>P1L1Z2</t>
  </si>
  <si>
    <t xml:space="preserve">42  TAMARACK  TRAIL  </t>
  </si>
  <si>
    <t>STN MAIN</t>
  </si>
  <si>
    <t>P1L1A9</t>
  </si>
  <si>
    <t xml:space="preserve">19  McCrank  DRIVE  </t>
  </si>
  <si>
    <t xml:space="preserve">31  Brian  ROAD  </t>
  </si>
  <si>
    <t>P1L1E5</t>
  </si>
  <si>
    <t xml:space="preserve">156  Dill  STREET  </t>
  </si>
  <si>
    <t>P1L1M3</t>
  </si>
  <si>
    <t xml:space="preserve">30  Spruce  LANE  </t>
  </si>
  <si>
    <t>GRAVENHURST PLUMBING, HEATING &amp; ELECTRIC</t>
  </si>
  <si>
    <t>P1L1G7</t>
  </si>
  <si>
    <t xml:space="preserve">7  MILTON  STREET  </t>
  </si>
  <si>
    <t>P1L2B9</t>
  </si>
  <si>
    <t xml:space="preserve">40  IDA  STREET  </t>
  </si>
  <si>
    <t>P1L1Y4</t>
  </si>
  <si>
    <t xml:space="preserve">17  KEALL  CRESCENT  </t>
  </si>
  <si>
    <t>P1L2B6</t>
  </si>
  <si>
    <t xml:space="preserve">24  Mary  STREET  </t>
  </si>
  <si>
    <t xml:space="preserve">19  Meadow Heights  DRIVE  </t>
  </si>
  <si>
    <t>P1L1A4</t>
  </si>
  <si>
    <t xml:space="preserve">118  Medow Heights  DRIVE  </t>
  </si>
  <si>
    <t>P1L1C5</t>
  </si>
  <si>
    <t xml:space="preserve">25  Andrea  DRIVE  </t>
  </si>
  <si>
    <t>P1L2A6</t>
  </si>
  <si>
    <t xml:space="preserve">5  Mahaffy  COURT  </t>
  </si>
  <si>
    <t>P1L1L5</t>
  </si>
  <si>
    <t xml:space="preserve">25  Fairlawn  BOULEVARD  </t>
  </si>
  <si>
    <t>P1L1M7</t>
  </si>
  <si>
    <t xml:space="preserve">53  Golf Course  ROAD  </t>
  </si>
  <si>
    <t>P1L2C1</t>
  </si>
  <si>
    <t xml:space="preserve">216  Hiram  STREET  </t>
  </si>
  <si>
    <t>P1L1Z3</t>
  </si>
  <si>
    <t xml:space="preserve">17  Shoreline  DRIVE  </t>
  </si>
  <si>
    <t>P1L1L1</t>
  </si>
  <si>
    <t xml:space="preserve">35  Kaye  ROAD  </t>
  </si>
  <si>
    <t>P1L1A3</t>
  </si>
  <si>
    <t xml:space="preserve">85  Meadow Heights   DRIVE  </t>
  </si>
  <si>
    <t>P1L1J6</t>
  </si>
  <si>
    <t xml:space="preserve">37  Front  STREET  </t>
  </si>
  <si>
    <t xml:space="preserve">161   Dill  STREET  </t>
  </si>
  <si>
    <t>P1L1W8</t>
  </si>
  <si>
    <t xml:space="preserve">1113  Golden Beach  ROAD  </t>
  </si>
  <si>
    <t xml:space="preserve">21  Kildeer  CRESCENT  </t>
  </si>
  <si>
    <t xml:space="preserve">1015   Alice  AVENUE  </t>
  </si>
  <si>
    <t xml:space="preserve">4  Meadow Heights  DRIVE  </t>
  </si>
  <si>
    <t>P1L1Z4</t>
  </si>
  <si>
    <t xml:space="preserve">38  SHORELINE  DRIVE  </t>
  </si>
  <si>
    <t>P1L1C9</t>
  </si>
  <si>
    <t xml:space="preserve">38  Brofoco  DRIVE  </t>
  </si>
  <si>
    <t>P1L1B3</t>
  </si>
  <si>
    <t xml:space="preserve">60  Westvale  DRIVE  </t>
  </si>
  <si>
    <t xml:space="preserve">103  DILL  STREET  </t>
  </si>
  <si>
    <t>P1L1L9</t>
  </si>
  <si>
    <t xml:space="preserve">6  AUBREY STREET  </t>
  </si>
  <si>
    <t>P1L2A4</t>
  </si>
  <si>
    <t xml:space="preserve">66  Quebec STREET  </t>
  </si>
  <si>
    <t xml:space="preserve">1103  Ziska ROAD  </t>
  </si>
  <si>
    <t>P1L1A6</t>
  </si>
  <si>
    <t xml:space="preserve">10  Rockwell AVENUE  </t>
  </si>
  <si>
    <t>P1L1L2</t>
  </si>
  <si>
    <t xml:space="preserve">51  Wilshier BOULEVARD  </t>
  </si>
  <si>
    <t xml:space="preserve">26  Glendale ROAD  </t>
  </si>
  <si>
    <t xml:space="preserve">75  Front STREET  </t>
  </si>
  <si>
    <t>P0A1C0</t>
  </si>
  <si>
    <t xml:space="preserve">311   Ontario  STREET  </t>
  </si>
  <si>
    <t xml:space="preserve">1220  GARAGE  ROAD  </t>
  </si>
  <si>
    <t>BURK'S FALS</t>
  </si>
  <si>
    <t>P1H2J3</t>
  </si>
  <si>
    <t xml:space="preserve">188  Bay Meadows ROAD  </t>
  </si>
  <si>
    <t>Huntsville</t>
  </si>
  <si>
    <t>6935@cogeco.ca</t>
  </si>
  <si>
    <t>P1H1W1</t>
  </si>
  <si>
    <t xml:space="preserve">21  Lansdowne STREET W </t>
  </si>
  <si>
    <t>P1H2K6</t>
  </si>
  <si>
    <t xml:space="preserve">199  Hunter's Bay  DRIVE  </t>
  </si>
  <si>
    <t>P.O. Box 5193</t>
  </si>
  <si>
    <t>P1H1V7</t>
  </si>
  <si>
    <t xml:space="preserve">11  Cora  STREET  W </t>
  </si>
  <si>
    <t xml:space="preserve">15  DUFFERIN  STREET  S </t>
  </si>
  <si>
    <t>HUNTSVILLE</t>
  </si>
  <si>
    <t>P1H1P3</t>
  </si>
  <si>
    <t xml:space="preserve">12  VETERANS   WAY  </t>
  </si>
  <si>
    <t>P1H2J5</t>
  </si>
  <si>
    <t>939   60  HIGHWAY   UNIT 3311</t>
  </si>
  <si>
    <t>BUILDING 11</t>
  </si>
  <si>
    <t>P1H1P6</t>
  </si>
  <si>
    <t xml:space="preserve">11   Duncan STREET E </t>
  </si>
  <si>
    <t>P1H1K7</t>
  </si>
  <si>
    <t xml:space="preserve">14   Chaffey STREET  </t>
  </si>
  <si>
    <t>P1H1X6</t>
  </si>
  <si>
    <t xml:space="preserve">35  King  CRESCENT  </t>
  </si>
  <si>
    <t xml:space="preserve">Huntsville </t>
  </si>
  <si>
    <t>P0A1X0</t>
  </si>
  <si>
    <t xml:space="preserve">99  OTTAWA  AVENUE  E </t>
  </si>
  <si>
    <t>SOUTH RIVER</t>
  </si>
  <si>
    <t xml:space="preserve">13  Main  STREET  </t>
  </si>
  <si>
    <t>South River</t>
  </si>
  <si>
    <t xml:space="preserve">12  Kilpper  DRIVE  </t>
  </si>
  <si>
    <t xml:space="preserve">RR#1  </t>
  </si>
  <si>
    <t xml:space="preserve">12  Alfred  STREET  </t>
  </si>
  <si>
    <t>P0A1Z0</t>
  </si>
  <si>
    <t xml:space="preserve">13  McDermott  STREET  </t>
  </si>
  <si>
    <t>Sundridge</t>
  </si>
  <si>
    <t xml:space="preserve">144  oakridge  DRIVE  </t>
  </si>
  <si>
    <t>sundridge</t>
  </si>
  <si>
    <t xml:space="preserve">1331  HIGHROCK DRIVE  </t>
  </si>
  <si>
    <t>SUNRIDGE</t>
  </si>
  <si>
    <t>LLP-HP-005</t>
  </si>
  <si>
    <t>500 Ontario Street</t>
  </si>
  <si>
    <t>Burk's Falls</t>
  </si>
  <si>
    <t>16 Palmer Court, Bracebridge</t>
  </si>
  <si>
    <t>KWH</t>
  </si>
  <si>
    <t>Regional</t>
  </si>
  <si>
    <t>420003-001</t>
  </si>
  <si>
    <t>500 Highway #118 W</t>
  </si>
  <si>
    <t>Hs1</t>
  </si>
  <si>
    <t>420003-002</t>
  </si>
  <si>
    <t>34 Manitoba St</t>
  </si>
  <si>
    <t>420003-004</t>
  </si>
  <si>
    <t>10 Golf Course Rd</t>
  </si>
  <si>
    <t>D</t>
  </si>
  <si>
    <t>420003-005</t>
  </si>
  <si>
    <t>28 Manitoba St</t>
  </si>
  <si>
    <t>Offc</t>
  </si>
  <si>
    <t>420003-007</t>
  </si>
  <si>
    <t>1360 Golden Beach Rd</t>
  </si>
  <si>
    <t>Lodge</t>
  </si>
  <si>
    <t>420003-008</t>
  </si>
  <si>
    <t>Oak</t>
  </si>
  <si>
    <t>420003-009</t>
  </si>
  <si>
    <t>1360 Golden Lane</t>
  </si>
  <si>
    <t>Wview</t>
  </si>
  <si>
    <t>420003-010</t>
  </si>
  <si>
    <t>Ltd</t>
  </si>
  <si>
    <t>420018-001</t>
  </si>
  <si>
    <t>230 Ecclestone Dr</t>
  </si>
  <si>
    <t>420018-002</t>
  </si>
  <si>
    <t>1 Manitoba St</t>
  </si>
  <si>
    <t>Park</t>
  </si>
  <si>
    <t>420020-004</t>
  </si>
  <si>
    <t>33 King William St</t>
  </si>
  <si>
    <t>Down</t>
  </si>
  <si>
    <t>420020-005</t>
  </si>
  <si>
    <t>10 John St</t>
  </si>
  <si>
    <t>420020-006</t>
  </si>
  <si>
    <t>21 Main St</t>
  </si>
  <si>
    <t>420004-002</t>
  </si>
  <si>
    <t>8 Park Dr</t>
  </si>
  <si>
    <t>420020-001</t>
  </si>
  <si>
    <t>78 Main St E</t>
  </si>
  <si>
    <t>420020-002</t>
  </si>
  <si>
    <t>18 John St</t>
  </si>
  <si>
    <t>420020-003</t>
  </si>
  <si>
    <t>420004-003</t>
  </si>
  <si>
    <t>1 Mary St</t>
  </si>
  <si>
    <t>Funr2</t>
  </si>
  <si>
    <t>420004-005</t>
  </si>
  <si>
    <t>37 Main St E</t>
  </si>
  <si>
    <t>420003-003</t>
  </si>
  <si>
    <t>300 Ecclestone Dr</t>
  </si>
  <si>
    <t>Pkg</t>
  </si>
  <si>
    <t>Provincial</t>
  </si>
  <si>
    <t xml:space="preserve">7 Minerva </t>
  </si>
  <si>
    <t>multiple addresses</t>
  </si>
  <si>
    <t>Magnetawan</t>
  </si>
  <si>
    <t>East</t>
  </si>
  <si>
    <t>125 manitoba</t>
  </si>
  <si>
    <t>bracebridge</t>
  </si>
  <si>
    <t>20 Depot</t>
  </si>
  <si>
    <t xml:space="preserve">55 HWY 118 </t>
  </si>
  <si>
    <t>70 Pine</t>
  </si>
  <si>
    <t>105 Highway #118 West</t>
  </si>
  <si>
    <t xml:space="preserve">100 Oakwood </t>
  </si>
  <si>
    <t>40 King William St.</t>
  </si>
  <si>
    <t>270 Wellington</t>
  </si>
  <si>
    <t>37 Centre</t>
  </si>
  <si>
    <t xml:space="preserve">70 Pine </t>
  </si>
  <si>
    <t>14 Albert</t>
  </si>
  <si>
    <t>200 Oakwood</t>
  </si>
  <si>
    <t>Streetlights</t>
  </si>
  <si>
    <t>Resdidential</t>
  </si>
  <si>
    <t>2017:</t>
  </si>
  <si>
    <t>Balance of Province</t>
  </si>
  <si>
    <t>2015 - 2020 Conservation First Framework</t>
  </si>
  <si>
    <t>R</t>
  </si>
  <si>
    <t>1001-001-EM</t>
  </si>
  <si>
    <t>GS &gt; 50</t>
  </si>
  <si>
    <t>The Home Depot Canada</t>
  </si>
  <si>
    <t>Ontario</t>
  </si>
  <si>
    <t>962115</t>
  </si>
  <si>
    <t>Bala</t>
  </si>
  <si>
    <t>933916</t>
  </si>
  <si>
    <t>BRACEBIRDGE</t>
  </si>
  <si>
    <t>860250</t>
  </si>
  <si>
    <t>860971</t>
  </si>
  <si>
    <t>864819</t>
  </si>
  <si>
    <t>868763</t>
  </si>
  <si>
    <t>870688</t>
  </si>
  <si>
    <t>870712</t>
  </si>
  <si>
    <t>870980</t>
  </si>
  <si>
    <t>871675</t>
  </si>
  <si>
    <t>872994</t>
  </si>
  <si>
    <t>873251</t>
  </si>
  <si>
    <t>874144</t>
  </si>
  <si>
    <t>876228</t>
  </si>
  <si>
    <t>877205</t>
  </si>
  <si>
    <t>885090</t>
  </si>
  <si>
    <t>922338</t>
  </si>
  <si>
    <t>926427</t>
  </si>
  <si>
    <t>926504</t>
  </si>
  <si>
    <t>927937</t>
  </si>
  <si>
    <t>928279</t>
  </si>
  <si>
    <t>928868</t>
  </si>
  <si>
    <t>930357</t>
  </si>
  <si>
    <t>931779</t>
  </si>
  <si>
    <t>932149</t>
  </si>
  <si>
    <t>934722</t>
  </si>
  <si>
    <t>935316</t>
  </si>
  <si>
    <t>936045</t>
  </si>
  <si>
    <t>936313</t>
  </si>
  <si>
    <t>936861</t>
  </si>
  <si>
    <t>937682</t>
  </si>
  <si>
    <t>938480</t>
  </si>
  <si>
    <t>938635</t>
  </si>
  <si>
    <t>940823</t>
  </si>
  <si>
    <t>956306</t>
  </si>
  <si>
    <t>959752</t>
  </si>
  <si>
    <t>960039</t>
  </si>
  <si>
    <t>960327</t>
  </si>
  <si>
    <t>960333</t>
  </si>
  <si>
    <t>960338</t>
  </si>
  <si>
    <t>960929</t>
  </si>
  <si>
    <t>961312</t>
  </si>
  <si>
    <t>961715</t>
  </si>
  <si>
    <t>961815</t>
  </si>
  <si>
    <t>961823</t>
  </si>
  <si>
    <t>962915</t>
  </si>
  <si>
    <t>963877</t>
  </si>
  <si>
    <t>964284</t>
  </si>
  <si>
    <t>965769</t>
  </si>
  <si>
    <t>966754</t>
  </si>
  <si>
    <t>864052</t>
  </si>
  <si>
    <t>Burks Falls United Church</t>
  </si>
  <si>
    <t>896426</t>
  </si>
  <si>
    <t>DORSET</t>
  </si>
  <si>
    <t>851668</t>
  </si>
  <si>
    <t>HUntsville</t>
  </si>
  <si>
    <t>870324</t>
  </si>
  <si>
    <t>St Andrew's Presbyterian Church</t>
  </si>
  <si>
    <t>870472</t>
  </si>
  <si>
    <t>890029</t>
  </si>
  <si>
    <t>922865</t>
  </si>
  <si>
    <t>941588</t>
  </si>
  <si>
    <t>958085</t>
  </si>
  <si>
    <t>959529</t>
  </si>
  <si>
    <t>941608</t>
  </si>
  <si>
    <t>928114</t>
  </si>
  <si>
    <t>964234</t>
  </si>
  <si>
    <t>966880</t>
  </si>
  <si>
    <t>Royal Canadian Legion Branch # 390</t>
  </si>
  <si>
    <t>859277</t>
  </si>
  <si>
    <t>869806</t>
  </si>
  <si>
    <t>954665</t>
  </si>
  <si>
    <t>SUNDRIDGE</t>
  </si>
  <si>
    <t>955725</t>
  </si>
  <si>
    <t>Bethel Pentecostal Church</t>
  </si>
  <si>
    <t>958440</t>
  </si>
  <si>
    <t>890061</t>
  </si>
  <si>
    <t>LPD-31-00984</t>
  </si>
  <si>
    <t>LPD-49-01953</t>
  </si>
  <si>
    <t>LPD-49-02040</t>
  </si>
  <si>
    <t>LPD-52-02257</t>
  </si>
  <si>
    <t>LPD-52-02304</t>
  </si>
  <si>
    <t>LPD-52-02310</t>
  </si>
  <si>
    <t>LPD-52-02312</t>
  </si>
  <si>
    <t>LPD-52-02313</t>
  </si>
  <si>
    <t>LPD-49-01989</t>
  </si>
  <si>
    <t>BURKS FALLS</t>
  </si>
  <si>
    <t>LPD-52-02321</t>
  </si>
  <si>
    <t>LPD-52-02322</t>
  </si>
  <si>
    <t>LPD-52-02323</t>
  </si>
  <si>
    <t>LPD-52-02324</t>
  </si>
  <si>
    <t>LPD-52-02325</t>
  </si>
  <si>
    <t>LPD-52-02326</t>
  </si>
  <si>
    <t>LPD-52-02327</t>
  </si>
  <si>
    <t>LPD-52-02328</t>
  </si>
  <si>
    <t>LPD-52-02329</t>
  </si>
  <si>
    <t>LPD-52-02330</t>
  </si>
  <si>
    <t>LPD-52-02331</t>
  </si>
  <si>
    <t>LPD-52-02332</t>
  </si>
  <si>
    <t>LPD-52-02333</t>
  </si>
  <si>
    <t>LPD-49-02121</t>
  </si>
  <si>
    <t>LPD-49-02122</t>
  </si>
  <si>
    <t>LPD-52-02287</t>
  </si>
  <si>
    <t>LPD-52-02305</t>
  </si>
  <si>
    <t>LPD-31-00972</t>
  </si>
  <si>
    <t>LPD-31-00973</t>
  </si>
  <si>
    <t>LPD-49-01963</t>
  </si>
  <si>
    <t>LPD-49-02049</t>
  </si>
  <si>
    <t>Save on Energy Instant Discount Program</t>
  </si>
  <si>
    <t>170270</t>
  </si>
  <si>
    <t>G&lt;50</t>
  </si>
  <si>
    <t xml:space="preserve">33 Main </t>
  </si>
  <si>
    <t>170551</t>
  </si>
  <si>
    <t>174 Ontario</t>
  </si>
  <si>
    <t>Sunridge</t>
  </si>
  <si>
    <t>177125</t>
  </si>
  <si>
    <t>18 Main</t>
  </si>
  <si>
    <t>179892</t>
  </si>
  <si>
    <t xml:space="preserve">456 Ecclestone </t>
  </si>
  <si>
    <t>181043</t>
  </si>
  <si>
    <t>5 Main</t>
  </si>
  <si>
    <t>184875</t>
  </si>
  <si>
    <t>456 Ecclestone Drive</t>
  </si>
  <si>
    <t>183998</t>
  </si>
  <si>
    <t>81 Main</t>
  </si>
  <si>
    <t>187085</t>
  </si>
  <si>
    <t xml:space="preserve">225 Taylor </t>
  </si>
  <si>
    <t>170580</t>
  </si>
  <si>
    <t xml:space="preserve">98 Pine </t>
  </si>
  <si>
    <t>171640</t>
  </si>
  <si>
    <t>5 Mary</t>
  </si>
  <si>
    <t>182239</t>
  </si>
  <si>
    <t>110 Clearbrook</t>
  </si>
  <si>
    <t>169920</t>
  </si>
  <si>
    <t xml:space="preserve">20 Park </t>
  </si>
  <si>
    <t>179663</t>
  </si>
  <si>
    <t>1964 Muskoka Beach</t>
  </si>
  <si>
    <t>Gravenhurst</t>
  </si>
  <si>
    <t>179823</t>
  </si>
  <si>
    <t>500 Ontario</t>
  </si>
  <si>
    <t>182217</t>
  </si>
  <si>
    <t>23 John</t>
  </si>
  <si>
    <t>185057</t>
  </si>
  <si>
    <t>98 Pine</t>
  </si>
  <si>
    <t>185990</t>
  </si>
  <si>
    <t>450 Muskoka</t>
  </si>
  <si>
    <t>186673</t>
  </si>
  <si>
    <t>29 Main</t>
  </si>
  <si>
    <t>Individual</t>
  </si>
  <si>
    <t>420042-008</t>
  </si>
  <si>
    <t>GS &lt; 50</t>
  </si>
  <si>
    <t>295 Taylor Rd</t>
  </si>
  <si>
    <t>420042-011</t>
  </si>
  <si>
    <t>6 Robert Dollar Dr</t>
  </si>
  <si>
    <t>420005-004</t>
  </si>
  <si>
    <t>120 Taylor Rd</t>
  </si>
  <si>
    <t>420005-005</t>
  </si>
  <si>
    <t>132 Wellington St</t>
  </si>
  <si>
    <t>Temp</t>
  </si>
  <si>
    <t>420005-006</t>
  </si>
  <si>
    <t>54 Manitoba St</t>
  </si>
  <si>
    <t>420005-007</t>
  </si>
  <si>
    <t>52 Manitoba St</t>
  </si>
  <si>
    <t>420005-008</t>
  </si>
  <si>
    <t>169 Manitoba St</t>
  </si>
  <si>
    <t>420005-009</t>
  </si>
  <si>
    <t>133 Manitoba St</t>
  </si>
  <si>
    <t>420005-012</t>
  </si>
  <si>
    <t>146 Yonge St</t>
  </si>
  <si>
    <t>420005-013</t>
  </si>
  <si>
    <t>301 Ontario St</t>
  </si>
  <si>
    <t>420005-014</t>
  </si>
  <si>
    <t>9 Mary St</t>
  </si>
  <si>
    <t>420005-015</t>
  </si>
  <si>
    <t>164 Ontario St</t>
  </si>
  <si>
    <t>420018-003</t>
  </si>
  <si>
    <t>7 Armstrong St</t>
  </si>
  <si>
    <t>420018-004</t>
  </si>
  <si>
    <t>15 Chaffey St</t>
  </si>
  <si>
    <t>420018-005</t>
  </si>
  <si>
    <t>17 Manitoba St</t>
  </si>
  <si>
    <t>Store</t>
  </si>
  <si>
    <t>420018-006</t>
  </si>
  <si>
    <t>210 Ontario St</t>
  </si>
  <si>
    <t>420018-007</t>
  </si>
  <si>
    <t>10 Brunel Rd</t>
  </si>
  <si>
    <t>Lower</t>
  </si>
  <si>
    <t>420018-008</t>
  </si>
  <si>
    <t>26 Herman Ave</t>
  </si>
  <si>
    <t>House</t>
  </si>
  <si>
    <t>420018-009</t>
  </si>
  <si>
    <t>954 Paget St</t>
  </si>
  <si>
    <t>420018-010</t>
  </si>
  <si>
    <t>2 Cann St</t>
  </si>
  <si>
    <t>Bowl</t>
  </si>
  <si>
    <t>420018-013</t>
  </si>
  <si>
    <t>6 Cliff Ave</t>
  </si>
  <si>
    <t>420018-014</t>
  </si>
  <si>
    <t>6 Monica Lane</t>
  </si>
  <si>
    <t>420018-015</t>
  </si>
  <si>
    <t>729 Cedar Lane</t>
  </si>
  <si>
    <t>420018-017</t>
  </si>
  <si>
    <t>69 King William St</t>
  </si>
  <si>
    <t>420018-019</t>
  </si>
  <si>
    <t>77 Main St</t>
  </si>
  <si>
    <t>420018-020</t>
  </si>
  <si>
    <t>80 Main St</t>
  </si>
  <si>
    <t>420018-021</t>
  </si>
  <si>
    <t>93 Main St</t>
  </si>
  <si>
    <t>420022-001</t>
  </si>
  <si>
    <t>56 Manitoba St</t>
  </si>
  <si>
    <t>420022-002</t>
  </si>
  <si>
    <t>14 Manitoba St</t>
  </si>
  <si>
    <t>Two</t>
  </si>
  <si>
    <t>420022-003</t>
  </si>
  <si>
    <t>18 Brunel Rd</t>
  </si>
  <si>
    <t>420022-004</t>
  </si>
  <si>
    <t>31 Dairy Lane</t>
  </si>
  <si>
    <t>420022-005</t>
  </si>
  <si>
    <t>35 Dairy Lane</t>
  </si>
  <si>
    <t>420022-006</t>
  </si>
  <si>
    <t>24 Ontario St</t>
  </si>
  <si>
    <t>420022-009</t>
  </si>
  <si>
    <t>391 Manitoba St</t>
  </si>
  <si>
    <t>420022-010</t>
  </si>
  <si>
    <t>10 Kimberley Ave</t>
  </si>
  <si>
    <t>Hs</t>
  </si>
  <si>
    <t>420022-011</t>
  </si>
  <si>
    <t>420022-013</t>
  </si>
  <si>
    <t>1730 Winhara Rd</t>
  </si>
  <si>
    <t>420022-014</t>
  </si>
  <si>
    <t>50 Brodie Cres</t>
  </si>
  <si>
    <t>420024-001</t>
  </si>
  <si>
    <t>60 Manitoba St</t>
  </si>
  <si>
    <t>420024-002</t>
  </si>
  <si>
    <t>168 Muskoka Rd</t>
  </si>
  <si>
    <t>420024-003</t>
  </si>
  <si>
    <t>24 Manitoba St</t>
  </si>
  <si>
    <t>Upper</t>
  </si>
  <si>
    <t>420024-004</t>
  </si>
  <si>
    <t>15 Manitoba St</t>
  </si>
  <si>
    <t>420024-005</t>
  </si>
  <si>
    <t>50 Granite Bluff</t>
  </si>
  <si>
    <t>420024-006</t>
  </si>
  <si>
    <t>21 Veterans Way</t>
  </si>
  <si>
    <t>420024-007</t>
  </si>
  <si>
    <t>49 Main St E</t>
  </si>
  <si>
    <t>420024-008</t>
  </si>
  <si>
    <t>29 Monck Rd</t>
  </si>
  <si>
    <t>420024-009</t>
  </si>
  <si>
    <t>18 Chaffey St</t>
  </si>
  <si>
    <t>420024-011</t>
  </si>
  <si>
    <t>264 Manitoba St</t>
  </si>
  <si>
    <t>420042-001</t>
  </si>
  <si>
    <t>505 Highway #118 W</t>
  </si>
  <si>
    <t>420042-003</t>
  </si>
  <si>
    <t>30 Manitoba St</t>
  </si>
  <si>
    <t>420042-004</t>
  </si>
  <si>
    <t>1711 Winhara Rd</t>
  </si>
  <si>
    <t>420042-005</t>
  </si>
  <si>
    <t>295 Wellington St</t>
  </si>
  <si>
    <t>420042-006</t>
  </si>
  <si>
    <t>420042-007</t>
  </si>
  <si>
    <t>106 Manitoba St</t>
  </si>
  <si>
    <t>420042-009</t>
  </si>
  <si>
    <t>12 Centre St N</t>
  </si>
  <si>
    <t>420042-010</t>
  </si>
  <si>
    <t>88 Manitoba St</t>
  </si>
  <si>
    <t>420042-016</t>
  </si>
  <si>
    <t>63 Main St E</t>
  </si>
  <si>
    <t>Bike</t>
  </si>
  <si>
    <t>420042-018</t>
  </si>
  <si>
    <t>4 Mary St</t>
  </si>
  <si>
    <t>420042-022</t>
  </si>
  <si>
    <t>1 King William St</t>
  </si>
  <si>
    <t>Unit3</t>
  </si>
  <si>
    <t>420042-025</t>
  </si>
  <si>
    <t>39 Copeland St</t>
  </si>
  <si>
    <t>Libry</t>
  </si>
  <si>
    <t>420042-026</t>
  </si>
  <si>
    <t>6 Veterans Way</t>
  </si>
  <si>
    <t>420018-018</t>
  </si>
  <si>
    <t>Union</t>
  </si>
  <si>
    <t>Whole Home Pilot Program</t>
  </si>
  <si>
    <t>2018:</t>
  </si>
  <si>
    <t>Program_Name</t>
  </si>
  <si>
    <t>Application_ID</t>
  </si>
  <si>
    <t>Customer Account Number</t>
  </si>
  <si>
    <t>Company_
Name</t>
  </si>
  <si>
    <t>Applicant_
First_
Name</t>
  </si>
  <si>
    <t>Applicant_
Last_
Name</t>
  </si>
  <si>
    <t>Building_
Address_
Line_
1</t>
  </si>
  <si>
    <t>Building_
Address_
City</t>
  </si>
  <si>
    <t>Net Energy Savings</t>
  </si>
  <si>
    <t>Net Demand Savings</t>
  </si>
  <si>
    <t>Business Refrigeration Incentive</t>
  </si>
  <si>
    <t>BRI-420128-005</t>
  </si>
  <si>
    <t>BRI-420128-009</t>
  </si>
  <si>
    <t>BRI-420128-007</t>
  </si>
  <si>
    <t>12 Manitoba St</t>
  </si>
  <si>
    <t>BRI-420128-006</t>
  </si>
  <si>
    <t>70 King William</t>
  </si>
  <si>
    <t>10474 Hwy 124</t>
  </si>
  <si>
    <t>95 - Highway 118</t>
  </si>
  <si>
    <t>16 GRAY</t>
  </si>
  <si>
    <t>450 Ecclestone</t>
  </si>
  <si>
    <t>6 ROBERT DOLLAR</t>
  </si>
  <si>
    <t xml:space="preserve">10 John </t>
  </si>
  <si>
    <t xml:space="preserve">196 Taylor </t>
  </si>
  <si>
    <t>Bracbridge</t>
  </si>
  <si>
    <t>49 Pine</t>
  </si>
  <si>
    <t xml:space="preserve">700 Ecclestone </t>
  </si>
  <si>
    <t>700 Ecclestone</t>
  </si>
  <si>
    <t>105 Muskoka Road 118W</t>
  </si>
  <si>
    <t>Small Business Lighting</t>
  </si>
  <si>
    <t>420005-078</t>
  </si>
  <si>
    <t>420005-079</t>
  </si>
  <si>
    <t>420088-016</t>
  </si>
  <si>
    <t>19 Manitoba St</t>
  </si>
  <si>
    <t>420088-020</t>
  </si>
  <si>
    <t>44 Manitoba St</t>
  </si>
  <si>
    <t>420005-019</t>
  </si>
  <si>
    <t>274 Manitoba St</t>
  </si>
  <si>
    <t>420005-020</t>
  </si>
  <si>
    <t>46 Dominion St</t>
  </si>
  <si>
    <t>420005-022</t>
  </si>
  <si>
    <t>129 Alice St</t>
  </si>
  <si>
    <t>420088-008</t>
  </si>
  <si>
    <t>1029 Taylor Court</t>
  </si>
  <si>
    <t>420005-029</t>
  </si>
  <si>
    <t>29 Ann St</t>
  </si>
  <si>
    <t>420005-031</t>
  </si>
  <si>
    <t>39 Dominion St</t>
  </si>
  <si>
    <t>420005-038</t>
  </si>
  <si>
    <t>9 Ontario St</t>
  </si>
  <si>
    <t>420005-030</t>
  </si>
  <si>
    <t>6 Dominion St</t>
  </si>
  <si>
    <t>420005-039</t>
  </si>
  <si>
    <t>420005-052</t>
  </si>
  <si>
    <t>37 Main St</t>
  </si>
  <si>
    <t>420005-025</t>
  </si>
  <si>
    <t>131 Wellington St</t>
  </si>
  <si>
    <t>420005-050</t>
  </si>
  <si>
    <t>23 Balls Dr</t>
  </si>
  <si>
    <t>420005-051</t>
  </si>
  <si>
    <t>420005-053</t>
  </si>
  <si>
    <t>420005-055</t>
  </si>
  <si>
    <t>173 Manitoba St</t>
  </si>
  <si>
    <t>420005-056</t>
  </si>
  <si>
    <t>420005-057</t>
  </si>
  <si>
    <t>420005-058</t>
  </si>
  <si>
    <t>420005-059</t>
  </si>
  <si>
    <t>420005-060</t>
  </si>
  <si>
    <t>420005-061</t>
  </si>
  <si>
    <t>420088-017</t>
  </si>
  <si>
    <t>54 Dominion St</t>
  </si>
  <si>
    <t>420005-063</t>
  </si>
  <si>
    <t>Tier 1</t>
  </si>
  <si>
    <t>Consumer</t>
  </si>
  <si>
    <t>EE</t>
  </si>
  <si>
    <t>Commercial &amp; Institutional</t>
  </si>
  <si>
    <t>Pre-2011 Programs Completed in 2011</t>
  </si>
  <si>
    <t>Tier 1 - 2011 Adjustment</t>
  </si>
  <si>
    <t>C&amp;I</t>
  </si>
  <si>
    <t>Pre-2011 Programed Completed in 2011</t>
  </si>
  <si>
    <t>Home Assistance</t>
  </si>
  <si>
    <t>HVAC</t>
  </si>
  <si>
    <t>Commercial</t>
  </si>
  <si>
    <t>Annual Coupons</t>
  </si>
  <si>
    <t>Bi-Annual Retailer Events</t>
  </si>
  <si>
    <t>Energy Audit Funding</t>
  </si>
  <si>
    <t xml:space="preserve">Commercial </t>
  </si>
  <si>
    <t xml:space="preserve">Home Assistant </t>
  </si>
  <si>
    <t>DR</t>
  </si>
  <si>
    <t xml:space="preserve">Industrial </t>
  </si>
  <si>
    <t>Energy Managers</t>
  </si>
  <si>
    <t>Time-of-Use Savings</t>
  </si>
  <si>
    <t>Audit Funding</t>
  </si>
  <si>
    <t>Conservation Instant Coupons Initiative</t>
  </si>
  <si>
    <t>EEM</t>
  </si>
  <si>
    <t>Retail</t>
  </si>
  <si>
    <t>HAP</t>
  </si>
  <si>
    <t>Retrofit - Equipment replacement Incentive Initiative</t>
  </si>
  <si>
    <t>business</t>
  </si>
  <si>
    <t>DELETED AS PER NOTE ABOVE - DISPOSED OF IN 2013</t>
  </si>
  <si>
    <t>DELETED AS PER NOTE ABOVE - DISPOSED OF IN 2016</t>
  </si>
  <si>
    <t>GL Balance</t>
  </si>
  <si>
    <t>True Up</t>
  </si>
  <si>
    <t>DR 20.1568.100</t>
  </si>
  <si>
    <t>CR 20.4080.914</t>
  </si>
  <si>
    <t>DR 20.1568.102</t>
  </si>
  <si>
    <t>EB-2018-0050</t>
  </si>
  <si>
    <t>Save on Energy Smart Thermostat Program</t>
  </si>
  <si>
    <t>2018 Persistence into 2019 - Used 2017 LDC Persistence from the 2017 Verified annual results report (Except for refrigeration program because there was 0 in 2017 so I assumed it persisted at 100% like all the other programs did... Looked at the province wide persistence but it was over 100% so didn't feel that was appropriate to use)</t>
  </si>
  <si>
    <t>DELETED AS PER NOTE ABOVE - DISPOSED OF IN 2020</t>
  </si>
  <si>
    <t>CR 20.4405.102</t>
  </si>
  <si>
    <t>2018 Retorfit Adjustment:</t>
  </si>
  <si>
    <t>LDC Application ID</t>
  </si>
  <si>
    <t>Customer class</t>
  </si>
  <si>
    <t>Applicant_EmailAddress</t>
  </si>
  <si>
    <t>Building_Address_Line1</t>
  </si>
  <si>
    <t>Town</t>
  </si>
  <si>
    <t>LRAM YEAR</t>
  </si>
  <si>
    <t>Lead LDC</t>
  </si>
  <si>
    <t>Program Name</t>
  </si>
  <si>
    <t>IESO Reporting Period</t>
  </si>
  <si>
    <t>Project Completion Date</t>
  </si>
  <si>
    <t>Total Incentive ($)</t>
  </si>
  <si>
    <t>Total Demand Savings ()</t>
  </si>
  <si>
    <t>NTG Ratio</t>
  </si>
  <si>
    <t>Gross Total Energy Savings ()</t>
  </si>
  <si>
    <t>Net Total Energy Savings (kWh)</t>
  </si>
  <si>
    <t>Total Energy Savings ()</t>
  </si>
  <si>
    <t>Payment Status</t>
  </si>
  <si>
    <t>2018 LRAM ADJ</t>
  </si>
  <si>
    <t>LAKELAND POWER DISTRIBUTION LTD.</t>
  </si>
  <si>
    <t>SAVE ON ENERGY RETROFIT PROGRAM</t>
  </si>
  <si>
    <t>March 2019</t>
  </si>
  <si>
    <t>10/10/2018</t>
  </si>
  <si>
    <t>$905.00</t>
  </si>
  <si>
    <t>Paid</t>
  </si>
  <si>
    <t>01/01/2018</t>
  </si>
  <si>
    <t>$880.00</t>
  </si>
  <si>
    <t>10/25/2018</t>
  </si>
  <si>
    <t>$560.00</t>
  </si>
  <si>
    <t>10/24/2018</t>
  </si>
  <si>
    <t>$1,500.00</t>
  </si>
  <si>
    <t>09/28/2018</t>
  </si>
  <si>
    <t>$1,793.00</t>
  </si>
  <si>
    <t>09/15/2018</t>
  </si>
  <si>
    <t>$1,600.00</t>
  </si>
  <si>
    <t>12/08/2018</t>
  </si>
  <si>
    <t>$7,975.00</t>
  </si>
  <si>
    <t>08/30/2018</t>
  </si>
  <si>
    <t>$8,080.00</t>
  </si>
  <si>
    <t>Lakeland:</t>
  </si>
  <si>
    <t>EB-2020-0037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</si>
</sst>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 numFmtId="290" formatCode="#,##0.0"/>
    <numFmt numFmtId="291" formatCode="0.0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FF0000"/>
      <name val="Calibri"/>
      <family val="2"/>
      <scheme val="minor"/>
    </font>
    <font>
      <b/>
      <sz val="8"/>
      <color theme="1"/>
      <name val="Calibri"/>
      <family val="2"/>
      <scheme val="minor"/>
    </font>
    <font>
      <sz val="8"/>
      <name val="Calibri"/>
      <family val="2"/>
      <scheme val="minor"/>
    </font>
    <font>
      <sz val="8"/>
      <color rgb="FF000000"/>
      <name val="Calibri"/>
      <family val="2"/>
    </font>
    <font>
      <b/>
      <sz val="8"/>
      <name val="Calibri"/>
      <family val="2"/>
      <scheme val="minor"/>
    </font>
    <font>
      <sz val="8"/>
      <color rgb="FFFF0000"/>
      <name val="Calibri"/>
      <family val="2"/>
      <scheme val="minor"/>
    </font>
    <font>
      <b/>
      <sz val="11"/>
      <name val="Calibri"/>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6"/>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B5D4AA"/>
        <bgColor indexed="64"/>
      </patternFill>
    </fill>
    <fill>
      <patternFill patternType="solid">
        <fgColor rgb="FFE3EFDE"/>
        <bgColor indexed="64"/>
      </patternFill>
    </fill>
    <fill>
      <patternFill patternType="solid">
        <fgColor rgb="FFD5E7CD"/>
        <bgColor indexed="64"/>
      </patternFill>
    </fill>
    <fill>
      <patternFill patternType="solid">
        <fgColor rgb="FFF1F7EE"/>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auto="1"/>
      </top>
      <bottom style="double">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10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3" fillId="94" borderId="143" xfId="0" applyFont="1" applyFill="1" applyBorder="1" applyAlignment="1">
      <alignment horizontal="center"/>
    </xf>
    <xf numFmtId="0" fontId="228" fillId="0" borderId="0" xfId="0" applyFont="1" applyAlignment="1">
      <alignment horizontal="center" vertical="center" wrapText="1"/>
    </xf>
    <xf numFmtId="3" fontId="12" fillId="0" borderId="0" xfId="0" applyNumberFormat="1" applyFont="1"/>
    <xf numFmtId="49" fontId="12" fillId="0" borderId="0" xfId="0" applyNumberFormat="1" applyFont="1"/>
    <xf numFmtId="289" fontId="12" fillId="0" borderId="0" xfId="0" applyNumberFormat="1" applyFont="1"/>
    <xf numFmtId="0" fontId="0" fillId="0" borderId="0" xfId="0" applyAlignment="1">
      <alignment horizontal="center"/>
    </xf>
    <xf numFmtId="289" fontId="3" fillId="0" borderId="144" xfId="0" applyNumberFormat="1" applyFont="1" applyBorder="1"/>
    <xf numFmtId="0" fontId="228" fillId="0" borderId="5" xfId="0" applyFont="1" applyBorder="1" applyAlignment="1">
      <alignment horizontal="center"/>
    </xf>
    <xf numFmtId="0" fontId="0" fillId="0" borderId="0" xfId="0" applyAlignment="1">
      <alignment horizontal="right"/>
    </xf>
    <xf numFmtId="43" fontId="0" fillId="0" borderId="0" xfId="71" applyFont="1"/>
    <xf numFmtId="10" fontId="0" fillId="0" borderId="0" xfId="72" applyNumberFormat="1" applyFont="1"/>
    <xf numFmtId="43" fontId="3" fillId="0" borderId="144" xfId="0" applyNumberFormat="1" applyFont="1" applyBorder="1"/>
    <xf numFmtId="0" fontId="12" fillId="0" borderId="0" xfId="0" applyFont="1" applyAlignment="1">
      <alignment horizontal="center" vertical="center" wrapText="1"/>
    </xf>
    <xf numFmtId="0" fontId="12" fillId="0" borderId="0" xfId="0" applyFont="1" applyAlignment="1">
      <alignment horizontal="center" vertical="center"/>
    </xf>
    <xf numFmtId="3" fontId="0" fillId="0" borderId="0" xfId="0" applyNumberFormat="1" applyAlignment="1">
      <alignment horizontal="center"/>
    </xf>
    <xf numFmtId="39" fontId="0" fillId="0" borderId="0" xfId="71" applyNumberFormat="1" applyFont="1" applyAlignment="1">
      <alignment horizontal="center"/>
    </xf>
    <xf numFmtId="39" fontId="0" fillId="0" borderId="0" xfId="0" applyNumberFormat="1"/>
    <xf numFmtId="0" fontId="228" fillId="0" borderId="0" xfId="0" applyFont="1" applyAlignment="1">
      <alignment horizontal="right"/>
    </xf>
    <xf numFmtId="39" fontId="3" fillId="0" borderId="94" xfId="71" applyNumberFormat="1" applyFont="1" applyBorder="1" applyAlignment="1">
      <alignment horizontal="center"/>
    </xf>
    <xf numFmtId="43" fontId="3" fillId="0" borderId="144" xfId="71" applyFont="1" applyBorder="1"/>
    <xf numFmtId="43" fontId="3" fillId="0" borderId="0" xfId="0" applyNumberFormat="1" applyFont="1"/>
    <xf numFmtId="0" fontId="91" fillId="0" borderId="0" xfId="0" applyFont="1" applyAlignment="1">
      <alignment horizontal="center" vertical="center" wrapText="1"/>
    </xf>
    <xf numFmtId="49" fontId="3" fillId="0" borderId="0" xfId="0" applyNumberFormat="1" applyFont="1"/>
    <xf numFmtId="178" fontId="3" fillId="95" borderId="110" xfId="1440" applyNumberFormat="1" applyFont="1" applyFill="1" applyBorder="1" applyAlignment="1">
      <alignment horizontal="center" vertical="center" wrapText="1"/>
    </xf>
    <xf numFmtId="0" fontId="3" fillId="95" borderId="110" xfId="3126" applyFont="1" applyFill="1" applyBorder="1" applyAlignment="1">
      <alignment horizontal="center" vertical="center" wrapText="1"/>
    </xf>
    <xf numFmtId="257" fontId="3" fillId="95" borderId="110" xfId="3126" applyNumberFormat="1" applyFont="1" applyFill="1" applyBorder="1" applyAlignment="1">
      <alignment horizontal="center" vertical="center" wrapText="1"/>
    </xf>
    <xf numFmtId="170" fontId="3" fillId="95" borderId="110" xfId="1440" applyFont="1" applyFill="1" applyBorder="1" applyAlignment="1">
      <alignment horizontal="center" vertical="center" wrapText="1"/>
    </xf>
    <xf numFmtId="0" fontId="4" fillId="95" borderId="110" xfId="3126" applyFont="1" applyFill="1" applyBorder="1" applyAlignment="1">
      <alignment horizontal="center" vertical="center" wrapText="1"/>
    </xf>
    <xf numFmtId="0" fontId="3" fillId="95" borderId="110" xfId="0" applyFont="1" applyFill="1" applyBorder="1" applyAlignment="1">
      <alignment horizontal="center" vertical="center" wrapText="1"/>
    </xf>
    <xf numFmtId="0" fontId="4" fillId="95" borderId="122" xfId="3126" applyFont="1" applyFill="1" applyBorder="1" applyAlignment="1">
      <alignment horizontal="center" vertical="center" wrapText="1"/>
    </xf>
    <xf numFmtId="0" fontId="3" fillId="96" borderId="145" xfId="3126" applyFont="1" applyFill="1" applyBorder="1" applyAlignment="1">
      <alignment horizontal="center" vertical="center" wrapText="1"/>
    </xf>
    <xf numFmtId="0" fontId="3" fillId="96" borderId="110" xfId="3126" applyFont="1" applyFill="1" applyBorder="1" applyAlignment="1">
      <alignment horizontal="center" vertical="center" wrapText="1"/>
    </xf>
    <xf numFmtId="0" fontId="3" fillId="96" borderId="122" xfId="3126" applyFont="1" applyFill="1" applyBorder="1" applyAlignment="1">
      <alignment horizontal="center" vertical="center" wrapText="1"/>
    </xf>
    <xf numFmtId="0" fontId="3" fillId="95" borderId="145" xfId="3126" applyFont="1" applyFill="1" applyBorder="1" applyAlignment="1">
      <alignment horizontal="center" vertical="center" wrapText="1"/>
    </xf>
    <xf numFmtId="0" fontId="3" fillId="95" borderId="146" xfId="3126" applyFont="1" applyFill="1" applyBorder="1" applyAlignment="1">
      <alignment horizontal="center" vertical="center" wrapText="1"/>
    </xf>
    <xf numFmtId="0" fontId="3" fillId="96" borderId="134" xfId="3126" applyFont="1" applyFill="1" applyBorder="1" applyAlignment="1">
      <alignment horizontal="center" vertical="center" wrapText="1"/>
    </xf>
    <xf numFmtId="0" fontId="3" fillId="96" borderId="146" xfId="3126" applyFont="1" applyFill="1" applyBorder="1" applyAlignment="1">
      <alignment horizontal="center" vertical="center" wrapText="1"/>
    </xf>
    <xf numFmtId="0" fontId="3" fillId="95" borderId="134" xfId="3126" applyFont="1" applyFill="1" applyBorder="1" applyAlignment="1">
      <alignment horizontal="center" vertical="center" wrapText="1"/>
    </xf>
    <xf numFmtId="0" fontId="3" fillId="0" borderId="137" xfId="3145" applyFont="1" applyBorder="1" applyAlignment="1">
      <alignment horizontal="center" vertical="center" wrapText="1"/>
    </xf>
    <xf numFmtId="0" fontId="246" fillId="0" borderId="110" xfId="0" applyFont="1" applyBorder="1" applyAlignment="1">
      <alignment horizontal="center" vertical="center" wrapText="1"/>
    </xf>
    <xf numFmtId="290" fontId="246" fillId="0" borderId="110" xfId="0" applyNumberFormat="1" applyFont="1" applyBorder="1" applyAlignment="1">
      <alignment horizontal="center" vertical="center" wrapText="1"/>
    </xf>
    <xf numFmtId="178" fontId="6" fillId="97" borderId="110" xfId="1440" quotePrefix="1" applyNumberFormat="1" applyFill="1" applyBorder="1" applyAlignment="1">
      <alignment horizontal="right"/>
    </xf>
    <xf numFmtId="178" fontId="0" fillId="97" borderId="110" xfId="1440" quotePrefix="1" applyNumberFormat="1" applyFont="1" applyFill="1" applyBorder="1" applyAlignment="1">
      <alignment horizontal="right"/>
    </xf>
    <xf numFmtId="178" fontId="0" fillId="97" borderId="110" xfId="1440" quotePrefix="1" applyNumberFormat="1" applyFont="1" applyFill="1" applyBorder="1" applyAlignment="1">
      <alignment horizontal="left"/>
    </xf>
    <xf numFmtId="0" fontId="6" fillId="97" borderId="110" xfId="3146" quotePrefix="1" applyFont="1" applyFill="1" applyBorder="1" applyAlignment="1">
      <alignment horizontal="right"/>
    </xf>
    <xf numFmtId="257" fontId="0" fillId="97" borderId="0" xfId="3126" applyNumberFormat="1" applyFont="1" applyFill="1" applyAlignment="1">
      <alignment horizontal="right"/>
    </xf>
    <xf numFmtId="1" fontId="6" fillId="97" borderId="110" xfId="3146" quotePrefix="1" applyNumberFormat="1" applyFont="1" applyFill="1" applyBorder="1" applyAlignment="1">
      <alignment horizontal="right"/>
    </xf>
    <xf numFmtId="0" fontId="6" fillId="97" borderId="110" xfId="3146" applyFont="1" applyFill="1" applyBorder="1" applyAlignment="1">
      <alignment horizontal="right"/>
    </xf>
    <xf numFmtId="170" fontId="6" fillId="97" borderId="110" xfId="1440" quotePrefix="1" applyFill="1" applyBorder="1" applyAlignment="1">
      <alignment horizontal="right"/>
    </xf>
    <xf numFmtId="3" fontId="6" fillId="97" borderId="110" xfId="8" quotePrefix="1" applyNumberFormat="1" applyFont="1" applyFill="1" applyBorder="1" applyAlignment="1">
      <alignment horizontal="right"/>
    </xf>
    <xf numFmtId="2" fontId="6" fillId="97" borderId="110" xfId="8" quotePrefix="1" applyNumberFormat="1" applyFont="1" applyFill="1" applyBorder="1" applyAlignment="1">
      <alignment horizontal="right"/>
    </xf>
    <xf numFmtId="9" fontId="6" fillId="97" borderId="110" xfId="8" quotePrefix="1" applyFont="1" applyFill="1" applyBorder="1" applyAlignment="1">
      <alignment horizontal="right"/>
    </xf>
    <xf numFmtId="0" fontId="6" fillId="97" borderId="110" xfId="4539" applyFill="1" applyBorder="1" applyAlignment="1">
      <alignment horizontal="right"/>
    </xf>
    <xf numFmtId="237" fontId="6" fillId="97" borderId="110" xfId="8" quotePrefix="1" applyNumberFormat="1" applyFont="1" applyFill="1" applyBorder="1" applyAlignment="1">
      <alignment horizontal="right"/>
    </xf>
    <xf numFmtId="0" fontId="101" fillId="97" borderId="110" xfId="3146" applyFill="1" applyBorder="1" applyAlignment="1">
      <alignment horizontal="right"/>
    </xf>
    <xf numFmtId="175" fontId="6" fillId="97" borderId="110" xfId="1798" quotePrefix="1" applyNumberFormat="1" applyFill="1" applyBorder="1" applyAlignment="1">
      <alignment horizontal="right"/>
    </xf>
    <xf numFmtId="221" fontId="6" fillId="97" borderId="110" xfId="1798" quotePrefix="1" applyNumberFormat="1" applyFill="1" applyBorder="1" applyAlignment="1">
      <alignment horizontal="right"/>
    </xf>
    <xf numFmtId="43" fontId="6" fillId="97" borderId="110" xfId="1" quotePrefix="1" applyFont="1" applyFill="1" applyBorder="1" applyAlignment="1">
      <alignment horizontal="right"/>
    </xf>
    <xf numFmtId="181" fontId="6" fillId="97" borderId="110" xfId="1" quotePrefix="1" applyNumberFormat="1" applyFont="1" applyFill="1" applyBorder="1" applyAlignment="1">
      <alignment horizontal="right"/>
    </xf>
    <xf numFmtId="0" fontId="0" fillId="97" borderId="0" xfId="0" applyFill="1" applyAlignment="1">
      <alignment horizontal="right"/>
    </xf>
    <xf numFmtId="0" fontId="0" fillId="97" borderId="0" xfId="0" applyFill="1"/>
    <xf numFmtId="178" fontId="6" fillId="94" borderId="110" xfId="1440" quotePrefix="1" applyNumberFormat="1" applyFill="1" applyBorder="1" applyAlignment="1">
      <alignment horizontal="right"/>
    </xf>
    <xf numFmtId="178" fontId="0" fillId="94" borderId="110" xfId="1440" quotePrefix="1" applyNumberFormat="1" applyFont="1" applyFill="1" applyBorder="1" applyAlignment="1">
      <alignment horizontal="left"/>
    </xf>
    <xf numFmtId="178" fontId="0" fillId="94" borderId="110" xfId="1440" quotePrefix="1" applyNumberFormat="1" applyFont="1" applyFill="1" applyBorder="1" applyAlignment="1">
      <alignment horizontal="right"/>
    </xf>
    <xf numFmtId="0" fontId="6" fillId="94" borderId="110" xfId="3146" quotePrefix="1" applyFont="1" applyFill="1" applyBorder="1" applyAlignment="1">
      <alignment horizontal="right"/>
    </xf>
    <xf numFmtId="257" fontId="0" fillId="94" borderId="0" xfId="3126" applyNumberFormat="1" applyFont="1" applyFill="1" applyAlignment="1">
      <alignment horizontal="right"/>
    </xf>
    <xf numFmtId="1" fontId="6" fillId="94" borderId="110" xfId="3146" quotePrefix="1" applyNumberFormat="1" applyFont="1" applyFill="1" applyBorder="1" applyAlignment="1">
      <alignment horizontal="right"/>
    </xf>
    <xf numFmtId="0" fontId="6" fillId="94" borderId="110" xfId="3146" applyFont="1" applyFill="1" applyBorder="1" applyAlignment="1">
      <alignment horizontal="right"/>
    </xf>
    <xf numFmtId="170" fontId="6" fillId="94" borderId="110" xfId="1440" quotePrefix="1" applyFill="1" applyBorder="1" applyAlignment="1">
      <alignment horizontal="right"/>
    </xf>
    <xf numFmtId="3" fontId="6" fillId="94" borderId="110" xfId="8" quotePrefix="1" applyNumberFormat="1" applyFont="1" applyFill="1" applyBorder="1" applyAlignment="1">
      <alignment horizontal="right"/>
    </xf>
    <xf numFmtId="2" fontId="6" fillId="94" borderId="110" xfId="8" quotePrefix="1" applyNumberFormat="1" applyFont="1" applyFill="1" applyBorder="1" applyAlignment="1">
      <alignment horizontal="right"/>
    </xf>
    <xf numFmtId="9" fontId="6" fillId="94" borderId="110" xfId="8" quotePrefix="1" applyFont="1" applyFill="1" applyBorder="1" applyAlignment="1">
      <alignment horizontal="right"/>
    </xf>
    <xf numFmtId="0" fontId="6" fillId="94" borderId="110" xfId="4539" applyFill="1" applyBorder="1" applyAlignment="1">
      <alignment horizontal="right"/>
    </xf>
    <xf numFmtId="237" fontId="6" fillId="94" borderId="110" xfId="8" quotePrefix="1" applyNumberFormat="1" applyFont="1" applyFill="1" applyBorder="1" applyAlignment="1">
      <alignment horizontal="right"/>
    </xf>
    <xf numFmtId="0" fontId="101" fillId="94" borderId="110" xfId="3146" applyFill="1" applyBorder="1" applyAlignment="1">
      <alignment horizontal="right"/>
    </xf>
    <xf numFmtId="175" fontId="6" fillId="94" borderId="110" xfId="1798" quotePrefix="1" applyNumberFormat="1" applyFill="1" applyBorder="1" applyAlignment="1">
      <alignment horizontal="right"/>
    </xf>
    <xf numFmtId="221" fontId="6" fillId="94" borderId="110" xfId="1798" quotePrefix="1" applyNumberFormat="1" applyFill="1" applyBorder="1" applyAlignment="1">
      <alignment horizontal="right"/>
    </xf>
    <xf numFmtId="43" fontId="6" fillId="94" borderId="110" xfId="1" quotePrefix="1" applyFont="1" applyFill="1" applyBorder="1" applyAlignment="1">
      <alignment horizontal="right"/>
    </xf>
    <xf numFmtId="181" fontId="6" fillId="94" borderId="110" xfId="1" quotePrefix="1" applyNumberFormat="1" applyFont="1" applyFill="1" applyBorder="1" applyAlignment="1">
      <alignment horizontal="right"/>
    </xf>
    <xf numFmtId="0" fontId="0" fillId="94" borderId="0" xfId="0" applyFill="1"/>
    <xf numFmtId="178" fontId="6" fillId="98" borderId="110" xfId="1440" quotePrefix="1" applyNumberFormat="1" applyFill="1" applyBorder="1" applyAlignment="1">
      <alignment horizontal="right"/>
    </xf>
    <xf numFmtId="178" fontId="0" fillId="98" borderId="110" xfId="1440" quotePrefix="1" applyNumberFormat="1" applyFont="1" applyFill="1" applyBorder="1" applyAlignment="1">
      <alignment horizontal="left"/>
    </xf>
    <xf numFmtId="178" fontId="0" fillId="98" borderId="110" xfId="1440" quotePrefix="1" applyNumberFormat="1" applyFont="1" applyFill="1" applyBorder="1" applyAlignment="1">
      <alignment horizontal="right"/>
    </xf>
    <xf numFmtId="0" fontId="6" fillId="98" borderId="110" xfId="3146" quotePrefix="1" applyFont="1" applyFill="1" applyBorder="1" applyAlignment="1">
      <alignment horizontal="right"/>
    </xf>
    <xf numFmtId="257" fontId="0" fillId="98" borderId="0" xfId="3126" applyNumberFormat="1" applyFont="1" applyFill="1" applyAlignment="1">
      <alignment horizontal="right"/>
    </xf>
    <xf numFmtId="1" fontId="6" fillId="98" borderId="110" xfId="3146" quotePrefix="1" applyNumberFormat="1" applyFont="1" applyFill="1" applyBorder="1" applyAlignment="1">
      <alignment horizontal="right"/>
    </xf>
    <xf numFmtId="0" fontId="6" fillId="98" borderId="110" xfId="3146" applyFont="1" applyFill="1" applyBorder="1" applyAlignment="1">
      <alignment horizontal="right"/>
    </xf>
    <xf numFmtId="170" fontId="6" fillId="98" borderId="110" xfId="1440" quotePrefix="1" applyFill="1" applyBorder="1" applyAlignment="1">
      <alignment horizontal="right"/>
    </xf>
    <xf numFmtId="3" fontId="6" fillId="98" borderId="110" xfId="8" quotePrefix="1" applyNumberFormat="1" applyFont="1" applyFill="1" applyBorder="1" applyAlignment="1">
      <alignment horizontal="right"/>
    </xf>
    <xf numFmtId="2" fontId="6" fillId="98" borderId="110" xfId="8" quotePrefix="1" applyNumberFormat="1" applyFont="1" applyFill="1" applyBorder="1" applyAlignment="1">
      <alignment horizontal="right"/>
    </xf>
    <xf numFmtId="9" fontId="6" fillId="98" borderId="110" xfId="8" quotePrefix="1" applyFont="1" applyFill="1" applyBorder="1" applyAlignment="1">
      <alignment horizontal="right"/>
    </xf>
    <xf numFmtId="0" fontId="6" fillId="98" borderId="110" xfId="4539" applyFill="1" applyBorder="1" applyAlignment="1">
      <alignment horizontal="right"/>
    </xf>
    <xf numFmtId="237" fontId="6" fillId="98" borderId="110" xfId="8" quotePrefix="1" applyNumberFormat="1" applyFont="1" applyFill="1" applyBorder="1" applyAlignment="1">
      <alignment horizontal="right"/>
    </xf>
    <xf numFmtId="0" fontId="101" fillId="98" borderId="110" xfId="3146" applyFill="1" applyBorder="1" applyAlignment="1">
      <alignment horizontal="right"/>
    </xf>
    <xf numFmtId="175" fontId="6" fillId="98" borderId="110" xfId="1798" quotePrefix="1" applyNumberFormat="1" applyFill="1" applyBorder="1" applyAlignment="1">
      <alignment horizontal="right"/>
    </xf>
    <xf numFmtId="221" fontId="6" fillId="98" borderId="110" xfId="1798" quotePrefix="1" applyNumberFormat="1" applyFill="1" applyBorder="1" applyAlignment="1">
      <alignment horizontal="right"/>
    </xf>
    <xf numFmtId="43" fontId="6" fillId="98" borderId="110" xfId="1" quotePrefix="1" applyFont="1" applyFill="1" applyBorder="1" applyAlignment="1">
      <alignment horizontal="right"/>
    </xf>
    <xf numFmtId="181" fontId="6" fillId="98" borderId="110" xfId="1" quotePrefix="1" applyNumberFormat="1" applyFont="1" applyFill="1" applyBorder="1" applyAlignment="1">
      <alignment horizontal="right"/>
    </xf>
    <xf numFmtId="0" fontId="0" fillId="98" borderId="0" xfId="0" applyFill="1" applyAlignment="1">
      <alignment horizontal="right"/>
    </xf>
    <xf numFmtId="0" fontId="0" fillId="98" borderId="0" xfId="0" applyFill="1"/>
    <xf numFmtId="178" fontId="6" fillId="96" borderId="110" xfId="1440" quotePrefix="1" applyNumberFormat="1" applyFill="1" applyBorder="1" applyAlignment="1">
      <alignment horizontal="right"/>
    </xf>
    <xf numFmtId="178" fontId="0" fillId="96" borderId="110" xfId="1440" quotePrefix="1" applyNumberFormat="1" applyFont="1" applyFill="1" applyBorder="1" applyAlignment="1">
      <alignment horizontal="left"/>
    </xf>
    <xf numFmtId="178" fontId="0" fillId="96" borderId="110" xfId="1440" quotePrefix="1" applyNumberFormat="1" applyFont="1" applyFill="1" applyBorder="1" applyAlignment="1">
      <alignment horizontal="right"/>
    </xf>
    <xf numFmtId="0" fontId="6" fillId="96" borderId="110" xfId="3146" quotePrefix="1" applyFont="1" applyFill="1" applyBorder="1" applyAlignment="1">
      <alignment horizontal="right"/>
    </xf>
    <xf numFmtId="257" fontId="0" fillId="96" borderId="0" xfId="3126" applyNumberFormat="1" applyFont="1" applyFill="1" applyAlignment="1">
      <alignment horizontal="right"/>
    </xf>
    <xf numFmtId="1" fontId="6" fillId="96" borderId="110" xfId="3146" quotePrefix="1" applyNumberFormat="1" applyFont="1" applyFill="1" applyBorder="1" applyAlignment="1">
      <alignment horizontal="right"/>
    </xf>
    <xf numFmtId="0" fontId="6" fillId="96" borderId="110" xfId="3146" applyFont="1" applyFill="1" applyBorder="1" applyAlignment="1">
      <alignment horizontal="right"/>
    </xf>
    <xf numFmtId="170" fontId="6" fillId="96" borderId="110" xfId="1440" quotePrefix="1" applyFill="1" applyBorder="1" applyAlignment="1">
      <alignment horizontal="right"/>
    </xf>
    <xf numFmtId="3" fontId="6" fillId="96" borderId="110" xfId="8" quotePrefix="1" applyNumberFormat="1" applyFont="1" applyFill="1" applyBorder="1" applyAlignment="1">
      <alignment horizontal="right"/>
    </xf>
    <xf numFmtId="2" fontId="6" fillId="96" borderId="110" xfId="8" quotePrefix="1" applyNumberFormat="1" applyFont="1" applyFill="1" applyBorder="1" applyAlignment="1">
      <alignment horizontal="right"/>
    </xf>
    <xf numFmtId="9" fontId="6" fillId="96" borderId="110" xfId="8" quotePrefix="1" applyFont="1" applyFill="1" applyBorder="1" applyAlignment="1">
      <alignment horizontal="right"/>
    </xf>
    <xf numFmtId="0" fontId="6" fillId="96" borderId="110" xfId="4539" applyFill="1" applyBorder="1" applyAlignment="1">
      <alignment horizontal="right"/>
    </xf>
    <xf numFmtId="237" fontId="6" fillId="96" borderId="110" xfId="8" quotePrefix="1" applyNumberFormat="1" applyFont="1" applyFill="1" applyBorder="1" applyAlignment="1">
      <alignment horizontal="right"/>
    </xf>
    <xf numFmtId="0" fontId="101" fillId="96" borderId="110" xfId="3146" applyFill="1" applyBorder="1" applyAlignment="1">
      <alignment horizontal="right"/>
    </xf>
    <xf numFmtId="175" fontId="6" fillId="96" borderId="110" xfId="1798" quotePrefix="1" applyNumberFormat="1" applyFill="1" applyBorder="1" applyAlignment="1">
      <alignment horizontal="right"/>
    </xf>
    <xf numFmtId="221" fontId="6" fillId="96" borderId="110" xfId="1798" quotePrefix="1" applyNumberFormat="1" applyFill="1" applyBorder="1" applyAlignment="1">
      <alignment horizontal="right"/>
    </xf>
    <xf numFmtId="43" fontId="6" fillId="96" borderId="110" xfId="1" quotePrefix="1" applyFont="1" applyFill="1" applyBorder="1" applyAlignment="1">
      <alignment horizontal="right"/>
    </xf>
    <xf numFmtId="181" fontId="6" fillId="96" borderId="110" xfId="1" quotePrefix="1" applyNumberFormat="1" applyFont="1" applyFill="1" applyBorder="1" applyAlignment="1">
      <alignment horizontal="right"/>
    </xf>
    <xf numFmtId="0" fontId="0" fillId="96" borderId="0" xfId="0" applyFill="1" applyAlignment="1">
      <alignment horizontal="right"/>
    </xf>
    <xf numFmtId="0" fontId="0" fillId="96" borderId="0" xfId="0" applyFill="1"/>
    <xf numFmtId="178" fontId="0" fillId="0" borderId="0" xfId="1440" applyNumberFormat="1" applyFont="1"/>
    <xf numFmtId="178" fontId="0" fillId="97" borderId="0" xfId="1440" applyNumberFormat="1" applyFont="1" applyFill="1"/>
    <xf numFmtId="9" fontId="0" fillId="97" borderId="0" xfId="72" applyFont="1" applyFill="1"/>
    <xf numFmtId="178" fontId="0" fillId="94" borderId="0" xfId="1440" applyNumberFormat="1" applyFont="1" applyFill="1"/>
    <xf numFmtId="9" fontId="0" fillId="94" borderId="0" xfId="72" applyFont="1" applyFill="1"/>
    <xf numFmtId="178" fontId="0" fillId="98" borderId="0" xfId="1440" quotePrefix="1" applyNumberFormat="1" applyFont="1" applyFill="1" applyAlignment="1">
      <alignment horizontal="left"/>
    </xf>
    <xf numFmtId="9" fontId="0" fillId="98" borderId="0" xfId="72" applyFont="1" applyFill="1"/>
    <xf numFmtId="178" fontId="0" fillId="96" borderId="0" xfId="1440" quotePrefix="1" applyNumberFormat="1" applyFont="1" applyFill="1" applyAlignment="1">
      <alignment horizontal="left"/>
    </xf>
    <xf numFmtId="9" fontId="0" fillId="96" borderId="0" xfId="72" applyFont="1" applyFill="1"/>
    <xf numFmtId="178" fontId="3" fillId="0" borderId="0" xfId="1440" applyNumberFormat="1" applyFont="1"/>
    <xf numFmtId="49" fontId="3" fillId="2" borderId="0" xfId="0" applyNumberFormat="1" applyFont="1" applyFill="1"/>
    <xf numFmtId="0" fontId="247" fillId="99" borderId="137" xfId="0" applyFont="1" applyFill="1" applyBorder="1" applyAlignment="1">
      <alignment vertical="top" wrapText="1"/>
    </xf>
    <xf numFmtId="0" fontId="238" fillId="0" borderId="0" xfId="0" applyFont="1" applyAlignment="1">
      <alignment vertical="top"/>
    </xf>
    <xf numFmtId="9" fontId="247" fillId="0" borderId="0" xfId="0" applyNumberFormat="1" applyFont="1" applyAlignment="1">
      <alignment vertical="top"/>
    </xf>
    <xf numFmtId="0" fontId="247" fillId="0" borderId="0" xfId="0" applyFont="1" applyAlignment="1">
      <alignment vertical="top"/>
    </xf>
    <xf numFmtId="0" fontId="238" fillId="0" borderId="0" xfId="0" applyFont="1" applyAlignment="1">
      <alignment horizontal="left" vertical="top"/>
    </xf>
    <xf numFmtId="0" fontId="238" fillId="0" borderId="0" xfId="0" applyFont="1" applyAlignment="1">
      <alignment horizontal="center" vertical="top"/>
    </xf>
    <xf numFmtId="0" fontId="248" fillId="0" borderId="0" xfId="0" applyFont="1" applyAlignment="1">
      <alignment horizontal="left" vertical="top"/>
    </xf>
    <xf numFmtId="0" fontId="249" fillId="0" borderId="0" xfId="0" applyFont="1" applyAlignment="1">
      <alignment vertical="top"/>
    </xf>
    <xf numFmtId="0" fontId="249" fillId="0" borderId="0" xfId="0" applyFont="1" applyAlignment="1">
      <alignment horizontal="left" vertical="top"/>
    </xf>
    <xf numFmtId="0" fontId="248" fillId="0" borderId="0" xfId="0" applyFont="1" applyAlignment="1">
      <alignment vertical="top"/>
    </xf>
    <xf numFmtId="0" fontId="248" fillId="0" borderId="5" xfId="0" applyFont="1" applyBorder="1" applyAlignment="1">
      <alignment vertical="top"/>
    </xf>
    <xf numFmtId="237" fontId="250" fillId="0" borderId="0" xfId="0" applyNumberFormat="1" applyFont="1" applyAlignment="1">
      <alignment horizontal="left" vertical="top"/>
    </xf>
    <xf numFmtId="0" fontId="250" fillId="0" borderId="0" xfId="0" applyFont="1" applyAlignment="1">
      <alignment vertical="top"/>
    </xf>
    <xf numFmtId="46" fontId="3" fillId="2" borderId="0" xfId="0" quotePrefix="1" applyNumberFormat="1" applyFont="1" applyFill="1"/>
    <xf numFmtId="0" fontId="238" fillId="100" borderId="3" xfId="0" applyFont="1" applyFill="1" applyBorder="1" applyAlignment="1">
      <alignment vertical="top"/>
    </xf>
    <xf numFmtId="0" fontId="238" fillId="101" borderId="35" xfId="0" applyFont="1" applyFill="1" applyBorder="1" applyAlignment="1">
      <alignment vertical="top"/>
    </xf>
    <xf numFmtId="0" fontId="238" fillId="100" borderId="35" xfId="0" applyFont="1" applyFill="1" applyBorder="1" applyAlignment="1">
      <alignment vertical="top"/>
    </xf>
    <xf numFmtId="0" fontId="238" fillId="100" borderId="45" xfId="0" applyFont="1" applyFill="1" applyBorder="1" applyAlignment="1">
      <alignment vertical="top"/>
    </xf>
    <xf numFmtId="0" fontId="238" fillId="101" borderId="3" xfId="0" applyFont="1" applyFill="1" applyBorder="1" applyAlignment="1">
      <alignment vertical="top"/>
    </xf>
    <xf numFmtId="0" fontId="238" fillId="101" borderId="147" xfId="0" applyFont="1" applyFill="1" applyBorder="1" applyAlignment="1">
      <alignment vertical="top"/>
    </xf>
    <xf numFmtId="0" fontId="238" fillId="2" borderId="3" xfId="0" applyFont="1" applyFill="1" applyBorder="1" applyAlignment="1">
      <alignment vertical="top"/>
    </xf>
    <xf numFmtId="0" fontId="238" fillId="102" borderId="35" xfId="0" applyFont="1" applyFill="1" applyBorder="1" applyAlignment="1">
      <alignment vertical="top"/>
    </xf>
    <xf numFmtId="0" fontId="238" fillId="2" borderId="35" xfId="0" applyFont="1" applyFill="1" applyBorder="1" applyAlignment="1">
      <alignment vertical="top"/>
    </xf>
    <xf numFmtId="0" fontId="238" fillId="2" borderId="45" xfId="0" applyFont="1" applyFill="1" applyBorder="1" applyAlignment="1">
      <alignment vertical="top"/>
    </xf>
    <xf numFmtId="0" fontId="238" fillId="102" borderId="3" xfId="0" applyFont="1" applyFill="1" applyBorder="1" applyAlignment="1">
      <alignment vertical="top"/>
    </xf>
    <xf numFmtId="0" fontId="238" fillId="101" borderId="116" xfId="0" applyFont="1" applyFill="1" applyBorder="1" applyAlignment="1">
      <alignment vertical="top"/>
    </xf>
    <xf numFmtId="9" fontId="238" fillId="101" borderId="147" xfId="0" applyNumberFormat="1" applyFont="1" applyFill="1" applyBorder="1" applyAlignment="1">
      <alignment vertical="top"/>
    </xf>
    <xf numFmtId="9" fontId="238" fillId="101" borderId="148" xfId="0" applyNumberFormat="1" applyFont="1" applyFill="1" applyBorder="1" applyAlignment="1">
      <alignment vertical="top"/>
    </xf>
    <xf numFmtId="0" fontId="238" fillId="2" borderId="147" xfId="0" applyFont="1" applyFill="1" applyBorder="1" applyAlignment="1">
      <alignment vertical="top"/>
    </xf>
    <xf numFmtId="4" fontId="251" fillId="2" borderId="35" xfId="0" applyNumberFormat="1" applyFont="1" applyFill="1" applyBorder="1" applyAlignment="1">
      <alignment vertical="top"/>
    </xf>
    <xf numFmtId="0" fontId="238" fillId="102" borderId="147" xfId="0" applyFont="1" applyFill="1" applyBorder="1" applyAlignment="1">
      <alignment vertical="top"/>
    </xf>
    <xf numFmtId="4" fontId="251" fillId="100" borderId="35" xfId="0" applyNumberFormat="1" applyFont="1" applyFill="1" applyBorder="1" applyAlignment="1">
      <alignment vertical="top"/>
    </xf>
    <xf numFmtId="4" fontId="251" fillId="2" borderId="116" xfId="0" applyNumberFormat="1" applyFont="1" applyFill="1" applyBorder="1" applyAlignment="1">
      <alignment vertical="top"/>
    </xf>
    <xf numFmtId="0" fontId="238" fillId="102" borderId="116" xfId="0" applyFont="1" applyFill="1" applyBorder="1" applyAlignment="1">
      <alignment vertical="top"/>
    </xf>
    <xf numFmtId="4" fontId="238" fillId="101" borderId="148" xfId="0" applyNumberFormat="1" applyFont="1" applyFill="1" applyBorder="1" applyAlignment="1">
      <alignment vertical="top"/>
    </xf>
    <xf numFmtId="9" fontId="238" fillId="101" borderId="148" xfId="72" applyFont="1" applyFill="1" applyBorder="1" applyAlignment="1">
      <alignment vertical="top"/>
    </xf>
    <xf numFmtId="0" fontId="238" fillId="101" borderId="148" xfId="0" applyFont="1" applyFill="1" applyBorder="1" applyAlignment="1">
      <alignment vertical="top"/>
    </xf>
    <xf numFmtId="0" fontId="238" fillId="102" borderId="108" xfId="0" applyFont="1" applyFill="1" applyBorder="1" applyAlignment="1">
      <alignment vertical="top"/>
    </xf>
    <xf numFmtId="4" fontId="251" fillId="2" borderId="0" xfId="0" applyNumberFormat="1" applyFont="1" applyFill="1" applyAlignment="1">
      <alignment vertical="top"/>
    </xf>
    <xf numFmtId="4" fontId="251" fillId="100" borderId="53" xfId="0" applyNumberFormat="1" applyFont="1" applyFill="1" applyBorder="1" applyAlignment="1">
      <alignment vertical="top"/>
    </xf>
    <xf numFmtId="4" fontId="251" fillId="2" borderId="36" xfId="0" applyNumberFormat="1" applyFont="1" applyFill="1" applyBorder="1" applyAlignment="1">
      <alignment vertical="top"/>
    </xf>
    <xf numFmtId="4" fontId="251" fillId="2" borderId="41" xfId="0" applyNumberFormat="1" applyFont="1" applyFill="1" applyBorder="1" applyAlignment="1">
      <alignment vertical="top"/>
    </xf>
    <xf numFmtId="4" fontId="251" fillId="100" borderId="41" xfId="0" applyNumberFormat="1" applyFont="1" applyFill="1" applyBorder="1" applyAlignment="1">
      <alignment vertical="top"/>
    </xf>
    <xf numFmtId="4" fontId="251" fillId="2" borderId="3" xfId="0" applyNumberFormat="1" applyFont="1" applyFill="1" applyBorder="1" applyAlignment="1">
      <alignment vertical="top"/>
    </xf>
    <xf numFmtId="4" fontId="251" fillId="100" borderId="3" xfId="0" applyNumberFormat="1" applyFont="1" applyFill="1" applyBorder="1" applyAlignment="1">
      <alignment vertical="top"/>
    </xf>
    <xf numFmtId="4" fontId="238" fillId="102" borderId="148" xfId="0" applyNumberFormat="1" applyFont="1" applyFill="1" applyBorder="1" applyAlignment="1">
      <alignment vertical="top"/>
    </xf>
    <xf numFmtId="0" fontId="248" fillId="2" borderId="3" xfId="0" applyFont="1" applyFill="1" applyBorder="1" applyAlignment="1">
      <alignment vertical="top"/>
    </xf>
    <xf numFmtId="0" fontId="248" fillId="102" borderId="35" xfId="0" applyFont="1" applyFill="1" applyBorder="1" applyAlignment="1">
      <alignment vertical="top"/>
    </xf>
    <xf numFmtId="0" fontId="248" fillId="2" borderId="35" xfId="0" applyFont="1" applyFill="1" applyBorder="1" applyAlignment="1">
      <alignment vertical="top"/>
    </xf>
    <xf numFmtId="0" fontId="248" fillId="2" borderId="45" xfId="0" applyFont="1" applyFill="1" applyBorder="1" applyAlignment="1">
      <alignment vertical="top"/>
    </xf>
    <xf numFmtId="0" fontId="248" fillId="102" borderId="3" xfId="0" applyFont="1" applyFill="1" applyBorder="1" applyAlignment="1">
      <alignment vertical="top"/>
    </xf>
    <xf numFmtId="0" fontId="248" fillId="101" borderId="35" xfId="0" applyFont="1" applyFill="1" applyBorder="1" applyAlignment="1">
      <alignment vertical="top"/>
    </xf>
    <xf numFmtId="0" fontId="248" fillId="100" borderId="3" xfId="0" applyFont="1" applyFill="1" applyBorder="1" applyAlignment="1">
      <alignment vertical="top"/>
    </xf>
    <xf numFmtId="0" fontId="248" fillId="100" borderId="35" xfId="0" applyFont="1" applyFill="1" applyBorder="1" applyAlignment="1">
      <alignment vertical="top"/>
    </xf>
    <xf numFmtId="0" fontId="248" fillId="100" borderId="45" xfId="0" applyFont="1" applyFill="1" applyBorder="1" applyAlignment="1">
      <alignment vertical="top"/>
    </xf>
    <xf numFmtId="0" fontId="248" fillId="101" borderId="3" xfId="0" applyFont="1" applyFill="1" applyBorder="1" applyAlignment="1">
      <alignment vertical="top"/>
    </xf>
    <xf numFmtId="0" fontId="248" fillId="2" borderId="136" xfId="0" applyFont="1" applyFill="1" applyBorder="1" applyAlignment="1">
      <alignment vertical="top"/>
    </xf>
    <xf numFmtId="0" fontId="248" fillId="102" borderId="116" xfId="0" applyFont="1" applyFill="1" applyBorder="1" applyAlignment="1">
      <alignment vertical="top"/>
    </xf>
    <xf numFmtId="0" fontId="248" fillId="2" borderId="116" xfId="0" applyFont="1" applyFill="1" applyBorder="1" applyAlignment="1">
      <alignment vertical="top"/>
    </xf>
    <xf numFmtId="0" fontId="248" fillId="2" borderId="117" xfId="0" applyFont="1" applyFill="1" applyBorder="1" applyAlignment="1">
      <alignment vertical="top"/>
    </xf>
    <xf numFmtId="0" fontId="248" fillId="102" borderId="136" xfId="0" applyFont="1" applyFill="1" applyBorder="1" applyAlignment="1">
      <alignment vertical="top"/>
    </xf>
    <xf numFmtId="0" fontId="248" fillId="100" borderId="136" xfId="0" applyFont="1" applyFill="1" applyBorder="1" applyAlignment="1">
      <alignment vertical="top"/>
    </xf>
    <xf numFmtId="0" fontId="248" fillId="101" borderId="116" xfId="0" applyFont="1" applyFill="1" applyBorder="1" applyAlignment="1">
      <alignment vertical="top"/>
    </xf>
    <xf numFmtId="0" fontId="248" fillId="100" borderId="116" xfId="0" applyFont="1" applyFill="1" applyBorder="1" applyAlignment="1">
      <alignment vertical="top"/>
    </xf>
    <xf numFmtId="0" fontId="248" fillId="100" borderId="117" xfId="0" applyFont="1" applyFill="1" applyBorder="1" applyAlignment="1">
      <alignment vertical="top"/>
    </xf>
    <xf numFmtId="0" fontId="248" fillId="101" borderId="136" xfId="0" applyFont="1" applyFill="1" applyBorder="1" applyAlignment="1">
      <alignment vertical="top"/>
    </xf>
    <xf numFmtId="0" fontId="3" fillId="0" borderId="0" xfId="0" applyFont="1" applyAlignment="1">
      <alignment horizontal="left" vertical="center" wrapText="1"/>
    </xf>
    <xf numFmtId="0" fontId="0" fillId="0" borderId="0" xfId="0" applyAlignment="1">
      <alignment horizontal="left"/>
    </xf>
    <xf numFmtId="43" fontId="0" fillId="0" borderId="0" xfId="71" applyFont="1" applyFill="1" applyAlignment="1">
      <alignment horizontal="left"/>
    </xf>
    <xf numFmtId="2" fontId="0" fillId="0" borderId="0" xfId="0" applyNumberFormat="1" applyAlignment="1">
      <alignment horizontal="left"/>
    </xf>
    <xf numFmtId="43" fontId="0" fillId="0" borderId="5" xfId="71" applyFont="1" applyFill="1" applyBorder="1" applyAlignment="1">
      <alignment horizontal="left"/>
    </xf>
    <xf numFmtId="2" fontId="0" fillId="0" borderId="5" xfId="0" applyNumberFormat="1" applyBorder="1" applyAlignment="1">
      <alignment horizontal="left"/>
    </xf>
    <xf numFmtId="0" fontId="0" fillId="0" borderId="0" xfId="0" applyFill="1"/>
    <xf numFmtId="0" fontId="0" fillId="0" borderId="0" xfId="0" applyFill="1" applyBorder="1"/>
    <xf numFmtId="169" fontId="13" fillId="2" borderId="0" xfId="70" applyFont="1" applyFill="1"/>
    <xf numFmtId="169" fontId="217" fillId="2" borderId="0" xfId="70" applyFont="1" applyFill="1"/>
    <xf numFmtId="169" fontId="13" fillId="2" borderId="0" xfId="70" applyFont="1" applyFill="1" applyBorder="1"/>
    <xf numFmtId="169" fontId="0" fillId="2" borderId="0" xfId="70" applyFont="1" applyFill="1"/>
    <xf numFmtId="169" fontId="13" fillId="2" borderId="0" xfId="70" applyFont="1" applyFill="1" applyBorder="1" applyAlignment="1">
      <alignment horizontal="center"/>
    </xf>
    <xf numFmtId="169" fontId="217" fillId="2" borderId="0" xfId="70" applyFont="1" applyFill="1" applyBorder="1" applyAlignment="1">
      <alignment horizontal="center"/>
    </xf>
    <xf numFmtId="291" fontId="41" fillId="28" borderId="7" xfId="0" applyNumberFormat="1" applyFont="1" applyFill="1" applyBorder="1" applyAlignment="1" applyProtection="1">
      <alignment horizontal="center"/>
      <protection locked="0"/>
    </xf>
    <xf numFmtId="291" fontId="41" fillId="28" borderId="48" xfId="0" applyNumberFormat="1" applyFont="1" applyFill="1" applyBorder="1" applyAlignment="1" applyProtection="1">
      <alignment horizontal="center"/>
      <protection locked="0"/>
    </xf>
    <xf numFmtId="0" fontId="0" fillId="0" borderId="0" xfId="0" applyFont="1" applyFill="1" applyBorder="1" applyAlignment="1">
      <alignment vertical="top"/>
    </xf>
    <xf numFmtId="8" fontId="13" fillId="2" borderId="0" xfId="70" applyNumberFormat="1" applyFont="1" applyFill="1"/>
    <xf numFmtId="0" fontId="252" fillId="0" borderId="0" xfId="0" applyFont="1" applyAlignment="1">
      <alignment horizontal="left" wrapText="1"/>
    </xf>
    <xf numFmtId="0" fontId="0" fillId="0" borderId="0" xfId="0" applyAlignment="1">
      <alignment wrapText="1"/>
    </xf>
    <xf numFmtId="178" fontId="252" fillId="0" borderId="0" xfId="1440" applyNumberFormat="1" applyFont="1" applyFill="1" applyAlignment="1">
      <alignment horizontal="left" wrapText="1"/>
    </xf>
    <xf numFmtId="170" fontId="252" fillId="0" borderId="0" xfId="1440" applyFont="1" applyFill="1" applyAlignment="1">
      <alignment horizontal="left" wrapText="1"/>
    </xf>
    <xf numFmtId="0" fontId="139" fillId="0" borderId="0" xfId="0" applyFont="1" applyAlignment="1">
      <alignment horizontal="left"/>
    </xf>
    <xf numFmtId="170" fontId="0" fillId="0" borderId="0" xfId="0" applyNumberFormat="1" applyAlignment="1">
      <alignment horizontal="left"/>
    </xf>
    <xf numFmtId="170" fontId="0" fillId="0" borderId="0" xfId="1440" applyFont="1" applyFill="1" applyAlignment="1">
      <alignment horizontal="left"/>
    </xf>
    <xf numFmtId="170" fontId="0" fillId="0" borderId="0" xfId="0" applyNumberFormat="1"/>
    <xf numFmtId="3" fontId="0" fillId="0" borderId="0" xfId="0" applyNumberFormat="1" applyAlignment="1">
      <alignment horizontal="left"/>
    </xf>
    <xf numFmtId="0" fontId="3" fillId="0" borderId="0" xfId="0" applyFont="1"/>
    <xf numFmtId="0" fontId="0" fillId="0" borderId="0" xfId="0" applyAlignment="1">
      <alignment horizontal="left" indent="1"/>
    </xf>
    <xf numFmtId="9" fontId="0" fillId="0" borderId="0" xfId="72" applyFon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66FFFF"/>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1265"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0</xdr:colOff>
      <xdr:row>709</xdr:row>
      <xdr:rowOff>180975</xdr:rowOff>
    </xdr:from>
    <xdr:to>
      <xdr:col>3</xdr:col>
      <xdr:colOff>1248708</xdr:colOff>
      <xdr:row>717</xdr:row>
      <xdr:rowOff>38293</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0" y="5895975"/>
          <a:ext cx="6687483" cy="13813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99568" y="216648"/>
          <a:ext cx="1742651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819728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983" t="s">
        <v>174</v>
      </c>
      <c r="C3" s="983"/>
    </row>
    <row r="4" spans="1:3" ht="11.25" customHeight="1"/>
    <row r="5" spans="1:3" s="30" customFormat="1" ht="25.5" customHeight="1">
      <c r="B5" s="60" t="s">
        <v>419</v>
      </c>
      <c r="C5" s="60" t="s">
        <v>173</v>
      </c>
    </row>
    <row r="6" spans="1:3" s="176" customFormat="1" ht="48" customHeight="1">
      <c r="A6" s="241"/>
      <c r="B6" s="618" t="s">
        <v>170</v>
      </c>
      <c r="C6" s="670" t="s">
        <v>594</v>
      </c>
    </row>
    <row r="7" spans="1:3" s="176" customFormat="1" ht="21" customHeight="1">
      <c r="A7" s="241"/>
      <c r="B7" s="612" t="s">
        <v>551</v>
      </c>
      <c r="C7" s="671" t="s">
        <v>607</v>
      </c>
    </row>
    <row r="8" spans="1:3" s="176" customFormat="1" ht="32.25" customHeight="1">
      <c r="B8" s="612" t="s">
        <v>367</v>
      </c>
      <c r="C8" s="672" t="s">
        <v>595</v>
      </c>
    </row>
    <row r="9" spans="1:3" s="176" customFormat="1" ht="27.75" customHeight="1">
      <c r="B9" s="612" t="s">
        <v>169</v>
      </c>
      <c r="C9" s="672" t="s">
        <v>596</v>
      </c>
    </row>
    <row r="10" spans="1:3" s="176" customFormat="1" ht="33" customHeight="1">
      <c r="B10" s="612" t="s">
        <v>592</v>
      </c>
      <c r="C10" s="671" t="s">
        <v>600</v>
      </c>
    </row>
    <row r="11" spans="1:3" s="176" customFormat="1" ht="26.25" customHeight="1">
      <c r="B11" s="627" t="s">
        <v>368</v>
      </c>
      <c r="C11" s="674" t="s">
        <v>597</v>
      </c>
    </row>
    <row r="12" spans="1:3" s="176" customFormat="1" ht="39.75" customHeight="1">
      <c r="B12" s="612" t="s">
        <v>369</v>
      </c>
      <c r="C12" s="672" t="s">
        <v>598</v>
      </c>
    </row>
    <row r="13" spans="1:3" s="176" customFormat="1" ht="18" customHeight="1">
      <c r="B13" s="612" t="s">
        <v>370</v>
      </c>
      <c r="C13" s="672" t="s">
        <v>599</v>
      </c>
    </row>
    <row r="14" spans="1:3" s="176" customFormat="1" ht="13.5" customHeight="1">
      <c r="B14" s="612"/>
      <c r="C14" s="673"/>
    </row>
    <row r="15" spans="1:3" s="176" customFormat="1" ht="18" customHeight="1">
      <c r="B15" s="612" t="s">
        <v>663</v>
      </c>
      <c r="C15" s="671" t="s">
        <v>661</v>
      </c>
    </row>
    <row r="16" spans="1:3" s="176" customFormat="1" ht="8.25" customHeight="1">
      <c r="B16" s="612"/>
      <c r="C16" s="673"/>
    </row>
    <row r="17" spans="2:3" s="176" customFormat="1" ht="33" customHeight="1">
      <c r="B17" s="675" t="s">
        <v>593</v>
      </c>
      <c r="C17" s="676" t="s">
        <v>662</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560</v>
      </c>
      <c r="C16" s="990" t="s">
        <v>504</v>
      </c>
      <c r="D16" s="991"/>
      <c r="E16" s="991"/>
      <c r="F16" s="991"/>
      <c r="G16" s="991"/>
      <c r="H16" s="991"/>
      <c r="I16" s="991"/>
      <c r="J16" s="991"/>
      <c r="K16" s="991"/>
      <c r="L16" s="991"/>
      <c r="M16" s="991"/>
      <c r="N16" s="991"/>
      <c r="O16" s="991"/>
      <c r="P16" s="991"/>
      <c r="Q16" s="991"/>
      <c r="R16" s="991"/>
      <c r="S16" s="991"/>
      <c r="T16" s="991"/>
      <c r="U16" s="991"/>
    </row>
    <row r="17" spans="2:21" ht="55.5" customHeight="1">
      <c r="B17" s="705" t="s">
        <v>630</v>
      </c>
      <c r="C17" s="992" t="s">
        <v>736</v>
      </c>
      <c r="D17" s="992"/>
      <c r="E17" s="992"/>
      <c r="F17" s="992"/>
      <c r="G17" s="992"/>
      <c r="H17" s="992"/>
      <c r="I17" s="992"/>
      <c r="J17" s="992"/>
      <c r="K17" s="992"/>
      <c r="L17" s="992"/>
      <c r="M17" s="992"/>
      <c r="N17" s="992"/>
      <c r="O17" s="992"/>
      <c r="P17" s="992"/>
      <c r="Q17" s="992"/>
      <c r="R17" s="992"/>
      <c r="S17" s="992"/>
      <c r="T17" s="992"/>
      <c r="U17" s="993"/>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634</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631</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986" t="s">
        <v>632</v>
      </c>
      <c r="D23" s="986"/>
      <c r="E23" s="986"/>
      <c r="F23" s="986"/>
      <c r="G23" s="986"/>
      <c r="H23" s="986"/>
      <c r="I23" s="986"/>
      <c r="J23" s="986"/>
      <c r="K23" s="986"/>
      <c r="L23" s="986"/>
      <c r="M23" s="986"/>
      <c r="N23" s="986"/>
      <c r="O23" s="986"/>
      <c r="P23" s="986"/>
      <c r="Q23" s="986"/>
      <c r="R23" s="986"/>
      <c r="S23" s="986"/>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635</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986" t="s">
        <v>633</v>
      </c>
      <c r="D27" s="986"/>
      <c r="E27" s="986"/>
      <c r="F27" s="986"/>
      <c r="G27" s="986"/>
      <c r="H27" s="986"/>
      <c r="I27" s="986"/>
      <c r="J27" s="986"/>
      <c r="K27" s="986"/>
      <c r="L27" s="986"/>
      <c r="M27" s="986"/>
      <c r="N27" s="986"/>
      <c r="O27" s="986"/>
      <c r="P27" s="986"/>
      <c r="Q27" s="986"/>
      <c r="R27" s="986"/>
      <c r="S27" s="986"/>
      <c r="T27" s="986"/>
      <c r="U27" s="987"/>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986" t="s">
        <v>636</v>
      </c>
      <c r="D29" s="986"/>
      <c r="E29" s="986"/>
      <c r="F29" s="986"/>
      <c r="G29" s="986"/>
      <c r="H29" s="986"/>
      <c r="I29" s="986"/>
      <c r="J29" s="986"/>
      <c r="K29" s="986"/>
      <c r="L29" s="986"/>
      <c r="M29" s="986"/>
      <c r="N29" s="986"/>
      <c r="O29" s="986"/>
      <c r="P29" s="986"/>
      <c r="Q29" s="986"/>
      <c r="R29" s="986"/>
      <c r="S29" s="986"/>
      <c r="T29" s="986"/>
      <c r="U29" s="987"/>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637</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638</v>
      </c>
      <c r="C33" s="994" t="s">
        <v>639</v>
      </c>
      <c r="D33" s="994"/>
      <c r="E33" s="994"/>
      <c r="F33" s="994"/>
      <c r="G33" s="994"/>
      <c r="H33" s="994"/>
      <c r="I33" s="994"/>
      <c r="J33" s="994"/>
      <c r="K33" s="994"/>
      <c r="L33" s="994"/>
      <c r="M33" s="994"/>
      <c r="N33" s="994"/>
      <c r="O33" s="994"/>
      <c r="P33" s="994"/>
      <c r="Q33" s="994"/>
      <c r="R33" s="994"/>
      <c r="S33" s="994"/>
      <c r="T33" s="994"/>
      <c r="U33" s="995"/>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640</v>
      </c>
      <c r="C35" s="719" t="s">
        <v>641</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642</v>
      </c>
      <c r="C37" s="988" t="s">
        <v>643</v>
      </c>
      <c r="D37" s="988"/>
      <c r="E37" s="988"/>
      <c r="F37" s="988"/>
      <c r="G37" s="988"/>
      <c r="H37" s="988"/>
      <c r="I37" s="988"/>
      <c r="J37" s="988"/>
      <c r="K37" s="988"/>
      <c r="L37" s="988"/>
      <c r="M37" s="988"/>
      <c r="N37" s="988"/>
      <c r="O37" s="988"/>
      <c r="P37" s="988"/>
      <c r="Q37" s="988"/>
      <c r="R37" s="988"/>
      <c r="S37" s="988"/>
      <c r="T37" s="988"/>
      <c r="U37" s="98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644</v>
      </c>
      <c r="C39" s="721" t="s">
        <v>645</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646</v>
      </c>
      <c r="C41" s="996" t="s">
        <v>647</v>
      </c>
      <c r="D41" s="996"/>
      <c r="E41" s="996"/>
      <c r="F41" s="996"/>
      <c r="G41" s="996"/>
      <c r="H41" s="996"/>
      <c r="I41" s="996"/>
      <c r="J41" s="996"/>
      <c r="K41" s="996"/>
      <c r="L41" s="996"/>
      <c r="M41" s="996"/>
      <c r="N41" s="996"/>
      <c r="O41" s="996"/>
      <c r="P41" s="996"/>
      <c r="Q41" s="996"/>
      <c r="R41" s="996"/>
      <c r="S41" s="996"/>
      <c r="T41" s="996"/>
      <c r="U41" s="997"/>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648</v>
      </c>
      <c r="C43" s="719" t="s">
        <v>649</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984" t="s">
        <v>665</v>
      </c>
      <c r="D45" s="984"/>
      <c r="E45" s="984"/>
      <c r="F45" s="984"/>
      <c r="G45" s="984"/>
      <c r="H45" s="984"/>
      <c r="I45" s="984"/>
      <c r="J45" s="984"/>
      <c r="K45" s="984"/>
      <c r="L45" s="984"/>
      <c r="M45" s="984"/>
      <c r="N45" s="984"/>
      <c r="O45" s="984"/>
      <c r="P45" s="984"/>
      <c r="Q45" s="984"/>
      <c r="R45" s="984"/>
      <c r="S45" s="984"/>
      <c r="T45" s="984"/>
      <c r="U45" s="985"/>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984" t="s">
        <v>650</v>
      </c>
      <c r="D47" s="984"/>
      <c r="E47" s="984"/>
      <c r="F47" s="984"/>
      <c r="G47" s="984"/>
      <c r="H47" s="984"/>
      <c r="I47" s="984"/>
      <c r="J47" s="984"/>
      <c r="K47" s="984"/>
      <c r="L47" s="984"/>
      <c r="M47" s="984"/>
      <c r="N47" s="984"/>
      <c r="O47" s="984"/>
      <c r="P47" s="984"/>
      <c r="Q47" s="984"/>
      <c r="R47" s="984"/>
      <c r="S47" s="984"/>
      <c r="T47" s="984"/>
      <c r="U47" s="985"/>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984" t="s">
        <v>651</v>
      </c>
      <c r="D49" s="984"/>
      <c r="E49" s="984"/>
      <c r="F49" s="984"/>
      <c r="G49" s="984"/>
      <c r="H49" s="984"/>
      <c r="I49" s="984"/>
      <c r="J49" s="984"/>
      <c r="K49" s="984"/>
      <c r="L49" s="984"/>
      <c r="M49" s="984"/>
      <c r="N49" s="984"/>
      <c r="O49" s="984"/>
      <c r="P49" s="984"/>
      <c r="Q49" s="984"/>
      <c r="R49" s="984"/>
      <c r="S49" s="984"/>
      <c r="T49" s="984"/>
      <c r="U49" s="985"/>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984" t="s">
        <v>652</v>
      </c>
      <c r="D51" s="984"/>
      <c r="E51" s="984"/>
      <c r="F51" s="984"/>
      <c r="G51" s="984"/>
      <c r="H51" s="984"/>
      <c r="I51" s="984"/>
      <c r="J51" s="984"/>
      <c r="K51" s="984"/>
      <c r="L51" s="984"/>
      <c r="M51" s="984"/>
      <c r="N51" s="984"/>
      <c r="O51" s="984"/>
      <c r="P51" s="984"/>
      <c r="Q51" s="984"/>
      <c r="R51" s="984"/>
      <c r="S51" s="984"/>
      <c r="T51" s="984"/>
      <c r="U51" s="985"/>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986" t="s">
        <v>664</v>
      </c>
      <c r="D53" s="986"/>
      <c r="E53" s="986"/>
      <c r="F53" s="986"/>
      <c r="G53" s="986"/>
      <c r="H53" s="986"/>
      <c r="I53" s="986"/>
      <c r="J53" s="986"/>
      <c r="K53" s="986"/>
      <c r="L53" s="986"/>
      <c r="M53" s="986"/>
      <c r="N53" s="986"/>
      <c r="O53" s="986"/>
      <c r="P53" s="986"/>
      <c r="Q53" s="986"/>
      <c r="R53" s="986"/>
      <c r="S53" s="986"/>
      <c r="T53" s="986"/>
      <c r="U53" s="987"/>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653</v>
      </c>
      <c r="C55" s="988" t="s">
        <v>654</v>
      </c>
      <c r="D55" s="988"/>
      <c r="E55" s="988"/>
      <c r="F55" s="988"/>
      <c r="G55" s="988"/>
      <c r="H55" s="988"/>
      <c r="I55" s="988"/>
      <c r="J55" s="988"/>
      <c r="K55" s="988"/>
      <c r="L55" s="988"/>
      <c r="M55" s="988"/>
      <c r="N55" s="988"/>
      <c r="O55" s="988"/>
      <c r="P55" s="988"/>
      <c r="Q55" s="988"/>
      <c r="R55" s="988"/>
      <c r="S55" s="988"/>
      <c r="T55" s="988"/>
      <c r="U55" s="98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655</v>
      </c>
      <c r="C57" s="988" t="s">
        <v>656</v>
      </c>
      <c r="D57" s="988"/>
      <c r="E57" s="988"/>
      <c r="F57" s="988"/>
      <c r="G57" s="988"/>
      <c r="H57" s="988"/>
      <c r="I57" s="988"/>
      <c r="J57" s="988"/>
      <c r="K57" s="988"/>
      <c r="L57" s="988"/>
      <c r="M57" s="988"/>
      <c r="N57" s="988"/>
      <c r="O57" s="988"/>
      <c r="P57" s="988"/>
      <c r="Q57" s="988"/>
      <c r="R57" s="988"/>
      <c r="S57" s="988"/>
      <c r="T57" s="988"/>
      <c r="U57" s="98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657</v>
      </c>
      <c r="C59" s="726" t="s">
        <v>658</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99" t="s">
        <v>731</v>
      </c>
      <c r="C3" s="1000"/>
      <c r="D3" s="1000"/>
      <c r="E3" s="1000"/>
      <c r="F3" s="1001"/>
      <c r="G3" s="122"/>
    </row>
    <row r="4" spans="2:20" ht="16.5" customHeight="1">
      <c r="B4" s="1002"/>
      <c r="C4" s="1003"/>
      <c r="D4" s="1003"/>
      <c r="E4" s="1003"/>
      <c r="F4" s="1004"/>
      <c r="G4" s="122"/>
    </row>
    <row r="5" spans="2:20" ht="71.25" customHeight="1">
      <c r="B5" s="1002"/>
      <c r="C5" s="1003"/>
      <c r="D5" s="1003"/>
      <c r="E5" s="1003"/>
      <c r="F5" s="1004"/>
      <c r="G5" s="122"/>
    </row>
    <row r="6" spans="2:20" ht="21.75" customHeight="1">
      <c r="B6" s="1005"/>
      <c r="C6" s="1006"/>
      <c r="D6" s="1006"/>
      <c r="E6" s="1006"/>
      <c r="F6" s="1007"/>
      <c r="G6" s="122"/>
    </row>
    <row r="8" spans="2:20" ht="21">
      <c r="B8" s="998" t="s">
        <v>480</v>
      </c>
      <c r="C8" s="998"/>
      <c r="D8" s="998"/>
      <c r="E8" s="998"/>
      <c r="F8" s="998"/>
      <c r="G8" s="99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9" customFormat="1" ht="26.25" customHeight="1" thickBot="1">
      <c r="B19" s="102"/>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6" t="s">
        <v>542</v>
      </c>
      <c r="C22" s="652" t="s">
        <v>436</v>
      </c>
      <c r="D22" s="655" t="s">
        <v>442</v>
      </c>
      <c r="E22" s="659" t="s">
        <v>583</v>
      </c>
      <c r="F22" s="655" t="s">
        <v>447</v>
      </c>
      <c r="G22" s="174"/>
      <c r="M22" s="644"/>
      <c r="T22" s="644"/>
    </row>
    <row r="23" spans="2:20" s="103" customFormat="1" ht="35.25" customHeight="1">
      <c r="B23" s="647" t="s">
        <v>457</v>
      </c>
      <c r="C23" s="653" t="s">
        <v>437</v>
      </c>
      <c r="D23" s="656" t="s">
        <v>443</v>
      </c>
      <c r="E23" s="660" t="s">
        <v>583</v>
      </c>
      <c r="F23" s="656" t="s">
        <v>447</v>
      </c>
      <c r="G23" s="174"/>
      <c r="M23" s="644"/>
      <c r="T23" s="644"/>
    </row>
    <row r="24" spans="2:20" s="103" customFormat="1" ht="34.5" customHeight="1">
      <c r="B24" s="647" t="s">
        <v>454</v>
      </c>
      <c r="C24" s="653" t="s">
        <v>437</v>
      </c>
      <c r="D24" s="656" t="s">
        <v>444</v>
      </c>
      <c r="E24" s="660" t="s">
        <v>583</v>
      </c>
      <c r="F24" s="656" t="s">
        <v>447</v>
      </c>
      <c r="G24" s="174"/>
      <c r="M24" s="644"/>
      <c r="T24" s="644"/>
    </row>
    <row r="25" spans="2:20" s="103" customFormat="1" ht="32.25" customHeight="1">
      <c r="B25" s="648" t="s">
        <v>455</v>
      </c>
      <c r="C25" s="653" t="s">
        <v>436</v>
      </c>
      <c r="D25" s="656" t="s">
        <v>445</v>
      </c>
      <c r="E25" s="661" t="s">
        <v>602</v>
      </c>
      <c r="F25" s="664"/>
      <c r="G25" s="174"/>
      <c r="M25" s="644"/>
      <c r="T25" s="644"/>
    </row>
    <row r="26" spans="2:20" s="103" customFormat="1" ht="30.75" customHeight="1">
      <c r="B26" s="649" t="s">
        <v>540</v>
      </c>
      <c r="C26" s="653" t="s">
        <v>436</v>
      </c>
      <c r="D26" s="656"/>
      <c r="E26" s="661"/>
      <c r="F26" s="664"/>
      <c r="G26" s="174"/>
      <c r="M26" s="644"/>
      <c r="T26" s="644"/>
    </row>
    <row r="27" spans="2:20" s="103" customFormat="1" ht="32.25" customHeight="1">
      <c r="B27" s="650" t="s">
        <v>541</v>
      </c>
      <c r="C27" s="653" t="s">
        <v>436</v>
      </c>
      <c r="D27" s="657" t="s">
        <v>537</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566</v>
      </c>
      <c r="H1" s="120" t="s">
        <v>577</v>
      </c>
    </row>
    <row r="2" spans="1:8">
      <c r="A2" s="12" t="s">
        <v>29</v>
      </c>
      <c r="B2" s="12" t="s">
        <v>27</v>
      </c>
      <c r="C2" s="10">
        <v>2006</v>
      </c>
      <c r="D2" s="12" t="s">
        <v>415</v>
      </c>
      <c r="E2" s="10">
        <f>'2. LRAMVA Threshold'!D9</f>
        <v>2013</v>
      </c>
      <c r="F2" s="26" t="s">
        <v>170</v>
      </c>
      <c r="G2" s="12" t="s">
        <v>567</v>
      </c>
      <c r="H2" s="12" t="s">
        <v>585</v>
      </c>
    </row>
    <row r="3" spans="1:8">
      <c r="A3" s="12" t="s">
        <v>371</v>
      </c>
      <c r="B3" s="12" t="s">
        <v>27</v>
      </c>
      <c r="C3" s="10">
        <v>2007</v>
      </c>
      <c r="D3" s="12" t="s">
        <v>416</v>
      </c>
      <c r="E3" s="10">
        <f>'2. LRAMVA Threshold'!D24</f>
        <v>0</v>
      </c>
      <c r="F3" s="12" t="s">
        <v>549</v>
      </c>
      <c r="G3" s="12" t="s">
        <v>568</v>
      </c>
      <c r="H3" s="12" t="s">
        <v>578</v>
      </c>
    </row>
    <row r="4" spans="1:8">
      <c r="A4" s="12" t="s">
        <v>372</v>
      </c>
      <c r="B4" s="12" t="s">
        <v>28</v>
      </c>
      <c r="C4" s="10">
        <v>2008</v>
      </c>
      <c r="D4" s="12" t="s">
        <v>417</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557</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70" zoomScaleNormal="70" workbookViewId="0">
      <selection activeCell="H14" sqref="H1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4.85546875" style="8" bestFit="1" customWidth="1"/>
    <col min="21" max="21" width="13.5703125" style="8" bestFit="1"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756</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752</v>
      </c>
      <c r="E14" s="130"/>
      <c r="F14" s="124" t="s">
        <v>547</v>
      </c>
      <c r="H14" s="542" t="s">
        <v>1741</v>
      </c>
      <c r="J14" s="124" t="s">
        <v>514</v>
      </c>
      <c r="L14" s="132"/>
      <c r="N14" s="103"/>
      <c r="Q14" s="99"/>
      <c r="R14" s="96"/>
    </row>
    <row r="15" spans="2:22" ht="26.25" customHeight="1" thickBot="1">
      <c r="B15" s="124" t="s">
        <v>423</v>
      </c>
      <c r="C15" s="106"/>
      <c r="D15" s="542" t="s">
        <v>753</v>
      </c>
      <c r="F15" s="124" t="s">
        <v>413</v>
      </c>
      <c r="G15" s="127"/>
      <c r="H15" s="542" t="s">
        <v>755</v>
      </c>
      <c r="I15" s="17"/>
      <c r="J15" s="124" t="s">
        <v>515</v>
      </c>
      <c r="L15" s="132"/>
      <c r="M15" s="103"/>
      <c r="Q15" s="108"/>
      <c r="R15" s="96"/>
    </row>
    <row r="16" spans="2:22" ht="28.5" customHeight="1" thickBot="1">
      <c r="B16" s="124" t="s">
        <v>453</v>
      </c>
      <c r="C16" s="106"/>
      <c r="D16" s="543" t="s">
        <v>754</v>
      </c>
      <c r="E16" s="103"/>
      <c r="F16" s="124" t="s">
        <v>433</v>
      </c>
      <c r="G16" s="125"/>
      <c r="H16" s="543">
        <v>2018</v>
      </c>
      <c r="I16" s="103"/>
      <c r="K16" s="195"/>
      <c r="L16" s="195"/>
      <c r="M16" s="195"/>
      <c r="N16" s="195"/>
      <c r="Q16" s="115"/>
      <c r="R16" s="96"/>
    </row>
    <row r="17" spans="1:21" ht="29.25" customHeight="1">
      <c r="B17" s="124" t="s">
        <v>420</v>
      </c>
      <c r="C17" s="106"/>
      <c r="D17" s="732">
        <v>158181.41</v>
      </c>
      <c r="E17" s="121"/>
      <c r="F17" s="739" t="s">
        <v>668</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434</v>
      </c>
      <c r="G19" s="603" t="s">
        <v>363</v>
      </c>
      <c r="H19" s="242">
        <f>SUM(R54,R57,R60,R63,R66,R69,R72,R75,R78)</f>
        <v>91019.171968266513</v>
      </c>
      <c r="I19" s="17"/>
      <c r="J19" s="115"/>
      <c r="K19" s="115"/>
      <c r="L19" s="115"/>
      <c r="M19" s="115"/>
      <c r="N19" s="115"/>
      <c r="P19" s="115"/>
      <c r="Q19" s="115"/>
      <c r="R19" s="96"/>
    </row>
    <row r="20" spans="1:21" ht="27.75" customHeight="1" thickBot="1">
      <c r="E20" s="9"/>
      <c r="F20" s="124" t="s">
        <v>435</v>
      </c>
      <c r="G20" s="603" t="s">
        <v>364</v>
      </c>
      <c r="H20" s="131">
        <f>-SUM(R55,R58,R61,R64,R67,R70,R73,R76,R79)</f>
        <v>23073.07</v>
      </c>
      <c r="I20" s="17"/>
      <c r="J20" s="115"/>
      <c r="P20" s="115"/>
      <c r="Q20" s="115"/>
      <c r="R20" s="96"/>
    </row>
    <row r="21" spans="1:21" ht="27.75" customHeight="1" thickBot="1">
      <c r="C21" s="32"/>
      <c r="D21" s="32"/>
      <c r="E21" s="32"/>
      <c r="F21" s="124" t="s">
        <v>408</v>
      </c>
      <c r="G21" s="603" t="s">
        <v>365</v>
      </c>
      <c r="H21" s="188">
        <f>R84</f>
        <v>3213.142851203505</v>
      </c>
      <c r="I21" s="103"/>
      <c r="P21" s="115"/>
      <c r="Q21" s="115"/>
      <c r="R21" s="96"/>
    </row>
    <row r="22" spans="1:21" ht="27.75" customHeight="1">
      <c r="C22" s="32"/>
      <c r="D22" s="32"/>
      <c r="E22" s="32"/>
      <c r="F22" s="124" t="s">
        <v>509</v>
      </c>
      <c r="G22" s="603" t="s">
        <v>448</v>
      </c>
      <c r="H22" s="188">
        <f>H19-H20+H21</f>
        <v>71159.244819470012</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010" t="s">
        <v>675</v>
      </c>
      <c r="C26" s="1010"/>
      <c r="D26" s="1010"/>
      <c r="E26" s="1010"/>
      <c r="F26" s="1010"/>
      <c r="G26" s="1010"/>
    </row>
    <row r="27" spans="1:21" ht="14.25" customHeight="1">
      <c r="A27" s="28"/>
      <c r="B27" s="548"/>
      <c r="C27" s="548"/>
      <c r="D27" s="538"/>
      <c r="E27" s="538"/>
      <c r="F27" s="538"/>
      <c r="G27" s="548"/>
    </row>
    <row r="28" spans="1:21" s="17" customFormat="1" ht="27" customHeight="1">
      <c r="B28" s="1013" t="s">
        <v>506</v>
      </c>
      <c r="C28" s="1014"/>
      <c r="D28" s="133" t="s">
        <v>41</v>
      </c>
      <c r="E28" s="134" t="s">
        <v>666</v>
      </c>
      <c r="F28" s="134" t="s">
        <v>408</v>
      </c>
      <c r="G28" s="135" t="s">
        <v>409</v>
      </c>
      <c r="T28" s="136"/>
      <c r="U28" s="136"/>
    </row>
    <row r="29" spans="1:21" ht="20.25" customHeight="1">
      <c r="B29" s="1008" t="s">
        <v>29</v>
      </c>
      <c r="C29" s="1009"/>
      <c r="D29" s="637" t="s">
        <v>27</v>
      </c>
      <c r="E29" s="138">
        <f>SUM(D54:D80)</f>
        <v>12725.782692747074</v>
      </c>
      <c r="F29" s="139">
        <f>D84</f>
        <v>601.79696113055434</v>
      </c>
      <c r="G29" s="138">
        <f>E29+F29</f>
        <v>13327.579653877629</v>
      </c>
    </row>
    <row r="30" spans="1:21" ht="20.25" customHeight="1">
      <c r="B30" s="1008" t="s">
        <v>371</v>
      </c>
      <c r="C30" s="1009"/>
      <c r="D30" s="637" t="s">
        <v>27</v>
      </c>
      <c r="E30" s="140">
        <f>SUM(E54:E80)</f>
        <v>32933.906967232688</v>
      </c>
      <c r="F30" s="141">
        <f>E84</f>
        <v>1557.4307380191974</v>
      </c>
      <c r="G30" s="140">
        <f>E30+F30</f>
        <v>34491.337705251884</v>
      </c>
    </row>
    <row r="31" spans="1:21" ht="20.25" customHeight="1">
      <c r="B31" s="1008" t="s">
        <v>757</v>
      </c>
      <c r="C31" s="1009"/>
      <c r="D31" s="637" t="s">
        <v>28</v>
      </c>
      <c r="E31" s="140">
        <f>SUM(F54:F80)</f>
        <v>19721.666988213423</v>
      </c>
      <c r="F31" s="141">
        <f>F84</f>
        <v>932.6294145113684</v>
      </c>
      <c r="G31" s="140">
        <f t="shared" ref="G31:G34" si="0">E31+F31</f>
        <v>20654.296402724791</v>
      </c>
    </row>
    <row r="32" spans="1:21" ht="20.25" customHeight="1">
      <c r="B32" s="1008" t="s">
        <v>30</v>
      </c>
      <c r="C32" s="1009"/>
      <c r="D32" s="637" t="s">
        <v>28</v>
      </c>
      <c r="E32" s="140">
        <f>SUM(G54:G80)</f>
        <v>-45.218200000000003</v>
      </c>
      <c r="F32" s="141">
        <f>G84</f>
        <v>-2.1383498370833345</v>
      </c>
      <c r="G32" s="140">
        <f t="shared" si="0"/>
        <v>-47.356549837083335</v>
      </c>
    </row>
    <row r="33" spans="2:22" ht="20.25" customHeight="1">
      <c r="B33" s="1008" t="s">
        <v>31</v>
      </c>
      <c r="C33" s="1009"/>
      <c r="D33" s="637" t="s">
        <v>28</v>
      </c>
      <c r="E33" s="140">
        <f>SUM(H54:H80)</f>
        <v>2238.9308777771207</v>
      </c>
      <c r="F33" s="141">
        <f>H84</f>
        <v>105.87810832221425</v>
      </c>
      <c r="G33" s="140">
        <f>E33+F33</f>
        <v>2344.808986099335</v>
      </c>
    </row>
    <row r="34" spans="2:22" ht="20.25" customHeight="1">
      <c r="B34" s="1008" t="s">
        <v>32</v>
      </c>
      <c r="C34" s="1009"/>
      <c r="D34" s="637" t="s">
        <v>27</v>
      </c>
      <c r="E34" s="140">
        <f>SUM(I54:I80)</f>
        <v>371.0326422962093</v>
      </c>
      <c r="F34" s="141">
        <f>I84</f>
        <v>17.545979057253444</v>
      </c>
      <c r="G34" s="140">
        <f t="shared" si="0"/>
        <v>388.57862135346272</v>
      </c>
    </row>
    <row r="35" spans="2:22" ht="20.25" customHeight="1">
      <c r="B35" s="1008"/>
      <c r="C35" s="1009"/>
      <c r="D35" s="637"/>
      <c r="E35" s="140">
        <f>SUM(J54:J80)</f>
        <v>0</v>
      </c>
      <c r="F35" s="141">
        <f>J84</f>
        <v>0</v>
      </c>
      <c r="G35" s="140">
        <f>E35+F35</f>
        <v>0</v>
      </c>
    </row>
    <row r="36" spans="2:22" ht="20.25" customHeight="1">
      <c r="B36" s="1008"/>
      <c r="C36" s="1009"/>
      <c r="D36" s="637"/>
      <c r="E36" s="140">
        <f>SUM(K54:K80)</f>
        <v>0</v>
      </c>
      <c r="F36" s="141">
        <f>K84</f>
        <v>0</v>
      </c>
      <c r="G36" s="140">
        <f t="shared" ref="G36:G42" si="1">E36+F36</f>
        <v>0</v>
      </c>
    </row>
    <row r="37" spans="2:22" ht="20.25" customHeight="1">
      <c r="B37" s="1008"/>
      <c r="C37" s="1009"/>
      <c r="D37" s="637"/>
      <c r="E37" s="140">
        <f>SUM(L54:L80)</f>
        <v>0</v>
      </c>
      <c r="F37" s="141">
        <f>L84</f>
        <v>0</v>
      </c>
      <c r="G37" s="140">
        <f t="shared" si="1"/>
        <v>0</v>
      </c>
    </row>
    <row r="38" spans="2:22" ht="20.25" customHeight="1">
      <c r="B38" s="1008"/>
      <c r="C38" s="1009"/>
      <c r="D38" s="637"/>
      <c r="E38" s="140">
        <f>SUM(M54:M80)</f>
        <v>0</v>
      </c>
      <c r="F38" s="141">
        <f>M84</f>
        <v>0</v>
      </c>
      <c r="G38" s="140">
        <f t="shared" si="1"/>
        <v>0</v>
      </c>
    </row>
    <row r="39" spans="2:22" ht="20.25" customHeight="1">
      <c r="B39" s="1008"/>
      <c r="C39" s="1009"/>
      <c r="D39" s="637"/>
      <c r="E39" s="140">
        <f>SUM(N54:N80)</f>
        <v>0</v>
      </c>
      <c r="F39" s="141">
        <f>N84</f>
        <v>0</v>
      </c>
      <c r="G39" s="140">
        <f t="shared" si="1"/>
        <v>0</v>
      </c>
    </row>
    <row r="40" spans="2:22" ht="20.25" customHeight="1">
      <c r="B40" s="1008"/>
      <c r="C40" s="1009"/>
      <c r="D40" s="637"/>
      <c r="E40" s="140">
        <f>SUM(O54:O80)</f>
        <v>0</v>
      </c>
      <c r="F40" s="141">
        <f>O84</f>
        <v>0</v>
      </c>
      <c r="G40" s="140">
        <f t="shared" si="1"/>
        <v>0</v>
      </c>
    </row>
    <row r="41" spans="2:22" ht="20.25" customHeight="1">
      <c r="B41" s="1008"/>
      <c r="C41" s="1009"/>
      <c r="D41" s="637"/>
      <c r="E41" s="140">
        <f>SUM(P54:P80)</f>
        <v>0</v>
      </c>
      <c r="F41" s="141">
        <f>P84</f>
        <v>0</v>
      </c>
      <c r="G41" s="140">
        <f t="shared" si="1"/>
        <v>0</v>
      </c>
    </row>
    <row r="42" spans="2:22" ht="20.25" customHeight="1">
      <c r="B42" s="1008"/>
      <c r="C42" s="1009"/>
      <c r="D42" s="638"/>
      <c r="E42" s="142">
        <f>SUM(Q54:Q80)</f>
        <v>0</v>
      </c>
      <c r="F42" s="143">
        <f>Q84</f>
        <v>0</v>
      </c>
      <c r="G42" s="142">
        <f t="shared" si="1"/>
        <v>0</v>
      </c>
    </row>
    <row r="43" spans="2:22" s="8" customFormat="1" ht="21" customHeight="1">
      <c r="B43" s="1011" t="s">
        <v>26</v>
      </c>
      <c r="C43" s="1012"/>
      <c r="D43" s="137"/>
      <c r="E43" s="144">
        <f>SUM(E29:E42)</f>
        <v>67946.101968266506</v>
      </c>
      <c r="F43" s="144">
        <f>SUM(F29:F42)</f>
        <v>3213.142851203505</v>
      </c>
      <c r="G43" s="144">
        <f>SUM(G29:G42)</f>
        <v>71159.244819470012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010" t="s">
        <v>605</v>
      </c>
      <c r="C48" s="1010"/>
      <c r="D48" s="1010"/>
      <c r="E48" s="1010"/>
      <c r="F48" s="1010"/>
      <c r="G48" s="1010"/>
      <c r="H48" s="1010"/>
      <c r="I48" s="1010"/>
      <c r="J48" s="1010"/>
      <c r="K48" s="1010"/>
      <c r="L48" s="1010"/>
      <c r="M48" s="617"/>
      <c r="N48" s="105"/>
      <c r="O48" s="105"/>
      <c r="P48" s="105"/>
      <c r="Q48" s="105"/>
      <c r="R48" s="105"/>
      <c r="T48" s="37"/>
      <c r="U48" s="19"/>
      <c r="V48" s="38"/>
    </row>
    <row r="49" spans="2:22" s="28" customFormat="1" ht="41.1" customHeight="1">
      <c r="B49" s="1010" t="s">
        <v>561</v>
      </c>
      <c r="C49" s="1010"/>
      <c r="D49" s="1010"/>
      <c r="E49" s="1010"/>
      <c r="F49" s="1010"/>
      <c r="G49" s="1010"/>
      <c r="H49" s="1010"/>
      <c r="I49" s="1010"/>
      <c r="J49" s="1010"/>
      <c r="K49" s="1010"/>
      <c r="L49" s="1010"/>
      <c r="M49" s="617"/>
      <c r="N49" s="105"/>
      <c r="O49" s="105"/>
      <c r="P49" s="105"/>
      <c r="Q49" s="105"/>
      <c r="R49" s="105"/>
      <c r="T49" s="37"/>
      <c r="U49" s="19"/>
      <c r="V49" s="38"/>
    </row>
    <row r="50" spans="2:22" s="28" customFormat="1" ht="18" customHeight="1">
      <c r="B50" s="1010" t="s">
        <v>674</v>
      </c>
      <c r="C50" s="1010"/>
      <c r="D50" s="1010"/>
      <c r="E50" s="1010"/>
      <c r="F50" s="1010"/>
      <c r="G50" s="1010"/>
      <c r="H50" s="1010"/>
      <c r="I50" s="1010"/>
      <c r="J50" s="1010"/>
      <c r="K50" s="1010"/>
      <c r="L50" s="1010"/>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Sentinel Lighting</v>
      </c>
      <c r="H52" s="135" t="str">
        <f>IF($B33&lt;&gt;"",$B33,"")</f>
        <v>Street Lighting</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S54" s="17" t="s">
        <v>1689</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t="s">
        <v>1689</v>
      </c>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S57" s="17" t="s">
        <v>1690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t="s">
        <v>1690</v>
      </c>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S60" s="17" t="s">
        <v>1699</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7" t="s">
        <v>1699</v>
      </c>
      <c r="T61" s="963"/>
      <c r="U61" s="965"/>
      <c r="V61" s="153"/>
    </row>
    <row r="62" spans="2:22" s="136" customFormat="1">
      <c r="B62" s="625" t="s">
        <v>67</v>
      </c>
      <c r="C62" s="621"/>
      <c r="D62" s="160"/>
      <c r="E62" s="160"/>
      <c r="F62" s="160"/>
      <c r="G62" s="160"/>
      <c r="H62" s="160"/>
      <c r="I62" s="160"/>
      <c r="J62" s="160"/>
      <c r="K62" s="161"/>
      <c r="L62" s="161"/>
      <c r="M62" s="161"/>
      <c r="N62" s="161"/>
      <c r="O62" s="161"/>
      <c r="P62" s="161"/>
      <c r="Q62" s="161"/>
      <c r="R62" s="162"/>
      <c r="S62" s="962"/>
      <c r="T62" s="962"/>
      <c r="U62" s="966"/>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S63" s="17" t="s">
        <v>1699</v>
      </c>
      <c r="T63" s="963"/>
      <c r="U63" s="965"/>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7" t="s">
        <v>1699</v>
      </c>
      <c r="T64" s="963"/>
      <c r="U64" s="965"/>
      <c r="V64" s="153"/>
    </row>
    <row r="65" spans="2:22" s="136" customFormat="1">
      <c r="B65" s="625" t="s">
        <v>67</v>
      </c>
      <c r="C65" s="621"/>
      <c r="D65" s="160"/>
      <c r="E65" s="160"/>
      <c r="F65" s="160"/>
      <c r="G65" s="160"/>
      <c r="H65" s="160"/>
      <c r="I65" s="160"/>
      <c r="J65" s="160"/>
      <c r="K65" s="161"/>
      <c r="L65" s="161"/>
      <c r="M65" s="161"/>
      <c r="N65" s="161"/>
      <c r="O65" s="161"/>
      <c r="P65" s="161"/>
      <c r="Q65" s="161"/>
      <c r="R65" s="162"/>
      <c r="S65" s="962"/>
      <c r="T65" s="962"/>
      <c r="U65" s="966"/>
      <c r="V65" s="153"/>
    </row>
    <row r="66" spans="2:22" s="163" customFormat="1">
      <c r="B66" s="154" t="s">
        <v>94</v>
      </c>
      <c r="C66" s="535"/>
      <c r="D66" s="164"/>
      <c r="E66" s="164"/>
      <c r="F66" s="164"/>
      <c r="G66" s="164"/>
      <c r="H66" s="164"/>
      <c r="I66" s="164"/>
      <c r="J66" s="164"/>
      <c r="K66" s="164"/>
      <c r="L66" s="164"/>
      <c r="M66" s="164"/>
      <c r="N66" s="164"/>
      <c r="O66" s="164"/>
      <c r="P66" s="164"/>
      <c r="Q66" s="164"/>
      <c r="R66" s="157">
        <f>SUM(D66:Q66)</f>
        <v>0</v>
      </c>
      <c r="S66" s="17" t="s">
        <v>1699</v>
      </c>
      <c r="T66" s="963"/>
      <c r="U66" s="965"/>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7" t="s">
        <v>1699</v>
      </c>
      <c r="T67" s="963"/>
      <c r="U67" s="965"/>
      <c r="V67" s="153"/>
    </row>
    <row r="68" spans="2:22" s="136" customFormat="1">
      <c r="B68" s="625" t="s">
        <v>67</v>
      </c>
      <c r="C68" s="621"/>
      <c r="D68" s="160"/>
      <c r="E68" s="160"/>
      <c r="F68" s="160"/>
      <c r="G68" s="160"/>
      <c r="H68" s="160"/>
      <c r="I68" s="160"/>
      <c r="J68" s="160"/>
      <c r="K68" s="161"/>
      <c r="L68" s="161"/>
      <c r="M68" s="161"/>
      <c r="N68" s="161"/>
      <c r="O68" s="161"/>
      <c r="P68" s="161"/>
      <c r="Q68" s="161"/>
      <c r="R68" s="162"/>
      <c r="S68" s="962"/>
      <c r="T68" s="962"/>
      <c r="U68" s="966"/>
      <c r="V68" s="153"/>
    </row>
    <row r="69" spans="2:22" s="163" customFormat="1">
      <c r="B69" s="154" t="s">
        <v>225</v>
      </c>
      <c r="C69" s="535"/>
      <c r="D69" s="156"/>
      <c r="E69" s="156"/>
      <c r="F69" s="156"/>
      <c r="G69" s="156"/>
      <c r="H69" s="156"/>
      <c r="I69" s="156"/>
      <c r="J69" s="156"/>
      <c r="K69" s="156"/>
      <c r="L69" s="156"/>
      <c r="M69" s="156"/>
      <c r="N69" s="156"/>
      <c r="O69" s="156"/>
      <c r="P69" s="156"/>
      <c r="Q69" s="156"/>
      <c r="R69" s="157">
        <f>SUM(D69:Q69)</f>
        <v>0</v>
      </c>
      <c r="S69" s="17" t="s">
        <v>1699</v>
      </c>
      <c r="T69" s="963"/>
      <c r="U69" s="965"/>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7" t="s">
        <v>1699</v>
      </c>
      <c r="T70" s="963"/>
      <c r="U70" s="965"/>
      <c r="V70" s="153"/>
    </row>
    <row r="71" spans="2:22" s="136" customFormat="1">
      <c r="B71" s="625" t="s">
        <v>67</v>
      </c>
      <c r="C71" s="621"/>
      <c r="D71" s="160"/>
      <c r="E71" s="160"/>
      <c r="F71" s="160"/>
      <c r="G71" s="160"/>
      <c r="H71" s="160"/>
      <c r="I71" s="160"/>
      <c r="J71" s="160"/>
      <c r="K71" s="161"/>
      <c r="L71" s="161"/>
      <c r="M71" s="161"/>
      <c r="N71" s="161"/>
      <c r="O71" s="161"/>
      <c r="P71" s="161"/>
      <c r="Q71" s="161"/>
      <c r="R71" s="162"/>
      <c r="S71" s="962"/>
      <c r="T71" s="962"/>
      <c r="U71" s="966"/>
      <c r="V71" s="153"/>
    </row>
    <row r="72" spans="2:22" s="163" customFormat="1">
      <c r="B72" s="154" t="s">
        <v>227</v>
      </c>
      <c r="C72" s="535"/>
      <c r="D72" s="156"/>
      <c r="E72" s="156"/>
      <c r="F72" s="156"/>
      <c r="G72" s="156"/>
      <c r="H72" s="156"/>
      <c r="I72" s="156"/>
      <c r="J72" s="156"/>
      <c r="K72" s="156"/>
      <c r="L72" s="156"/>
      <c r="M72" s="156"/>
      <c r="N72" s="156"/>
      <c r="O72" s="156"/>
      <c r="P72" s="156"/>
      <c r="Q72" s="156"/>
      <c r="R72" s="157">
        <f>SUM(D72:Q72)</f>
        <v>0</v>
      </c>
      <c r="S72" s="17" t="s">
        <v>1699</v>
      </c>
      <c r="T72" s="963"/>
      <c r="U72" s="965"/>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7" t="s">
        <v>1699</v>
      </c>
      <c r="T73" s="963"/>
      <c r="U73" s="965"/>
      <c r="V73" s="153"/>
    </row>
    <row r="74" spans="2:22" s="136" customFormat="1">
      <c r="B74" s="625" t="s">
        <v>67</v>
      </c>
      <c r="C74" s="621"/>
      <c r="D74" s="160"/>
      <c r="E74" s="160"/>
      <c r="F74" s="160"/>
      <c r="G74" s="160"/>
      <c r="H74" s="160"/>
      <c r="I74" s="160"/>
      <c r="J74" s="160"/>
      <c r="K74" s="161"/>
      <c r="L74" s="161"/>
      <c r="M74" s="161"/>
      <c r="N74" s="161"/>
      <c r="O74" s="161"/>
      <c r="P74" s="161"/>
      <c r="Q74" s="161"/>
      <c r="R74" s="162"/>
      <c r="S74" s="962"/>
      <c r="T74" s="136" t="s">
        <v>1691</v>
      </c>
      <c r="U74" s="159" t="s">
        <v>1692</v>
      </c>
      <c r="V74" s="153"/>
    </row>
    <row r="75" spans="2:22" s="163" customFormat="1">
      <c r="B75" s="154" t="s">
        <v>229</v>
      </c>
      <c r="C75" s="535"/>
      <c r="D75" s="156">
        <f>'5.  2015-2020 LRAM'!Y756</f>
        <v>18943.473192747075</v>
      </c>
      <c r="E75" s="156">
        <f>'5.  2015-2020 LRAM'!Z756</f>
        <v>39054.711267232691</v>
      </c>
      <c r="F75" s="156">
        <f>'5.  2015-2020 LRAM'!AA756</f>
        <v>29065.616988213424</v>
      </c>
      <c r="G75" s="156">
        <f>'5.  2015-2020 LRAM'!AB756</f>
        <v>0</v>
      </c>
      <c r="H75" s="156">
        <f>'5.  2015-2020 LRAM'!AC756</f>
        <v>3574.0538777771208</v>
      </c>
      <c r="I75" s="156">
        <f>'5.  2015-2020 LRAM'!AD756</f>
        <v>381.3166422962093</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91019.171968266513</v>
      </c>
      <c r="S75" s="963"/>
      <c r="T75" s="963"/>
      <c r="U75" s="965"/>
      <c r="V75" s="153" t="s">
        <v>1693</v>
      </c>
    </row>
    <row r="76" spans="2:22" s="163" customFormat="1" ht="16.5" customHeight="1">
      <c r="B76" s="154" t="s">
        <v>228</v>
      </c>
      <c r="C76" s="155"/>
      <c r="D76" s="156">
        <f>-'5.  2015-2020 LRAM'!Y757</f>
        <v>-6217.6905000000006</v>
      </c>
      <c r="E76" s="156">
        <f>-'5.  2015-2020 LRAM'!Z757</f>
        <v>-6120.8042999999998</v>
      </c>
      <c r="F76" s="156">
        <f>-'5.  2015-2020 LRAM'!AA757</f>
        <v>-9343.9500000000007</v>
      </c>
      <c r="G76" s="156">
        <f>-'5.  2015-2020 LRAM'!AB757</f>
        <v>-45.218200000000003</v>
      </c>
      <c r="H76" s="156">
        <f>-'5.  2015-2020 LRAM'!AC757</f>
        <v>-1335.123</v>
      </c>
      <c r="I76" s="156">
        <f>-'5.  2015-2020 LRAM'!AD757</f>
        <v>-10.284000000000001</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-23073.07</v>
      </c>
      <c r="S76" s="970">
        <f>SUM(R75:R76)</f>
        <v>67946.101968266506</v>
      </c>
      <c r="T76" s="963">
        <v>66436.179999999993</v>
      </c>
      <c r="U76" s="965">
        <f>S76-T76</f>
        <v>1509.9219682665134</v>
      </c>
      <c r="V76" s="153" t="s">
        <v>1694</v>
      </c>
    </row>
    <row r="77" spans="2:22" s="136" customFormat="1">
      <c r="B77" s="625" t="s">
        <v>67</v>
      </c>
      <c r="C77" s="621"/>
      <c r="D77" s="160"/>
      <c r="E77" s="160"/>
      <c r="F77" s="160"/>
      <c r="G77" s="160"/>
      <c r="H77" s="160"/>
      <c r="I77" s="160"/>
      <c r="J77" s="160"/>
      <c r="K77" s="161"/>
      <c r="L77" s="161"/>
      <c r="M77" s="161"/>
      <c r="N77" s="161"/>
      <c r="O77" s="161"/>
      <c r="P77" s="161"/>
      <c r="Q77" s="161"/>
      <c r="R77" s="162"/>
      <c r="S77" s="962"/>
      <c r="T77" s="962"/>
      <c r="U77" s="966"/>
      <c r="V77" s="153"/>
    </row>
    <row r="78" spans="2:22" s="163" customFormat="1">
      <c r="B78" s="154" t="s">
        <v>231</v>
      </c>
      <c r="C78" s="155"/>
      <c r="D78" s="156">
        <v>0</v>
      </c>
      <c r="E78" s="156">
        <v>0</v>
      </c>
      <c r="F78" s="156">
        <v>0</v>
      </c>
      <c r="G78" s="156">
        <f>'5.  2015-2020 LRAM'!AB940</f>
        <v>0</v>
      </c>
      <c r="H78" s="156">
        <v>0</v>
      </c>
      <c r="I78" s="156">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S78" s="963"/>
      <c r="T78" s="963"/>
      <c r="U78" s="965"/>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970"/>
      <c r="T79" s="963"/>
      <c r="U79" s="965"/>
      <c r="V79" s="153"/>
    </row>
    <row r="80" spans="2:22" s="136" customFormat="1">
      <c r="B80" s="625" t="s">
        <v>67</v>
      </c>
      <c r="C80" s="621"/>
      <c r="D80" s="160"/>
      <c r="E80" s="160"/>
      <c r="F80" s="160"/>
      <c r="G80" s="160"/>
      <c r="H80" s="160"/>
      <c r="I80" s="160"/>
      <c r="J80" s="160"/>
      <c r="K80" s="161"/>
      <c r="L80" s="161"/>
      <c r="M80" s="161"/>
      <c r="N80" s="161"/>
      <c r="O80" s="161"/>
      <c r="P80" s="161"/>
      <c r="Q80" s="161"/>
      <c r="R80" s="162"/>
      <c r="S80" s="962"/>
      <c r="T80" s="962"/>
      <c r="U80" s="966"/>
      <c r="V80" s="153"/>
    </row>
    <row r="81" spans="2:22" s="163" customFormat="1">
      <c r="B81" s="154" t="s">
        <v>233</v>
      </c>
      <c r="C81" s="535"/>
      <c r="D81" s="156">
        <f>'5.  2015-2020 LRAM'!Y1124</f>
        <v>0</v>
      </c>
      <c r="E81" s="156">
        <v>0</v>
      </c>
      <c r="F81" s="156">
        <v>0</v>
      </c>
      <c r="G81" s="156">
        <v>0</v>
      </c>
      <c r="H81" s="156">
        <v>0</v>
      </c>
      <c r="I81" s="156">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S81" s="963"/>
      <c r="T81" s="963"/>
      <c r="U81" s="965"/>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961"/>
      <c r="T82" s="963"/>
      <c r="U82" s="965"/>
    </row>
    <row r="83" spans="2:22" s="136" customFormat="1">
      <c r="B83" s="625" t="s">
        <v>67</v>
      </c>
      <c r="C83" s="621"/>
      <c r="D83" s="160"/>
      <c r="E83" s="160"/>
      <c r="F83" s="160"/>
      <c r="G83" s="160"/>
      <c r="H83" s="160"/>
      <c r="I83" s="160"/>
      <c r="J83" s="160"/>
      <c r="K83" s="161"/>
      <c r="L83" s="161"/>
      <c r="M83" s="161"/>
      <c r="N83" s="161"/>
      <c r="O83" s="161"/>
      <c r="P83" s="161"/>
      <c r="Q83" s="161"/>
      <c r="R83" s="162"/>
      <c r="S83" s="962"/>
      <c r="T83" s="962"/>
      <c r="U83" s="966"/>
      <c r="V83" s="153" t="s">
        <v>1695</v>
      </c>
    </row>
    <row r="84" spans="2:22" s="17" customFormat="1" ht="20.25" customHeight="1">
      <c r="B84" s="622" t="s">
        <v>43</v>
      </c>
      <c r="C84" s="621"/>
      <c r="D84" s="678">
        <f>'6.  Carrying Charges'!I237</f>
        <v>601.79696113055434</v>
      </c>
      <c r="E84" s="678">
        <f>'6.  Carrying Charges'!J237</f>
        <v>1557.4307380191974</v>
      </c>
      <c r="F84" s="678">
        <f>'6.  Carrying Charges'!K237</f>
        <v>932.6294145113684</v>
      </c>
      <c r="G84" s="678">
        <f>'6.  Carrying Charges'!L237</f>
        <v>-2.1383498370833345</v>
      </c>
      <c r="H84" s="678">
        <f>'6.  Carrying Charges'!M237</f>
        <v>105.87810832221425</v>
      </c>
      <c r="I84" s="678">
        <f>'6.  Carrying Charges'!N237</f>
        <v>17.545979057253444</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3213.142851203505</v>
      </c>
      <c r="S84" s="970">
        <f>R84</f>
        <v>3213.142851203505</v>
      </c>
      <c r="T84" s="961">
        <v>2935.52</v>
      </c>
      <c r="U84" s="965">
        <f>S84-T84</f>
        <v>277.62285120350498</v>
      </c>
      <c r="V84" s="153" t="s">
        <v>1700</v>
      </c>
    </row>
    <row r="85" spans="2:22" s="163" customFormat="1" ht="21.75" customHeight="1">
      <c r="B85" s="623" t="s">
        <v>240</v>
      </c>
      <c r="C85" s="624"/>
      <c r="D85" s="623">
        <f>SUM(D54:D80)+D84</f>
        <v>13327.579653877629</v>
      </c>
      <c r="E85" s="623">
        <f t="shared" ref="E85:Q85" si="2">SUM(E54:E80)+E84</f>
        <v>34491.337705251884</v>
      </c>
      <c r="F85" s="623">
        <f t="shared" si="2"/>
        <v>20654.296402724791</v>
      </c>
      <c r="G85" s="623">
        <f t="shared" si="2"/>
        <v>-47.356549837083335</v>
      </c>
      <c r="H85" s="623">
        <f t="shared" si="2"/>
        <v>2344.808986099335</v>
      </c>
      <c r="I85" s="623">
        <f t="shared" si="2"/>
        <v>388.57862135346272</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71159.244819470012</v>
      </c>
      <c r="S85" s="963"/>
      <c r="T85" s="963"/>
      <c r="U85" s="965"/>
    </row>
    <row r="86" spans="2:22" ht="20.25" customHeight="1">
      <c r="B86" s="453" t="s">
        <v>535</v>
      </c>
      <c r="C86" s="602"/>
      <c r="D86" s="601"/>
      <c r="E86" s="601"/>
      <c r="F86" s="601"/>
      <c r="G86" s="601"/>
      <c r="H86" s="601"/>
      <c r="I86" s="601"/>
      <c r="J86" s="601"/>
      <c r="K86" s="601"/>
      <c r="L86" s="601"/>
      <c r="M86" s="601"/>
      <c r="N86" s="601"/>
      <c r="O86" s="601"/>
      <c r="P86" s="601"/>
      <c r="Q86" s="601"/>
      <c r="R86" s="601"/>
      <c r="S86" s="964"/>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4892.1882983211926</v>
      </c>
      <c r="D93" s="556">
        <f>SUM('4.  2011-2014 LRAM'!Y259:AL259)</f>
        <v>4935.6492641256145</v>
      </c>
      <c r="E93" s="556">
        <f>SUM('4.  2011-2014 LRAM'!Y388:AL388)</f>
        <v>5185.4055209060098</v>
      </c>
      <c r="F93" s="557">
        <f>SUM('4.  2011-2014 LRAM'!Y517:AL517)</f>
        <v>5244.2518475705392</v>
      </c>
      <c r="G93" s="557">
        <f>SUM('5.  2015-2020 LRAM'!Y199:AL199)</f>
        <v>5002.8173804170947</v>
      </c>
      <c r="H93" s="556">
        <f>SUM('5.  2015-2020 LRAM'!Y382:AL382)</f>
        <v>4000.9193636432547</v>
      </c>
      <c r="I93" s="557">
        <f>SUM('5.  2015-2020 LRAM'!Y565:AL565)</f>
        <v>2405.9884417399016</v>
      </c>
      <c r="J93" s="556">
        <f>SUM('5.  2015-2020 LRAM'!Y748:AL748)</f>
        <v>2084.8104589673117</v>
      </c>
      <c r="K93" s="556">
        <f>SUM('5.  2015-2020 LRAM'!Y931:AL931)</f>
        <v>1925.9340645419243</v>
      </c>
      <c r="L93" s="556">
        <f>SUM('5.  2015-2020 LRAM'!Y1114:AL1114)</f>
        <v>1884.1566381851671</v>
      </c>
      <c r="M93" s="556">
        <f>SUM(C93:L93)</f>
        <v>37562.121278418002</v>
      </c>
      <c r="T93" s="197"/>
      <c r="U93" s="197"/>
    </row>
    <row r="94" spans="2:22" s="90" customFormat="1" ht="23.25" hidden="1" customHeight="1">
      <c r="B94" s="198">
        <v>2012</v>
      </c>
      <c r="C94" s="558"/>
      <c r="D94" s="557">
        <f>SUM('4.  2011-2014 LRAM'!Y260:AL260)</f>
        <v>10861.502148191217</v>
      </c>
      <c r="E94" s="556">
        <f>SUM('4.  2011-2014 LRAM'!Y389:AL389)</f>
        <v>11796.383405955852</v>
      </c>
      <c r="F94" s="557">
        <f>SUM('4.  2011-2014 LRAM'!Y518:AL518)</f>
        <v>12384.714426751289</v>
      </c>
      <c r="G94" s="557">
        <f>SUM('5.  2015-2020 LRAM'!Y200:AL200)</f>
        <v>9953.9979458159578</v>
      </c>
      <c r="H94" s="556">
        <f>SUM('5.  2015-2020 LRAM'!Y383:AL383)</f>
        <v>9504.5600462799775</v>
      </c>
      <c r="I94" s="557">
        <f>SUM('5.  2015-2020 LRAM'!Y566:AL566)</f>
        <v>3946.9238062469894</v>
      </c>
      <c r="J94" s="556">
        <f>SUM('5.  2015-2020 LRAM'!Y749:AL749)</f>
        <v>3636.3257499171796</v>
      </c>
      <c r="K94" s="556">
        <f>SUM('5.  2015-2020 LRAM'!Y932:AL932)</f>
        <v>3489.4503443389231</v>
      </c>
      <c r="L94" s="556">
        <f>SUM('5.  2015-2020 LRAM'!Y1115:AL1115)</f>
        <v>3484.4883260305842</v>
      </c>
      <c r="M94" s="556">
        <f>SUM(D94:L94)</f>
        <v>69058.346199527965</v>
      </c>
      <c r="T94" s="197"/>
      <c r="U94" s="197"/>
    </row>
    <row r="95" spans="2:22" s="90" customFormat="1" ht="23.25" hidden="1" customHeight="1">
      <c r="B95" s="198">
        <v>2013</v>
      </c>
      <c r="C95" s="559"/>
      <c r="D95" s="559"/>
      <c r="E95" s="557">
        <f>SUM('4.  2011-2014 LRAM'!Y390:AL390)</f>
        <v>7461.5758923166095</v>
      </c>
      <c r="F95" s="557">
        <f>SUM('4.  2011-2014 LRAM'!Y519:AL519)</f>
        <v>7638.0164381636796</v>
      </c>
      <c r="G95" s="557">
        <f>SUM('5.  2015-2020 LRAM'!Y201:AL201)</f>
        <v>7633.2080322327793</v>
      </c>
      <c r="H95" s="556">
        <f>SUM('5.  2015-2020 LRAM'!Y384:AL384)</f>
        <v>5990.5377390524973</v>
      </c>
      <c r="I95" s="557">
        <f>SUM('5.  2015-2020 LRAM'!Y567:AL567)</f>
        <v>3010.4562384616843</v>
      </c>
      <c r="J95" s="556">
        <f>SUM('5.  2015-2020 LRAM'!Y750:AL750)</f>
        <v>2321.7890991931408</v>
      </c>
      <c r="K95" s="556">
        <f>SUM('5.  2015-2020 LRAM'!Y933:AL933)</f>
        <v>1934.3219918327436</v>
      </c>
      <c r="L95" s="556">
        <f>SUM('5.  2015-2020 LRAM'!Y1116:AL1116)</f>
        <v>1838.7889572859729</v>
      </c>
      <c r="M95" s="556">
        <f>SUM(C95:L95)</f>
        <v>37828.694388539101</v>
      </c>
      <c r="T95" s="197"/>
      <c r="U95" s="197"/>
    </row>
    <row r="96" spans="2:22" s="90" customFormat="1" ht="23.25" hidden="1" customHeight="1">
      <c r="B96" s="198">
        <v>2014</v>
      </c>
      <c r="C96" s="559"/>
      <c r="D96" s="559"/>
      <c r="E96" s="559"/>
      <c r="F96" s="557">
        <f>SUM('4.  2011-2014 LRAM'!Y520:AL520)</f>
        <v>16044.758981960189</v>
      </c>
      <c r="G96" s="557">
        <f>SUM('5.  2015-2020 LRAM'!Y202:AL202)</f>
        <v>15674.559008724247</v>
      </c>
      <c r="H96" s="556">
        <f>SUM('5.  2015-2020 LRAM'!Y385:AL385)</f>
        <v>13974.172714663315</v>
      </c>
      <c r="I96" s="557">
        <f>SUM('5.  2015-2020 LRAM'!Y568:AL568)</f>
        <v>11573.890770652282</v>
      </c>
      <c r="J96" s="556">
        <f>SUM('5.  2015-2020 LRAM'!Y751:AL751)</f>
        <v>10398.212259876784</v>
      </c>
      <c r="K96" s="556">
        <f>SUM('5.  2015-2020 LRAM'!Y934:AL934)</f>
        <v>9676.7499423731406</v>
      </c>
      <c r="L96" s="556">
        <f>SUM('5.  2015-2020 LRAM'!Y1117:AL1117)</f>
        <v>9177.0340255783849</v>
      </c>
      <c r="M96" s="556">
        <f>SUM(F96:L96)</f>
        <v>86519.37770382833</v>
      </c>
      <c r="T96" s="197"/>
      <c r="U96" s="197"/>
    </row>
    <row r="97" spans="2:21" s="90" customFormat="1" ht="23.25" hidden="1" customHeight="1">
      <c r="B97" s="198">
        <v>2015</v>
      </c>
      <c r="C97" s="559"/>
      <c r="D97" s="559"/>
      <c r="E97" s="559"/>
      <c r="F97" s="559"/>
      <c r="G97" s="557">
        <f>SUM('5.  2015-2020 LRAM'!Y203:AL203)</f>
        <v>32420.08771308326</v>
      </c>
      <c r="H97" s="556">
        <f>SUM('5.  2015-2020 LRAM'!Y386:AL386)</f>
        <v>31062.035651377308</v>
      </c>
      <c r="I97" s="557">
        <f>SUM('5.  2015-2020 LRAM'!Y569:AL569)</f>
        <v>29470.591613469594</v>
      </c>
      <c r="J97" s="556">
        <f>SUM('5.  2015-2020 LRAM'!Y752:AL752)</f>
        <v>27742.261800910201</v>
      </c>
      <c r="K97" s="556">
        <f>SUM('5.  2015-2020 LRAM'!Y935:AL935)</f>
        <v>28212.018937437188</v>
      </c>
      <c r="L97" s="556">
        <f>SUM('5.  2015-2020 LRAM'!Y1118:AL1118)</f>
        <v>29048.618661745939</v>
      </c>
      <c r="M97" s="556">
        <f>SUM(G97:L97)</f>
        <v>177955.61437802349</v>
      </c>
      <c r="T97" s="197"/>
      <c r="U97" s="197"/>
    </row>
    <row r="98" spans="2:21" s="90" customFormat="1" ht="23.25" hidden="1" customHeight="1">
      <c r="B98" s="198">
        <v>2016</v>
      </c>
      <c r="C98" s="559"/>
      <c r="D98" s="559"/>
      <c r="E98" s="559"/>
      <c r="F98" s="559"/>
      <c r="G98" s="559"/>
      <c r="H98" s="556">
        <f>SUM('5.  2015-2020 LRAM'!Y387:AL387)</f>
        <v>22516.706110661409</v>
      </c>
      <c r="I98" s="557">
        <f>SUM('5.  2015-2020 LRAM'!Y570:AL570)</f>
        <v>19529.852455940156</v>
      </c>
      <c r="J98" s="556">
        <f>SUM('5.  2015-2020 LRAM'!Y753:AL753)</f>
        <v>16444.520131616569</v>
      </c>
      <c r="K98" s="556">
        <f>SUM('5.  2015-2020 LRAM'!Y936:AL936)</f>
        <v>12298.664586428775</v>
      </c>
      <c r="L98" s="556">
        <f>SUM('5.  2015-2020 LRAM'!Y1119:AL1119)</f>
        <v>10802.133002996743</v>
      </c>
      <c r="M98" s="556">
        <f>SUM(H98:L98)</f>
        <v>81591.876287643652</v>
      </c>
      <c r="T98" s="197"/>
      <c r="U98" s="197"/>
    </row>
    <row r="99" spans="2:21" s="90" customFormat="1" ht="23.25" hidden="1" customHeight="1">
      <c r="B99" s="198">
        <v>2017</v>
      </c>
      <c r="C99" s="559"/>
      <c r="D99" s="559"/>
      <c r="E99" s="559"/>
      <c r="F99" s="559"/>
      <c r="G99" s="559"/>
      <c r="H99" s="559"/>
      <c r="I99" s="556">
        <f>SUM('5.  2015-2020 LRAM'!Y571:AL571)</f>
        <v>22609.260446080003</v>
      </c>
      <c r="J99" s="556">
        <f>SUM('5.  2015-2020 LRAM'!Y754:AL754)</f>
        <v>18217.281642914822</v>
      </c>
      <c r="K99" s="556">
        <f>SUM('5.  2015-2020 LRAM'!Y937:AL937)</f>
        <v>14057.449759540086</v>
      </c>
      <c r="L99" s="556">
        <f>SUM('5.  2015-2020 LRAM'!Y1120:AL1120)</f>
        <v>12633.311724307176</v>
      </c>
      <c r="M99" s="556">
        <f>SUM(I99:L99)</f>
        <v>67517.303572842095</v>
      </c>
      <c r="T99" s="197"/>
      <c r="U99" s="197"/>
    </row>
    <row r="100" spans="2:21" s="90" customFormat="1" ht="23.25" hidden="1" customHeight="1">
      <c r="B100" s="198">
        <v>2018</v>
      </c>
      <c r="C100" s="559"/>
      <c r="D100" s="559"/>
      <c r="E100" s="559"/>
      <c r="F100" s="559"/>
      <c r="G100" s="559"/>
      <c r="H100" s="559"/>
      <c r="I100" s="559"/>
      <c r="J100" s="556">
        <f>SUM('5.  2015-2020 LRAM'!Y755:AL755)</f>
        <v>10173.970824870521</v>
      </c>
      <c r="K100" s="556">
        <f>SUM('5.  2015-2020 LRAM'!Y938:AL938)</f>
        <v>9370.02612037576</v>
      </c>
      <c r="L100" s="556">
        <f>SUM('5.  2015-2020 LRAM'!Y1121:AL1121)</f>
        <v>0</v>
      </c>
      <c r="M100" s="556">
        <f>SUM(J100:L100)</f>
        <v>19543.996945246283</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4892.1882983211926</v>
      </c>
      <c r="D103" s="556">
        <f>D93+D94</f>
        <v>15797.151412316831</v>
      </c>
      <c r="E103" s="556">
        <f>E93+E94+E95</f>
        <v>24443.36481917847</v>
      </c>
      <c r="F103" s="556">
        <f>F93+F94+F95+F96</f>
        <v>41311.741694445693</v>
      </c>
      <c r="G103" s="556">
        <f>G93+G94+G95+G96+G97</f>
        <v>70684.670080273339</v>
      </c>
      <c r="H103" s="556">
        <f>H93+H94+H95+H96+H97+H98</f>
        <v>87048.931625677753</v>
      </c>
      <c r="I103" s="556">
        <f>I93+I94+I95+I96+I97+I98+I99</f>
        <v>92546.963772590621</v>
      </c>
      <c r="J103" s="556">
        <f>J93+J94+J95+J96+J97+J98+J99+J100</f>
        <v>91019.171968266513</v>
      </c>
      <c r="K103" s="556">
        <f>K93+K94+K95+K96+K97+K98+K99+K100+K101</f>
        <v>80964.615746868541</v>
      </c>
      <c r="L103" s="556">
        <f>SUM(L93:L102)</f>
        <v>68868.531336129963</v>
      </c>
      <c r="M103" s="556">
        <f>SUM(M93:M102)</f>
        <v>577577.3307540688</v>
      </c>
      <c r="T103" s="199"/>
      <c r="U103" s="199"/>
    </row>
    <row r="104" spans="2:21" s="27" customFormat="1" ht="24.75" hidden="1" customHeight="1">
      <c r="B104" s="572" t="s">
        <v>517</v>
      </c>
      <c r="C104" s="554">
        <f>'4.  2011-2014 LRAM'!AM132</f>
        <v>27972.674600000002</v>
      </c>
      <c r="D104" s="554">
        <f>'4.  2011-2014 LRAM'!AM262</f>
        <v>28148.3236</v>
      </c>
      <c r="E104" s="554">
        <f>'4.  2011-2014 LRAM'!AM392</f>
        <v>31595.098900000005</v>
      </c>
      <c r="F104" s="554">
        <f>'4.  2011-2014 LRAM'!AM522</f>
        <v>33591.702799999999</v>
      </c>
      <c r="G104" s="554">
        <f>'5.  2015-2020 LRAM'!AM205</f>
        <v>34043.034500000002</v>
      </c>
      <c r="H104" s="554">
        <f>'5.  2015-2020 LRAM'!AM389</f>
        <v>31601.7556</v>
      </c>
      <c r="I104" s="554">
        <f>'5.  2015-2020 LRAM'!AM573</f>
        <v>27398.000100000001</v>
      </c>
      <c r="J104" s="554">
        <f>'5.  2015-2020 LRAM'!AM757</f>
        <v>23073.07</v>
      </c>
      <c r="K104" s="554">
        <f>'5.  2015-2020 LRAM'!AM941</f>
        <v>0</v>
      </c>
      <c r="L104" s="554">
        <f>'5.  2015-2020 LRAM'!AM1125</f>
        <v>0</v>
      </c>
      <c r="M104" s="556">
        <f>SUM(C104:L104)</f>
        <v>237423.66010000004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622.6977136633426</v>
      </c>
      <c r="K105" s="554">
        <f>'6.  Carrying Charges'!W147</f>
        <v>2149.7863554001333</v>
      </c>
      <c r="L105" s="554">
        <f>'6.  Carrying Charges'!W162</f>
        <v>3084.0452574637993</v>
      </c>
      <c r="M105" s="556">
        <f>SUM(C105:L105)</f>
        <v>5856.5293265272758</v>
      </c>
    </row>
    <row r="106" spans="2:21" ht="23.25" hidden="1" customHeight="1">
      <c r="B106" s="571" t="s">
        <v>26</v>
      </c>
      <c r="C106" s="554">
        <f>C103-C104+C105</f>
        <v>-23080.486301678808</v>
      </c>
      <c r="D106" s="554">
        <f t="shared" ref="D106:J106" si="3">D103-D104+D105</f>
        <v>-12351.172187683169</v>
      </c>
      <c r="E106" s="554">
        <f t="shared" si="3"/>
        <v>-7151.734080821534</v>
      </c>
      <c r="F106" s="554">
        <f t="shared" si="3"/>
        <v>7720.0388944456936</v>
      </c>
      <c r="G106" s="554">
        <f t="shared" si="3"/>
        <v>36641.635580273338</v>
      </c>
      <c r="H106" s="554">
        <f t="shared" si="3"/>
        <v>55447.176025677749</v>
      </c>
      <c r="I106" s="554">
        <f t="shared" si="3"/>
        <v>65148.963672590617</v>
      </c>
      <c r="J106" s="554">
        <f t="shared" si="3"/>
        <v>68568.799681929842</v>
      </c>
      <c r="K106" s="554">
        <f>K103-K104+K105</f>
        <v>83114.402102268679</v>
      </c>
      <c r="L106" s="554">
        <f>L103-L104+L105</f>
        <v>71952.576593593767</v>
      </c>
      <c r="M106" s="554">
        <f>M103-M104+M105</f>
        <v>346010.19998059602</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4"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610</v>
      </c>
    </row>
    <row r="20" spans="2:8" ht="13.5" customHeight="1"/>
    <row r="21" spans="2:8" ht="41.1" customHeight="1">
      <c r="B21" s="1010" t="s">
        <v>673</v>
      </c>
      <c r="C21" s="1010"/>
      <c r="D21" s="1010"/>
      <c r="E21" s="1010"/>
      <c r="F21" s="1010"/>
      <c r="G21" s="1010"/>
      <c r="H21" s="1010"/>
    </row>
    <row r="23" spans="2:8" s="609" customFormat="1" ht="15.75">
      <c r="B23" s="619" t="s">
        <v>545</v>
      </c>
      <c r="C23" s="619" t="s">
        <v>560</v>
      </c>
      <c r="D23" s="619" t="s">
        <v>544</v>
      </c>
      <c r="E23" s="1019" t="s">
        <v>34</v>
      </c>
      <c r="F23" s="1020"/>
      <c r="G23" s="1019" t="s">
        <v>543</v>
      </c>
      <c r="H23" s="1020"/>
    </row>
    <row r="24" spans="2:8">
      <c r="B24" s="608">
        <v>1</v>
      </c>
      <c r="C24" s="643"/>
      <c r="D24" s="607"/>
      <c r="E24" s="1015"/>
      <c r="F24" s="1016"/>
      <c r="G24" s="1017"/>
      <c r="H24" s="1018"/>
    </row>
    <row r="25" spans="2:8">
      <c r="B25" s="608">
        <v>2</v>
      </c>
      <c r="C25" s="643"/>
      <c r="D25" s="607"/>
      <c r="E25" s="1015"/>
      <c r="F25" s="1016"/>
      <c r="G25" s="1017"/>
      <c r="H25" s="1018"/>
    </row>
    <row r="26" spans="2:8">
      <c r="B26" s="608">
        <v>3</v>
      </c>
      <c r="C26" s="643"/>
      <c r="D26" s="607"/>
      <c r="E26" s="1015"/>
      <c r="F26" s="1016"/>
      <c r="G26" s="1017"/>
      <c r="H26" s="1018"/>
    </row>
    <row r="27" spans="2:8">
      <c r="B27" s="608">
        <v>4</v>
      </c>
      <c r="C27" s="643"/>
      <c r="D27" s="607"/>
      <c r="E27" s="1015"/>
      <c r="F27" s="1016"/>
      <c r="G27" s="1017"/>
      <c r="H27" s="1018"/>
    </row>
    <row r="28" spans="2:8">
      <c r="B28" s="608">
        <v>5</v>
      </c>
      <c r="C28" s="643"/>
      <c r="D28" s="607"/>
      <c r="E28" s="1015"/>
      <c r="F28" s="1016"/>
      <c r="G28" s="1017"/>
      <c r="H28" s="1018"/>
    </row>
    <row r="29" spans="2:8">
      <c r="B29" s="608">
        <v>6</v>
      </c>
      <c r="C29" s="643"/>
      <c r="D29" s="607"/>
      <c r="E29" s="1015"/>
      <c r="F29" s="1016"/>
      <c r="G29" s="1017"/>
      <c r="H29" s="1018"/>
    </row>
    <row r="30" spans="2:8">
      <c r="B30" s="608">
        <v>7</v>
      </c>
      <c r="C30" s="643"/>
      <c r="D30" s="607"/>
      <c r="E30" s="1015"/>
      <c r="F30" s="1016"/>
      <c r="G30" s="1017"/>
      <c r="H30" s="1018"/>
    </row>
    <row r="31" spans="2:8">
      <c r="B31" s="608">
        <v>8</v>
      </c>
      <c r="C31" s="643"/>
      <c r="D31" s="607"/>
      <c r="E31" s="1015"/>
      <c r="F31" s="1016"/>
      <c r="G31" s="1017"/>
      <c r="H31" s="1018"/>
    </row>
    <row r="32" spans="2:8">
      <c r="B32" s="608">
        <v>9</v>
      </c>
      <c r="C32" s="643"/>
      <c r="D32" s="607"/>
      <c r="E32" s="1015"/>
      <c r="F32" s="1016"/>
      <c r="G32" s="1017"/>
      <c r="H32" s="1018"/>
    </row>
    <row r="33" spans="2:8">
      <c r="B33" s="608">
        <v>10</v>
      </c>
      <c r="C33" s="643"/>
      <c r="D33" s="607"/>
      <c r="E33" s="1015"/>
      <c r="F33" s="1016"/>
      <c r="G33" s="1017"/>
      <c r="H33" s="1018"/>
    </row>
    <row r="34" spans="2:8">
      <c r="B34" s="608" t="s">
        <v>479</v>
      </c>
      <c r="C34" s="643"/>
      <c r="D34" s="607"/>
      <c r="E34" s="1015"/>
      <c r="F34" s="1016"/>
      <c r="G34" s="1017"/>
      <c r="H34" s="1018"/>
    </row>
    <row r="36" spans="2:8" ht="30.75" customHeight="1">
      <c r="B36" s="537" t="s">
        <v>606</v>
      </c>
    </row>
    <row r="37" spans="2:8" ht="23.25" customHeight="1">
      <c r="B37" s="568" t="s">
        <v>611</v>
      </c>
      <c r="C37" s="605"/>
      <c r="D37" s="605"/>
      <c r="E37" s="605"/>
      <c r="F37" s="605"/>
      <c r="G37" s="605"/>
      <c r="H37" s="605"/>
    </row>
    <row r="39" spans="2:8" s="90" customFormat="1" ht="15.75">
      <c r="B39" s="619" t="s">
        <v>545</v>
      </c>
      <c r="C39" s="619" t="s">
        <v>560</v>
      </c>
      <c r="D39" s="619" t="s">
        <v>544</v>
      </c>
      <c r="E39" s="1019" t="s">
        <v>34</v>
      </c>
      <c r="F39" s="1020"/>
      <c r="G39" s="1019" t="s">
        <v>543</v>
      </c>
      <c r="H39" s="1020"/>
    </row>
    <row r="40" spans="2:8">
      <c r="B40" s="608">
        <v>1</v>
      </c>
      <c r="C40" s="643"/>
      <c r="D40" s="607"/>
      <c r="E40" s="1015"/>
      <c r="F40" s="1016"/>
      <c r="G40" s="1017"/>
      <c r="H40" s="1018"/>
    </row>
    <row r="41" spans="2:8">
      <c r="B41" s="608">
        <v>2</v>
      </c>
      <c r="C41" s="643"/>
      <c r="D41" s="607"/>
      <c r="E41" s="1015"/>
      <c r="F41" s="1016"/>
      <c r="G41" s="1017"/>
      <c r="H41" s="1018"/>
    </row>
    <row r="42" spans="2:8">
      <c r="B42" s="608">
        <v>3</v>
      </c>
      <c r="C42" s="643"/>
      <c r="D42" s="607"/>
      <c r="E42" s="1015"/>
      <c r="F42" s="1016"/>
      <c r="G42" s="1017"/>
      <c r="H42" s="1018"/>
    </row>
    <row r="43" spans="2:8">
      <c r="B43" s="608">
        <v>4</v>
      </c>
      <c r="C43" s="643"/>
      <c r="D43" s="607"/>
      <c r="E43" s="1015"/>
      <c r="F43" s="1016"/>
      <c r="G43" s="1017"/>
      <c r="H43" s="1018"/>
    </row>
    <row r="44" spans="2:8">
      <c r="B44" s="608">
        <v>5</v>
      </c>
      <c r="C44" s="643"/>
      <c r="D44" s="607"/>
      <c r="E44" s="1015"/>
      <c r="F44" s="1016"/>
      <c r="G44" s="1017"/>
      <c r="H44" s="1018"/>
    </row>
    <row r="45" spans="2:8">
      <c r="B45" s="608">
        <v>6</v>
      </c>
      <c r="C45" s="643"/>
      <c r="D45" s="607"/>
      <c r="E45" s="1015"/>
      <c r="F45" s="1016"/>
      <c r="G45" s="1017"/>
      <c r="H45" s="1018"/>
    </row>
    <row r="46" spans="2:8">
      <c r="B46" s="608">
        <v>7</v>
      </c>
      <c r="C46" s="643"/>
      <c r="D46" s="607"/>
      <c r="E46" s="1015"/>
      <c r="F46" s="1016"/>
      <c r="G46" s="1017"/>
      <c r="H46" s="1018"/>
    </row>
    <row r="47" spans="2:8">
      <c r="B47" s="608">
        <v>8</v>
      </c>
      <c r="C47" s="643"/>
      <c r="D47" s="607"/>
      <c r="E47" s="1015"/>
      <c r="F47" s="1016"/>
      <c r="G47" s="1017"/>
      <c r="H47" s="1018"/>
    </row>
    <row r="48" spans="2:8">
      <c r="B48" s="608">
        <v>9</v>
      </c>
      <c r="C48" s="643"/>
      <c r="D48" s="607"/>
      <c r="E48" s="1015"/>
      <c r="F48" s="1016"/>
      <c r="G48" s="1017"/>
      <c r="H48" s="1018"/>
    </row>
    <row r="49" spans="2:8">
      <c r="B49" s="608">
        <v>10</v>
      </c>
      <c r="C49" s="643"/>
      <c r="D49" s="607"/>
      <c r="E49" s="1015"/>
      <c r="F49" s="1016"/>
      <c r="G49" s="1017"/>
      <c r="H49" s="1018"/>
    </row>
    <row r="50" spans="2:8">
      <c r="B50" s="608" t="s">
        <v>479</v>
      </c>
      <c r="C50" s="643"/>
      <c r="D50" s="607"/>
      <c r="E50" s="1015"/>
      <c r="F50" s="1016"/>
      <c r="G50" s="1017"/>
      <c r="H50" s="101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F71" sqref="F7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1021" t="s">
        <v>751</v>
      </c>
      <c r="C11" s="1021"/>
      <c r="D11" s="1021"/>
      <c r="E11" s="1021"/>
      <c r="F11" s="1021"/>
      <c r="G11" s="1021"/>
      <c r="H11" s="1021"/>
      <c r="I11" s="1021"/>
      <c r="J11" s="1021"/>
      <c r="K11" s="1021"/>
      <c r="L11" s="1021"/>
      <c r="M11" s="1021"/>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Sentinel Lighting</v>
      </c>
      <c r="H13" s="243" t="str">
        <f>'1.  LRAMVA Summary'!H52</f>
        <v>Street Lighting</v>
      </c>
      <c r="I13" s="243" t="str">
        <f>'1.  LRAMVA Summary'!I52</f>
        <v>Unmetered Scattered Load</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3215031</v>
      </c>
      <c r="D15" s="451">
        <v>1219155</v>
      </c>
      <c r="E15" s="451">
        <v>658151</v>
      </c>
      <c r="F15" s="451">
        <v>1305675</v>
      </c>
      <c r="G15" s="451">
        <v>632</v>
      </c>
      <c r="H15" s="451">
        <v>29704</v>
      </c>
      <c r="I15" s="451">
        <v>1714</v>
      </c>
      <c r="J15" s="451"/>
      <c r="K15" s="451"/>
      <c r="L15" s="451"/>
      <c r="M15" s="451"/>
      <c r="N15" s="451"/>
      <c r="O15" s="451"/>
      <c r="P15" s="452"/>
      <c r="Q15" s="452"/>
    </row>
    <row r="16" spans="2:17" s="456" customFormat="1" ht="15.75" customHeight="1">
      <c r="B16" s="461" t="s">
        <v>28</v>
      </c>
      <c r="C16" s="626">
        <f>SUM(D16:Q16)</f>
        <v>3319</v>
      </c>
      <c r="D16" s="450"/>
      <c r="E16" s="450"/>
      <c r="F16" s="450">
        <v>3236</v>
      </c>
      <c r="G16" s="450">
        <v>2</v>
      </c>
      <c r="H16" s="450">
        <v>81</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1219155</v>
      </c>
      <c r="E18" s="192">
        <f t="shared" si="0"/>
        <v>658151</v>
      </c>
      <c r="F18" s="192">
        <f>IF(F14="kw",HLOOKUP(F14,F14:F16,3,FALSE),HLOOKUP(F14,F14:F16,2,FALSE))</f>
        <v>3236</v>
      </c>
      <c r="G18" s="192">
        <f t="shared" ref="G18:Q18" si="1">IF(G14="kw",HLOOKUP(G14,G14:G16,3,FALSE),HLOOKUP(G14,G14:G16,2,FALSE))</f>
        <v>2</v>
      </c>
      <c r="H18" s="192">
        <f t="shared" si="1"/>
        <v>81</v>
      </c>
      <c r="I18" s="192">
        <f t="shared" si="1"/>
        <v>1714</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667</v>
      </c>
      <c r="C20" s="453"/>
      <c r="D20" s="454"/>
    </row>
    <row r="21" spans="2:17" s="438" customFormat="1" ht="21" customHeight="1">
      <c r="B21" s="460" t="s">
        <v>366</v>
      </c>
      <c r="C21" s="368" t="s">
        <v>758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1021" t="s">
        <v>751</v>
      </c>
      <c r="C26" s="1021"/>
      <c r="D26" s="1021"/>
      <c r="E26" s="1021"/>
      <c r="F26" s="1021"/>
      <c r="G26" s="1021"/>
      <c r="H26" s="1021"/>
      <c r="I26" s="1021"/>
      <c r="J26" s="1021"/>
      <c r="K26" s="1021"/>
      <c r="L26" s="1021"/>
      <c r="M26" s="1021"/>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Sentinel Lighting</v>
      </c>
      <c r="H28" s="243" t="str">
        <f>'1.  LRAMVA Summary'!H52</f>
        <v>Street Lighting</v>
      </c>
      <c r="I28" s="243" t="str">
        <f>'1.  LRAMVA Summary'!I52</f>
        <v>Unmetered Scattered Load</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c r="D30" s="462"/>
      <c r="E30" s="462"/>
      <c r="F30" s="462"/>
      <c r="G30" s="462"/>
      <c r="H30" s="462"/>
      <c r="I30" s="462"/>
      <c r="J30" s="462"/>
      <c r="K30" s="462"/>
      <c r="L30" s="462"/>
      <c r="M30" s="462"/>
      <c r="N30" s="462"/>
      <c r="O30" s="462"/>
      <c r="P30" s="462"/>
      <c r="Q30" s="452"/>
    </row>
    <row r="31" spans="2:17" s="463" customFormat="1" ht="15" customHeight="1">
      <c r="B31" s="461" t="s">
        <v>28</v>
      </c>
      <c r="C31" s="626"/>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667</v>
      </c>
      <c r="C35" s="453"/>
      <c r="D35" s="454"/>
      <c r="E35" s="93"/>
      <c r="F35" s="93"/>
      <c r="G35" s="93"/>
      <c r="H35" s="93"/>
      <c r="I35" s="93"/>
      <c r="J35" s="93"/>
      <c r="K35" s="93"/>
      <c r="L35" s="93"/>
      <c r="M35" s="93"/>
      <c r="N35" s="93"/>
      <c r="O35" s="93"/>
      <c r="P35" s="93"/>
      <c r="Q35" s="93"/>
    </row>
    <row r="36" spans="2:32" s="438" customFormat="1" ht="21" customHeight="1">
      <c r="B36" s="460" t="s">
        <v>366</v>
      </c>
      <c r="C36" s="453"/>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1021" t="s">
        <v>604</v>
      </c>
      <c r="C40" s="1021"/>
      <c r="D40" s="1021"/>
      <c r="E40" s="1021"/>
      <c r="F40" s="1021"/>
      <c r="G40" s="1021"/>
      <c r="H40" s="1021"/>
      <c r="I40" s="1021"/>
      <c r="J40" s="1021"/>
      <c r="K40" s="1021"/>
      <c r="L40" s="1021"/>
      <c r="M40" s="1021"/>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 50 - 4,999 kW</v>
      </c>
      <c r="G42" s="243" t="str">
        <f>'1.  LRAMVA Summary'!G52</f>
        <v>Sentinel Lighting</v>
      </c>
      <c r="H42" s="243" t="str">
        <f>'1.  LRAMVA Summary'!H52</f>
        <v>Street Lighting</v>
      </c>
      <c r="I42" s="243" t="str">
        <f>'1.  LRAMVA Summary'!I52</f>
        <v>Unmetered Scattered Load</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2013</v>
      </c>
      <c r="D44" s="190">
        <f t="shared" ref="D44:Q44" si="3">IF(ISBLANK($C$44),0,IF($C44=$D$9,HLOOKUP(D43,D14:D18,5,FALSE),HLOOKUP(D43,D29:D33,5,FALSE)))</f>
        <v>1219155</v>
      </c>
      <c r="E44" s="190">
        <f>IF(ISBLANK($C$44),0,IF($C44=$D$9,HLOOKUP(E43,E14:E18,5,FALSE),HLOOKUP(E43,E29:E33,5,FALSE)))</f>
        <v>658151</v>
      </c>
      <c r="F44" s="190">
        <f t="shared" si="3"/>
        <v>3236</v>
      </c>
      <c r="G44" s="190">
        <f t="shared" si="3"/>
        <v>2</v>
      </c>
      <c r="H44" s="190">
        <f t="shared" si="3"/>
        <v>81</v>
      </c>
      <c r="I44" s="190">
        <f t="shared" si="3"/>
        <v>1714</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2013</v>
      </c>
      <c r="D45" s="190">
        <f t="shared" ref="D45:Q45" si="4">IF(ISBLANK($C$45),0,IF($C$45=$D$9,HLOOKUP(D43,D14:D18,5,FALSE),HLOOKUP(D43,D29:D33,5,FALSE)))</f>
        <v>1219155</v>
      </c>
      <c r="E45" s="190">
        <f t="shared" si="4"/>
        <v>658151</v>
      </c>
      <c r="F45" s="190">
        <f t="shared" si="4"/>
        <v>3236</v>
      </c>
      <c r="G45" s="190">
        <f t="shared" si="4"/>
        <v>2</v>
      </c>
      <c r="H45" s="190">
        <f t="shared" si="4"/>
        <v>81</v>
      </c>
      <c r="I45" s="190">
        <f t="shared" si="4"/>
        <v>1714</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1219155</v>
      </c>
      <c r="E46" s="190">
        <f t="shared" si="5"/>
        <v>658151</v>
      </c>
      <c r="F46" s="190">
        <f t="shared" si="5"/>
        <v>3236</v>
      </c>
      <c r="G46" s="190">
        <f t="shared" si="5"/>
        <v>2</v>
      </c>
      <c r="H46" s="190">
        <f t="shared" si="5"/>
        <v>81</v>
      </c>
      <c r="I46" s="190">
        <f t="shared" si="5"/>
        <v>1714</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1219155</v>
      </c>
      <c r="E47" s="190">
        <f t="shared" si="6"/>
        <v>658151</v>
      </c>
      <c r="F47" s="190">
        <f t="shared" si="6"/>
        <v>3236</v>
      </c>
      <c r="G47" s="190">
        <f t="shared" si="6"/>
        <v>2</v>
      </c>
      <c r="H47" s="190">
        <f t="shared" si="6"/>
        <v>81</v>
      </c>
      <c r="I47" s="190">
        <f t="shared" si="6"/>
        <v>1714</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1219155</v>
      </c>
      <c r="E48" s="190">
        <f t="shared" si="7"/>
        <v>658151</v>
      </c>
      <c r="F48" s="190">
        <f t="shared" si="7"/>
        <v>3236</v>
      </c>
      <c r="G48" s="190">
        <f t="shared" si="7"/>
        <v>2</v>
      </c>
      <c r="H48" s="190">
        <f t="shared" si="7"/>
        <v>81</v>
      </c>
      <c r="I48" s="190">
        <f t="shared" si="7"/>
        <v>1714</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1219155</v>
      </c>
      <c r="E49" s="190">
        <f t="shared" si="8"/>
        <v>658151</v>
      </c>
      <c r="F49" s="190">
        <f t="shared" si="8"/>
        <v>3236</v>
      </c>
      <c r="G49" s="190">
        <f t="shared" si="8"/>
        <v>2</v>
      </c>
      <c r="H49" s="190">
        <f t="shared" si="8"/>
        <v>81</v>
      </c>
      <c r="I49" s="190">
        <f t="shared" si="8"/>
        <v>1714</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1219155</v>
      </c>
      <c r="E50" s="190">
        <f t="shared" si="9"/>
        <v>658151</v>
      </c>
      <c r="F50" s="190">
        <f t="shared" si="9"/>
        <v>3236</v>
      </c>
      <c r="G50" s="190">
        <f t="shared" si="9"/>
        <v>2</v>
      </c>
      <c r="H50" s="190">
        <f t="shared" si="9"/>
        <v>81</v>
      </c>
      <c r="I50" s="190">
        <f t="shared" si="9"/>
        <v>1714</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1219155</v>
      </c>
      <c r="E51" s="190">
        <f t="shared" si="11"/>
        <v>658151</v>
      </c>
      <c r="F51" s="190">
        <f t="shared" si="11"/>
        <v>3236</v>
      </c>
      <c r="G51" s="190">
        <f t="shared" si="11"/>
        <v>2</v>
      </c>
      <c r="H51" s="190">
        <f t="shared" si="11"/>
        <v>81</v>
      </c>
      <c r="I51" s="190">
        <f t="shared" si="11"/>
        <v>1714</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80" zoomScaleNormal="80" workbookViewId="0">
      <pane ySplit="14" topLeftCell="A15" activePane="bottomLeft" state="frozen"/>
      <selection pane="bottomLeft" activeCell="Q25" sqref="Q25"/>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27" t="s">
        <v>171</v>
      </c>
      <c r="C4" s="85" t="s">
        <v>175</v>
      </c>
      <c r="D4" s="85"/>
      <c r="E4" s="49"/>
    </row>
    <row r="5" spans="1:26" s="18" customFormat="1" ht="26.25" hidden="1" customHeight="1" outlineLevel="1" thickBot="1">
      <c r="A5" s="4"/>
      <c r="B5" s="1027"/>
      <c r="C5" s="86" t="s">
        <v>172</v>
      </c>
      <c r="D5" s="86"/>
      <c r="E5" s="49"/>
    </row>
    <row r="6" spans="1:26" ht="26.25" hidden="1" customHeight="1" outlineLevel="1" thickBot="1">
      <c r="B6" s="1027"/>
      <c r="C6" s="1030" t="s">
        <v>550</v>
      </c>
      <c r="D6" s="103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1025" t="s">
        <v>612</v>
      </c>
      <c r="C12" s="1025"/>
      <c r="D12" s="1025"/>
      <c r="E12" s="1025"/>
      <c r="F12" s="1025"/>
      <c r="G12" s="1025"/>
      <c r="H12" s="1025"/>
      <c r="I12" s="1025"/>
      <c r="J12" s="1025"/>
      <c r="K12" s="1025"/>
      <c r="L12" s="1025"/>
      <c r="M12" s="1025"/>
      <c r="N12" s="1025"/>
      <c r="O12" s="102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759</v>
      </c>
      <c r="E14" s="472" t="s">
        <v>760</v>
      </c>
      <c r="F14" s="472" t="s">
        <v>761</v>
      </c>
      <c r="G14" s="472" t="s">
        <v>762</v>
      </c>
      <c r="H14" s="472" t="s">
        <v>763</v>
      </c>
      <c r="I14" s="472" t="s">
        <v>764</v>
      </c>
      <c r="J14" s="472" t="s">
        <v>765</v>
      </c>
      <c r="K14" s="472" t="s">
        <v>766</v>
      </c>
      <c r="L14" s="472" t="s">
        <v>767</v>
      </c>
      <c r="M14" s="472" t="s">
        <v>1696</v>
      </c>
      <c r="N14" s="472" t="s">
        <v>752</v>
      </c>
      <c r="O14" s="472" t="s">
        <v>562</v>
      </c>
      <c r="P14" s="7"/>
    </row>
    <row r="15" spans="1:26" s="7" customFormat="1" ht="18.75" customHeight="1">
      <c r="B15" s="473" t="s">
        <v>188</v>
      </c>
      <c r="C15" s="102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1023"/>
      <c r="D16" s="477">
        <v>4</v>
      </c>
      <c r="E16" s="477">
        <v>4</v>
      </c>
      <c r="F16" s="477">
        <v>4</v>
      </c>
      <c r="G16" s="477">
        <v>4</v>
      </c>
      <c r="H16" s="477">
        <v>4</v>
      </c>
      <c r="I16" s="477">
        <v>4</v>
      </c>
      <c r="J16" s="477">
        <v>4</v>
      </c>
      <c r="K16" s="477">
        <v>4</v>
      </c>
      <c r="L16" s="477">
        <v>4</v>
      </c>
      <c r="M16" s="477">
        <v>4</v>
      </c>
      <c r="N16" s="477">
        <v>4</v>
      </c>
      <c r="O16" s="478"/>
    </row>
    <row r="17" spans="1:15" s="111" customFormat="1" ht="17.25" customHeight="1">
      <c r="B17" s="479" t="s">
        <v>559</v>
      </c>
      <c r="C17" s="102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12</v>
      </c>
    </row>
    <row r="18" spans="1:15" s="7" customFormat="1" ht="17.25" customHeight="1">
      <c r="B18" s="480" t="str">
        <f>'1.  LRAMVA Summary'!B29</f>
        <v>Residential</v>
      </c>
      <c r="C18" s="1022" t="str">
        <f>'2. LRAMVA Threshold'!D43</f>
        <v>kWh</v>
      </c>
      <c r="D18" s="46">
        <v>1.37E-2</v>
      </c>
      <c r="E18" s="46">
        <v>1.37E-2</v>
      </c>
      <c r="F18" s="46">
        <v>1.38E-2</v>
      </c>
      <c r="G18" s="46">
        <v>1.44E-2</v>
      </c>
      <c r="H18" s="46">
        <v>1.46E-2</v>
      </c>
      <c r="I18" s="46">
        <v>1.4800000000000001E-2</v>
      </c>
      <c r="J18" s="46">
        <v>1.1299999999999999E-2</v>
      </c>
      <c r="K18" s="46">
        <v>7.6E-3</v>
      </c>
      <c r="L18" s="46">
        <v>3.8E-3</v>
      </c>
      <c r="M18" s="46">
        <v>0</v>
      </c>
      <c r="N18" s="46">
        <v>0</v>
      </c>
      <c r="O18" s="69"/>
    </row>
    <row r="19" spans="1:15" s="7" customFormat="1" ht="15" hidden="1" customHeight="1" outlineLevel="1">
      <c r="B19" s="536" t="s">
        <v>510</v>
      </c>
      <c r="C19" s="1023"/>
      <c r="D19" s="46"/>
      <c r="E19" s="46"/>
      <c r="F19" s="46"/>
      <c r="G19" s="46"/>
      <c r="H19" s="46"/>
      <c r="I19" s="46"/>
      <c r="J19" s="46"/>
      <c r="K19" s="46"/>
      <c r="L19" s="46"/>
      <c r="M19" s="46"/>
      <c r="N19" s="46"/>
      <c r="O19" s="69"/>
    </row>
    <row r="20" spans="1:15" s="7" customFormat="1" ht="15" hidden="1" customHeight="1" outlineLevel="1">
      <c r="B20" s="536" t="s">
        <v>511</v>
      </c>
      <c r="C20" s="1023"/>
      <c r="D20" s="46"/>
      <c r="E20" s="46"/>
      <c r="F20" s="46"/>
      <c r="G20" s="46"/>
      <c r="H20" s="46"/>
      <c r="I20" s="46"/>
      <c r="J20" s="46"/>
      <c r="K20" s="46"/>
      <c r="L20" s="46"/>
      <c r="M20" s="46"/>
      <c r="N20" s="46"/>
      <c r="O20" s="69"/>
    </row>
    <row r="21" spans="1:15" s="7" customFormat="1" ht="15" hidden="1" customHeight="1" outlineLevel="1">
      <c r="B21" s="536" t="s">
        <v>489</v>
      </c>
      <c r="C21" s="1023"/>
      <c r="D21" s="46"/>
      <c r="E21" s="46"/>
      <c r="F21" s="46"/>
      <c r="G21" s="46"/>
      <c r="H21" s="46"/>
      <c r="I21" s="46"/>
      <c r="J21" s="46"/>
      <c r="K21" s="46"/>
      <c r="L21" s="46"/>
      <c r="M21" s="46"/>
      <c r="N21" s="46"/>
      <c r="O21" s="69"/>
    </row>
    <row r="22" spans="1:15" s="7" customFormat="1" ht="14.25" customHeight="1" collapsed="1">
      <c r="B22" s="536" t="s">
        <v>512</v>
      </c>
      <c r="C22" s="1024"/>
      <c r="D22" s="65">
        <f>SUM(D18:D21)</f>
        <v>1.37E-2</v>
      </c>
      <c r="E22" s="65">
        <f>SUM(E18:E21)</f>
        <v>1.37E-2</v>
      </c>
      <c r="F22" s="65">
        <f>SUM(F18:F21)</f>
        <v>1.38E-2</v>
      </c>
      <c r="G22" s="65">
        <f t="shared" ref="G22:N22" si="2">SUM(G18:G21)</f>
        <v>1.44E-2</v>
      </c>
      <c r="H22" s="65">
        <f t="shared" si="2"/>
        <v>1.46E-2</v>
      </c>
      <c r="I22" s="65">
        <f t="shared" si="2"/>
        <v>1.4800000000000001E-2</v>
      </c>
      <c r="J22" s="65">
        <f t="shared" si="2"/>
        <v>1.1299999999999999E-2</v>
      </c>
      <c r="K22" s="65">
        <f t="shared" si="2"/>
        <v>7.6E-3</v>
      </c>
      <c r="L22" s="65">
        <f t="shared" si="2"/>
        <v>3.8E-3</v>
      </c>
      <c r="M22" s="65">
        <f t="shared" si="2"/>
        <v>0</v>
      </c>
      <c r="N22" s="65">
        <f t="shared" si="2"/>
        <v>0</v>
      </c>
      <c r="O22" s="76"/>
    </row>
    <row r="23" spans="1:15" s="63" customFormat="1">
      <c r="A23" s="62"/>
      <c r="B23" s="492" t="s">
        <v>513</v>
      </c>
      <c r="C23" s="482"/>
      <c r="D23" s="483"/>
      <c r="E23" s="484">
        <f>ROUND(SUM(D22*E16+E22*E17)/12,4)</f>
        <v>1.37E-2</v>
      </c>
      <c r="F23" s="484">
        <f>ROUND(SUM(E22*F16+F22*F17)/12,4)</f>
        <v>1.38E-2</v>
      </c>
      <c r="G23" s="484">
        <f>ROUND(SUM(F22*G16+G22*G17)/12,4)</f>
        <v>1.4200000000000001E-2</v>
      </c>
      <c r="H23" s="484">
        <f>ROUND(SUM(G22*H16+H22*H17)/12,4)</f>
        <v>1.4500000000000001E-2</v>
      </c>
      <c r="I23" s="484">
        <f>ROUND(SUM(H22*I16+I22*I17)/12,4)</f>
        <v>1.47E-2</v>
      </c>
      <c r="J23" s="484">
        <f t="shared" ref="J23:N23" si="3">ROUND(SUM(I22*J16+J22*J17)/12,4)</f>
        <v>1.2500000000000001E-2</v>
      </c>
      <c r="K23" s="484">
        <f t="shared" si="3"/>
        <v>8.8000000000000005E-3</v>
      </c>
      <c r="L23" s="484">
        <f t="shared" si="3"/>
        <v>5.1000000000000004E-3</v>
      </c>
      <c r="M23" s="484">
        <f>ROUND(SUM(L22*M16+M22*M17)/12,4)</f>
        <v>1.2999999999999999E-3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1022" t="str">
        <f>'2. LRAMVA Threshold'!E43</f>
        <v>kWh</v>
      </c>
      <c r="D25" s="46">
        <v>8.3000000000000001E-3</v>
      </c>
      <c r="E25" s="46">
        <v>8.3000000000000001E-3</v>
      </c>
      <c r="F25" s="46">
        <v>8.3999999999999995E-3</v>
      </c>
      <c r="G25" s="46">
        <v>8.6999999999999994E-3</v>
      </c>
      <c r="H25" s="46">
        <v>8.8000000000000005E-3</v>
      </c>
      <c r="I25" s="46">
        <v>8.8999999999999999E-3</v>
      </c>
      <c r="J25" s="46">
        <v>9.1000000000000004E-3</v>
      </c>
      <c r="K25" s="46">
        <v>9.1999999999999998E-3</v>
      </c>
      <c r="L25" s="46">
        <v>9.2999999999999992E-3</v>
      </c>
      <c r="M25" s="46">
        <v>1.14E-2</v>
      </c>
      <c r="N25" s="46">
        <v>1.1599999999999999E-2</v>
      </c>
      <c r="O25" s="69"/>
    </row>
    <row r="26" spans="1:15" s="18" customFormat="1" hidden="1" outlineLevel="1">
      <c r="A26" s="4"/>
      <c r="B26" s="536" t="s">
        <v>510</v>
      </c>
      <c r="C26" s="1023"/>
      <c r="D26" s="46"/>
      <c r="E26" s="46"/>
      <c r="F26" s="46"/>
      <c r="G26" s="46"/>
      <c r="H26" s="46"/>
      <c r="I26" s="46"/>
      <c r="J26" s="46"/>
      <c r="K26" s="46"/>
      <c r="L26" s="46"/>
      <c r="M26" s="46"/>
      <c r="N26" s="46"/>
      <c r="O26" s="69"/>
    </row>
    <row r="27" spans="1:15" s="18" customFormat="1" hidden="1" outlineLevel="1">
      <c r="A27" s="4"/>
      <c r="B27" s="536" t="s">
        <v>511</v>
      </c>
      <c r="C27" s="1023"/>
      <c r="D27" s="46"/>
      <c r="E27" s="46"/>
      <c r="F27" s="46"/>
      <c r="G27" s="46"/>
      <c r="H27" s="46"/>
      <c r="I27" s="46"/>
      <c r="J27" s="46"/>
      <c r="K27" s="46"/>
      <c r="L27" s="46"/>
      <c r="M27" s="46"/>
      <c r="N27" s="46"/>
      <c r="O27" s="69"/>
    </row>
    <row r="28" spans="1:15" s="18" customFormat="1" hidden="1" outlineLevel="1">
      <c r="A28" s="4"/>
      <c r="B28" s="536" t="s">
        <v>489</v>
      </c>
      <c r="C28" s="1023"/>
      <c r="D28" s="46"/>
      <c r="E28" s="46"/>
      <c r="F28" s="46"/>
      <c r="G28" s="46"/>
      <c r="H28" s="46"/>
      <c r="I28" s="46"/>
      <c r="J28" s="46"/>
      <c r="K28" s="46"/>
      <c r="L28" s="46"/>
      <c r="M28" s="46"/>
      <c r="N28" s="46"/>
      <c r="O28" s="69"/>
    </row>
    <row r="29" spans="1:15" s="18" customFormat="1" collapsed="1">
      <c r="A29" s="4"/>
      <c r="B29" s="536" t="s">
        <v>512</v>
      </c>
      <c r="C29" s="1024"/>
      <c r="D29" s="65">
        <f>SUM(D25:D28)</f>
        <v>8.3000000000000001E-3</v>
      </c>
      <c r="E29" s="65">
        <f t="shared" ref="E29:N29" si="4">SUM(E25:E28)</f>
        <v>8.3000000000000001E-3</v>
      </c>
      <c r="F29" s="65">
        <f t="shared" si="4"/>
        <v>8.3999999999999995E-3</v>
      </c>
      <c r="G29" s="65">
        <f t="shared" si="4"/>
        <v>8.6999999999999994E-3</v>
      </c>
      <c r="H29" s="65">
        <f t="shared" si="4"/>
        <v>8.8000000000000005E-3</v>
      </c>
      <c r="I29" s="65">
        <f t="shared" si="4"/>
        <v>8.8999999999999999E-3</v>
      </c>
      <c r="J29" s="65">
        <f t="shared" si="4"/>
        <v>9.1000000000000004E-3</v>
      </c>
      <c r="K29" s="65">
        <f t="shared" si="4"/>
        <v>9.1999999999999998E-3</v>
      </c>
      <c r="L29" s="65">
        <f t="shared" si="4"/>
        <v>9.2999999999999992E-3</v>
      </c>
      <c r="M29" s="65">
        <f t="shared" si="4"/>
        <v>1.14E-2</v>
      </c>
      <c r="N29" s="65">
        <f t="shared" si="4"/>
        <v>1.1599999999999999E-2</v>
      </c>
      <c r="O29" s="76"/>
    </row>
    <row r="30" spans="1:15" s="18" customFormat="1">
      <c r="A30" s="4"/>
      <c r="B30" s="492" t="s">
        <v>513</v>
      </c>
      <c r="C30" s="488"/>
      <c r="D30" s="71"/>
      <c r="E30" s="484">
        <f>ROUND(SUM(D29*E16+E29*E17)/12,4)</f>
        <v>8.3000000000000001E-3</v>
      </c>
      <c r="F30" s="484">
        <f t="shared" ref="F30:N30" si="5">ROUND(SUM(E29*F16+F29*F17)/12,4)</f>
        <v>8.3999999999999995E-3</v>
      </c>
      <c r="G30" s="484">
        <f t="shared" si="5"/>
        <v>8.6E-3</v>
      </c>
      <c r="H30" s="484">
        <f t="shared" si="5"/>
        <v>8.8000000000000005E-3</v>
      </c>
      <c r="I30" s="484">
        <f t="shared" si="5"/>
        <v>8.8999999999999999E-3</v>
      </c>
      <c r="J30" s="484">
        <f>ROUND(SUM(I29*J16+J29*J17)/12,4)</f>
        <v>8.9999999999999993E-3</v>
      </c>
      <c r="K30" s="484">
        <f t="shared" si="5"/>
        <v>9.1999999999999998E-3</v>
      </c>
      <c r="L30" s="484">
        <f t="shared" si="5"/>
        <v>9.2999999999999992E-3</v>
      </c>
      <c r="M30" s="484">
        <f t="shared" si="5"/>
        <v>1.0699999999999999E-2</v>
      </c>
      <c r="N30" s="484">
        <f t="shared" si="5"/>
        <v>1.15E-2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1022" t="str">
        <f>'2. LRAMVA Threshold'!F43</f>
        <v>kW</v>
      </c>
      <c r="D32" s="46">
        <v>1.4417</v>
      </c>
      <c r="E32" s="46">
        <v>1.399</v>
      </c>
      <c r="F32" s="46">
        <v>1.4113</v>
      </c>
      <c r="G32" s="46">
        <v>2.6976</v>
      </c>
      <c r="H32" s="46">
        <v>2.7353999999999998</v>
      </c>
      <c r="I32" s="46">
        <v>2.7736999999999998</v>
      </c>
      <c r="J32" s="46">
        <v>2.8250999999999999</v>
      </c>
      <c r="K32" s="46">
        <v>2.8702999999999999</v>
      </c>
      <c r="L32" s="46">
        <v>2.8961000000000001</v>
      </c>
      <c r="M32" s="46">
        <v>2.6709999999999998</v>
      </c>
      <c r="N32" s="46">
        <v>2.7204000000000002</v>
      </c>
      <c r="O32" s="69"/>
    </row>
    <row r="33" spans="1:15" s="18" customFormat="1" hidden="1" outlineLevel="1">
      <c r="A33" s="4"/>
      <c r="B33" s="536" t="s">
        <v>510</v>
      </c>
      <c r="C33" s="1023"/>
      <c r="D33" s="46"/>
      <c r="E33" s="46"/>
      <c r="F33" s="46"/>
      <c r="G33" s="46"/>
      <c r="H33" s="46"/>
      <c r="I33" s="46"/>
      <c r="J33" s="46"/>
      <c r="K33" s="46"/>
      <c r="L33" s="46"/>
      <c r="M33" s="46"/>
      <c r="N33" s="46"/>
      <c r="O33" s="69"/>
    </row>
    <row r="34" spans="1:15" s="18" customFormat="1" hidden="1" outlineLevel="1">
      <c r="A34" s="4"/>
      <c r="B34" s="536" t="s">
        <v>511</v>
      </c>
      <c r="C34" s="1023"/>
      <c r="D34" s="46"/>
      <c r="E34" s="46"/>
      <c r="F34" s="46"/>
      <c r="G34" s="46"/>
      <c r="H34" s="46"/>
      <c r="I34" s="46"/>
      <c r="J34" s="46"/>
      <c r="K34" s="46"/>
      <c r="L34" s="46"/>
      <c r="M34" s="46"/>
      <c r="N34" s="46"/>
      <c r="O34" s="69"/>
    </row>
    <row r="35" spans="1:15" s="18" customFormat="1" hidden="1" outlineLevel="1">
      <c r="A35" s="4"/>
      <c r="B35" s="536" t="s">
        <v>489</v>
      </c>
      <c r="C35" s="1023"/>
      <c r="D35" s="46"/>
      <c r="E35" s="46"/>
      <c r="F35" s="46"/>
      <c r="G35" s="46"/>
      <c r="H35" s="46"/>
      <c r="I35" s="46"/>
      <c r="J35" s="46"/>
      <c r="K35" s="46"/>
      <c r="L35" s="46"/>
      <c r="M35" s="46"/>
      <c r="N35" s="46"/>
      <c r="O35" s="69"/>
    </row>
    <row r="36" spans="1:15" s="18" customFormat="1" collapsed="1">
      <c r="A36" s="4"/>
      <c r="B36" s="536" t="s">
        <v>512</v>
      </c>
      <c r="C36" s="1024"/>
      <c r="D36" s="65">
        <f>SUM(D32:D35)</f>
        <v>1.4417</v>
      </c>
      <c r="E36" s="65">
        <f>SUM(E32:E35)</f>
        <v>1.399</v>
      </c>
      <c r="F36" s="65">
        <f t="shared" ref="F36:M36" si="6">SUM(F32:F35)</f>
        <v>1.4113</v>
      </c>
      <c r="G36" s="65">
        <f t="shared" si="6"/>
        <v>2.6976</v>
      </c>
      <c r="H36" s="65">
        <f t="shared" si="6"/>
        <v>2.7353999999999998</v>
      </c>
      <c r="I36" s="65">
        <f t="shared" si="6"/>
        <v>2.7736999999999998</v>
      </c>
      <c r="J36" s="65">
        <f t="shared" si="6"/>
        <v>2.8250999999999999</v>
      </c>
      <c r="K36" s="65">
        <f t="shared" si="6"/>
        <v>2.8702999999999999</v>
      </c>
      <c r="L36" s="65">
        <f t="shared" si="6"/>
        <v>2.8961000000000001</v>
      </c>
      <c r="M36" s="65">
        <f t="shared" si="6"/>
        <v>2.6709999999999998</v>
      </c>
      <c r="N36" s="65">
        <f>SUM(N32:N35)</f>
        <v>2.7204000000000002</v>
      </c>
      <c r="O36" s="76"/>
    </row>
    <row r="37" spans="1:15" s="18" customFormat="1">
      <c r="A37" s="4"/>
      <c r="B37" s="492" t="s">
        <v>513</v>
      </c>
      <c r="C37" s="488"/>
      <c r="D37" s="71"/>
      <c r="E37" s="484">
        <f t="shared" ref="E37:N37" si="7">ROUND(SUM(D36*E16+E36*E17)/12,4)</f>
        <v>1.4132</v>
      </c>
      <c r="F37" s="484">
        <f t="shared" si="7"/>
        <v>1.4072</v>
      </c>
      <c r="G37" s="484">
        <f t="shared" si="7"/>
        <v>2.2688000000000001</v>
      </c>
      <c r="H37" s="484">
        <f t="shared" si="7"/>
        <v>2.7227999999999999</v>
      </c>
      <c r="I37" s="484">
        <f t="shared" si="7"/>
        <v>2.7608999999999999</v>
      </c>
      <c r="J37" s="484">
        <f t="shared" si="7"/>
        <v>2.8079999999999998</v>
      </c>
      <c r="K37" s="484">
        <f t="shared" si="7"/>
        <v>2.8552</v>
      </c>
      <c r="L37" s="484">
        <f t="shared" si="7"/>
        <v>2.8875000000000002</v>
      </c>
      <c r="M37" s="484">
        <f t="shared" si="7"/>
        <v>2.746</v>
      </c>
      <c r="N37" s="484">
        <f t="shared" si="7"/>
        <v>2.7039</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Sentinel Lighting</v>
      </c>
      <c r="C39" s="1022" t="str">
        <f>'2. LRAMVA Threshold'!G43</f>
        <v>kW</v>
      </c>
      <c r="D39" s="46">
        <v>16.7883</v>
      </c>
      <c r="E39" s="46">
        <v>16.7883</v>
      </c>
      <c r="F39" s="46">
        <v>16.936</v>
      </c>
      <c r="G39" s="46">
        <v>21.122900000000001</v>
      </c>
      <c r="H39" s="46">
        <v>21.418600000000001</v>
      </c>
      <c r="I39" s="46">
        <v>21.718499999999999</v>
      </c>
      <c r="J39" s="46">
        <v>22.1203</v>
      </c>
      <c r="K39" s="46">
        <v>22.4742</v>
      </c>
      <c r="L39" s="46">
        <v>22.676500000000001</v>
      </c>
      <c r="M39" s="46">
        <v>19.409700000000001</v>
      </c>
      <c r="N39" s="46">
        <v>19.768799999999999</v>
      </c>
      <c r="O39" s="69"/>
    </row>
    <row r="40" spans="1:15" s="18" customFormat="1" hidden="1" outlineLevel="1">
      <c r="A40" s="4"/>
      <c r="B40" s="536" t="s">
        <v>510</v>
      </c>
      <c r="C40" s="1023"/>
      <c r="D40" s="46"/>
      <c r="E40" s="46"/>
      <c r="F40" s="46"/>
      <c r="G40" s="46"/>
      <c r="H40" s="46"/>
      <c r="I40" s="46"/>
      <c r="J40" s="46"/>
      <c r="K40" s="46"/>
      <c r="L40" s="46"/>
      <c r="M40" s="46"/>
      <c r="N40" s="46"/>
      <c r="O40" s="69"/>
    </row>
    <row r="41" spans="1:15" s="18" customFormat="1" hidden="1" outlineLevel="1">
      <c r="A41" s="4"/>
      <c r="B41" s="536" t="s">
        <v>511</v>
      </c>
      <c r="C41" s="1023"/>
      <c r="D41" s="46"/>
      <c r="E41" s="46"/>
      <c r="F41" s="46"/>
      <c r="G41" s="46"/>
      <c r="H41" s="46"/>
      <c r="I41" s="46"/>
      <c r="J41" s="46"/>
      <c r="K41" s="46"/>
      <c r="L41" s="46"/>
      <c r="M41" s="46"/>
      <c r="N41" s="46"/>
      <c r="O41" s="69"/>
    </row>
    <row r="42" spans="1:15" s="18" customFormat="1" hidden="1" outlineLevel="1">
      <c r="A42" s="4"/>
      <c r="B42" s="536" t="s">
        <v>489</v>
      </c>
      <c r="C42" s="1023"/>
      <c r="D42" s="46"/>
      <c r="E42" s="46"/>
      <c r="F42" s="46"/>
      <c r="G42" s="46"/>
      <c r="H42" s="46"/>
      <c r="I42" s="46"/>
      <c r="J42" s="46"/>
      <c r="K42" s="46"/>
      <c r="L42" s="46"/>
      <c r="M42" s="46"/>
      <c r="N42" s="46"/>
      <c r="O42" s="69"/>
    </row>
    <row r="43" spans="1:15" s="18" customFormat="1" collapsed="1">
      <c r="A43" s="4"/>
      <c r="B43" s="536" t="s">
        <v>512</v>
      </c>
      <c r="C43" s="1024"/>
      <c r="D43" s="65">
        <f>SUM(D39:D42)</f>
        <v>16.7883</v>
      </c>
      <c r="E43" s="65">
        <f t="shared" ref="E43:N43" si="8">SUM(E39:E42)</f>
        <v>16.7883</v>
      </c>
      <c r="F43" s="65">
        <f t="shared" si="8"/>
        <v>16.936</v>
      </c>
      <c r="G43" s="65">
        <f t="shared" si="8"/>
        <v>21.122900000000001</v>
      </c>
      <c r="H43" s="65">
        <f t="shared" si="8"/>
        <v>21.418600000000001</v>
      </c>
      <c r="I43" s="65">
        <f t="shared" si="8"/>
        <v>21.718499999999999</v>
      </c>
      <c r="J43" s="65">
        <f t="shared" si="8"/>
        <v>22.1203</v>
      </c>
      <c r="K43" s="65">
        <f t="shared" si="8"/>
        <v>22.4742</v>
      </c>
      <c r="L43" s="65">
        <f t="shared" si="8"/>
        <v>22.676500000000001</v>
      </c>
      <c r="M43" s="65">
        <f t="shared" si="8"/>
        <v>19.409700000000001</v>
      </c>
      <c r="N43" s="65">
        <f t="shared" si="8"/>
        <v>19.768799999999999</v>
      </c>
      <c r="O43" s="76"/>
    </row>
    <row r="44" spans="1:15" s="14" customFormat="1">
      <c r="A44" s="72"/>
      <c r="B44" s="492" t="s">
        <v>513</v>
      </c>
      <c r="C44" s="488"/>
      <c r="D44" s="71"/>
      <c r="E44" s="484">
        <f t="shared" ref="E44:N44" si="9">ROUND(SUM(D43*E16+E43*E17)/12,4)</f>
        <v>16.7883</v>
      </c>
      <c r="F44" s="484">
        <f t="shared" si="9"/>
        <v>16.886800000000001</v>
      </c>
      <c r="G44" s="484">
        <f t="shared" si="9"/>
        <v>19.7273</v>
      </c>
      <c r="H44" s="484">
        <f t="shared" si="9"/>
        <v>21.32</v>
      </c>
      <c r="I44" s="484">
        <f t="shared" si="9"/>
        <v>21.618500000000001</v>
      </c>
      <c r="J44" s="484">
        <f t="shared" si="9"/>
        <v>21.9864</v>
      </c>
      <c r="K44" s="484">
        <f t="shared" si="9"/>
        <v>22.356200000000001</v>
      </c>
      <c r="L44" s="484">
        <f t="shared" si="9"/>
        <v>22.609100000000002</v>
      </c>
      <c r="M44" s="484">
        <f t="shared" si="9"/>
        <v>20.4986</v>
      </c>
      <c r="N44" s="484">
        <f t="shared" si="9"/>
        <v>19.649100000000001</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 Lighting</v>
      </c>
      <c r="C46" s="1022" t="str">
        <f>'2. LRAMVA Threshold'!H43</f>
        <v>kW</v>
      </c>
      <c r="D46" s="46">
        <v>14.6546</v>
      </c>
      <c r="E46" s="46">
        <v>14.6546</v>
      </c>
      <c r="F46" s="46">
        <v>14.7836</v>
      </c>
      <c r="G46" s="46">
        <v>15.3996</v>
      </c>
      <c r="H46" s="46">
        <v>15.6152</v>
      </c>
      <c r="I46" s="46">
        <v>15.8338</v>
      </c>
      <c r="J46" s="46">
        <v>16.1267</v>
      </c>
      <c r="K46" s="46">
        <v>16.384699999999999</v>
      </c>
      <c r="L46" s="46">
        <v>16.5322</v>
      </c>
      <c r="M46" s="46">
        <v>9.4687000000000001</v>
      </c>
      <c r="N46" s="46">
        <v>9.6439000000000004</v>
      </c>
      <c r="O46" s="69"/>
    </row>
    <row r="47" spans="1:15" s="18" customFormat="1" hidden="1" outlineLevel="1">
      <c r="A47" s="4"/>
      <c r="B47" s="536" t="s">
        <v>510</v>
      </c>
      <c r="C47" s="1023"/>
      <c r="D47" s="46"/>
      <c r="E47" s="46"/>
      <c r="F47" s="46"/>
      <c r="G47" s="46"/>
      <c r="H47" s="46"/>
      <c r="I47" s="46"/>
      <c r="J47" s="46"/>
      <c r="K47" s="46"/>
      <c r="L47" s="46"/>
      <c r="M47" s="46"/>
      <c r="N47" s="46"/>
      <c r="O47" s="69"/>
    </row>
    <row r="48" spans="1:15" s="18" customFormat="1" hidden="1" outlineLevel="1">
      <c r="A48" s="4"/>
      <c r="B48" s="536" t="s">
        <v>511</v>
      </c>
      <c r="C48" s="1023"/>
      <c r="D48" s="46"/>
      <c r="E48" s="46"/>
      <c r="F48" s="46"/>
      <c r="G48" s="46"/>
      <c r="H48" s="46"/>
      <c r="I48" s="46"/>
      <c r="J48" s="46"/>
      <c r="K48" s="46"/>
      <c r="L48" s="46"/>
      <c r="M48" s="46"/>
      <c r="N48" s="46"/>
      <c r="O48" s="69"/>
    </row>
    <row r="49" spans="1:15" s="18" customFormat="1" hidden="1" outlineLevel="1">
      <c r="A49" s="4"/>
      <c r="B49" s="536" t="s">
        <v>489</v>
      </c>
      <c r="C49" s="1023"/>
      <c r="D49" s="46"/>
      <c r="E49" s="46"/>
      <c r="F49" s="46"/>
      <c r="G49" s="46"/>
      <c r="H49" s="46"/>
      <c r="I49" s="46"/>
      <c r="J49" s="46"/>
      <c r="K49" s="46"/>
      <c r="L49" s="46"/>
      <c r="M49" s="46"/>
      <c r="N49" s="46"/>
      <c r="O49" s="69"/>
    </row>
    <row r="50" spans="1:15" s="18" customFormat="1" collapsed="1">
      <c r="A50" s="4"/>
      <c r="B50" s="536" t="s">
        <v>512</v>
      </c>
      <c r="C50" s="1024"/>
      <c r="D50" s="65">
        <f>SUM(D46:D49)</f>
        <v>14.6546</v>
      </c>
      <c r="E50" s="65">
        <f t="shared" ref="E50:N50" si="10">SUM(E46:E49)</f>
        <v>14.6546</v>
      </c>
      <c r="F50" s="65">
        <f t="shared" si="10"/>
        <v>14.7836</v>
      </c>
      <c r="G50" s="65">
        <f t="shared" si="10"/>
        <v>15.3996</v>
      </c>
      <c r="H50" s="65">
        <f t="shared" si="10"/>
        <v>15.6152</v>
      </c>
      <c r="I50" s="65">
        <f t="shared" si="10"/>
        <v>15.8338</v>
      </c>
      <c r="J50" s="65">
        <f t="shared" si="10"/>
        <v>16.1267</v>
      </c>
      <c r="K50" s="65">
        <f t="shared" si="10"/>
        <v>16.384699999999999</v>
      </c>
      <c r="L50" s="65">
        <f t="shared" si="10"/>
        <v>16.5322</v>
      </c>
      <c r="M50" s="65">
        <f t="shared" si="10"/>
        <v>9.4687000000000001</v>
      </c>
      <c r="N50" s="65">
        <f t="shared" si="10"/>
        <v>9.6439000000000004</v>
      </c>
      <c r="O50" s="76"/>
    </row>
    <row r="51" spans="1:15" s="14" customFormat="1">
      <c r="A51" s="72"/>
      <c r="B51" s="492" t="s">
        <v>513</v>
      </c>
      <c r="C51" s="488"/>
      <c r="D51" s="71"/>
      <c r="E51" s="484">
        <f t="shared" ref="E51:N51" si="11">ROUND(SUM(D50*E16+E50*E17)/12,4)</f>
        <v>14.6546</v>
      </c>
      <c r="F51" s="484">
        <f t="shared" si="11"/>
        <v>14.740600000000001</v>
      </c>
      <c r="G51" s="484">
        <f t="shared" si="11"/>
        <v>15.1943</v>
      </c>
      <c r="H51" s="484">
        <f t="shared" si="11"/>
        <v>15.5433</v>
      </c>
      <c r="I51" s="484">
        <f t="shared" si="11"/>
        <v>15.760899999999999</v>
      </c>
      <c r="J51" s="484">
        <f t="shared" si="11"/>
        <v>16.0291</v>
      </c>
      <c r="K51" s="484">
        <f t="shared" si="11"/>
        <v>16.2987</v>
      </c>
      <c r="L51" s="484">
        <f t="shared" si="11"/>
        <v>16.483000000000001</v>
      </c>
      <c r="M51" s="484">
        <f t="shared" si="11"/>
        <v>11.8232</v>
      </c>
      <c r="N51" s="484">
        <f t="shared" si="11"/>
        <v>9.5854999999999997</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1022" t="str">
        <f>'2. LRAMVA Threshold'!I43</f>
        <v>kWh</v>
      </c>
      <c r="D53" s="46">
        <v>8.0999999999999996E-3</v>
      </c>
      <c r="E53" s="46">
        <v>8.0999999999999996E-3</v>
      </c>
      <c r="F53" s="46">
        <v>8.2000000000000007E-3</v>
      </c>
      <c r="G53" s="46">
        <v>5.4999999999999997E-3</v>
      </c>
      <c r="H53" s="46">
        <v>5.5999999999999999E-3</v>
      </c>
      <c r="I53" s="46">
        <v>5.7000000000000002E-3</v>
      </c>
      <c r="J53" s="46">
        <v>5.7999999999999996E-3</v>
      </c>
      <c r="K53" s="46">
        <v>5.8999999999999999E-3</v>
      </c>
      <c r="L53" s="46">
        <v>6.0000000000000001E-3</v>
      </c>
      <c r="M53" s="46">
        <v>2.1700000000000001E-2</v>
      </c>
      <c r="N53" s="46">
        <v>2.2100000000000002E-2</v>
      </c>
      <c r="O53" s="69"/>
    </row>
    <row r="54" spans="1:15" s="18" customFormat="1" hidden="1" outlineLevel="1">
      <c r="A54" s="4"/>
      <c r="B54" s="536" t="s">
        <v>510</v>
      </c>
      <c r="C54" s="1023"/>
      <c r="D54" s="46"/>
      <c r="E54" s="46"/>
      <c r="F54" s="46"/>
      <c r="G54" s="46"/>
      <c r="H54" s="46"/>
      <c r="I54" s="46"/>
      <c r="J54" s="46"/>
      <c r="K54" s="46"/>
      <c r="L54" s="46"/>
      <c r="M54" s="46"/>
      <c r="N54" s="46"/>
      <c r="O54" s="69"/>
    </row>
    <row r="55" spans="1:15" s="18" customFormat="1" hidden="1" outlineLevel="1">
      <c r="A55" s="4"/>
      <c r="B55" s="536" t="s">
        <v>511</v>
      </c>
      <c r="C55" s="1023"/>
      <c r="D55" s="46"/>
      <c r="E55" s="46"/>
      <c r="F55" s="46"/>
      <c r="G55" s="46"/>
      <c r="H55" s="46"/>
      <c r="I55" s="46"/>
      <c r="J55" s="46"/>
      <c r="K55" s="46"/>
      <c r="L55" s="46"/>
      <c r="M55" s="46"/>
      <c r="N55" s="46"/>
      <c r="O55" s="69"/>
    </row>
    <row r="56" spans="1:15" s="18" customFormat="1" hidden="1" outlineLevel="1">
      <c r="A56" s="4"/>
      <c r="B56" s="536" t="s">
        <v>489</v>
      </c>
      <c r="C56" s="1023"/>
      <c r="D56" s="46"/>
      <c r="E56" s="46"/>
      <c r="F56" s="46"/>
      <c r="G56" s="46"/>
      <c r="H56" s="46"/>
      <c r="I56" s="46"/>
      <c r="J56" s="46"/>
      <c r="K56" s="46"/>
      <c r="L56" s="46"/>
      <c r="M56" s="46"/>
      <c r="N56" s="46"/>
      <c r="O56" s="69"/>
    </row>
    <row r="57" spans="1:15" s="18" customFormat="1" collapsed="1">
      <c r="A57" s="4"/>
      <c r="B57" s="536" t="s">
        <v>512</v>
      </c>
      <c r="C57" s="1024"/>
      <c r="D57" s="65">
        <f>SUM(D53:D56)</f>
        <v>8.0999999999999996E-3</v>
      </c>
      <c r="E57" s="65">
        <f t="shared" ref="E57:N57" si="12">SUM(E53:E56)</f>
        <v>8.0999999999999996E-3</v>
      </c>
      <c r="F57" s="65">
        <f t="shared" si="12"/>
        <v>8.2000000000000007E-3</v>
      </c>
      <c r="G57" s="65">
        <f t="shared" si="12"/>
        <v>5.4999999999999997E-3</v>
      </c>
      <c r="H57" s="65">
        <f t="shared" si="12"/>
        <v>5.5999999999999999E-3</v>
      </c>
      <c r="I57" s="65">
        <f t="shared" si="12"/>
        <v>5.7000000000000002E-3</v>
      </c>
      <c r="J57" s="65">
        <f t="shared" si="12"/>
        <v>5.7999999999999996E-3</v>
      </c>
      <c r="K57" s="65">
        <f t="shared" si="12"/>
        <v>5.8999999999999999E-3</v>
      </c>
      <c r="L57" s="65">
        <f t="shared" si="12"/>
        <v>6.0000000000000001E-3</v>
      </c>
      <c r="M57" s="65">
        <f t="shared" si="12"/>
        <v>2.1700000000000001E-2</v>
      </c>
      <c r="N57" s="65">
        <f t="shared" si="12"/>
        <v>2.2100000000000002E-2</v>
      </c>
      <c r="O57" s="77"/>
    </row>
    <row r="58" spans="1:15" s="14" customFormat="1">
      <c r="A58" s="72"/>
      <c r="B58" s="492" t="s">
        <v>513</v>
      </c>
      <c r="C58" s="488"/>
      <c r="D58" s="71"/>
      <c r="E58" s="484">
        <f t="shared" ref="E58:N58" si="13">ROUND(SUM(D57*E16+E57*E17)/12,4)</f>
        <v>8.0999999999999996E-3</v>
      </c>
      <c r="F58" s="484">
        <f t="shared" si="13"/>
        <v>8.2000000000000007E-3</v>
      </c>
      <c r="G58" s="484">
        <f t="shared" si="13"/>
        <v>6.4000000000000003E-3</v>
      </c>
      <c r="H58" s="484">
        <f t="shared" si="13"/>
        <v>5.5999999999999999E-3</v>
      </c>
      <c r="I58" s="484">
        <f t="shared" si="13"/>
        <v>5.7000000000000002E-3</v>
      </c>
      <c r="J58" s="484">
        <f t="shared" si="13"/>
        <v>5.7999999999999996E-3</v>
      </c>
      <c r="K58" s="484">
        <f t="shared" si="13"/>
        <v>5.8999999999999999E-3</v>
      </c>
      <c r="L58" s="484">
        <f t="shared" si="13"/>
        <v>6.0000000000000001E-3</v>
      </c>
      <c r="M58" s="484">
        <f t="shared" si="13"/>
        <v>1.6500000000000001E-2</v>
      </c>
      <c r="N58" s="484">
        <f t="shared" si="13"/>
        <v>2.1999999999999999E-2</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1022">
        <f>'2. LRAMVA Threshold'!J43</f>
        <v>0</v>
      </c>
      <c r="D60" s="46"/>
      <c r="E60" s="46"/>
      <c r="F60" s="46"/>
      <c r="G60" s="46"/>
      <c r="H60" s="46"/>
      <c r="I60" s="46"/>
      <c r="J60" s="46"/>
      <c r="K60" s="46"/>
      <c r="L60" s="46"/>
      <c r="M60" s="46"/>
      <c r="N60" s="46"/>
      <c r="O60" s="69"/>
    </row>
    <row r="61" spans="1:15" s="18" customFormat="1" hidden="1" outlineLevel="1">
      <c r="A61" s="4"/>
      <c r="B61" s="536" t="s">
        <v>510</v>
      </c>
      <c r="C61" s="1023"/>
      <c r="D61" s="46"/>
      <c r="E61" s="46"/>
      <c r="F61" s="46"/>
      <c r="G61" s="46"/>
      <c r="H61" s="46"/>
      <c r="I61" s="46"/>
      <c r="J61" s="46"/>
      <c r="K61" s="46"/>
      <c r="L61" s="46"/>
      <c r="M61" s="46"/>
      <c r="N61" s="46"/>
      <c r="O61" s="69"/>
    </row>
    <row r="62" spans="1:15" s="18" customFormat="1" hidden="1" outlineLevel="1">
      <c r="A62" s="4"/>
      <c r="B62" s="536" t="s">
        <v>511</v>
      </c>
      <c r="C62" s="1023"/>
      <c r="D62" s="46"/>
      <c r="E62" s="46"/>
      <c r="F62" s="46"/>
      <c r="G62" s="46"/>
      <c r="H62" s="46"/>
      <c r="I62" s="46"/>
      <c r="J62" s="46"/>
      <c r="K62" s="46"/>
      <c r="L62" s="46"/>
      <c r="M62" s="46"/>
      <c r="N62" s="46"/>
      <c r="O62" s="69"/>
    </row>
    <row r="63" spans="1:15" s="18" customFormat="1" hidden="1" outlineLevel="1">
      <c r="A63" s="4"/>
      <c r="B63" s="536" t="s">
        <v>489</v>
      </c>
      <c r="C63" s="1023"/>
      <c r="D63" s="46"/>
      <c r="E63" s="46"/>
      <c r="F63" s="46"/>
      <c r="G63" s="46"/>
      <c r="H63" s="46"/>
      <c r="I63" s="46"/>
      <c r="J63" s="46"/>
      <c r="K63" s="46"/>
      <c r="L63" s="46"/>
      <c r="M63" s="46"/>
      <c r="N63" s="46"/>
      <c r="O63" s="69"/>
    </row>
    <row r="64" spans="1:15" s="18" customFormat="1" collapsed="1">
      <c r="A64" s="4"/>
      <c r="B64" s="536" t="s">
        <v>512</v>
      </c>
      <c r="C64" s="102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1022">
        <f>'2. LRAMVA Threshold'!K43</f>
        <v>0</v>
      </c>
      <c r="D67" s="46"/>
      <c r="E67" s="46"/>
      <c r="F67" s="46"/>
      <c r="G67" s="46"/>
      <c r="H67" s="46"/>
      <c r="I67" s="46"/>
      <c r="J67" s="46"/>
      <c r="K67" s="46"/>
      <c r="L67" s="46"/>
      <c r="M67" s="46"/>
      <c r="N67" s="46"/>
      <c r="O67" s="69"/>
    </row>
    <row r="68" spans="1:15" s="18" customFormat="1" hidden="1" outlineLevel="1">
      <c r="A68" s="4"/>
      <c r="B68" s="536" t="s">
        <v>510</v>
      </c>
      <c r="C68" s="1023"/>
      <c r="D68" s="46"/>
      <c r="E68" s="46"/>
      <c r="F68" s="46"/>
      <c r="G68" s="46"/>
      <c r="H68" s="46"/>
      <c r="I68" s="46"/>
      <c r="J68" s="46"/>
      <c r="K68" s="46"/>
      <c r="L68" s="46"/>
      <c r="M68" s="46"/>
      <c r="N68" s="46"/>
      <c r="O68" s="69"/>
    </row>
    <row r="69" spans="1:15" s="18" customFormat="1" hidden="1" outlineLevel="1">
      <c r="A69" s="4"/>
      <c r="B69" s="536" t="s">
        <v>511</v>
      </c>
      <c r="C69" s="1023"/>
      <c r="D69" s="46"/>
      <c r="E69" s="46"/>
      <c r="F69" s="46"/>
      <c r="G69" s="46"/>
      <c r="H69" s="46"/>
      <c r="I69" s="46"/>
      <c r="J69" s="46"/>
      <c r="K69" s="46"/>
      <c r="L69" s="46"/>
      <c r="M69" s="46"/>
      <c r="N69" s="46"/>
      <c r="O69" s="69"/>
    </row>
    <row r="70" spans="1:15" s="18" customFormat="1" hidden="1" outlineLevel="1">
      <c r="A70" s="4"/>
      <c r="B70" s="536" t="s">
        <v>489</v>
      </c>
      <c r="C70" s="1023"/>
      <c r="D70" s="46"/>
      <c r="E70" s="46"/>
      <c r="F70" s="46"/>
      <c r="G70" s="46"/>
      <c r="H70" s="46"/>
      <c r="I70" s="46"/>
      <c r="J70" s="46"/>
      <c r="K70" s="46"/>
      <c r="L70" s="46"/>
      <c r="M70" s="46"/>
      <c r="N70" s="46"/>
      <c r="O70" s="69"/>
    </row>
    <row r="71" spans="1:15" s="18" customFormat="1" collapsed="1">
      <c r="A71" s="4"/>
      <c r="B71" s="536" t="s">
        <v>512</v>
      </c>
      <c r="C71" s="102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1022">
        <f>'2. LRAMVA Threshold'!L43</f>
        <v>0</v>
      </c>
      <c r="D74" s="46"/>
      <c r="E74" s="46"/>
      <c r="F74" s="46"/>
      <c r="G74" s="46"/>
      <c r="H74" s="46"/>
      <c r="I74" s="46"/>
      <c r="J74" s="46"/>
      <c r="K74" s="46"/>
      <c r="L74" s="46"/>
      <c r="M74" s="46"/>
      <c r="N74" s="46"/>
      <c r="O74" s="69"/>
    </row>
    <row r="75" spans="1:15" s="18" customFormat="1" hidden="1" outlineLevel="1">
      <c r="A75" s="4"/>
      <c r="B75" s="536" t="s">
        <v>510</v>
      </c>
      <c r="C75" s="1023"/>
      <c r="D75" s="46"/>
      <c r="E75" s="46"/>
      <c r="F75" s="46"/>
      <c r="G75" s="46"/>
      <c r="H75" s="46"/>
      <c r="I75" s="46"/>
      <c r="J75" s="46"/>
      <c r="K75" s="46"/>
      <c r="L75" s="46"/>
      <c r="M75" s="46"/>
      <c r="N75" s="46"/>
      <c r="O75" s="69"/>
    </row>
    <row r="76" spans="1:15" s="18" customFormat="1" hidden="1" outlineLevel="1">
      <c r="A76" s="4"/>
      <c r="B76" s="536" t="s">
        <v>511</v>
      </c>
      <c r="C76" s="1023"/>
      <c r="D76" s="46"/>
      <c r="E76" s="46"/>
      <c r="F76" s="46"/>
      <c r="G76" s="46"/>
      <c r="H76" s="46"/>
      <c r="I76" s="46"/>
      <c r="J76" s="46"/>
      <c r="K76" s="46"/>
      <c r="L76" s="46"/>
      <c r="M76" s="46"/>
      <c r="N76" s="46"/>
      <c r="O76" s="69"/>
    </row>
    <row r="77" spans="1:15" s="18" customFormat="1" hidden="1" outlineLevel="1">
      <c r="A77" s="4"/>
      <c r="B77" s="536" t="s">
        <v>489</v>
      </c>
      <c r="C77" s="1023"/>
      <c r="D77" s="46"/>
      <c r="E77" s="46"/>
      <c r="F77" s="46"/>
      <c r="G77" s="46"/>
      <c r="H77" s="46"/>
      <c r="I77" s="46"/>
      <c r="J77" s="46"/>
      <c r="K77" s="46"/>
      <c r="L77" s="46"/>
      <c r="M77" s="46"/>
      <c r="N77" s="46"/>
      <c r="O77" s="69"/>
    </row>
    <row r="78" spans="1:15" s="18" customFormat="1" collapsed="1">
      <c r="A78" s="4"/>
      <c r="B78" s="536" t="s">
        <v>512</v>
      </c>
      <c r="C78" s="102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1022">
        <f>'2. LRAMVA Threshold'!M43</f>
        <v>0</v>
      </c>
      <c r="D81" s="46"/>
      <c r="E81" s="46"/>
      <c r="F81" s="46"/>
      <c r="G81" s="46"/>
      <c r="H81" s="46"/>
      <c r="I81" s="46"/>
      <c r="J81" s="46"/>
      <c r="K81" s="46"/>
      <c r="L81" s="46"/>
      <c r="M81" s="46"/>
      <c r="N81" s="46"/>
      <c r="O81" s="69"/>
    </row>
    <row r="82" spans="1:15" s="18" customFormat="1" hidden="1" outlineLevel="1">
      <c r="A82" s="4"/>
      <c r="B82" s="536" t="s">
        <v>510</v>
      </c>
      <c r="C82" s="1023"/>
      <c r="D82" s="46"/>
      <c r="E82" s="46"/>
      <c r="F82" s="46"/>
      <c r="G82" s="46"/>
      <c r="H82" s="46"/>
      <c r="I82" s="46"/>
      <c r="J82" s="46"/>
      <c r="K82" s="46"/>
      <c r="L82" s="46"/>
      <c r="M82" s="46"/>
      <c r="N82" s="46"/>
      <c r="O82" s="69"/>
    </row>
    <row r="83" spans="1:15" s="18" customFormat="1" hidden="1" outlineLevel="1">
      <c r="A83" s="4"/>
      <c r="B83" s="536" t="s">
        <v>511</v>
      </c>
      <c r="C83" s="1023"/>
      <c r="D83" s="46"/>
      <c r="E83" s="46"/>
      <c r="F83" s="46"/>
      <c r="G83" s="46"/>
      <c r="H83" s="46"/>
      <c r="I83" s="46"/>
      <c r="J83" s="46"/>
      <c r="K83" s="46"/>
      <c r="L83" s="46"/>
      <c r="M83" s="46"/>
      <c r="N83" s="46"/>
      <c r="O83" s="69"/>
    </row>
    <row r="84" spans="1:15" s="18" customFormat="1" hidden="1" outlineLevel="1">
      <c r="A84" s="4"/>
      <c r="B84" s="536" t="s">
        <v>489</v>
      </c>
      <c r="C84" s="1023"/>
      <c r="D84" s="46"/>
      <c r="E84" s="46"/>
      <c r="F84" s="46"/>
      <c r="G84" s="46"/>
      <c r="H84" s="46"/>
      <c r="I84" s="46"/>
      <c r="J84" s="46"/>
      <c r="K84" s="46"/>
      <c r="L84" s="46"/>
      <c r="M84" s="46"/>
      <c r="N84" s="46"/>
      <c r="O84" s="69"/>
    </row>
    <row r="85" spans="1:15" s="18" customFormat="1" collapsed="1">
      <c r="A85" s="4"/>
      <c r="B85" s="536" t="s">
        <v>512</v>
      </c>
      <c r="C85" s="102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1022">
        <f>'2. LRAMVA Threshold'!N43</f>
        <v>0</v>
      </c>
      <c r="D88" s="46"/>
      <c r="E88" s="46"/>
      <c r="F88" s="46"/>
      <c r="G88" s="46"/>
      <c r="H88" s="46"/>
      <c r="I88" s="46"/>
      <c r="J88" s="46"/>
      <c r="K88" s="46"/>
      <c r="L88" s="46"/>
      <c r="M88" s="46"/>
      <c r="N88" s="46"/>
      <c r="O88" s="69"/>
    </row>
    <row r="89" spans="1:15" s="18" customFormat="1" hidden="1" outlineLevel="1">
      <c r="A89" s="4"/>
      <c r="B89" s="536" t="s">
        <v>510</v>
      </c>
      <c r="C89" s="1023"/>
      <c r="D89" s="46"/>
      <c r="E89" s="46"/>
      <c r="F89" s="46"/>
      <c r="G89" s="46"/>
      <c r="H89" s="46"/>
      <c r="I89" s="46"/>
      <c r="J89" s="46"/>
      <c r="K89" s="46"/>
      <c r="L89" s="46"/>
      <c r="M89" s="46"/>
      <c r="N89" s="46"/>
      <c r="O89" s="69"/>
    </row>
    <row r="90" spans="1:15" s="18" customFormat="1" hidden="1" outlineLevel="1">
      <c r="A90" s="4"/>
      <c r="B90" s="536" t="s">
        <v>511</v>
      </c>
      <c r="C90" s="1023"/>
      <c r="D90" s="46"/>
      <c r="E90" s="46"/>
      <c r="F90" s="46"/>
      <c r="G90" s="46"/>
      <c r="H90" s="46"/>
      <c r="I90" s="46"/>
      <c r="J90" s="46"/>
      <c r="K90" s="46"/>
      <c r="L90" s="46"/>
      <c r="M90" s="46"/>
      <c r="N90" s="46"/>
      <c r="O90" s="69"/>
    </row>
    <row r="91" spans="1:15" s="18" customFormat="1" hidden="1" outlineLevel="1">
      <c r="A91" s="4"/>
      <c r="B91" s="536" t="s">
        <v>489</v>
      </c>
      <c r="C91" s="1023"/>
      <c r="D91" s="46"/>
      <c r="E91" s="46"/>
      <c r="F91" s="46"/>
      <c r="G91" s="46"/>
      <c r="H91" s="46"/>
      <c r="I91" s="46"/>
      <c r="J91" s="46"/>
      <c r="K91" s="46"/>
      <c r="L91" s="46"/>
      <c r="M91" s="46"/>
      <c r="N91" s="46"/>
      <c r="O91" s="69"/>
    </row>
    <row r="92" spans="1:15" s="18" customFormat="1" collapsed="1">
      <c r="A92" s="4"/>
      <c r="B92" s="536" t="s">
        <v>512</v>
      </c>
      <c r="C92" s="102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1022">
        <f>'2. LRAMVA Threshold'!O43</f>
        <v>0</v>
      </c>
      <c r="D95" s="46"/>
      <c r="E95" s="46"/>
      <c r="F95" s="46"/>
      <c r="G95" s="46"/>
      <c r="H95" s="46"/>
      <c r="I95" s="46"/>
      <c r="J95" s="46"/>
      <c r="K95" s="46"/>
      <c r="L95" s="46"/>
      <c r="M95" s="46"/>
      <c r="N95" s="46"/>
      <c r="O95" s="69"/>
    </row>
    <row r="96" spans="1:15" s="18" customFormat="1" hidden="1" outlineLevel="1">
      <c r="A96" s="4"/>
      <c r="B96" s="536" t="s">
        <v>510</v>
      </c>
      <c r="C96" s="1023"/>
      <c r="D96" s="46"/>
      <c r="E96" s="46"/>
      <c r="F96" s="46"/>
      <c r="G96" s="46"/>
      <c r="H96" s="46"/>
      <c r="I96" s="46"/>
      <c r="J96" s="46"/>
      <c r="K96" s="46"/>
      <c r="L96" s="46"/>
      <c r="M96" s="46"/>
      <c r="N96" s="46"/>
      <c r="O96" s="69"/>
    </row>
    <row r="97" spans="1:15" s="18" customFormat="1" hidden="1" outlineLevel="1">
      <c r="A97" s="4"/>
      <c r="B97" s="536" t="s">
        <v>511</v>
      </c>
      <c r="C97" s="1023"/>
      <c r="D97" s="46"/>
      <c r="E97" s="46"/>
      <c r="F97" s="46"/>
      <c r="G97" s="46"/>
      <c r="H97" s="46"/>
      <c r="I97" s="46"/>
      <c r="J97" s="46"/>
      <c r="K97" s="46"/>
      <c r="L97" s="46"/>
      <c r="M97" s="46"/>
      <c r="N97" s="46"/>
      <c r="O97" s="69"/>
    </row>
    <row r="98" spans="1:15" s="18" customFormat="1" hidden="1" outlineLevel="1">
      <c r="A98" s="4"/>
      <c r="B98" s="536" t="s">
        <v>489</v>
      </c>
      <c r="C98" s="1023"/>
      <c r="D98" s="46"/>
      <c r="E98" s="46"/>
      <c r="F98" s="46"/>
      <c r="G98" s="46"/>
      <c r="H98" s="46"/>
      <c r="I98" s="46"/>
      <c r="J98" s="46"/>
      <c r="K98" s="46"/>
      <c r="L98" s="46"/>
      <c r="M98" s="46"/>
      <c r="N98" s="46"/>
      <c r="O98" s="69"/>
    </row>
    <row r="99" spans="1:15" s="18" customFormat="1" collapsed="1">
      <c r="A99" s="4"/>
      <c r="B99" s="536" t="s">
        <v>512</v>
      </c>
      <c r="C99" s="102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1022">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1023"/>
      <c r="D103" s="46"/>
      <c r="E103" s="46"/>
      <c r="F103" s="46"/>
      <c r="G103" s="46"/>
      <c r="H103" s="46"/>
      <c r="I103" s="46"/>
      <c r="J103" s="46"/>
      <c r="K103" s="46"/>
      <c r="L103" s="46"/>
      <c r="M103" s="46"/>
      <c r="N103" s="46"/>
      <c r="O103" s="69"/>
    </row>
    <row r="104" spans="1:15" s="18" customFormat="1" hidden="1" outlineLevel="1">
      <c r="A104" s="4"/>
      <c r="B104" s="536" t="s">
        <v>511</v>
      </c>
      <c r="C104" s="1023"/>
      <c r="D104" s="46"/>
      <c r="E104" s="46"/>
      <c r="F104" s="46"/>
      <c r="G104" s="46"/>
      <c r="H104" s="46"/>
      <c r="I104" s="46"/>
      <c r="J104" s="46"/>
      <c r="K104" s="46"/>
      <c r="L104" s="46"/>
      <c r="M104" s="46"/>
      <c r="N104" s="46"/>
      <c r="O104" s="69"/>
    </row>
    <row r="105" spans="1:15" s="18" customFormat="1" hidden="1" outlineLevel="1">
      <c r="A105" s="4"/>
      <c r="B105" s="536" t="s">
        <v>489</v>
      </c>
      <c r="C105" s="1023"/>
      <c r="D105" s="46"/>
      <c r="E105" s="46"/>
      <c r="F105" s="46"/>
      <c r="G105" s="46"/>
      <c r="H105" s="46"/>
      <c r="I105" s="46"/>
      <c r="J105" s="46"/>
      <c r="K105" s="46"/>
      <c r="L105" s="46"/>
      <c r="M105" s="46"/>
      <c r="N105" s="46"/>
      <c r="O105" s="69"/>
    </row>
    <row r="106" spans="1:15" s="18" customFormat="1" collapsed="1">
      <c r="A106" s="4"/>
      <c r="B106" s="536" t="s">
        <v>512</v>
      </c>
      <c r="C106" s="102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1022">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1023"/>
      <c r="D110" s="46"/>
      <c r="E110" s="46"/>
      <c r="F110" s="46"/>
      <c r="G110" s="46"/>
      <c r="H110" s="46"/>
      <c r="I110" s="46"/>
      <c r="J110" s="46"/>
      <c r="K110" s="46"/>
      <c r="L110" s="46"/>
      <c r="M110" s="46"/>
      <c r="N110" s="46"/>
      <c r="O110" s="69"/>
    </row>
    <row r="111" spans="1:15" s="18" customFormat="1" hidden="1" outlineLevel="1">
      <c r="A111" s="4"/>
      <c r="B111" s="536" t="s">
        <v>511</v>
      </c>
      <c r="C111" s="1023"/>
      <c r="D111" s="46"/>
      <c r="E111" s="46"/>
      <c r="F111" s="46"/>
      <c r="G111" s="46"/>
      <c r="H111" s="46"/>
      <c r="I111" s="46"/>
      <c r="J111" s="46"/>
      <c r="K111" s="46"/>
      <c r="L111" s="46"/>
      <c r="M111" s="46"/>
      <c r="N111" s="46"/>
      <c r="O111" s="69"/>
    </row>
    <row r="112" spans="1:15" s="18" customFormat="1" hidden="1" outlineLevel="1">
      <c r="A112" s="4"/>
      <c r="B112" s="536" t="s">
        <v>489</v>
      </c>
      <c r="C112" s="1023"/>
      <c r="D112" s="46"/>
      <c r="E112" s="46"/>
      <c r="F112" s="46"/>
      <c r="G112" s="46"/>
      <c r="H112" s="46"/>
      <c r="I112" s="46"/>
      <c r="J112" s="46"/>
      <c r="K112" s="46"/>
      <c r="L112" s="46"/>
      <c r="M112" s="46"/>
      <c r="N112" s="46"/>
      <c r="O112" s="69"/>
    </row>
    <row r="113" spans="1:17" s="18" customFormat="1" collapsed="1">
      <c r="A113" s="4"/>
      <c r="B113" s="536" t="s">
        <v>512</v>
      </c>
      <c r="C113" s="102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608</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1026" t="s">
        <v>669</v>
      </c>
      <c r="C120" s="1026"/>
      <c r="D120" s="1026"/>
      <c r="E120" s="1026"/>
      <c r="F120" s="1026"/>
      <c r="G120" s="1026"/>
      <c r="H120" s="1026"/>
      <c r="I120" s="1026"/>
      <c r="J120" s="1026"/>
      <c r="K120" s="1026"/>
      <c r="L120" s="1026"/>
      <c r="M120" s="1026"/>
      <c r="N120" s="1026"/>
      <c r="O120" s="1026"/>
      <c r="P120" s="102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Sentinel Lighting</v>
      </c>
      <c r="G122" s="244" t="str">
        <f>'1.  LRAMVA Summary'!H52</f>
        <v>Street Lighting</v>
      </c>
      <c r="H122" s="244" t="str">
        <f>'1.  LRAMVA Summary'!I52</f>
        <v>Unmetered Scattered Load</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1.37E-2</v>
      </c>
      <c r="D124" s="681">
        <f>HLOOKUP(B124,$E$15:$O$114,16,FALSE)</f>
        <v>8.3000000000000001E-3</v>
      </c>
      <c r="E124" s="682">
        <f>HLOOKUP(B124,$E$15:$O$114,23,FALSE)</f>
        <v>1.4132</v>
      </c>
      <c r="F124" s="681">
        <f>HLOOKUP(B124,$E$15:$O$114,30,FALSE)</f>
        <v>16.7883</v>
      </c>
      <c r="G124" s="682">
        <f>HLOOKUP(B124,$E$15:$O$114,37,FALSE)</f>
        <v>14.6546</v>
      </c>
      <c r="H124" s="681">
        <f>HLOOKUP(B124,$E$15:$O$114,44,FALSE)</f>
        <v>8.0999999999999996E-3</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1.38E-2</v>
      </c>
      <c r="D125" s="684">
        <f>HLOOKUP(B125,$E$15:$O$114,16,FALSE)</f>
        <v>8.3999999999999995E-3</v>
      </c>
      <c r="E125" s="685">
        <f>HLOOKUP(B125,$E$15:$O$114,23,FALSE)</f>
        <v>1.4072</v>
      </c>
      <c r="F125" s="684">
        <f>HLOOKUP(B125,$E$15:$O$114,30,FALSE)</f>
        <v>16.886800000000001</v>
      </c>
      <c r="G125" s="685">
        <f>HLOOKUP(B125,$E$15:$O$114,37,FALSE)</f>
        <v>14.740600000000001</v>
      </c>
      <c r="H125" s="684">
        <f>HLOOKUP(B125,$E$15:$O$114,44,FALSE)</f>
        <v>8.2000000000000007E-3</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1.4200000000000001E-2</v>
      </c>
      <c r="D126" s="684">
        <f t="shared" ref="D126:D133" si="32">HLOOKUP(B126,$E$15:$O$114,16,FALSE)</f>
        <v>8.6E-3</v>
      </c>
      <c r="E126" s="685">
        <f t="shared" ref="E126:E133" si="33">HLOOKUP(B126,$E$15:$O$114,23,FALSE)</f>
        <v>2.2688000000000001</v>
      </c>
      <c r="F126" s="684">
        <f t="shared" ref="F126:F133" si="34">HLOOKUP(B126,$E$15:$O$114,30,FALSE)</f>
        <v>19.7273</v>
      </c>
      <c r="G126" s="685">
        <f t="shared" ref="G126:G132" si="35">HLOOKUP(B126,$E$15:$O$114,37,FALSE)</f>
        <v>15.1943</v>
      </c>
      <c r="H126" s="684">
        <f t="shared" ref="H126:H133" si="36">HLOOKUP(B126,$E$15:$O$114,44,FALSE)</f>
        <v>6.4000000000000003E-3</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1.4500000000000001E-2</v>
      </c>
      <c r="D127" s="684">
        <f>HLOOKUP(B127,$E$15:$O$114,16,FALSE)</f>
        <v>8.8000000000000005E-3</v>
      </c>
      <c r="E127" s="685">
        <f>HLOOKUP(B127,$E$15:$O$114,23,FALSE)</f>
        <v>2.7227999999999999</v>
      </c>
      <c r="F127" s="684">
        <f>HLOOKUP(B127,$E$15:$O$114,30,FALSE)</f>
        <v>21.32</v>
      </c>
      <c r="G127" s="685">
        <f>HLOOKUP(B127,$E$15:$O$114,37,FALSE)</f>
        <v>15.5433</v>
      </c>
      <c r="H127" s="684">
        <f>HLOOKUP(B127,$E$15:$O$114,44,FALSE)</f>
        <v>5.5999999999999999E-3</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1.47E-2</v>
      </c>
      <c r="D128" s="684">
        <f t="shared" si="32"/>
        <v>8.8999999999999999E-3</v>
      </c>
      <c r="E128" s="685">
        <f t="shared" si="33"/>
        <v>2.7608999999999999</v>
      </c>
      <c r="F128" s="684">
        <f t="shared" si="34"/>
        <v>21.618500000000001</v>
      </c>
      <c r="G128" s="685">
        <f t="shared" si="35"/>
        <v>15.760899999999999</v>
      </c>
      <c r="H128" s="684">
        <f t="shared" si="36"/>
        <v>5.7000000000000002E-3</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1.2500000000000001E-2</v>
      </c>
      <c r="D129" s="684">
        <f t="shared" si="32"/>
        <v>8.9999999999999993E-3</v>
      </c>
      <c r="E129" s="685">
        <f t="shared" si="33"/>
        <v>2.8079999999999998</v>
      </c>
      <c r="F129" s="684">
        <f t="shared" si="34"/>
        <v>21.9864</v>
      </c>
      <c r="G129" s="685">
        <f t="shared" si="35"/>
        <v>16.0291</v>
      </c>
      <c r="H129" s="684">
        <f t="shared" si="36"/>
        <v>5.7999999999999996E-3</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8.8000000000000005E-3</v>
      </c>
      <c r="D130" s="684">
        <f t="shared" si="32"/>
        <v>9.1999999999999998E-3</v>
      </c>
      <c r="E130" s="685">
        <f t="shared" si="33"/>
        <v>2.8552</v>
      </c>
      <c r="F130" s="684">
        <f t="shared" si="34"/>
        <v>22.356200000000001</v>
      </c>
      <c r="G130" s="685">
        <f t="shared" si="35"/>
        <v>16.2987</v>
      </c>
      <c r="H130" s="684">
        <f t="shared" si="36"/>
        <v>5.8999999999999999E-3</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3" si="44">HLOOKUP(B131,$E$15:$O$114,9,FALSE)</f>
        <v>5.1000000000000004E-3</v>
      </c>
      <c r="D131" s="684">
        <f t="shared" si="32"/>
        <v>9.2999999999999992E-3</v>
      </c>
      <c r="E131" s="685">
        <f t="shared" si="33"/>
        <v>2.8875000000000002</v>
      </c>
      <c r="F131" s="684">
        <f t="shared" si="34"/>
        <v>22.609100000000002</v>
      </c>
      <c r="G131" s="685">
        <f t="shared" si="35"/>
        <v>16.483000000000001</v>
      </c>
      <c r="H131" s="684">
        <f t="shared" si="36"/>
        <v>6.0000000000000001E-3</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1.2999999999999999E-3</v>
      </c>
      <c r="D132" s="684">
        <f t="shared" si="32"/>
        <v>1.0699999999999999E-2</v>
      </c>
      <c r="E132" s="685">
        <f t="shared" si="33"/>
        <v>2.746</v>
      </c>
      <c r="F132" s="684">
        <f t="shared" si="34"/>
        <v>20.4986</v>
      </c>
      <c r="G132" s="685">
        <f t="shared" si="35"/>
        <v>11.8232</v>
      </c>
      <c r="H132" s="684">
        <f t="shared" si="36"/>
        <v>1.6500000000000001E-2</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1.15E-2</v>
      </c>
      <c r="E133" s="688">
        <f t="shared" si="33"/>
        <v>2.7039</v>
      </c>
      <c r="F133" s="687">
        <f t="shared" si="34"/>
        <v>19.649100000000001</v>
      </c>
      <c r="G133" s="688">
        <f>HLOOKUP(B133,$E$15:$O$114,37,FALSE)</f>
        <v>9.5854999999999997</v>
      </c>
      <c r="H133" s="687">
        <f t="shared" si="36"/>
        <v>2.1999999999999999E-2</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625</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4:XEN721"/>
  <sheetViews>
    <sheetView topLeftCell="A686" zoomScale="90" zoomScaleNormal="90" workbookViewId="0">
      <selection activeCell="E716" sqref="E716"/>
    </sheetView>
  </sheetViews>
  <sheetFormatPr defaultColWidth="9" defaultRowHeight="15"/>
  <cols>
    <col min="1" max="1" width="15.28515625" style="12" bestFit="1" customWidth="1"/>
    <col min="2" max="2" width="10.85546875" style="12" customWidth="1"/>
    <col min="3" max="3" width="55.42578125" style="12" bestFit="1" customWidth="1"/>
    <col min="4" max="4" width="72" style="12" bestFit="1" customWidth="1"/>
    <col min="5" max="5" width="57.42578125" style="12" bestFit="1" customWidth="1"/>
    <col min="6" max="6" width="58.85546875" style="12" bestFit="1" customWidth="1"/>
    <col min="7" max="7" width="28.42578125" style="12" bestFit="1" customWidth="1"/>
    <col min="8" max="8" width="16" style="12" bestFit="1" customWidth="1"/>
    <col min="9" max="9" width="9" style="12"/>
    <col min="10" max="10" width="16" style="12" bestFit="1" customWidth="1"/>
    <col min="11" max="11" width="39.5703125" style="12" bestFit="1" customWidth="1"/>
    <col min="12" max="16384" width="9" style="12"/>
  </cols>
  <sheetData>
    <row r="14" spans="2:24" ht="15.75">
      <c r="B14" s="588" t="s">
        <v>504</v>
      </c>
    </row>
    <row r="15" spans="2:24" ht="15.75">
      <c r="B15" s="588"/>
    </row>
    <row r="16" spans="2:24" s="667" customFormat="1" ht="28.5" customHeight="1">
      <c r="B16" s="1032" t="s">
        <v>628</v>
      </c>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row>
    <row r="17" spans="1:10" ht="15.75" thickBot="1"/>
    <row r="18" spans="1:10" customFormat="1" ht="15.75" thickBot="1">
      <c r="B18" s="756" t="s">
        <v>768</v>
      </c>
    </row>
    <row r="19" spans="1:10" customFormat="1" ht="45">
      <c r="B19" s="757" t="s">
        <v>769</v>
      </c>
      <c r="C19" s="757" t="s">
        <v>770</v>
      </c>
      <c r="D19" s="757" t="s">
        <v>771</v>
      </c>
      <c r="E19" s="757" t="s">
        <v>772</v>
      </c>
      <c r="F19" s="757" t="s">
        <v>773</v>
      </c>
      <c r="G19" s="757" t="s">
        <v>774</v>
      </c>
      <c r="H19" s="757" t="s">
        <v>775</v>
      </c>
      <c r="I19" s="757" t="s">
        <v>776</v>
      </c>
    </row>
    <row r="20" spans="1:10" customFormat="1">
      <c r="A20" t="s">
        <v>777</v>
      </c>
      <c r="B20" s="758">
        <v>102007</v>
      </c>
      <c r="C20" s="759" t="s">
        <v>778</v>
      </c>
      <c r="D20" s="759"/>
      <c r="E20" s="759"/>
      <c r="F20" s="759" t="s">
        <v>779</v>
      </c>
      <c r="G20" s="760">
        <v>0</v>
      </c>
      <c r="H20" s="760">
        <v>56282.5</v>
      </c>
      <c r="I20" s="759" t="s">
        <v>780</v>
      </c>
      <c r="J20" s="760">
        <v>56282.5</v>
      </c>
    </row>
    <row r="21" spans="1:10" customFormat="1">
      <c r="A21" t="s">
        <v>777</v>
      </c>
      <c r="B21" s="758">
        <v>103234</v>
      </c>
      <c r="C21" s="759" t="s">
        <v>781</v>
      </c>
      <c r="D21" s="759"/>
      <c r="E21" s="759"/>
      <c r="F21" s="759" t="s">
        <v>779</v>
      </c>
      <c r="G21" s="760">
        <v>2.06955</v>
      </c>
      <c r="H21" s="760">
        <v>7416</v>
      </c>
      <c r="I21" s="759" t="s">
        <v>782</v>
      </c>
      <c r="J21" s="760">
        <v>7416</v>
      </c>
    </row>
    <row r="22" spans="1:10" customFormat="1">
      <c r="A22" t="s">
        <v>777</v>
      </c>
      <c r="B22" s="758">
        <v>102918</v>
      </c>
      <c r="C22" s="759" t="s">
        <v>783</v>
      </c>
      <c r="D22" s="759"/>
      <c r="E22" s="759"/>
      <c r="F22" s="759" t="s">
        <v>779</v>
      </c>
      <c r="G22" s="760">
        <v>5.0449999999999999</v>
      </c>
      <c r="H22" s="760">
        <v>17896.21</v>
      </c>
      <c r="I22" s="759" t="s">
        <v>782</v>
      </c>
      <c r="J22" s="760">
        <v>17896.21</v>
      </c>
    </row>
    <row r="23" spans="1:10" customFormat="1">
      <c r="A23" t="s">
        <v>777</v>
      </c>
      <c r="B23" s="758">
        <v>103765</v>
      </c>
      <c r="C23" s="759" t="s">
        <v>784</v>
      </c>
      <c r="D23" s="759"/>
      <c r="E23" s="759"/>
      <c r="F23" s="759" t="s">
        <v>779</v>
      </c>
      <c r="G23" s="760">
        <v>3.8980000000000001</v>
      </c>
      <c r="H23" s="760">
        <v>10111.412</v>
      </c>
      <c r="I23" s="759" t="s">
        <v>780</v>
      </c>
      <c r="J23" s="760">
        <v>10111.412</v>
      </c>
    </row>
    <row r="24" spans="1:10" customFormat="1">
      <c r="A24" t="s">
        <v>777</v>
      </c>
      <c r="B24" s="758">
        <v>103884</v>
      </c>
      <c r="C24" s="759" t="s">
        <v>785</v>
      </c>
      <c r="D24" s="759"/>
      <c r="E24" s="759"/>
      <c r="F24" s="759" t="s">
        <v>779</v>
      </c>
      <c r="G24" s="760">
        <v>4.2169999999999996</v>
      </c>
      <c r="H24" s="760">
        <v>11900.794</v>
      </c>
      <c r="I24" s="759" t="s">
        <v>780</v>
      </c>
      <c r="J24" s="760">
        <v>11900.794</v>
      </c>
    </row>
    <row r="25" spans="1:10" customFormat="1">
      <c r="A25" t="s">
        <v>777</v>
      </c>
      <c r="B25" s="758">
        <v>102673</v>
      </c>
      <c r="C25" s="759" t="s">
        <v>786</v>
      </c>
      <c r="D25" s="759"/>
      <c r="E25" s="759"/>
      <c r="F25" s="759" t="s">
        <v>779</v>
      </c>
      <c r="G25" s="760">
        <v>0</v>
      </c>
      <c r="H25" s="760">
        <v>28998</v>
      </c>
      <c r="I25" s="759" t="s">
        <v>782</v>
      </c>
      <c r="J25" s="760">
        <v>28998</v>
      </c>
    </row>
    <row r="26" spans="1:10" customFormat="1" ht="15.75" thickBot="1">
      <c r="B26" s="761"/>
      <c r="G26" s="762">
        <f>SUM(G20:G25)</f>
        <v>15.22955</v>
      </c>
      <c r="H26" s="762">
        <f>SUM(H20:H25)</f>
        <v>132604.91599999997</v>
      </c>
      <c r="J26" s="762">
        <f>SUM(J20:J25)</f>
        <v>132604.91599999997</v>
      </c>
    </row>
    <row r="27" spans="1:10" customFormat="1" ht="15.75" thickTop="1">
      <c r="B27" s="761"/>
    </row>
    <row r="28" spans="1:10" customFormat="1">
      <c r="B28" s="761"/>
    </row>
    <row r="29" spans="1:10" customFormat="1">
      <c r="B29" s="761"/>
      <c r="F29" s="763" t="s">
        <v>776</v>
      </c>
      <c r="G29" s="763" t="s">
        <v>787</v>
      </c>
      <c r="H29" s="763" t="s">
        <v>788</v>
      </c>
    </row>
    <row r="30" spans="1:10" customFormat="1">
      <c r="B30" s="761"/>
      <c r="F30" s="764" t="s">
        <v>789</v>
      </c>
      <c r="G30" s="765">
        <f>SUMIF($I$21:$I$26,"GS&lt;50 KW",$H$21:$H$26)</f>
        <v>22012.205999999998</v>
      </c>
      <c r="H30" s="766">
        <f>G30/G32</f>
        <v>0.28841075995288196</v>
      </c>
    </row>
    <row r="31" spans="1:10" customFormat="1">
      <c r="B31" s="761"/>
      <c r="F31" s="764" t="s">
        <v>790</v>
      </c>
      <c r="G31" s="765">
        <f>SUMIF($I$21:$I$26,"GS&gt;50 KW",$H$21:$H$26)</f>
        <v>54310.21</v>
      </c>
      <c r="H31" s="766">
        <f>G31/G32</f>
        <v>0.71158924004711799</v>
      </c>
    </row>
    <row r="32" spans="1:10" customFormat="1" ht="15.75" thickBot="1">
      <c r="B32" s="761"/>
      <c r="G32" s="767">
        <f>SUM(G30:G31)</f>
        <v>76322.415999999997</v>
      </c>
    </row>
    <row r="33" spans="1:10" customFormat="1" ht="15.75" thickTop="1">
      <c r="B33" s="761"/>
    </row>
    <row r="34" spans="1:10" customFormat="1" ht="15.75" thickBot="1">
      <c r="B34" s="761"/>
    </row>
    <row r="35" spans="1:10" customFormat="1" ht="15.75" thickBot="1">
      <c r="B35" s="756" t="s">
        <v>791</v>
      </c>
    </row>
    <row r="36" spans="1:10" s="757" customFormat="1" ht="45">
      <c r="B36" s="757" t="s">
        <v>769</v>
      </c>
      <c r="C36" s="757" t="s">
        <v>770</v>
      </c>
      <c r="D36" s="757" t="s">
        <v>771</v>
      </c>
      <c r="E36" s="757" t="s">
        <v>772</v>
      </c>
      <c r="F36" s="757" t="s">
        <v>773</v>
      </c>
      <c r="G36" s="757" t="s">
        <v>774</v>
      </c>
      <c r="H36" s="757" t="s">
        <v>775</v>
      </c>
      <c r="I36" s="757" t="s">
        <v>776</v>
      </c>
    </row>
    <row r="37" spans="1:10" s="757" customFormat="1" ht="25.5">
      <c r="A37" t="s">
        <v>777</v>
      </c>
      <c r="B37" s="758">
        <v>106217</v>
      </c>
      <c r="C37" s="759" t="s">
        <v>792</v>
      </c>
      <c r="D37" s="759"/>
      <c r="E37" s="759"/>
      <c r="F37" s="759" t="s">
        <v>779</v>
      </c>
      <c r="G37" s="760">
        <v>15.105</v>
      </c>
      <c r="H37" s="760">
        <v>72383.16</v>
      </c>
      <c r="I37" s="768" t="s">
        <v>782</v>
      </c>
      <c r="J37" s="760">
        <v>72383.16</v>
      </c>
    </row>
    <row r="38" spans="1:10" s="757" customFormat="1" ht="25.5">
      <c r="A38" t="s">
        <v>777</v>
      </c>
      <c r="B38" s="758">
        <v>107351</v>
      </c>
      <c r="C38" s="759" t="s">
        <v>793</v>
      </c>
      <c r="D38" s="759"/>
      <c r="E38" s="759"/>
      <c r="F38" s="759" t="s">
        <v>779</v>
      </c>
      <c r="G38" s="760">
        <v>2.76</v>
      </c>
      <c r="H38" s="760">
        <v>11923.2</v>
      </c>
      <c r="I38" s="768" t="s">
        <v>780</v>
      </c>
      <c r="J38" s="760">
        <v>11923.2</v>
      </c>
    </row>
    <row r="39" spans="1:10" s="757" customFormat="1" ht="25.5">
      <c r="A39" t="s">
        <v>777</v>
      </c>
      <c r="B39" s="758">
        <v>107945</v>
      </c>
      <c r="C39" s="759" t="s">
        <v>794</v>
      </c>
      <c r="D39" s="759"/>
      <c r="E39" s="759"/>
      <c r="F39" s="759" t="s">
        <v>779</v>
      </c>
      <c r="G39" s="760">
        <v>14.904</v>
      </c>
      <c r="H39" s="760">
        <v>85670.399999999994</v>
      </c>
      <c r="I39" s="768" t="s">
        <v>782</v>
      </c>
      <c r="J39" s="760">
        <v>85670.399999999994</v>
      </c>
    </row>
    <row r="40" spans="1:10" s="757" customFormat="1" ht="25.5">
      <c r="A40" t="s">
        <v>777</v>
      </c>
      <c r="B40" s="758">
        <v>107534</v>
      </c>
      <c r="C40" s="759" t="s">
        <v>795</v>
      </c>
      <c r="D40" s="759"/>
      <c r="E40" s="759"/>
      <c r="F40" s="759" t="s">
        <v>779</v>
      </c>
      <c r="G40" s="760">
        <v>6.5964999999999998</v>
      </c>
      <c r="H40" s="760">
        <v>33829.124000000003</v>
      </c>
      <c r="I40" s="768" t="s">
        <v>782</v>
      </c>
      <c r="J40" s="760">
        <v>33829.124000000003</v>
      </c>
    </row>
    <row r="41" spans="1:10" s="757" customFormat="1" ht="25.5">
      <c r="A41" t="s">
        <v>777</v>
      </c>
      <c r="B41" s="758">
        <v>110432</v>
      </c>
      <c r="C41" s="759" t="s">
        <v>795</v>
      </c>
      <c r="D41" s="759"/>
      <c r="E41" s="759"/>
      <c r="F41" s="759" t="s">
        <v>779</v>
      </c>
      <c r="G41" s="760">
        <v>32.711500000000001</v>
      </c>
      <c r="H41" s="760">
        <v>156753.508</v>
      </c>
      <c r="I41" s="768" t="s">
        <v>782</v>
      </c>
      <c r="J41" s="760">
        <v>156753.508</v>
      </c>
    </row>
    <row r="42" spans="1:10" s="757" customFormat="1">
      <c r="A42" t="s">
        <v>777</v>
      </c>
      <c r="B42" s="758">
        <v>110008</v>
      </c>
      <c r="C42" s="759" t="s">
        <v>796</v>
      </c>
      <c r="D42" s="759"/>
      <c r="E42" s="759"/>
      <c r="F42" s="759" t="s">
        <v>779</v>
      </c>
      <c r="G42" s="760">
        <v>2.6269999999999998</v>
      </c>
      <c r="H42" s="760">
        <v>6814.4380000000001</v>
      </c>
      <c r="I42" s="769" t="s">
        <v>782</v>
      </c>
      <c r="J42" s="760">
        <v>6814.4380000000001</v>
      </c>
    </row>
    <row r="43" spans="1:10" customFormat="1">
      <c r="A43" t="s">
        <v>777</v>
      </c>
      <c r="B43" s="758">
        <v>110920</v>
      </c>
      <c r="C43" s="759" t="s">
        <v>798</v>
      </c>
      <c r="D43" s="759"/>
      <c r="E43" s="759"/>
      <c r="F43" s="759" t="s">
        <v>779</v>
      </c>
      <c r="G43" s="760">
        <v>0</v>
      </c>
      <c r="H43" s="760">
        <v>35872</v>
      </c>
      <c r="I43" s="769" t="s">
        <v>782</v>
      </c>
      <c r="J43" s="760">
        <v>35872</v>
      </c>
    </row>
    <row r="44" spans="1:10" customFormat="1">
      <c r="A44" t="s">
        <v>777</v>
      </c>
      <c r="B44" s="758">
        <v>111283</v>
      </c>
      <c r="C44" s="759" t="s">
        <v>799</v>
      </c>
      <c r="D44" s="759"/>
      <c r="E44" s="759"/>
      <c r="F44" s="759" t="s">
        <v>779</v>
      </c>
      <c r="G44" s="760">
        <v>3.2</v>
      </c>
      <c r="H44" s="760">
        <v>7261</v>
      </c>
      <c r="I44" s="769" t="s">
        <v>780</v>
      </c>
      <c r="J44" s="760">
        <v>7261</v>
      </c>
    </row>
    <row r="45" spans="1:10" customFormat="1">
      <c r="A45" t="s">
        <v>777</v>
      </c>
      <c r="B45" s="758">
        <v>111285</v>
      </c>
      <c r="C45" s="759" t="s">
        <v>800</v>
      </c>
      <c r="D45" s="759"/>
      <c r="E45" s="759"/>
      <c r="F45" s="759" t="s">
        <v>779</v>
      </c>
      <c r="G45" s="760">
        <v>1.6</v>
      </c>
      <c r="H45" s="760">
        <v>3742</v>
      </c>
      <c r="I45" s="769" t="s">
        <v>780</v>
      </c>
      <c r="J45" s="760">
        <v>3742</v>
      </c>
    </row>
    <row r="46" spans="1:10" customFormat="1">
      <c r="A46" t="s">
        <v>777</v>
      </c>
      <c r="B46" s="758">
        <v>112439</v>
      </c>
      <c r="C46" s="759" t="s">
        <v>801</v>
      </c>
      <c r="D46" s="759"/>
      <c r="E46" s="759"/>
      <c r="F46" s="759" t="s">
        <v>779</v>
      </c>
      <c r="G46" s="760">
        <v>1.5</v>
      </c>
      <c r="H46" s="760">
        <v>4385</v>
      </c>
      <c r="I46" s="769" t="s">
        <v>780</v>
      </c>
      <c r="J46" s="760">
        <v>4385</v>
      </c>
    </row>
    <row r="47" spans="1:10" customFormat="1">
      <c r="A47" t="s">
        <v>777</v>
      </c>
      <c r="B47" s="758">
        <v>114002</v>
      </c>
      <c r="C47" s="759" t="s">
        <v>802</v>
      </c>
      <c r="D47" s="759"/>
      <c r="E47" s="759"/>
      <c r="F47" s="759" t="s">
        <v>779</v>
      </c>
      <c r="G47" s="760">
        <v>0</v>
      </c>
      <c r="H47" s="760">
        <v>1389357</v>
      </c>
      <c r="I47" s="769" t="s">
        <v>782</v>
      </c>
      <c r="J47" s="760">
        <v>1389357</v>
      </c>
    </row>
    <row r="48" spans="1:10" customFormat="1">
      <c r="A48" t="s">
        <v>777</v>
      </c>
      <c r="B48" s="758">
        <v>114049</v>
      </c>
      <c r="C48" s="759" t="s">
        <v>803</v>
      </c>
      <c r="D48" s="759"/>
      <c r="E48" s="759"/>
      <c r="F48" s="759" t="s">
        <v>779</v>
      </c>
      <c r="G48" s="760">
        <v>2.8022999999999998</v>
      </c>
      <c r="H48" s="760">
        <v>7269.165</v>
      </c>
      <c r="I48" s="769" t="s">
        <v>780</v>
      </c>
      <c r="J48" s="760">
        <v>7269.165</v>
      </c>
    </row>
    <row r="49" spans="1:10" customFormat="1">
      <c r="B49" s="770"/>
      <c r="G49" s="771"/>
      <c r="H49" s="771"/>
      <c r="J49" s="772"/>
    </row>
    <row r="50" spans="1:10" customFormat="1" ht="15.75" thickBot="1">
      <c r="B50" s="761"/>
      <c r="F50" s="773"/>
      <c r="G50" s="774">
        <f>SUM(G37:G49)</f>
        <v>83.806299999999993</v>
      </c>
      <c r="H50" s="774">
        <f>SUM(H37:H49)</f>
        <v>1815259.9950000001</v>
      </c>
      <c r="J50" s="775">
        <f>SUM(J37:J49)</f>
        <v>1815259.9950000001</v>
      </c>
    </row>
    <row r="51" spans="1:10" customFormat="1">
      <c r="B51" s="761"/>
    </row>
    <row r="52" spans="1:10" customFormat="1">
      <c r="B52" s="761"/>
    </row>
    <row r="53" spans="1:10" customFormat="1">
      <c r="B53" s="761"/>
      <c r="F53" s="763" t="s">
        <v>776</v>
      </c>
      <c r="G53" s="763" t="s">
        <v>787</v>
      </c>
      <c r="H53" s="763" t="s">
        <v>788</v>
      </c>
    </row>
    <row r="54" spans="1:10" customFormat="1">
      <c r="B54" s="761"/>
      <c r="F54" s="764" t="s">
        <v>789</v>
      </c>
      <c r="G54" s="765">
        <f>SUMIF($I$38:$I$49,"GS&lt;50 KW",$H$38:$H$49)</f>
        <v>34580.364999999998</v>
      </c>
      <c r="H54" s="766">
        <f>G54/G56</f>
        <v>1.9840968854233466E-2</v>
      </c>
    </row>
    <row r="55" spans="1:10" customFormat="1">
      <c r="F55" s="764" t="s">
        <v>790</v>
      </c>
      <c r="G55" s="765">
        <f>SUMIF($I$38:$I$49,"GS&gt;50 KW",$H$38:$H$49)</f>
        <v>1708296.47</v>
      </c>
      <c r="H55" s="766">
        <f>G55/G56</f>
        <v>0.98015903114576652</v>
      </c>
    </row>
    <row r="56" spans="1:10" customFormat="1" ht="15.75" thickBot="1">
      <c r="G56" s="767">
        <f>SUM(G54:G55)</f>
        <v>1742876.835</v>
      </c>
    </row>
    <row r="57" spans="1:10" customFormat="1" ht="15.75" thickTop="1"/>
    <row r="58" spans="1:10" customFormat="1" ht="15.75" thickBot="1"/>
    <row r="59" spans="1:10" customFormat="1" ht="15.75" thickBot="1">
      <c r="B59" s="756" t="s">
        <v>804</v>
      </c>
    </row>
    <row r="60" spans="1:10" s="757" customFormat="1" ht="45">
      <c r="B60" s="757" t="s">
        <v>769</v>
      </c>
      <c r="C60" s="757" t="s">
        <v>770</v>
      </c>
      <c r="D60" s="757" t="s">
        <v>771</v>
      </c>
      <c r="E60" s="757" t="s">
        <v>772</v>
      </c>
      <c r="F60" s="757" t="s">
        <v>773</v>
      </c>
      <c r="G60" s="757" t="s">
        <v>774</v>
      </c>
      <c r="H60" s="757" t="s">
        <v>775</v>
      </c>
      <c r="I60" s="757" t="s">
        <v>776</v>
      </c>
    </row>
    <row r="61" spans="1:10" s="757" customFormat="1" ht="25.5">
      <c r="A61" t="s">
        <v>777</v>
      </c>
      <c r="B61" s="758">
        <v>115108</v>
      </c>
      <c r="C61" s="759" t="s">
        <v>805</v>
      </c>
      <c r="D61" s="759"/>
      <c r="E61" s="759"/>
      <c r="F61" s="759" t="s">
        <v>779</v>
      </c>
      <c r="G61" s="760">
        <v>7.202</v>
      </c>
      <c r="H61" s="760">
        <v>24476</v>
      </c>
      <c r="I61" s="768" t="s">
        <v>780</v>
      </c>
      <c r="J61" s="760">
        <v>24476</v>
      </c>
    </row>
    <row r="62" spans="1:10" s="757" customFormat="1" ht="25.5">
      <c r="A62" t="s">
        <v>777</v>
      </c>
      <c r="B62" s="758">
        <v>116582</v>
      </c>
      <c r="C62" s="759" t="s">
        <v>806</v>
      </c>
      <c r="D62" s="759"/>
      <c r="E62" s="759"/>
      <c r="F62" s="759" t="s">
        <v>779</v>
      </c>
      <c r="G62" s="760">
        <v>6.7279999999999998</v>
      </c>
      <c r="H62" s="760">
        <v>32240.576000000001</v>
      </c>
      <c r="I62" s="768" t="s">
        <v>782</v>
      </c>
      <c r="J62" s="760">
        <v>32240.576000000001</v>
      </c>
    </row>
    <row r="63" spans="1:10" s="757" customFormat="1" ht="25.5">
      <c r="A63" t="s">
        <v>777</v>
      </c>
      <c r="B63" s="758">
        <v>117503</v>
      </c>
      <c r="C63" s="759" t="s">
        <v>807</v>
      </c>
      <c r="D63" s="759"/>
      <c r="E63" s="759"/>
      <c r="F63" s="759" t="s">
        <v>779</v>
      </c>
      <c r="G63" s="760">
        <v>141.1</v>
      </c>
      <c r="H63" s="760">
        <v>326471</v>
      </c>
      <c r="I63" s="768" t="s">
        <v>780</v>
      </c>
      <c r="J63" s="760">
        <v>326471</v>
      </c>
    </row>
    <row r="64" spans="1:10" s="757" customFormat="1" ht="25.5">
      <c r="A64" t="s">
        <v>777</v>
      </c>
      <c r="B64" s="758">
        <v>117719</v>
      </c>
      <c r="C64" s="759" t="s">
        <v>808</v>
      </c>
      <c r="D64" s="759"/>
      <c r="E64" s="759"/>
      <c r="F64" s="759" t="s">
        <v>779</v>
      </c>
      <c r="G64" s="760">
        <v>84.5</v>
      </c>
      <c r="H64" s="760">
        <v>204035</v>
      </c>
      <c r="I64" s="768" t="s">
        <v>780</v>
      </c>
      <c r="J64" s="760">
        <v>204035</v>
      </c>
    </row>
    <row r="65" spans="1:10" s="757" customFormat="1" ht="25.5">
      <c r="A65" t="s">
        <v>777</v>
      </c>
      <c r="B65" s="758">
        <v>118393</v>
      </c>
      <c r="C65" s="759" t="s">
        <v>792</v>
      </c>
      <c r="D65" s="759"/>
      <c r="E65" s="759"/>
      <c r="F65" s="759" t="s">
        <v>779</v>
      </c>
      <c r="G65" s="760">
        <v>15.6</v>
      </c>
      <c r="H65" s="760">
        <v>116016</v>
      </c>
      <c r="I65" s="768" t="s">
        <v>782</v>
      </c>
      <c r="J65" s="760">
        <v>116016</v>
      </c>
    </row>
    <row r="66" spans="1:10" s="757" customFormat="1" ht="25.5">
      <c r="A66" t="s">
        <v>777</v>
      </c>
      <c r="B66" s="758">
        <v>118721</v>
      </c>
      <c r="C66" s="759" t="s">
        <v>809</v>
      </c>
      <c r="D66" s="759"/>
      <c r="E66" s="759"/>
      <c r="F66" s="759" t="s">
        <v>779</v>
      </c>
      <c r="G66" s="760">
        <v>4.9000000000000004</v>
      </c>
      <c r="H66" s="760">
        <v>24498</v>
      </c>
      <c r="I66" s="768" t="s">
        <v>782</v>
      </c>
      <c r="J66" s="760">
        <v>24498</v>
      </c>
    </row>
    <row r="67" spans="1:10" s="757" customFormat="1" ht="25.5">
      <c r="A67" t="s">
        <v>777</v>
      </c>
      <c r="B67" s="758">
        <v>120214</v>
      </c>
      <c r="C67" s="759" t="s">
        <v>810</v>
      </c>
      <c r="D67" s="759"/>
      <c r="E67" s="759"/>
      <c r="F67" s="759" t="s">
        <v>779</v>
      </c>
      <c r="G67" s="760">
        <v>34.299999999999997</v>
      </c>
      <c r="H67" s="760">
        <v>223922.6</v>
      </c>
      <c r="I67" s="768" t="s">
        <v>782</v>
      </c>
      <c r="J67" s="760">
        <v>223922.6</v>
      </c>
    </row>
    <row r="68" spans="1:10" s="757" customFormat="1" ht="25.5">
      <c r="A68" t="s">
        <v>777</v>
      </c>
      <c r="B68" s="758">
        <v>121937</v>
      </c>
      <c r="C68" s="759" t="s">
        <v>811</v>
      </c>
      <c r="D68" s="759"/>
      <c r="E68" s="759"/>
      <c r="F68" s="759" t="s">
        <v>779</v>
      </c>
      <c r="G68" s="760">
        <v>8.6</v>
      </c>
      <c r="H68" s="760">
        <v>28841</v>
      </c>
      <c r="I68" s="768" t="s">
        <v>780</v>
      </c>
      <c r="J68" s="760">
        <v>28841</v>
      </c>
    </row>
    <row r="69" spans="1:10" s="757" customFormat="1" ht="25.5">
      <c r="A69" t="s">
        <v>777</v>
      </c>
      <c r="B69" s="758">
        <v>122737</v>
      </c>
      <c r="C69" s="759" t="s">
        <v>812</v>
      </c>
      <c r="D69" s="759"/>
      <c r="E69" s="759"/>
      <c r="F69" s="759" t="s">
        <v>779</v>
      </c>
      <c r="G69" s="760">
        <v>16.228000000000002</v>
      </c>
      <c r="H69" s="760">
        <v>42095.432000000001</v>
      </c>
      <c r="I69" s="768" t="s">
        <v>780</v>
      </c>
      <c r="J69" s="760">
        <v>42095.432000000001</v>
      </c>
    </row>
    <row r="70" spans="1:10" customFormat="1" ht="15.75" thickBot="1">
      <c r="B70" s="761"/>
      <c r="F70" s="773" t="s">
        <v>26</v>
      </c>
      <c r="G70" s="774">
        <f>SUM(G61:G69)</f>
        <v>319.15800000000002</v>
      </c>
      <c r="H70" s="774">
        <f>SUM(H61:H69)</f>
        <v>1022595.608</v>
      </c>
      <c r="J70" s="774">
        <f>SUM(J61:J69)</f>
        <v>1022595.608</v>
      </c>
    </row>
    <row r="71" spans="1:10" customFormat="1">
      <c r="B71" s="761"/>
      <c r="G71" s="771"/>
      <c r="H71" s="771"/>
    </row>
    <row r="72" spans="1:10" customFormat="1">
      <c r="B72" s="761"/>
      <c r="G72" s="771"/>
      <c r="H72" s="771"/>
    </row>
    <row r="73" spans="1:10" customFormat="1" ht="15.75" customHeight="1">
      <c r="B73" s="761"/>
      <c r="F73" s="763" t="s">
        <v>776</v>
      </c>
      <c r="G73" s="763" t="s">
        <v>787</v>
      </c>
      <c r="H73" s="763" t="s">
        <v>788</v>
      </c>
    </row>
    <row r="74" spans="1:10" customFormat="1">
      <c r="B74" s="761"/>
      <c r="F74" s="764" t="s">
        <v>789</v>
      </c>
      <c r="G74" s="765">
        <f>SUMIF($I$62:$I$70,"GS&lt;50 KW",$H$62:$H$70)</f>
        <v>601442.43200000003</v>
      </c>
      <c r="H74" s="766">
        <f>G74/G76</f>
        <v>0.60257551016871724</v>
      </c>
    </row>
    <row r="75" spans="1:10" customFormat="1">
      <c r="B75" s="761"/>
      <c r="F75" s="764" t="s">
        <v>790</v>
      </c>
      <c r="G75" s="765">
        <f>SUMIF($I$62:$I$70,"GS&gt;50 KW",$H$62:$H$70)</f>
        <v>396677.17599999998</v>
      </c>
      <c r="H75" s="766">
        <f>G75/G76</f>
        <v>0.39742448983128281</v>
      </c>
    </row>
    <row r="76" spans="1:10" customFormat="1" ht="15.75" thickBot="1">
      <c r="B76" s="761"/>
      <c r="G76" s="767">
        <f>SUM(G74:G75)</f>
        <v>998119.60800000001</v>
      </c>
    </row>
    <row r="77" spans="1:10" customFormat="1" ht="15.75" thickTop="1">
      <c r="B77" s="761"/>
      <c r="G77" s="776"/>
    </row>
    <row r="78" spans="1:10" customFormat="1" ht="15.75" thickBot="1">
      <c r="B78" s="761"/>
      <c r="G78" s="776"/>
    </row>
    <row r="79" spans="1:10" customFormat="1" ht="15.75" thickBot="1">
      <c r="B79" s="756" t="s">
        <v>813</v>
      </c>
    </row>
    <row r="80" spans="1:10" customFormat="1" ht="45">
      <c r="B80" s="757" t="s">
        <v>769</v>
      </c>
      <c r="C80" s="757" t="s">
        <v>770</v>
      </c>
      <c r="D80" s="757" t="s">
        <v>771</v>
      </c>
      <c r="E80" s="757" t="s">
        <v>772</v>
      </c>
      <c r="F80" s="757" t="s">
        <v>773</v>
      </c>
      <c r="G80" s="757" t="s">
        <v>774</v>
      </c>
      <c r="H80" s="757" t="s">
        <v>775</v>
      </c>
      <c r="I80" s="757" t="s">
        <v>776</v>
      </c>
      <c r="J80" s="757"/>
    </row>
    <row r="81" spans="1:10" customFormat="1" ht="30">
      <c r="A81" t="s">
        <v>777</v>
      </c>
      <c r="B81" s="758">
        <v>125387</v>
      </c>
      <c r="C81" s="759" t="s">
        <v>814</v>
      </c>
      <c r="D81" s="759"/>
      <c r="E81" s="759"/>
      <c r="F81" s="759" t="s">
        <v>779</v>
      </c>
      <c r="G81" s="760">
        <v>2</v>
      </c>
      <c r="H81" s="760">
        <v>17301</v>
      </c>
      <c r="I81" s="777" t="s">
        <v>780</v>
      </c>
      <c r="J81" s="760">
        <v>17301</v>
      </c>
    </row>
    <row r="82" spans="1:10" customFormat="1" ht="30">
      <c r="A82" t="s">
        <v>777</v>
      </c>
      <c r="B82" s="758">
        <v>126153</v>
      </c>
      <c r="C82" s="759" t="s">
        <v>815</v>
      </c>
      <c r="D82" s="759"/>
      <c r="E82" s="759"/>
      <c r="F82" s="759" t="s">
        <v>779</v>
      </c>
      <c r="G82" s="760">
        <v>16.7</v>
      </c>
      <c r="H82" s="760">
        <v>77988</v>
      </c>
      <c r="I82" s="777" t="s">
        <v>782</v>
      </c>
      <c r="J82" s="760">
        <v>77988</v>
      </c>
    </row>
    <row r="83" spans="1:10" customFormat="1" ht="30">
      <c r="A83" t="s">
        <v>777</v>
      </c>
      <c r="B83" s="758">
        <v>126949</v>
      </c>
      <c r="C83" s="759" t="s">
        <v>816</v>
      </c>
      <c r="D83" s="759"/>
      <c r="E83" s="759"/>
      <c r="F83" s="759" t="s">
        <v>779</v>
      </c>
      <c r="G83" s="760">
        <v>9.1999999999999993</v>
      </c>
      <c r="H83" s="760">
        <v>132903</v>
      </c>
      <c r="I83" s="777" t="s">
        <v>780</v>
      </c>
      <c r="J83" s="760">
        <v>132903</v>
      </c>
    </row>
    <row r="84" spans="1:10" customFormat="1" ht="30">
      <c r="A84" t="s">
        <v>777</v>
      </c>
      <c r="B84" s="758">
        <v>127430</v>
      </c>
      <c r="C84" s="759" t="s">
        <v>817</v>
      </c>
      <c r="D84" s="759"/>
      <c r="E84" s="759"/>
      <c r="F84" s="759" t="s">
        <v>779</v>
      </c>
      <c r="G84" s="760">
        <v>1.3240000000000001</v>
      </c>
      <c r="H84" s="760">
        <v>6344.6080000000002</v>
      </c>
      <c r="I84" s="777" t="s">
        <v>780</v>
      </c>
      <c r="J84" s="760">
        <v>6344.6080000000002</v>
      </c>
    </row>
    <row r="85" spans="1:10" customFormat="1" ht="30">
      <c r="A85" t="s">
        <v>777</v>
      </c>
      <c r="B85" s="758">
        <v>128179</v>
      </c>
      <c r="C85" s="759" t="s">
        <v>818</v>
      </c>
      <c r="D85" s="759"/>
      <c r="E85" s="759"/>
      <c r="F85" s="759" t="s">
        <v>779</v>
      </c>
      <c r="G85" s="760">
        <v>10.032</v>
      </c>
      <c r="H85" s="760">
        <v>47690.892</v>
      </c>
      <c r="I85" s="777" t="s">
        <v>780</v>
      </c>
      <c r="J85" s="760">
        <v>47690.892</v>
      </c>
    </row>
    <row r="86" spans="1:10" customFormat="1" ht="30">
      <c r="A86" t="s">
        <v>777</v>
      </c>
      <c r="B86" s="758">
        <v>128302</v>
      </c>
      <c r="C86" s="759" t="s">
        <v>819</v>
      </c>
      <c r="D86" s="759"/>
      <c r="E86" s="759"/>
      <c r="F86" s="759" t="s">
        <v>779</v>
      </c>
      <c r="G86" s="760">
        <v>9.234</v>
      </c>
      <c r="H86" s="760">
        <v>44553.06</v>
      </c>
      <c r="I86" s="777" t="s">
        <v>780</v>
      </c>
      <c r="J86" s="760">
        <v>44553.06</v>
      </c>
    </row>
    <row r="87" spans="1:10" customFormat="1" ht="30">
      <c r="A87" t="s">
        <v>777</v>
      </c>
      <c r="B87" s="758">
        <v>128486</v>
      </c>
      <c r="C87" s="759" t="s">
        <v>810</v>
      </c>
      <c r="D87" s="759"/>
      <c r="E87" s="759"/>
      <c r="F87" s="759" t="s">
        <v>779</v>
      </c>
      <c r="G87" s="760">
        <v>55</v>
      </c>
      <c r="H87" s="760">
        <v>743084</v>
      </c>
      <c r="I87" s="777" t="s">
        <v>782</v>
      </c>
      <c r="J87" s="760">
        <v>743084</v>
      </c>
    </row>
    <row r="88" spans="1:10" customFormat="1" ht="30">
      <c r="A88" t="s">
        <v>777</v>
      </c>
      <c r="B88" s="758">
        <v>130926</v>
      </c>
      <c r="C88" s="759" t="s">
        <v>820</v>
      </c>
      <c r="D88" s="759"/>
      <c r="E88" s="759"/>
      <c r="F88" s="759" t="s">
        <v>779</v>
      </c>
      <c r="G88" s="760">
        <v>0.95699999999999996</v>
      </c>
      <c r="H88" s="760">
        <v>956.7</v>
      </c>
      <c r="I88" s="777" t="s">
        <v>780</v>
      </c>
      <c r="J88" s="760">
        <v>956.7</v>
      </c>
    </row>
    <row r="89" spans="1:10" customFormat="1" ht="30">
      <c r="A89" t="s">
        <v>777</v>
      </c>
      <c r="B89" s="758">
        <v>132287</v>
      </c>
      <c r="C89" s="759" t="s">
        <v>821</v>
      </c>
      <c r="D89" s="759"/>
      <c r="E89" s="759"/>
      <c r="F89" s="759" t="s">
        <v>779</v>
      </c>
      <c r="G89" s="760">
        <v>0.73599999999999999</v>
      </c>
      <c r="H89" s="760">
        <v>3532.8</v>
      </c>
      <c r="I89" s="777" t="s">
        <v>782</v>
      </c>
      <c r="J89" s="760">
        <v>3532.8</v>
      </c>
    </row>
    <row r="90" spans="1:10" customFormat="1" ht="30">
      <c r="A90" t="s">
        <v>777</v>
      </c>
      <c r="B90" s="758">
        <v>132288</v>
      </c>
      <c r="C90" s="759" t="s">
        <v>822</v>
      </c>
      <c r="D90" s="759"/>
      <c r="E90" s="759"/>
      <c r="F90" s="759" t="s">
        <v>779</v>
      </c>
      <c r="G90" s="760">
        <v>0.73599999999999999</v>
      </c>
      <c r="H90" s="760">
        <v>3532.8</v>
      </c>
      <c r="I90" s="777" t="s">
        <v>782</v>
      </c>
      <c r="J90" s="760">
        <v>3532.8</v>
      </c>
    </row>
    <row r="91" spans="1:10" customFormat="1" ht="30">
      <c r="A91" t="s">
        <v>777</v>
      </c>
      <c r="B91" s="758">
        <v>132543</v>
      </c>
      <c r="C91" s="759" t="s">
        <v>823</v>
      </c>
      <c r="D91" s="759"/>
      <c r="E91" s="759"/>
      <c r="F91" s="759" t="s">
        <v>779</v>
      </c>
      <c r="G91" s="760">
        <v>94.043999999999997</v>
      </c>
      <c r="H91" s="760">
        <v>269854.52799999999</v>
      </c>
      <c r="I91" s="777" t="s">
        <v>780</v>
      </c>
      <c r="J91" s="760">
        <v>269854.52799999999</v>
      </c>
    </row>
    <row r="92" spans="1:10" customFormat="1" ht="30">
      <c r="A92" t="s">
        <v>777</v>
      </c>
      <c r="B92" s="758">
        <v>132589</v>
      </c>
      <c r="C92" s="759" t="s">
        <v>824</v>
      </c>
      <c r="D92" s="759"/>
      <c r="E92" s="759"/>
      <c r="F92" s="759" t="s">
        <v>779</v>
      </c>
      <c r="G92" s="760">
        <v>5.3959999999999999</v>
      </c>
      <c r="H92" s="760">
        <v>14085.42</v>
      </c>
      <c r="I92" s="777" t="s">
        <v>782</v>
      </c>
      <c r="J92" s="760">
        <v>14085.42</v>
      </c>
    </row>
    <row r="93" spans="1:10" customFormat="1" ht="30">
      <c r="A93" t="s">
        <v>777</v>
      </c>
      <c r="B93" s="758">
        <v>132604</v>
      </c>
      <c r="C93" s="759" t="s">
        <v>825</v>
      </c>
      <c r="D93" s="759"/>
      <c r="E93" s="759"/>
      <c r="F93" s="759" t="s">
        <v>779</v>
      </c>
      <c r="G93" s="760">
        <v>5.3780000000000001</v>
      </c>
      <c r="H93" s="760">
        <v>13711.884</v>
      </c>
      <c r="I93" s="777" t="s">
        <v>782</v>
      </c>
      <c r="J93" s="760">
        <v>13711.884</v>
      </c>
    </row>
    <row r="94" spans="1:10" customFormat="1" ht="30">
      <c r="A94" t="s">
        <v>777</v>
      </c>
      <c r="B94" s="758">
        <v>133297</v>
      </c>
      <c r="C94" s="759" t="s">
        <v>826</v>
      </c>
      <c r="D94" s="759"/>
      <c r="E94" s="759"/>
      <c r="F94" s="759" t="s">
        <v>779</v>
      </c>
      <c r="G94" s="760">
        <v>218.7</v>
      </c>
      <c r="H94" s="760">
        <v>1101254.196</v>
      </c>
      <c r="I94" s="777" t="s">
        <v>782</v>
      </c>
      <c r="J94" s="760">
        <v>1101254.196</v>
      </c>
    </row>
    <row r="95" spans="1:10" customFormat="1" ht="30">
      <c r="A95" t="s">
        <v>777</v>
      </c>
      <c r="B95" s="758">
        <v>133773</v>
      </c>
      <c r="C95" s="759" t="s">
        <v>827</v>
      </c>
      <c r="D95" s="759"/>
      <c r="E95" s="759"/>
      <c r="F95" s="759" t="s">
        <v>779</v>
      </c>
      <c r="G95" s="760">
        <v>2.7</v>
      </c>
      <c r="H95" s="760">
        <v>23308</v>
      </c>
      <c r="I95" s="777" t="s">
        <v>780</v>
      </c>
      <c r="J95" s="760">
        <v>23308</v>
      </c>
    </row>
    <row r="96" spans="1:10" customFormat="1" ht="30">
      <c r="A96" t="s">
        <v>777</v>
      </c>
      <c r="B96" s="758">
        <v>133778</v>
      </c>
      <c r="C96" s="759" t="s">
        <v>828</v>
      </c>
      <c r="D96" s="759"/>
      <c r="E96" s="759"/>
      <c r="F96" s="759" t="s">
        <v>779</v>
      </c>
      <c r="G96" s="760">
        <v>3.5139999999999998</v>
      </c>
      <c r="H96" s="760">
        <v>29369.200000000001</v>
      </c>
      <c r="I96" s="777" t="s">
        <v>780</v>
      </c>
      <c r="J96" s="760">
        <v>29369.200000000001</v>
      </c>
    </row>
    <row r="97" spans="1:10" customFormat="1" ht="30">
      <c r="A97" t="s">
        <v>777</v>
      </c>
      <c r="B97" s="758">
        <v>133780</v>
      </c>
      <c r="C97" s="759" t="s">
        <v>829</v>
      </c>
      <c r="D97" s="759"/>
      <c r="E97" s="759"/>
      <c r="F97" s="759" t="s">
        <v>779</v>
      </c>
      <c r="G97" s="760">
        <v>1.552</v>
      </c>
      <c r="H97" s="760">
        <v>12596.4</v>
      </c>
      <c r="I97" s="777" t="s">
        <v>780</v>
      </c>
      <c r="J97" s="760">
        <v>12596.4</v>
      </c>
    </row>
    <row r="98" spans="1:10" customFormat="1" ht="30">
      <c r="A98" t="s">
        <v>777</v>
      </c>
      <c r="B98" s="758">
        <v>133737</v>
      </c>
      <c r="C98" s="759" t="s">
        <v>830</v>
      </c>
      <c r="D98" s="759"/>
      <c r="E98" s="759"/>
      <c r="F98" s="759" t="s">
        <v>779</v>
      </c>
      <c r="G98" s="760">
        <v>18</v>
      </c>
      <c r="H98" s="760">
        <v>152520</v>
      </c>
      <c r="I98" s="777" t="s">
        <v>780</v>
      </c>
      <c r="J98" s="760">
        <v>152520</v>
      </c>
    </row>
    <row r="99" spans="1:10" customFormat="1" ht="30">
      <c r="A99" t="s">
        <v>777</v>
      </c>
      <c r="B99" s="758">
        <v>135482</v>
      </c>
      <c r="C99" s="759" t="s">
        <v>831</v>
      </c>
      <c r="D99" s="759"/>
      <c r="E99" s="759"/>
      <c r="F99" s="759" t="s">
        <v>779</v>
      </c>
      <c r="G99" s="760">
        <v>39</v>
      </c>
      <c r="H99" s="760">
        <v>331208</v>
      </c>
      <c r="I99" s="777" t="s">
        <v>782</v>
      </c>
      <c r="J99" s="760">
        <v>331208</v>
      </c>
    </row>
    <row r="100" spans="1:10" customFormat="1" ht="30">
      <c r="A100" t="s">
        <v>777</v>
      </c>
      <c r="B100" s="758">
        <v>135486</v>
      </c>
      <c r="C100" s="759" t="s">
        <v>831</v>
      </c>
      <c r="D100" s="759"/>
      <c r="E100" s="759"/>
      <c r="F100" s="759" t="s">
        <v>779</v>
      </c>
      <c r="G100" s="760">
        <v>25</v>
      </c>
      <c r="H100" s="760">
        <v>212421</v>
      </c>
      <c r="I100" s="777" t="s">
        <v>782</v>
      </c>
      <c r="J100" s="760">
        <v>212421</v>
      </c>
    </row>
    <row r="101" spans="1:10" customFormat="1" ht="30">
      <c r="A101" t="s">
        <v>777</v>
      </c>
      <c r="B101" s="758">
        <v>135487</v>
      </c>
      <c r="C101" s="759" t="s">
        <v>831</v>
      </c>
      <c r="D101" s="759"/>
      <c r="E101" s="759"/>
      <c r="F101" s="759" t="s">
        <v>779</v>
      </c>
      <c r="G101" s="760">
        <v>11.8</v>
      </c>
      <c r="H101" s="760">
        <v>99955</v>
      </c>
      <c r="I101" s="777" t="s">
        <v>782</v>
      </c>
      <c r="J101" s="760">
        <v>99955</v>
      </c>
    </row>
    <row r="102" spans="1:10" customFormat="1" ht="30">
      <c r="A102" t="s">
        <v>777</v>
      </c>
      <c r="B102" s="758">
        <v>135490</v>
      </c>
      <c r="C102" s="759" t="s">
        <v>831</v>
      </c>
      <c r="D102" s="759"/>
      <c r="E102" s="759"/>
      <c r="F102" s="759" t="s">
        <v>779</v>
      </c>
      <c r="G102" s="760">
        <v>25</v>
      </c>
      <c r="H102" s="760">
        <v>212421</v>
      </c>
      <c r="I102" s="777" t="s">
        <v>782</v>
      </c>
      <c r="J102" s="760">
        <v>212421</v>
      </c>
    </row>
    <row r="103" spans="1:10" customFormat="1" ht="30">
      <c r="A103" t="s">
        <v>777</v>
      </c>
      <c r="B103" s="758">
        <v>135920</v>
      </c>
      <c r="C103" s="759" t="s">
        <v>832</v>
      </c>
      <c r="D103" s="759"/>
      <c r="E103" s="759"/>
      <c r="F103" s="759" t="s">
        <v>779</v>
      </c>
      <c r="G103" s="760">
        <v>41.4</v>
      </c>
      <c r="H103" s="760">
        <v>351395</v>
      </c>
      <c r="I103" s="777" t="s">
        <v>782</v>
      </c>
      <c r="J103" s="760">
        <v>351395</v>
      </c>
    </row>
    <row r="104" spans="1:10" customFormat="1" ht="30">
      <c r="A104" t="s">
        <v>777</v>
      </c>
      <c r="B104" s="758">
        <v>136123</v>
      </c>
      <c r="C104" s="759" t="s">
        <v>831</v>
      </c>
      <c r="D104" s="759"/>
      <c r="E104" s="759"/>
      <c r="F104" s="759" t="s">
        <v>779</v>
      </c>
      <c r="G104" s="760">
        <v>17.2</v>
      </c>
      <c r="H104" s="760">
        <v>145749</v>
      </c>
      <c r="I104" s="777" t="s">
        <v>782</v>
      </c>
      <c r="J104" s="760">
        <v>145749</v>
      </c>
    </row>
    <row r="105" spans="1:10" customFormat="1" ht="30">
      <c r="A105" t="s">
        <v>777</v>
      </c>
      <c r="B105" s="758">
        <v>136174</v>
      </c>
      <c r="C105" s="759" t="s">
        <v>831</v>
      </c>
      <c r="D105" s="759"/>
      <c r="E105" s="759"/>
      <c r="F105" s="759" t="s">
        <v>779</v>
      </c>
      <c r="G105" s="760">
        <v>13.7</v>
      </c>
      <c r="H105" s="760">
        <v>116765</v>
      </c>
      <c r="I105" s="777" t="s">
        <v>782</v>
      </c>
      <c r="J105" s="760">
        <v>116765</v>
      </c>
    </row>
    <row r="106" spans="1:10" customFormat="1" ht="30">
      <c r="A106" t="s">
        <v>777</v>
      </c>
      <c r="B106" s="758">
        <v>136474</v>
      </c>
      <c r="C106" s="759" t="s">
        <v>833</v>
      </c>
      <c r="D106" s="759"/>
      <c r="E106" s="759"/>
      <c r="F106" s="759" t="s">
        <v>779</v>
      </c>
      <c r="G106" s="760">
        <v>10.5</v>
      </c>
      <c r="H106" s="760">
        <v>89386</v>
      </c>
      <c r="I106" s="777" t="s">
        <v>780</v>
      </c>
      <c r="J106" s="760">
        <v>89386</v>
      </c>
    </row>
    <row r="107" spans="1:10" customFormat="1" ht="30">
      <c r="A107" t="s">
        <v>777</v>
      </c>
      <c r="B107" s="758">
        <v>136784</v>
      </c>
      <c r="C107" s="759" t="s">
        <v>834</v>
      </c>
      <c r="D107" s="759"/>
      <c r="E107" s="759"/>
      <c r="F107" s="759" t="s">
        <v>779</v>
      </c>
      <c r="G107" s="760">
        <v>1.7</v>
      </c>
      <c r="H107" s="760">
        <v>5566</v>
      </c>
      <c r="I107" s="777" t="s">
        <v>780</v>
      </c>
      <c r="J107" s="760">
        <v>5566</v>
      </c>
    </row>
    <row r="108" spans="1:10" customFormat="1" ht="30">
      <c r="A108" t="s">
        <v>777</v>
      </c>
      <c r="B108" s="758">
        <v>137662</v>
      </c>
      <c r="C108" s="759" t="s">
        <v>835</v>
      </c>
      <c r="D108" s="759"/>
      <c r="E108" s="759"/>
      <c r="F108" s="759" t="s">
        <v>779</v>
      </c>
      <c r="G108" s="760">
        <v>18.298400000000001</v>
      </c>
      <c r="H108" s="760">
        <v>49606.375599999999</v>
      </c>
      <c r="I108" s="777" t="s">
        <v>780</v>
      </c>
      <c r="J108" s="760">
        <v>49606.375599999999</v>
      </c>
    </row>
    <row r="109" spans="1:10" customFormat="1" ht="15.75" thickBot="1">
      <c r="B109" s="761"/>
      <c r="F109" s="773" t="s">
        <v>26</v>
      </c>
      <c r="G109" s="774">
        <f>SUM(G81:G108)</f>
        <v>658.80140000000006</v>
      </c>
      <c r="H109" s="774">
        <f>SUM(H81:H108)</f>
        <v>4309058.8635999998</v>
      </c>
      <c r="J109" s="774">
        <f>SUM(J81:J108)</f>
        <v>4309058.8635999998</v>
      </c>
    </row>
    <row r="110" spans="1:10" customFormat="1">
      <c r="B110" s="761"/>
      <c r="G110" s="771"/>
      <c r="H110" s="771"/>
    </row>
    <row r="111" spans="1:10" customFormat="1">
      <c r="B111" s="761"/>
      <c r="G111" s="771"/>
      <c r="H111" s="771"/>
    </row>
    <row r="112" spans="1:10" customFormat="1">
      <c r="B112" s="761"/>
      <c r="F112" s="763" t="s">
        <v>776</v>
      </c>
      <c r="G112" s="763" t="s">
        <v>787</v>
      </c>
      <c r="H112" s="763" t="s">
        <v>788</v>
      </c>
    </row>
    <row r="113" spans="1:160" customFormat="1">
      <c r="B113" s="761"/>
      <c r="F113" s="764" t="s">
        <v>789</v>
      </c>
      <c r="G113" s="765">
        <f>SUMIF($I$82:$I$109,"GS&lt;50 KW",$H$82:$H$109)</f>
        <v>864654.76359999995</v>
      </c>
      <c r="H113" s="766">
        <f>G113/G115</f>
        <v>0.20146867346209341</v>
      </c>
    </row>
    <row r="114" spans="1:160" customFormat="1">
      <c r="B114" s="761"/>
      <c r="F114" s="764" t="s">
        <v>790</v>
      </c>
      <c r="G114" s="765">
        <f>SUMIF($I$82:$I$109,"GS&gt;50 KW",$H$82:$H$109)</f>
        <v>3427103.1</v>
      </c>
      <c r="H114" s="766">
        <f>G114/G115</f>
        <v>0.7985313265379067</v>
      </c>
    </row>
    <row r="115" spans="1:160" customFormat="1" ht="15.75" thickBot="1">
      <c r="B115" s="761"/>
      <c r="G115" s="767">
        <f>SUM(G113:G114)</f>
        <v>4291757.8635999998</v>
      </c>
    </row>
    <row r="116" spans="1:160" customFormat="1" ht="15.75" thickTop="1">
      <c r="A116" s="778"/>
      <c r="B116" s="761"/>
      <c r="G116" s="776"/>
    </row>
    <row r="117" spans="1:160" customFormat="1">
      <c r="A117" s="778" t="s">
        <v>836</v>
      </c>
      <c r="B117" s="761"/>
    </row>
    <row r="118" spans="1:160" customFormat="1" ht="72.599999999999994" customHeight="1">
      <c r="A118" s="779" t="s">
        <v>837</v>
      </c>
      <c r="B118" s="779" t="s">
        <v>838</v>
      </c>
      <c r="C118" s="779" t="s">
        <v>770</v>
      </c>
      <c r="D118" s="779" t="s">
        <v>839</v>
      </c>
      <c r="E118" s="779" t="s">
        <v>840</v>
      </c>
      <c r="F118" s="780" t="s">
        <v>841</v>
      </c>
      <c r="G118" s="780" t="s">
        <v>842</v>
      </c>
      <c r="H118" s="780" t="s">
        <v>843</v>
      </c>
      <c r="I118" s="781" t="s">
        <v>844</v>
      </c>
      <c r="J118" s="780" t="s">
        <v>845</v>
      </c>
      <c r="K118" s="780" t="s">
        <v>472</v>
      </c>
      <c r="L118" s="780" t="s">
        <v>211</v>
      </c>
      <c r="M118" s="780" t="s">
        <v>473</v>
      </c>
      <c r="N118" s="782" t="s">
        <v>846</v>
      </c>
      <c r="O118" s="782" t="s">
        <v>847</v>
      </c>
      <c r="P118" s="780" t="s">
        <v>848</v>
      </c>
      <c r="Q118" s="780" t="s">
        <v>849</v>
      </c>
      <c r="R118" s="783" t="s">
        <v>850</v>
      </c>
      <c r="S118" s="783" t="s">
        <v>851</v>
      </c>
      <c r="T118" s="780" t="s">
        <v>852</v>
      </c>
      <c r="U118" s="780" t="s">
        <v>853</v>
      </c>
      <c r="V118" s="780" t="s">
        <v>854</v>
      </c>
      <c r="W118" s="784" t="s">
        <v>855</v>
      </c>
      <c r="X118" s="784" t="s">
        <v>856</v>
      </c>
      <c r="Y118" s="780" t="s">
        <v>857</v>
      </c>
      <c r="Z118" s="780" t="s">
        <v>854</v>
      </c>
      <c r="AA118" s="780" t="s">
        <v>855</v>
      </c>
      <c r="AB118" s="780" t="s">
        <v>856</v>
      </c>
      <c r="AC118" s="780" t="s">
        <v>858</v>
      </c>
      <c r="AD118" s="780" t="s">
        <v>859</v>
      </c>
      <c r="AE118" s="783" t="s">
        <v>860</v>
      </c>
      <c r="AF118" s="783" t="s">
        <v>861</v>
      </c>
      <c r="AG118" s="783" t="s">
        <v>862</v>
      </c>
      <c r="AH118" s="783" t="s">
        <v>863</v>
      </c>
      <c r="AI118" s="785" t="s">
        <v>864</v>
      </c>
      <c r="AJ118" s="786" t="s">
        <v>865</v>
      </c>
      <c r="AK118" s="787" t="s">
        <v>866</v>
      </c>
      <c r="AL118" s="787" t="s">
        <v>867</v>
      </c>
      <c r="AM118" s="787" t="s">
        <v>868</v>
      </c>
      <c r="AN118" s="787" t="s">
        <v>869</v>
      </c>
      <c r="AO118" s="787" t="s">
        <v>870</v>
      </c>
      <c r="AP118" s="787" t="s">
        <v>871</v>
      </c>
      <c r="AQ118" s="787" t="s">
        <v>872</v>
      </c>
      <c r="AR118" s="787" t="s">
        <v>873</v>
      </c>
      <c r="AS118" s="787" t="s">
        <v>874</v>
      </c>
      <c r="AT118" s="787" t="s">
        <v>875</v>
      </c>
      <c r="AU118" s="787" t="s">
        <v>876</v>
      </c>
      <c r="AV118" s="787" t="s">
        <v>877</v>
      </c>
      <c r="AW118" s="787" t="s">
        <v>878</v>
      </c>
      <c r="AX118" s="787" t="s">
        <v>879</v>
      </c>
      <c r="AY118" s="787" t="s">
        <v>880</v>
      </c>
      <c r="AZ118" s="787" t="s">
        <v>881</v>
      </c>
      <c r="BA118" s="787" t="s">
        <v>882</v>
      </c>
      <c r="BB118" s="787" t="s">
        <v>883</v>
      </c>
      <c r="BC118" s="787" t="s">
        <v>884</v>
      </c>
      <c r="BD118" s="787" t="s">
        <v>885</v>
      </c>
      <c r="BE118" s="787" t="s">
        <v>886</v>
      </c>
      <c r="BF118" s="787" t="s">
        <v>887</v>
      </c>
      <c r="BG118" s="787" t="s">
        <v>888</v>
      </c>
      <c r="BH118" s="787" t="s">
        <v>889</v>
      </c>
      <c r="BI118" s="787" t="s">
        <v>890</v>
      </c>
      <c r="BJ118" s="787" t="s">
        <v>891</v>
      </c>
      <c r="BK118" s="787" t="s">
        <v>892</v>
      </c>
      <c r="BL118" s="787" t="s">
        <v>893</v>
      </c>
      <c r="BM118" s="788" t="s">
        <v>894</v>
      </c>
      <c r="BN118" s="789" t="s">
        <v>895</v>
      </c>
      <c r="BO118" s="780" t="s">
        <v>896</v>
      </c>
      <c r="BP118" s="780" t="s">
        <v>897</v>
      </c>
      <c r="BQ118" s="780" t="s">
        <v>898</v>
      </c>
      <c r="BR118" s="780" t="s">
        <v>899</v>
      </c>
      <c r="BS118" s="780" t="s">
        <v>900</v>
      </c>
      <c r="BT118" s="780" t="s">
        <v>901</v>
      </c>
      <c r="BU118" s="780" t="s">
        <v>902</v>
      </c>
      <c r="BV118" s="780" t="s">
        <v>903</v>
      </c>
      <c r="BW118" s="780" t="s">
        <v>904</v>
      </c>
      <c r="BX118" s="780" t="s">
        <v>905</v>
      </c>
      <c r="BY118" s="780" t="s">
        <v>906</v>
      </c>
      <c r="BZ118" s="780" t="s">
        <v>907</v>
      </c>
      <c r="CA118" s="780" t="s">
        <v>908</v>
      </c>
      <c r="CB118" s="780" t="s">
        <v>909</v>
      </c>
      <c r="CC118" s="780" t="s">
        <v>910</v>
      </c>
      <c r="CD118" s="780" t="s">
        <v>911</v>
      </c>
      <c r="CE118" s="780" t="s">
        <v>912</v>
      </c>
      <c r="CF118" s="780" t="s">
        <v>913</v>
      </c>
      <c r="CG118" s="780" t="s">
        <v>914</v>
      </c>
      <c r="CH118" s="780" t="s">
        <v>915</v>
      </c>
      <c r="CI118" s="780" t="s">
        <v>916</v>
      </c>
      <c r="CJ118" s="780" t="s">
        <v>917</v>
      </c>
      <c r="CK118" s="780" t="s">
        <v>918</v>
      </c>
      <c r="CL118" s="780" t="s">
        <v>919</v>
      </c>
      <c r="CM118" s="780" t="s">
        <v>920</v>
      </c>
      <c r="CN118" s="780" t="s">
        <v>921</v>
      </c>
      <c r="CO118" s="780" t="s">
        <v>922</v>
      </c>
      <c r="CP118" s="780" t="s">
        <v>923</v>
      </c>
      <c r="CQ118" s="790" t="s">
        <v>924</v>
      </c>
      <c r="CR118" s="791" t="s">
        <v>925</v>
      </c>
      <c r="CS118" s="787" t="s">
        <v>926</v>
      </c>
      <c r="CT118" s="787" t="s">
        <v>927</v>
      </c>
      <c r="CU118" s="787" t="s">
        <v>928</v>
      </c>
      <c r="CV118" s="787" t="s">
        <v>929</v>
      </c>
      <c r="CW118" s="787" t="s">
        <v>930</v>
      </c>
      <c r="CX118" s="787" t="s">
        <v>931</v>
      </c>
      <c r="CY118" s="787" t="s">
        <v>932</v>
      </c>
      <c r="CZ118" s="787" t="s">
        <v>933</v>
      </c>
      <c r="DA118" s="787" t="s">
        <v>934</v>
      </c>
      <c r="DB118" s="787" t="s">
        <v>935</v>
      </c>
      <c r="DC118" s="787" t="s">
        <v>936</v>
      </c>
      <c r="DD118" s="787" t="s">
        <v>937</v>
      </c>
      <c r="DE118" s="787" t="s">
        <v>938</v>
      </c>
      <c r="DF118" s="787" t="s">
        <v>939</v>
      </c>
      <c r="DG118" s="787" t="s">
        <v>940</v>
      </c>
      <c r="DH118" s="787" t="s">
        <v>941</v>
      </c>
      <c r="DI118" s="787" t="s">
        <v>942</v>
      </c>
      <c r="DJ118" s="787" t="s">
        <v>943</v>
      </c>
      <c r="DK118" s="787" t="s">
        <v>944</v>
      </c>
      <c r="DL118" s="787" t="s">
        <v>945</v>
      </c>
      <c r="DM118" s="787" t="s">
        <v>946</v>
      </c>
      <c r="DN118" s="787" t="s">
        <v>947</v>
      </c>
      <c r="DO118" s="787" t="s">
        <v>948</v>
      </c>
      <c r="DP118" s="787" t="s">
        <v>949</v>
      </c>
      <c r="DQ118" s="787" t="s">
        <v>950</v>
      </c>
      <c r="DR118" s="787" t="s">
        <v>951</v>
      </c>
      <c r="DS118" s="787" t="s">
        <v>952</v>
      </c>
      <c r="DT118" s="787" t="s">
        <v>953</v>
      </c>
      <c r="DU118" s="792" t="s">
        <v>954</v>
      </c>
      <c r="DV118" s="793" t="s">
        <v>955</v>
      </c>
      <c r="DW118" s="780" t="s">
        <v>956</v>
      </c>
      <c r="DX118" s="780" t="s">
        <v>957</v>
      </c>
      <c r="DY118" s="780" t="s">
        <v>958</v>
      </c>
      <c r="DZ118" s="780" t="s">
        <v>959</v>
      </c>
      <c r="EA118" s="780" t="s">
        <v>960</v>
      </c>
      <c r="EB118" s="780" t="s">
        <v>961</v>
      </c>
      <c r="EC118" s="780" t="s">
        <v>962</v>
      </c>
      <c r="ED118" s="780" t="s">
        <v>963</v>
      </c>
      <c r="EE118" s="780" t="s">
        <v>964</v>
      </c>
      <c r="EF118" s="780" t="s">
        <v>965</v>
      </c>
      <c r="EG118" s="780" t="s">
        <v>966</v>
      </c>
      <c r="EH118" s="780" t="s">
        <v>967</v>
      </c>
      <c r="EI118" s="780" t="s">
        <v>968</v>
      </c>
      <c r="EJ118" s="780" t="s">
        <v>969</v>
      </c>
      <c r="EK118" s="780" t="s">
        <v>970</v>
      </c>
      <c r="EL118" s="780" t="s">
        <v>971</v>
      </c>
      <c r="EM118" s="780" t="s">
        <v>972</v>
      </c>
      <c r="EN118" s="780" t="s">
        <v>973</v>
      </c>
      <c r="EO118" s="780" t="s">
        <v>974</v>
      </c>
      <c r="EP118" s="780" t="s">
        <v>975</v>
      </c>
      <c r="EQ118" s="780" t="s">
        <v>976</v>
      </c>
      <c r="ER118" s="780" t="s">
        <v>977</v>
      </c>
      <c r="ES118" s="780" t="s">
        <v>978</v>
      </c>
      <c r="ET118" s="780" t="s">
        <v>979</v>
      </c>
      <c r="EU118" s="780" t="s">
        <v>980</v>
      </c>
      <c r="EV118" s="780" t="s">
        <v>981</v>
      </c>
      <c r="EW118" s="780" t="s">
        <v>982</v>
      </c>
      <c r="EX118" s="780" t="s">
        <v>983</v>
      </c>
      <c r="EY118" s="780" t="s">
        <v>984</v>
      </c>
      <c r="EZ118" s="794" t="s">
        <v>985</v>
      </c>
      <c r="FA118" s="795" t="s">
        <v>986</v>
      </c>
      <c r="FB118" s="796" t="s">
        <v>987</v>
      </c>
      <c r="FC118" s="761"/>
      <c r="FD118" s="761"/>
    </row>
    <row r="119" spans="1:160" s="816" customFormat="1">
      <c r="A119" s="797">
        <v>132604</v>
      </c>
      <c r="B119" s="798" t="s">
        <v>988</v>
      </c>
      <c r="C119" s="799" t="s">
        <v>989</v>
      </c>
      <c r="D119" s="799"/>
      <c r="E119" s="798" t="s">
        <v>990</v>
      </c>
      <c r="F119" s="800" t="s">
        <v>991</v>
      </c>
      <c r="G119" s="800">
        <v>2015</v>
      </c>
      <c r="H119" s="800" t="s">
        <v>992</v>
      </c>
      <c r="I119" s="801">
        <v>42108</v>
      </c>
      <c r="J119" s="802">
        <v>2015</v>
      </c>
      <c r="K119" s="803"/>
      <c r="L119" s="803" t="s">
        <v>993</v>
      </c>
      <c r="M119" s="803" t="s">
        <v>22</v>
      </c>
      <c r="N119" s="804">
        <v>1.6466464138733912</v>
      </c>
      <c r="O119" s="804">
        <v>5203.4399251068226</v>
      </c>
      <c r="P119" s="805">
        <v>130513.55018638236</v>
      </c>
      <c r="Q119" s="805">
        <v>104068.79850213646</v>
      </c>
      <c r="R119" s="805">
        <v>5203.4399251068226</v>
      </c>
      <c r="S119" s="806">
        <v>1.6466464138733912</v>
      </c>
      <c r="T119" s="807">
        <v>1.1043377452592222</v>
      </c>
      <c r="U119" s="807">
        <v>0.91104245203638656</v>
      </c>
      <c r="V119" s="808"/>
      <c r="W119" s="808"/>
      <c r="X119" s="808"/>
      <c r="Y119" s="809">
        <v>0.79737926332950881</v>
      </c>
      <c r="Z119" s="808"/>
      <c r="AA119" s="808"/>
      <c r="AB119" s="808"/>
      <c r="AC119" s="809">
        <v>0.79342890606602867</v>
      </c>
      <c r="AD119" s="808"/>
      <c r="AE119" s="810"/>
      <c r="AF119" s="808"/>
      <c r="AG119" s="811">
        <v>41.618073633320932</v>
      </c>
      <c r="AH119" s="812">
        <v>2788.4109334325026</v>
      </c>
      <c r="AI119" s="808"/>
      <c r="AJ119" s="808"/>
      <c r="AK119" s="808"/>
      <c r="AL119" s="808"/>
      <c r="AM119" s="813">
        <v>0</v>
      </c>
      <c r="AN119" s="813">
        <v>2.0753547057388886</v>
      </c>
      <c r="AO119" s="813">
        <v>2.0753547057388886</v>
      </c>
      <c r="AP119" s="813">
        <v>2.0753547057388886</v>
      </c>
      <c r="AQ119" s="813">
        <v>2.0753547057388886</v>
      </c>
      <c r="AR119" s="813">
        <v>2.0753547057388886</v>
      </c>
      <c r="AS119" s="813">
        <v>2.0753547057388886</v>
      </c>
      <c r="AT119" s="813">
        <v>2.0753547057388886</v>
      </c>
      <c r="AU119" s="813">
        <v>2.0753547057388886</v>
      </c>
      <c r="AV119" s="813">
        <v>2.0753547057388886</v>
      </c>
      <c r="AW119" s="813">
        <v>2.0753547057388886</v>
      </c>
      <c r="AX119" s="813">
        <v>2.0753547057388886</v>
      </c>
      <c r="AY119" s="813">
        <v>2.0753547057388886</v>
      </c>
      <c r="AZ119" s="813">
        <v>2.0753547057388886</v>
      </c>
      <c r="BA119" s="813">
        <v>2.0753547057388886</v>
      </c>
      <c r="BB119" s="813">
        <v>2.0753547057388886</v>
      </c>
      <c r="BC119" s="813">
        <v>2.0753547057388886</v>
      </c>
      <c r="BD119" s="813">
        <v>2.0753547057388886</v>
      </c>
      <c r="BE119" s="813">
        <v>2.0753547057388886</v>
      </c>
      <c r="BF119" s="813">
        <v>2.0753547057388886</v>
      </c>
      <c r="BG119" s="813">
        <v>2.0753547057388886</v>
      </c>
      <c r="BH119" s="813">
        <v>0</v>
      </c>
      <c r="BI119" s="813">
        <v>0</v>
      </c>
      <c r="BJ119" s="813">
        <v>0</v>
      </c>
      <c r="BK119" s="813">
        <v>0</v>
      </c>
      <c r="BL119" s="813">
        <v>0</v>
      </c>
      <c r="BM119" s="813">
        <v>0</v>
      </c>
      <c r="BN119" s="808"/>
      <c r="BO119" s="808"/>
      <c r="BP119" s="808"/>
      <c r="BQ119" s="813">
        <v>0</v>
      </c>
      <c r="BR119" s="813">
        <v>1.6466464138733912</v>
      </c>
      <c r="BS119" s="813">
        <v>1.6466464138733912</v>
      </c>
      <c r="BT119" s="813">
        <v>1.6466464138733912</v>
      </c>
      <c r="BU119" s="813">
        <v>1.6466464138733912</v>
      </c>
      <c r="BV119" s="813">
        <v>1.6466464138733912</v>
      </c>
      <c r="BW119" s="813">
        <v>1.6466464138733912</v>
      </c>
      <c r="BX119" s="813">
        <v>1.6466464138733912</v>
      </c>
      <c r="BY119" s="813">
        <v>1.6466464138733912</v>
      </c>
      <c r="BZ119" s="813">
        <v>1.6466464138733912</v>
      </c>
      <c r="CA119" s="813">
        <v>1.6466464138733912</v>
      </c>
      <c r="CB119" s="813">
        <v>1.6466464138733912</v>
      </c>
      <c r="CC119" s="813">
        <v>1.6466464138733912</v>
      </c>
      <c r="CD119" s="813">
        <v>1.6466464138733912</v>
      </c>
      <c r="CE119" s="813">
        <v>1.6466464138733912</v>
      </c>
      <c r="CF119" s="813">
        <v>1.6466464138733912</v>
      </c>
      <c r="CG119" s="813">
        <v>1.6466464138733912</v>
      </c>
      <c r="CH119" s="813">
        <v>1.6466464138733912</v>
      </c>
      <c r="CI119" s="813">
        <v>1.6466464138733912</v>
      </c>
      <c r="CJ119" s="813">
        <v>1.6466464138733912</v>
      </c>
      <c r="CK119" s="813">
        <v>1.6466464138733912</v>
      </c>
      <c r="CL119" s="813">
        <v>0</v>
      </c>
      <c r="CM119" s="813">
        <v>0</v>
      </c>
      <c r="CN119" s="813">
        <v>0</v>
      </c>
      <c r="CO119" s="813">
        <v>0</v>
      </c>
      <c r="CP119" s="813">
        <v>0</v>
      </c>
      <c r="CQ119" s="813">
        <v>0</v>
      </c>
      <c r="CR119" s="808"/>
      <c r="CS119" s="808"/>
      <c r="CT119" s="808"/>
      <c r="CU119" s="814">
        <v>0</v>
      </c>
      <c r="CV119" s="814">
        <v>6525.6775093191181</v>
      </c>
      <c r="CW119" s="814">
        <v>6525.6775093191181</v>
      </c>
      <c r="CX119" s="814">
        <v>6525.6775093191181</v>
      </c>
      <c r="CY119" s="814">
        <v>6525.6775093191181</v>
      </c>
      <c r="CZ119" s="814">
        <v>6525.6775093191181</v>
      </c>
      <c r="DA119" s="814">
        <v>6525.6775093191181</v>
      </c>
      <c r="DB119" s="814">
        <v>6525.6775093191181</v>
      </c>
      <c r="DC119" s="814">
        <v>6525.6775093191181</v>
      </c>
      <c r="DD119" s="814">
        <v>6525.6775093191181</v>
      </c>
      <c r="DE119" s="814">
        <v>6525.6775093191181</v>
      </c>
      <c r="DF119" s="814">
        <v>6525.6775093191181</v>
      </c>
      <c r="DG119" s="814">
        <v>6525.6775093191181</v>
      </c>
      <c r="DH119" s="814">
        <v>6525.6775093191181</v>
      </c>
      <c r="DI119" s="814">
        <v>6525.6775093191181</v>
      </c>
      <c r="DJ119" s="814">
        <v>6525.6775093191181</v>
      </c>
      <c r="DK119" s="814">
        <v>6525.6775093191181</v>
      </c>
      <c r="DL119" s="814">
        <v>6525.6775093191181</v>
      </c>
      <c r="DM119" s="814">
        <v>6525.6775093191181</v>
      </c>
      <c r="DN119" s="814">
        <v>6525.6775093191181</v>
      </c>
      <c r="DO119" s="814">
        <v>6525.6775093191181</v>
      </c>
      <c r="DP119" s="814">
        <v>0</v>
      </c>
      <c r="DQ119" s="814">
        <v>0</v>
      </c>
      <c r="DR119" s="814">
        <v>0</v>
      </c>
      <c r="DS119" s="814">
        <v>0</v>
      </c>
      <c r="DT119" s="814">
        <v>0</v>
      </c>
      <c r="DU119" s="814">
        <v>0</v>
      </c>
      <c r="DV119" s="808"/>
      <c r="DW119" s="808"/>
      <c r="DX119" s="808"/>
      <c r="DY119" s="814">
        <v>0</v>
      </c>
      <c r="DZ119" s="814">
        <v>5203.4399251068226</v>
      </c>
      <c r="EA119" s="814">
        <v>5203.4399251068226</v>
      </c>
      <c r="EB119" s="814">
        <v>5203.4399251068226</v>
      </c>
      <c r="EC119" s="814">
        <v>5203.4399251068226</v>
      </c>
      <c r="ED119" s="814">
        <v>5203.4399251068226</v>
      </c>
      <c r="EE119" s="814">
        <v>5203.4399251068226</v>
      </c>
      <c r="EF119" s="814">
        <v>5203.4399251068226</v>
      </c>
      <c r="EG119" s="814">
        <v>5203.4399251068226</v>
      </c>
      <c r="EH119" s="814">
        <v>5203.4399251068226</v>
      </c>
      <c r="EI119" s="814">
        <v>5203.4399251068226</v>
      </c>
      <c r="EJ119" s="814">
        <v>5203.4399251068226</v>
      </c>
      <c r="EK119" s="814">
        <v>5203.4399251068226</v>
      </c>
      <c r="EL119" s="814">
        <v>5203.4399251068226</v>
      </c>
      <c r="EM119" s="814">
        <v>5203.4399251068226</v>
      </c>
      <c r="EN119" s="814">
        <v>5203.4399251068226</v>
      </c>
      <c r="EO119" s="814">
        <v>5203.4399251068226</v>
      </c>
      <c r="EP119" s="814">
        <v>5203.4399251068226</v>
      </c>
      <c r="EQ119" s="814">
        <v>5203.4399251068226</v>
      </c>
      <c r="ER119" s="814">
        <v>5203.4399251068226</v>
      </c>
      <c r="ES119" s="814">
        <v>5203.4399251068226</v>
      </c>
      <c r="ET119" s="814">
        <v>0</v>
      </c>
      <c r="EU119" s="814">
        <v>0</v>
      </c>
      <c r="EV119" s="814">
        <v>0</v>
      </c>
      <c r="EW119" s="814">
        <v>0</v>
      </c>
      <c r="EX119" s="814">
        <v>0</v>
      </c>
      <c r="EY119" s="814">
        <v>0</v>
      </c>
      <c r="EZ119" s="815"/>
      <c r="FA119" s="815"/>
      <c r="FB119" s="815"/>
      <c r="FC119" s="815"/>
      <c r="FD119" s="815"/>
    </row>
    <row r="120" spans="1:160" s="816" customFormat="1">
      <c r="A120" s="797">
        <v>133773</v>
      </c>
      <c r="B120" s="798" t="s">
        <v>994</v>
      </c>
      <c r="C120" s="799" t="s">
        <v>995</v>
      </c>
      <c r="D120" s="799"/>
      <c r="E120" s="798" t="s">
        <v>990</v>
      </c>
      <c r="F120" s="800" t="s">
        <v>991</v>
      </c>
      <c r="G120" s="800">
        <v>2015</v>
      </c>
      <c r="H120" s="800" t="s">
        <v>996</v>
      </c>
      <c r="I120" s="801">
        <v>42027</v>
      </c>
      <c r="J120" s="802">
        <v>2015</v>
      </c>
      <c r="K120" s="803"/>
      <c r="L120" s="803" t="s">
        <v>993</v>
      </c>
      <c r="M120" s="803" t="s">
        <v>22</v>
      </c>
      <c r="N120" s="804">
        <v>1.0959044614146412</v>
      </c>
      <c r="O120" s="804">
        <v>11156.383637746409</v>
      </c>
      <c r="P120" s="805">
        <v>150745.11704675655</v>
      </c>
      <c r="Q120" s="805">
        <v>104838.382050432</v>
      </c>
      <c r="R120" s="805">
        <v>11156.383637746409</v>
      </c>
      <c r="S120" s="806">
        <v>1.0959044614146412</v>
      </c>
      <c r="T120" s="807">
        <v>0.68824232024679077</v>
      </c>
      <c r="U120" s="807">
        <v>0.58695629117961001</v>
      </c>
      <c r="V120" s="808"/>
      <c r="W120" s="808"/>
      <c r="X120" s="808"/>
      <c r="Y120" s="809">
        <v>0.69546784734602263</v>
      </c>
      <c r="Z120" s="808"/>
      <c r="AA120" s="808"/>
      <c r="AB120" s="808"/>
      <c r="AC120" s="809">
        <v>0.69151749008254249</v>
      </c>
      <c r="AD120" s="808"/>
      <c r="AE120" s="810"/>
      <c r="AF120" s="808"/>
      <c r="AG120" s="811">
        <v>6675.49</v>
      </c>
      <c r="AH120" s="812">
        <v>6675.49</v>
      </c>
      <c r="AI120" s="808"/>
      <c r="AJ120" s="808"/>
      <c r="AK120" s="808"/>
      <c r="AL120" s="808"/>
      <c r="AM120" s="813">
        <v>0</v>
      </c>
      <c r="AN120" s="813">
        <v>1.584781986184947</v>
      </c>
      <c r="AO120" s="813">
        <v>1.584781986184947</v>
      </c>
      <c r="AP120" s="813">
        <v>1.584781986184947</v>
      </c>
      <c r="AQ120" s="813">
        <v>1.584781986184947</v>
      </c>
      <c r="AR120" s="813">
        <v>1.584781986184947</v>
      </c>
      <c r="AS120" s="813">
        <v>1.584781986184947</v>
      </c>
      <c r="AT120" s="813">
        <v>1.4531805257640316</v>
      </c>
      <c r="AU120" s="813">
        <v>1.4531805257640316</v>
      </c>
      <c r="AV120" s="813">
        <v>1.4531805257640316</v>
      </c>
      <c r="AW120" s="813">
        <v>1.024224915881204</v>
      </c>
      <c r="AX120" s="813">
        <v>0</v>
      </c>
      <c r="AY120" s="813">
        <v>0</v>
      </c>
      <c r="AZ120" s="813">
        <v>0</v>
      </c>
      <c r="BA120" s="813">
        <v>0</v>
      </c>
      <c r="BB120" s="813">
        <v>0</v>
      </c>
      <c r="BC120" s="813">
        <v>0</v>
      </c>
      <c r="BD120" s="813">
        <v>0</v>
      </c>
      <c r="BE120" s="813">
        <v>0</v>
      </c>
      <c r="BF120" s="813">
        <v>0</v>
      </c>
      <c r="BG120" s="813">
        <v>0</v>
      </c>
      <c r="BH120" s="813">
        <v>0</v>
      </c>
      <c r="BI120" s="813">
        <v>0</v>
      </c>
      <c r="BJ120" s="813">
        <v>0</v>
      </c>
      <c r="BK120" s="813">
        <v>0</v>
      </c>
      <c r="BL120" s="813">
        <v>0</v>
      </c>
      <c r="BM120" s="813">
        <v>0</v>
      </c>
      <c r="BN120" s="808"/>
      <c r="BO120" s="808"/>
      <c r="BP120" s="808"/>
      <c r="BQ120" s="813">
        <v>0</v>
      </c>
      <c r="BR120" s="813">
        <v>1.0959044614146412</v>
      </c>
      <c r="BS120" s="813">
        <v>1.0959044614146412</v>
      </c>
      <c r="BT120" s="813">
        <v>1.0959044614146412</v>
      </c>
      <c r="BU120" s="813">
        <v>1.0959044614146412</v>
      </c>
      <c r="BV120" s="813">
        <v>1.0959044614146412</v>
      </c>
      <c r="BW120" s="813">
        <v>1.0959044614146412</v>
      </c>
      <c r="BX120" s="813">
        <v>1.0048997498131726</v>
      </c>
      <c r="BY120" s="813">
        <v>1.0048997498131726</v>
      </c>
      <c r="BZ120" s="813">
        <v>1.0048997498131726</v>
      </c>
      <c r="CA120" s="813">
        <v>0.70826944311017337</v>
      </c>
      <c r="CB120" s="813">
        <v>0</v>
      </c>
      <c r="CC120" s="813">
        <v>0</v>
      </c>
      <c r="CD120" s="813">
        <v>0</v>
      </c>
      <c r="CE120" s="813">
        <v>0</v>
      </c>
      <c r="CF120" s="813">
        <v>0</v>
      </c>
      <c r="CG120" s="813">
        <v>0</v>
      </c>
      <c r="CH120" s="813">
        <v>0</v>
      </c>
      <c r="CI120" s="813">
        <v>0</v>
      </c>
      <c r="CJ120" s="813">
        <v>0</v>
      </c>
      <c r="CK120" s="813">
        <v>0</v>
      </c>
      <c r="CL120" s="813">
        <v>0</v>
      </c>
      <c r="CM120" s="813">
        <v>0</v>
      </c>
      <c r="CN120" s="813">
        <v>0</v>
      </c>
      <c r="CO120" s="813">
        <v>0</v>
      </c>
      <c r="CP120" s="813">
        <v>0</v>
      </c>
      <c r="CQ120" s="813">
        <v>0</v>
      </c>
      <c r="CR120" s="808"/>
      <c r="CS120" s="808"/>
      <c r="CT120" s="808"/>
      <c r="CU120" s="814">
        <v>0</v>
      </c>
      <c r="CV120" s="814">
        <v>16041.552000312198</v>
      </c>
      <c r="CW120" s="814">
        <v>16041.552000312198</v>
      </c>
      <c r="CX120" s="814">
        <v>16041.552000312198</v>
      </c>
      <c r="CY120" s="814">
        <v>16041.552000312198</v>
      </c>
      <c r="CZ120" s="814">
        <v>16041.552000312198</v>
      </c>
      <c r="DA120" s="814">
        <v>16041.552000312198</v>
      </c>
      <c r="DB120" s="814">
        <v>14709.449736996357</v>
      </c>
      <c r="DC120" s="814">
        <v>14709.449736996357</v>
      </c>
      <c r="DD120" s="814">
        <v>14709.449736996357</v>
      </c>
      <c r="DE120" s="814">
        <v>10367.455833894297</v>
      </c>
      <c r="DF120" s="814">
        <v>0</v>
      </c>
      <c r="DG120" s="814">
        <v>0</v>
      </c>
      <c r="DH120" s="814">
        <v>0</v>
      </c>
      <c r="DI120" s="814">
        <v>0</v>
      </c>
      <c r="DJ120" s="814">
        <v>0</v>
      </c>
      <c r="DK120" s="814">
        <v>0</v>
      </c>
      <c r="DL120" s="814">
        <v>0</v>
      </c>
      <c r="DM120" s="814">
        <v>0</v>
      </c>
      <c r="DN120" s="814">
        <v>0</v>
      </c>
      <c r="DO120" s="814">
        <v>0</v>
      </c>
      <c r="DP120" s="814">
        <v>0</v>
      </c>
      <c r="DQ120" s="814">
        <v>0</v>
      </c>
      <c r="DR120" s="814">
        <v>0</v>
      </c>
      <c r="DS120" s="814">
        <v>0</v>
      </c>
      <c r="DT120" s="814">
        <v>0</v>
      </c>
      <c r="DU120" s="814">
        <v>0</v>
      </c>
      <c r="DV120" s="808"/>
      <c r="DW120" s="808"/>
      <c r="DX120" s="808"/>
      <c r="DY120" s="814">
        <v>0</v>
      </c>
      <c r="DZ120" s="814">
        <v>11156.383637746409</v>
      </c>
      <c r="EA120" s="814">
        <v>11156.383637746409</v>
      </c>
      <c r="EB120" s="814">
        <v>11156.383637746409</v>
      </c>
      <c r="EC120" s="814">
        <v>11156.383637746409</v>
      </c>
      <c r="ED120" s="814">
        <v>11156.383637746409</v>
      </c>
      <c r="EE120" s="814">
        <v>11156.383637746409</v>
      </c>
      <c r="EF120" s="814">
        <v>10229.949344233375</v>
      </c>
      <c r="EG120" s="814">
        <v>10229.949344233375</v>
      </c>
      <c r="EH120" s="814">
        <v>10229.949344233375</v>
      </c>
      <c r="EI120" s="814">
        <v>7210.2321912534308</v>
      </c>
      <c r="EJ120" s="814">
        <v>0</v>
      </c>
      <c r="EK120" s="814">
        <v>0</v>
      </c>
      <c r="EL120" s="814">
        <v>0</v>
      </c>
      <c r="EM120" s="814">
        <v>0</v>
      </c>
      <c r="EN120" s="814">
        <v>0</v>
      </c>
      <c r="EO120" s="814">
        <v>0</v>
      </c>
      <c r="EP120" s="814">
        <v>0</v>
      </c>
      <c r="EQ120" s="814">
        <v>0</v>
      </c>
      <c r="ER120" s="814">
        <v>0</v>
      </c>
      <c r="ES120" s="814">
        <v>0</v>
      </c>
      <c r="ET120" s="814">
        <v>0</v>
      </c>
      <c r="EU120" s="814">
        <v>0</v>
      </c>
      <c r="EV120" s="814">
        <v>0</v>
      </c>
      <c r="EW120" s="814">
        <v>0</v>
      </c>
      <c r="EX120" s="814">
        <v>0</v>
      </c>
      <c r="EY120" s="814">
        <v>0</v>
      </c>
      <c r="EZ120" s="815"/>
      <c r="FA120" s="815"/>
      <c r="FB120" s="815"/>
      <c r="FC120" s="815"/>
      <c r="FD120" s="815"/>
    </row>
    <row r="121" spans="1:160" s="816" customFormat="1">
      <c r="A121" s="797">
        <v>133778</v>
      </c>
      <c r="B121" s="798" t="s">
        <v>997</v>
      </c>
      <c r="C121" s="799" t="s">
        <v>998</v>
      </c>
      <c r="D121" s="799"/>
      <c r="E121" s="798" t="s">
        <v>990</v>
      </c>
      <c r="F121" s="800" t="s">
        <v>991</v>
      </c>
      <c r="G121" s="800">
        <v>2015</v>
      </c>
      <c r="H121" s="800" t="s">
        <v>996</v>
      </c>
      <c r="I121" s="801">
        <v>42027</v>
      </c>
      <c r="J121" s="802">
        <v>2015</v>
      </c>
      <c r="K121" s="803"/>
      <c r="L121" s="803" t="s">
        <v>993</v>
      </c>
      <c r="M121" s="803" t="s">
        <v>22</v>
      </c>
      <c r="N121" s="804">
        <v>1.2582606779205141</v>
      </c>
      <c r="O121" s="804">
        <v>13106.40538736795</v>
      </c>
      <c r="P121" s="805">
        <v>177093.82164811602</v>
      </c>
      <c r="Q121" s="805">
        <v>123163.0589198957</v>
      </c>
      <c r="R121" s="805">
        <v>13106.40538736795</v>
      </c>
      <c r="S121" s="806">
        <v>1.2582606779205141</v>
      </c>
      <c r="T121" s="807">
        <v>0.68824232024679077</v>
      </c>
      <c r="U121" s="807">
        <v>0.58695629117961001</v>
      </c>
      <c r="V121" s="808"/>
      <c r="W121" s="808"/>
      <c r="X121" s="808"/>
      <c r="Y121" s="809">
        <v>0.69546784734602263</v>
      </c>
      <c r="Z121" s="808"/>
      <c r="AA121" s="808"/>
      <c r="AB121" s="808"/>
      <c r="AC121" s="809">
        <v>0.69151749008254249</v>
      </c>
      <c r="AD121" s="808"/>
      <c r="AE121" s="810"/>
      <c r="AF121" s="808"/>
      <c r="AG121" s="811">
        <v>6825.11</v>
      </c>
      <c r="AH121" s="812">
        <v>6825.11</v>
      </c>
      <c r="AI121" s="808"/>
      <c r="AJ121" s="808"/>
      <c r="AK121" s="808"/>
      <c r="AL121" s="808"/>
      <c r="AM121" s="813">
        <v>0</v>
      </c>
      <c r="AN121" s="813">
        <v>1.8195645026567913</v>
      </c>
      <c r="AO121" s="813">
        <v>1.8195645026567913</v>
      </c>
      <c r="AP121" s="813">
        <v>1.8195645026567913</v>
      </c>
      <c r="AQ121" s="813">
        <v>1.8195645026567913</v>
      </c>
      <c r="AR121" s="813">
        <v>1.8195645026567913</v>
      </c>
      <c r="AS121" s="813">
        <v>1.8195645026567913</v>
      </c>
      <c r="AT121" s="813">
        <v>1.6684665295809253</v>
      </c>
      <c r="AU121" s="813">
        <v>1.6684665295809253</v>
      </c>
      <c r="AV121" s="813">
        <v>1.6684665295809253</v>
      </c>
      <c r="AW121" s="813">
        <v>1.1759619404561972</v>
      </c>
      <c r="AX121" s="813">
        <v>0</v>
      </c>
      <c r="AY121" s="813">
        <v>0</v>
      </c>
      <c r="AZ121" s="813">
        <v>0</v>
      </c>
      <c r="BA121" s="813">
        <v>0</v>
      </c>
      <c r="BB121" s="813">
        <v>0</v>
      </c>
      <c r="BC121" s="813">
        <v>0</v>
      </c>
      <c r="BD121" s="813">
        <v>0</v>
      </c>
      <c r="BE121" s="813">
        <v>0</v>
      </c>
      <c r="BF121" s="813">
        <v>0</v>
      </c>
      <c r="BG121" s="813">
        <v>0</v>
      </c>
      <c r="BH121" s="813">
        <v>0</v>
      </c>
      <c r="BI121" s="813">
        <v>0</v>
      </c>
      <c r="BJ121" s="813">
        <v>0</v>
      </c>
      <c r="BK121" s="813">
        <v>0</v>
      </c>
      <c r="BL121" s="813">
        <v>0</v>
      </c>
      <c r="BM121" s="813">
        <v>0</v>
      </c>
      <c r="BN121" s="808"/>
      <c r="BO121" s="808"/>
      <c r="BP121" s="808"/>
      <c r="BQ121" s="813">
        <v>0</v>
      </c>
      <c r="BR121" s="813">
        <v>1.2582606779205141</v>
      </c>
      <c r="BS121" s="813">
        <v>1.2582606779205141</v>
      </c>
      <c r="BT121" s="813">
        <v>1.2582606779205141</v>
      </c>
      <c r="BU121" s="813">
        <v>1.2582606779205141</v>
      </c>
      <c r="BV121" s="813">
        <v>1.2582606779205141</v>
      </c>
      <c r="BW121" s="813">
        <v>1.2582606779205141</v>
      </c>
      <c r="BX121" s="813">
        <v>1.1537737868225317</v>
      </c>
      <c r="BY121" s="813">
        <v>1.1537737868225317</v>
      </c>
      <c r="BZ121" s="813">
        <v>1.1537737868225317</v>
      </c>
      <c r="CA121" s="813">
        <v>0.81319824949686592</v>
      </c>
      <c r="CB121" s="813">
        <v>0</v>
      </c>
      <c r="CC121" s="813">
        <v>0</v>
      </c>
      <c r="CD121" s="813">
        <v>0</v>
      </c>
      <c r="CE121" s="813">
        <v>0</v>
      </c>
      <c r="CF121" s="813">
        <v>0</v>
      </c>
      <c r="CG121" s="813">
        <v>0</v>
      </c>
      <c r="CH121" s="813">
        <v>0</v>
      </c>
      <c r="CI121" s="813">
        <v>0</v>
      </c>
      <c r="CJ121" s="813">
        <v>0</v>
      </c>
      <c r="CK121" s="813">
        <v>0</v>
      </c>
      <c r="CL121" s="813">
        <v>0</v>
      </c>
      <c r="CM121" s="813">
        <v>0</v>
      </c>
      <c r="CN121" s="813">
        <v>0</v>
      </c>
      <c r="CO121" s="813">
        <v>0</v>
      </c>
      <c r="CP121" s="813">
        <v>0</v>
      </c>
      <c r="CQ121" s="813">
        <v>0</v>
      </c>
      <c r="CR121" s="808"/>
      <c r="CS121" s="808"/>
      <c r="CT121" s="808"/>
      <c r="CU121" s="814">
        <v>0</v>
      </c>
      <c r="CV121" s="814">
        <v>18845.451212997625</v>
      </c>
      <c r="CW121" s="814">
        <v>18845.451212997625</v>
      </c>
      <c r="CX121" s="814">
        <v>18845.451212997625</v>
      </c>
      <c r="CY121" s="814">
        <v>18845.451212997625</v>
      </c>
      <c r="CZ121" s="814">
        <v>18845.451212997625</v>
      </c>
      <c r="DA121" s="814">
        <v>18845.451212997625</v>
      </c>
      <c r="DB121" s="814">
        <v>17280.511099126234</v>
      </c>
      <c r="DC121" s="814">
        <v>17280.511099126234</v>
      </c>
      <c r="DD121" s="814">
        <v>17280.511099126234</v>
      </c>
      <c r="DE121" s="814">
        <v>12179.581072751573</v>
      </c>
      <c r="DF121" s="814">
        <v>0</v>
      </c>
      <c r="DG121" s="814">
        <v>0</v>
      </c>
      <c r="DH121" s="814">
        <v>0</v>
      </c>
      <c r="DI121" s="814">
        <v>0</v>
      </c>
      <c r="DJ121" s="814">
        <v>0</v>
      </c>
      <c r="DK121" s="814">
        <v>0</v>
      </c>
      <c r="DL121" s="814">
        <v>0</v>
      </c>
      <c r="DM121" s="814">
        <v>0</v>
      </c>
      <c r="DN121" s="814">
        <v>0</v>
      </c>
      <c r="DO121" s="814">
        <v>0</v>
      </c>
      <c r="DP121" s="814">
        <v>0</v>
      </c>
      <c r="DQ121" s="814">
        <v>0</v>
      </c>
      <c r="DR121" s="814">
        <v>0</v>
      </c>
      <c r="DS121" s="814">
        <v>0</v>
      </c>
      <c r="DT121" s="814">
        <v>0</v>
      </c>
      <c r="DU121" s="814">
        <v>0</v>
      </c>
      <c r="DV121" s="808"/>
      <c r="DW121" s="808"/>
      <c r="DX121" s="808"/>
      <c r="DY121" s="814">
        <v>0</v>
      </c>
      <c r="DZ121" s="814">
        <v>13106.40538736795</v>
      </c>
      <c r="EA121" s="814">
        <v>13106.40538736795</v>
      </c>
      <c r="EB121" s="814">
        <v>13106.40538736795</v>
      </c>
      <c r="EC121" s="814">
        <v>13106.40538736795</v>
      </c>
      <c r="ED121" s="814">
        <v>13106.40538736795</v>
      </c>
      <c r="EE121" s="814">
        <v>13106.40538736795</v>
      </c>
      <c r="EF121" s="814">
        <v>12018.039855148374</v>
      </c>
      <c r="EG121" s="814">
        <v>12018.039855148374</v>
      </c>
      <c r="EH121" s="814">
        <v>12018.039855148374</v>
      </c>
      <c r="EI121" s="814">
        <v>8470.5070302428976</v>
      </c>
      <c r="EJ121" s="814">
        <v>0</v>
      </c>
      <c r="EK121" s="814">
        <v>0</v>
      </c>
      <c r="EL121" s="814">
        <v>0</v>
      </c>
      <c r="EM121" s="814">
        <v>0</v>
      </c>
      <c r="EN121" s="814">
        <v>0</v>
      </c>
      <c r="EO121" s="814">
        <v>0</v>
      </c>
      <c r="EP121" s="814">
        <v>0</v>
      </c>
      <c r="EQ121" s="814">
        <v>0</v>
      </c>
      <c r="ER121" s="814">
        <v>0</v>
      </c>
      <c r="ES121" s="814">
        <v>0</v>
      </c>
      <c r="ET121" s="814">
        <v>0</v>
      </c>
      <c r="EU121" s="814">
        <v>0</v>
      </c>
      <c r="EV121" s="814">
        <v>0</v>
      </c>
      <c r="EW121" s="814">
        <v>0</v>
      </c>
      <c r="EX121" s="814">
        <v>0</v>
      </c>
      <c r="EY121" s="814">
        <v>0</v>
      </c>
      <c r="EZ121" s="815"/>
      <c r="FA121" s="815"/>
      <c r="FB121" s="815"/>
      <c r="FC121" s="815"/>
      <c r="FD121" s="815"/>
    </row>
    <row r="122" spans="1:160" s="816" customFormat="1">
      <c r="A122" s="797">
        <v>133780</v>
      </c>
      <c r="B122" s="798" t="s">
        <v>999</v>
      </c>
      <c r="C122" s="799" t="s">
        <v>1000</v>
      </c>
      <c r="D122" s="799"/>
      <c r="E122" s="798" t="s">
        <v>990</v>
      </c>
      <c r="F122" s="800" t="s">
        <v>991</v>
      </c>
      <c r="G122" s="800">
        <v>2015</v>
      </c>
      <c r="H122" s="800" t="s">
        <v>992</v>
      </c>
      <c r="I122" s="801">
        <v>42027</v>
      </c>
      <c r="J122" s="802">
        <v>2015</v>
      </c>
      <c r="K122" s="803"/>
      <c r="L122" s="803" t="s">
        <v>993</v>
      </c>
      <c r="M122" s="803" t="s">
        <v>22</v>
      </c>
      <c r="N122" s="804">
        <v>0.39901177368661633</v>
      </c>
      <c r="O122" s="804">
        <v>2333.1742167145762</v>
      </c>
      <c r="P122" s="805">
        <v>35112.639478066027</v>
      </c>
      <c r="Q122" s="805">
        <v>27998.090600574913</v>
      </c>
      <c r="R122" s="805">
        <v>2333.1742167145762</v>
      </c>
      <c r="S122" s="806">
        <v>0.39901177368661633</v>
      </c>
      <c r="T122" s="807">
        <v>1.1043377452592225</v>
      </c>
      <c r="U122" s="807">
        <v>0.91104245203638645</v>
      </c>
      <c r="V122" s="808"/>
      <c r="W122" s="808"/>
      <c r="X122" s="808"/>
      <c r="Y122" s="809">
        <v>0.79737926332950881</v>
      </c>
      <c r="Z122" s="808"/>
      <c r="AA122" s="808"/>
      <c r="AB122" s="808"/>
      <c r="AC122" s="809">
        <v>0.79342890606602867</v>
      </c>
      <c r="AD122" s="808"/>
      <c r="AE122" s="810"/>
      <c r="AF122" s="808"/>
      <c r="AG122" s="811">
        <v>287.61500000000001</v>
      </c>
      <c r="AH122" s="812">
        <v>3451.38</v>
      </c>
      <c r="AI122" s="808"/>
      <c r="AJ122" s="808"/>
      <c r="AK122" s="808"/>
      <c r="AL122" s="808"/>
      <c r="AM122" s="813">
        <v>0</v>
      </c>
      <c r="AN122" s="813">
        <v>0.50289543352408539</v>
      </c>
      <c r="AO122" s="813">
        <v>0.50289543352408539</v>
      </c>
      <c r="AP122" s="813">
        <v>0.50289543352408539</v>
      </c>
      <c r="AQ122" s="813">
        <v>0.50289543352408539</v>
      </c>
      <c r="AR122" s="813">
        <v>0.50289543352408539</v>
      </c>
      <c r="AS122" s="813">
        <v>0.50289543352408539</v>
      </c>
      <c r="AT122" s="813">
        <v>0.50289543352408539</v>
      </c>
      <c r="AU122" s="813">
        <v>0.50289543352408539</v>
      </c>
      <c r="AV122" s="813">
        <v>0.50289543352408539</v>
      </c>
      <c r="AW122" s="813">
        <v>0.50289543352408539</v>
      </c>
      <c r="AX122" s="813">
        <v>0.50289543352408539</v>
      </c>
      <c r="AY122" s="813">
        <v>0.50289543352408539</v>
      </c>
      <c r="AZ122" s="813">
        <v>0</v>
      </c>
      <c r="BA122" s="813">
        <v>0</v>
      </c>
      <c r="BB122" s="813">
        <v>0</v>
      </c>
      <c r="BC122" s="813">
        <v>0</v>
      </c>
      <c r="BD122" s="813">
        <v>0</v>
      </c>
      <c r="BE122" s="813">
        <v>0</v>
      </c>
      <c r="BF122" s="813">
        <v>0</v>
      </c>
      <c r="BG122" s="813">
        <v>0</v>
      </c>
      <c r="BH122" s="813">
        <v>0</v>
      </c>
      <c r="BI122" s="813">
        <v>0</v>
      </c>
      <c r="BJ122" s="813">
        <v>0</v>
      </c>
      <c r="BK122" s="813">
        <v>0</v>
      </c>
      <c r="BL122" s="813">
        <v>0</v>
      </c>
      <c r="BM122" s="813">
        <v>0</v>
      </c>
      <c r="BN122" s="808"/>
      <c r="BO122" s="808"/>
      <c r="BP122" s="808"/>
      <c r="BQ122" s="813">
        <v>0</v>
      </c>
      <c r="BR122" s="813">
        <v>0.39901177368661633</v>
      </c>
      <c r="BS122" s="813">
        <v>0.39901177368661633</v>
      </c>
      <c r="BT122" s="813">
        <v>0.39901177368661633</v>
      </c>
      <c r="BU122" s="813">
        <v>0.39901177368661633</v>
      </c>
      <c r="BV122" s="813">
        <v>0.39901177368661633</v>
      </c>
      <c r="BW122" s="813">
        <v>0.39901177368661633</v>
      </c>
      <c r="BX122" s="813">
        <v>0.39901177368661633</v>
      </c>
      <c r="BY122" s="813">
        <v>0.39901177368661633</v>
      </c>
      <c r="BZ122" s="813">
        <v>0.39901177368661633</v>
      </c>
      <c r="CA122" s="813">
        <v>0.39901177368661633</v>
      </c>
      <c r="CB122" s="813">
        <v>0.39901177368661633</v>
      </c>
      <c r="CC122" s="813">
        <v>0.39901177368661633</v>
      </c>
      <c r="CD122" s="813">
        <v>0</v>
      </c>
      <c r="CE122" s="813">
        <v>0</v>
      </c>
      <c r="CF122" s="813">
        <v>0</v>
      </c>
      <c r="CG122" s="813">
        <v>0</v>
      </c>
      <c r="CH122" s="813">
        <v>0</v>
      </c>
      <c r="CI122" s="813">
        <v>0</v>
      </c>
      <c r="CJ122" s="813">
        <v>0</v>
      </c>
      <c r="CK122" s="813">
        <v>0</v>
      </c>
      <c r="CL122" s="813">
        <v>0</v>
      </c>
      <c r="CM122" s="813">
        <v>0</v>
      </c>
      <c r="CN122" s="813">
        <v>0</v>
      </c>
      <c r="CO122" s="813">
        <v>0</v>
      </c>
      <c r="CP122" s="813">
        <v>0</v>
      </c>
      <c r="CQ122" s="813">
        <v>0</v>
      </c>
      <c r="CR122" s="808"/>
      <c r="CS122" s="808"/>
      <c r="CT122" s="808"/>
      <c r="CU122" s="814">
        <v>0</v>
      </c>
      <c r="CV122" s="814">
        <v>2926.0532898388356</v>
      </c>
      <c r="CW122" s="814">
        <v>2926.0532898388356</v>
      </c>
      <c r="CX122" s="814">
        <v>2926.0532898388356</v>
      </c>
      <c r="CY122" s="814">
        <v>2926.0532898388356</v>
      </c>
      <c r="CZ122" s="814">
        <v>2926.0532898388356</v>
      </c>
      <c r="DA122" s="814">
        <v>2926.0532898388356</v>
      </c>
      <c r="DB122" s="814">
        <v>2926.0532898388356</v>
      </c>
      <c r="DC122" s="814">
        <v>2926.0532898388356</v>
      </c>
      <c r="DD122" s="814">
        <v>2926.0532898388356</v>
      </c>
      <c r="DE122" s="814">
        <v>2926.0532898388356</v>
      </c>
      <c r="DF122" s="814">
        <v>2926.0532898388356</v>
      </c>
      <c r="DG122" s="814">
        <v>2926.0532898388356</v>
      </c>
      <c r="DH122" s="814">
        <v>0</v>
      </c>
      <c r="DI122" s="814">
        <v>0</v>
      </c>
      <c r="DJ122" s="814">
        <v>0</v>
      </c>
      <c r="DK122" s="814">
        <v>0</v>
      </c>
      <c r="DL122" s="814">
        <v>0</v>
      </c>
      <c r="DM122" s="814">
        <v>0</v>
      </c>
      <c r="DN122" s="814">
        <v>0</v>
      </c>
      <c r="DO122" s="814">
        <v>0</v>
      </c>
      <c r="DP122" s="814">
        <v>0</v>
      </c>
      <c r="DQ122" s="814">
        <v>0</v>
      </c>
      <c r="DR122" s="814">
        <v>0</v>
      </c>
      <c r="DS122" s="814">
        <v>0</v>
      </c>
      <c r="DT122" s="814">
        <v>0</v>
      </c>
      <c r="DU122" s="814">
        <v>0</v>
      </c>
      <c r="DV122" s="808"/>
      <c r="DW122" s="808"/>
      <c r="DX122" s="808"/>
      <c r="DY122" s="814">
        <v>0</v>
      </c>
      <c r="DZ122" s="814">
        <v>2333.1742167145762</v>
      </c>
      <c r="EA122" s="814">
        <v>2333.1742167145762</v>
      </c>
      <c r="EB122" s="814">
        <v>2333.1742167145762</v>
      </c>
      <c r="EC122" s="814">
        <v>2333.1742167145762</v>
      </c>
      <c r="ED122" s="814">
        <v>2333.1742167145762</v>
      </c>
      <c r="EE122" s="814">
        <v>2333.1742167145762</v>
      </c>
      <c r="EF122" s="814">
        <v>2333.1742167145762</v>
      </c>
      <c r="EG122" s="814">
        <v>2333.1742167145762</v>
      </c>
      <c r="EH122" s="814">
        <v>2333.1742167145762</v>
      </c>
      <c r="EI122" s="814">
        <v>2333.1742167145762</v>
      </c>
      <c r="EJ122" s="814">
        <v>2333.1742167145762</v>
      </c>
      <c r="EK122" s="814">
        <v>2333.1742167145762</v>
      </c>
      <c r="EL122" s="814">
        <v>0</v>
      </c>
      <c r="EM122" s="814">
        <v>0</v>
      </c>
      <c r="EN122" s="814">
        <v>0</v>
      </c>
      <c r="EO122" s="814">
        <v>0</v>
      </c>
      <c r="EP122" s="814">
        <v>0</v>
      </c>
      <c r="EQ122" s="814">
        <v>0</v>
      </c>
      <c r="ER122" s="814">
        <v>0</v>
      </c>
      <c r="ES122" s="814">
        <v>0</v>
      </c>
      <c r="ET122" s="814">
        <v>0</v>
      </c>
      <c r="EU122" s="814">
        <v>0</v>
      </c>
      <c r="EV122" s="814">
        <v>0</v>
      </c>
      <c r="EW122" s="814">
        <v>0</v>
      </c>
      <c r="EX122" s="814">
        <v>0</v>
      </c>
      <c r="EY122" s="814">
        <v>0</v>
      </c>
      <c r="EZ122" s="815"/>
      <c r="FA122" s="815"/>
      <c r="FB122" s="815"/>
      <c r="FC122" s="815"/>
      <c r="FD122" s="815"/>
    </row>
    <row r="123" spans="1:160" s="816" customFormat="1">
      <c r="A123" s="797">
        <v>136784</v>
      </c>
      <c r="B123" s="797" t="s">
        <v>1001</v>
      </c>
      <c r="C123" s="799" t="s">
        <v>834</v>
      </c>
      <c r="D123" s="799"/>
      <c r="E123" s="798" t="s">
        <v>990</v>
      </c>
      <c r="F123" s="800" t="s">
        <v>991</v>
      </c>
      <c r="G123" s="800">
        <v>2015</v>
      </c>
      <c r="H123" s="800" t="s">
        <v>996</v>
      </c>
      <c r="I123" s="801">
        <v>42151</v>
      </c>
      <c r="J123" s="802">
        <v>2015</v>
      </c>
      <c r="K123" s="803"/>
      <c r="L123" s="803" t="s">
        <v>993</v>
      </c>
      <c r="M123" s="803" t="s">
        <v>22</v>
      </c>
      <c r="N123" s="804">
        <v>0.69001392014995921</v>
      </c>
      <c r="O123" s="804">
        <v>2664.1681537539262</v>
      </c>
      <c r="P123" s="805">
        <v>35998.254740099837</v>
      </c>
      <c r="Q123" s="805">
        <v>25035.628732310994</v>
      </c>
      <c r="R123" s="805">
        <v>2664.1681537539262</v>
      </c>
      <c r="S123" s="806">
        <v>0.69001392014995921</v>
      </c>
      <c r="T123" s="807">
        <v>0.68824232024679077</v>
      </c>
      <c r="U123" s="807">
        <v>0.58695629117961001</v>
      </c>
      <c r="V123" s="808"/>
      <c r="W123" s="808"/>
      <c r="X123" s="808"/>
      <c r="Y123" s="809">
        <v>0.69546784734602263</v>
      </c>
      <c r="Z123" s="808"/>
      <c r="AA123" s="808"/>
      <c r="AB123" s="808"/>
      <c r="AC123" s="809">
        <v>0.69151749008254249</v>
      </c>
      <c r="AD123" s="808"/>
      <c r="AE123" s="810"/>
      <c r="AF123" s="808"/>
      <c r="AG123" s="811">
        <v>5098</v>
      </c>
      <c r="AH123" s="812">
        <v>5098</v>
      </c>
      <c r="AI123" s="808"/>
      <c r="AJ123" s="808"/>
      <c r="AK123" s="808"/>
      <c r="AL123" s="808"/>
      <c r="AM123" s="813">
        <v>0</v>
      </c>
      <c r="AN123" s="813">
        <v>0.99782569500533702</v>
      </c>
      <c r="AO123" s="813">
        <v>0.99782569500533702</v>
      </c>
      <c r="AP123" s="813">
        <v>0.99782569500533702</v>
      </c>
      <c r="AQ123" s="813">
        <v>0.99782569500533702</v>
      </c>
      <c r="AR123" s="813">
        <v>0.99782569500533702</v>
      </c>
      <c r="AS123" s="813">
        <v>0.99782569500533702</v>
      </c>
      <c r="AT123" s="813">
        <v>0.91496551622179767</v>
      </c>
      <c r="AU123" s="813">
        <v>0.91496551622179767</v>
      </c>
      <c r="AV123" s="813">
        <v>0.91496551622179767</v>
      </c>
      <c r="AW123" s="813">
        <v>0.644882354443721</v>
      </c>
      <c r="AX123" s="813">
        <v>0</v>
      </c>
      <c r="AY123" s="813">
        <v>0</v>
      </c>
      <c r="AZ123" s="813">
        <v>0</v>
      </c>
      <c r="BA123" s="813">
        <v>0</v>
      </c>
      <c r="BB123" s="813">
        <v>0</v>
      </c>
      <c r="BC123" s="813">
        <v>0</v>
      </c>
      <c r="BD123" s="813">
        <v>0</v>
      </c>
      <c r="BE123" s="813">
        <v>0</v>
      </c>
      <c r="BF123" s="813">
        <v>0</v>
      </c>
      <c r="BG123" s="813">
        <v>0</v>
      </c>
      <c r="BH123" s="813">
        <v>0</v>
      </c>
      <c r="BI123" s="813">
        <v>0</v>
      </c>
      <c r="BJ123" s="813">
        <v>0</v>
      </c>
      <c r="BK123" s="813">
        <v>0</v>
      </c>
      <c r="BL123" s="813">
        <v>0</v>
      </c>
      <c r="BM123" s="813">
        <v>0</v>
      </c>
      <c r="BN123" s="808"/>
      <c r="BO123" s="808"/>
      <c r="BP123" s="808"/>
      <c r="BQ123" s="813">
        <v>0</v>
      </c>
      <c r="BR123" s="813">
        <v>0.69001392014995921</v>
      </c>
      <c r="BS123" s="813">
        <v>0.69001392014995921</v>
      </c>
      <c r="BT123" s="813">
        <v>0.69001392014995921</v>
      </c>
      <c r="BU123" s="813">
        <v>0.69001392014995921</v>
      </c>
      <c r="BV123" s="813">
        <v>0.69001392014995921</v>
      </c>
      <c r="BW123" s="813">
        <v>0.69001392014995921</v>
      </c>
      <c r="BX123" s="813">
        <v>0.63271465728977538</v>
      </c>
      <c r="BY123" s="813">
        <v>0.63271465728977538</v>
      </c>
      <c r="BZ123" s="813">
        <v>0.63271465728977538</v>
      </c>
      <c r="CA123" s="813">
        <v>0.44594742714344249</v>
      </c>
      <c r="CB123" s="813">
        <v>0</v>
      </c>
      <c r="CC123" s="813">
        <v>0</v>
      </c>
      <c r="CD123" s="813">
        <v>0</v>
      </c>
      <c r="CE123" s="813">
        <v>0</v>
      </c>
      <c r="CF123" s="813">
        <v>0</v>
      </c>
      <c r="CG123" s="813">
        <v>0</v>
      </c>
      <c r="CH123" s="813">
        <v>0</v>
      </c>
      <c r="CI123" s="813">
        <v>0</v>
      </c>
      <c r="CJ123" s="813">
        <v>0</v>
      </c>
      <c r="CK123" s="813">
        <v>0</v>
      </c>
      <c r="CL123" s="813">
        <v>0</v>
      </c>
      <c r="CM123" s="813">
        <v>0</v>
      </c>
      <c r="CN123" s="813">
        <v>0</v>
      </c>
      <c r="CO123" s="813">
        <v>0</v>
      </c>
      <c r="CP123" s="813">
        <v>0</v>
      </c>
      <c r="CQ123" s="813">
        <v>0</v>
      </c>
      <c r="CR123" s="808"/>
      <c r="CS123" s="808"/>
      <c r="CT123" s="808"/>
      <c r="CU123" s="814">
        <v>0</v>
      </c>
      <c r="CV123" s="814">
        <v>3830.7567544936373</v>
      </c>
      <c r="CW123" s="814">
        <v>3830.7567544936373</v>
      </c>
      <c r="CX123" s="814">
        <v>3830.7567544936373</v>
      </c>
      <c r="CY123" s="814">
        <v>3830.7567544936373</v>
      </c>
      <c r="CZ123" s="814">
        <v>3830.7567544936373</v>
      </c>
      <c r="DA123" s="814">
        <v>3830.7567544936373</v>
      </c>
      <c r="DB123" s="814">
        <v>3512.6478992672783</v>
      </c>
      <c r="DC123" s="814">
        <v>3512.6478992672783</v>
      </c>
      <c r="DD123" s="814">
        <v>3512.6478992672783</v>
      </c>
      <c r="DE123" s="814">
        <v>2475.770515336179</v>
      </c>
      <c r="DF123" s="814">
        <v>0</v>
      </c>
      <c r="DG123" s="814">
        <v>0</v>
      </c>
      <c r="DH123" s="814">
        <v>0</v>
      </c>
      <c r="DI123" s="814">
        <v>0</v>
      </c>
      <c r="DJ123" s="814">
        <v>0</v>
      </c>
      <c r="DK123" s="814">
        <v>0</v>
      </c>
      <c r="DL123" s="814">
        <v>0</v>
      </c>
      <c r="DM123" s="814">
        <v>0</v>
      </c>
      <c r="DN123" s="814">
        <v>0</v>
      </c>
      <c r="DO123" s="814">
        <v>0</v>
      </c>
      <c r="DP123" s="814">
        <v>0</v>
      </c>
      <c r="DQ123" s="814">
        <v>0</v>
      </c>
      <c r="DR123" s="814">
        <v>0</v>
      </c>
      <c r="DS123" s="814">
        <v>0</v>
      </c>
      <c r="DT123" s="814">
        <v>0</v>
      </c>
      <c r="DU123" s="814">
        <v>0</v>
      </c>
      <c r="DV123" s="808"/>
      <c r="DW123" s="808"/>
      <c r="DX123" s="808"/>
      <c r="DY123" s="814">
        <v>0</v>
      </c>
      <c r="DZ123" s="814">
        <v>2664.1681537539262</v>
      </c>
      <c r="EA123" s="814">
        <v>2664.1681537539262</v>
      </c>
      <c r="EB123" s="814">
        <v>2664.1681537539262</v>
      </c>
      <c r="EC123" s="814">
        <v>2664.1681537539262</v>
      </c>
      <c r="ED123" s="814">
        <v>2664.1681537539262</v>
      </c>
      <c r="EE123" s="814">
        <v>2664.1681537539262</v>
      </c>
      <c r="EF123" s="814">
        <v>2442.9336729879428</v>
      </c>
      <c r="EG123" s="814">
        <v>2442.9336729879428</v>
      </c>
      <c r="EH123" s="814">
        <v>2442.9336729879428</v>
      </c>
      <c r="EI123" s="814">
        <v>1721.8187908236055</v>
      </c>
      <c r="EJ123" s="814">
        <v>0</v>
      </c>
      <c r="EK123" s="814">
        <v>0</v>
      </c>
      <c r="EL123" s="814">
        <v>0</v>
      </c>
      <c r="EM123" s="814">
        <v>0</v>
      </c>
      <c r="EN123" s="814">
        <v>0</v>
      </c>
      <c r="EO123" s="814">
        <v>0</v>
      </c>
      <c r="EP123" s="814">
        <v>0</v>
      </c>
      <c r="EQ123" s="814">
        <v>0</v>
      </c>
      <c r="ER123" s="814">
        <v>0</v>
      </c>
      <c r="ES123" s="814">
        <v>0</v>
      </c>
      <c r="ET123" s="814">
        <v>0</v>
      </c>
      <c r="EU123" s="814">
        <v>0</v>
      </c>
      <c r="EV123" s="814">
        <v>0</v>
      </c>
      <c r="EW123" s="814">
        <v>0</v>
      </c>
      <c r="EX123" s="814">
        <v>0</v>
      </c>
      <c r="EY123" s="814">
        <v>0</v>
      </c>
      <c r="EZ123" s="815"/>
      <c r="FA123" s="815"/>
      <c r="FB123" s="815"/>
      <c r="FC123" s="815"/>
      <c r="FD123" s="815"/>
    </row>
    <row r="124" spans="1:160" s="816" customFormat="1">
      <c r="A124" s="797">
        <v>137662</v>
      </c>
      <c r="B124" s="797" t="s">
        <v>1002</v>
      </c>
      <c r="C124" s="799" t="s">
        <v>835</v>
      </c>
      <c r="D124" s="799"/>
      <c r="E124" s="798" t="s">
        <v>990</v>
      </c>
      <c r="F124" s="800" t="s">
        <v>991</v>
      </c>
      <c r="G124" s="800">
        <v>2015</v>
      </c>
      <c r="H124" s="800" t="s">
        <v>996</v>
      </c>
      <c r="I124" s="801">
        <v>42111</v>
      </c>
      <c r="J124" s="802">
        <v>2015</v>
      </c>
      <c r="K124" s="803"/>
      <c r="L124" s="803" t="s">
        <v>993</v>
      </c>
      <c r="M124" s="803" t="s">
        <v>22</v>
      </c>
      <c r="N124" s="804">
        <v>3.7747820337615416</v>
      </c>
      <c r="O124" s="804">
        <v>14372.914358771632</v>
      </c>
      <c r="P124" s="805">
        <v>194206.89783250415</v>
      </c>
      <c r="Q124" s="805">
        <v>135064.65317532059</v>
      </c>
      <c r="R124" s="805">
        <v>14372.914358771632</v>
      </c>
      <c r="S124" s="806">
        <v>3.7747820337615416</v>
      </c>
      <c r="T124" s="807">
        <v>0.68824232024679088</v>
      </c>
      <c r="U124" s="807">
        <v>0.58695629117961001</v>
      </c>
      <c r="V124" s="808"/>
      <c r="W124" s="808"/>
      <c r="X124" s="808"/>
      <c r="Y124" s="809">
        <v>0.69546784734602263</v>
      </c>
      <c r="Z124" s="808"/>
      <c r="AA124" s="808"/>
      <c r="AB124" s="808"/>
      <c r="AC124" s="809">
        <v>0.69151749008254249</v>
      </c>
      <c r="AD124" s="808"/>
      <c r="AE124" s="810"/>
      <c r="AF124" s="808"/>
      <c r="AG124" s="811">
        <v>14496.208066609895</v>
      </c>
      <c r="AH124" s="812">
        <v>14496.208066609895</v>
      </c>
      <c r="AI124" s="808"/>
      <c r="AJ124" s="808"/>
      <c r="AK124" s="808"/>
      <c r="AL124" s="808"/>
      <c r="AM124" s="813">
        <v>0</v>
      </c>
      <c r="AN124" s="813">
        <v>5.4586935079703736</v>
      </c>
      <c r="AO124" s="813">
        <v>5.4586935079703736</v>
      </c>
      <c r="AP124" s="813">
        <v>5.4586935079703736</v>
      </c>
      <c r="AQ124" s="813">
        <v>5.4586935079703736</v>
      </c>
      <c r="AR124" s="813">
        <v>5.4586935079703736</v>
      </c>
      <c r="AS124" s="813">
        <v>5.4586935079703736</v>
      </c>
      <c r="AT124" s="813">
        <v>5.005399588742776</v>
      </c>
      <c r="AU124" s="813">
        <v>5.005399588742776</v>
      </c>
      <c r="AV124" s="813">
        <v>5.005399588742776</v>
      </c>
      <c r="AW124" s="813">
        <v>3.5278858213685917</v>
      </c>
      <c r="AX124" s="813">
        <v>0</v>
      </c>
      <c r="AY124" s="813">
        <v>0</v>
      </c>
      <c r="AZ124" s="813">
        <v>0</v>
      </c>
      <c r="BA124" s="813">
        <v>0</v>
      </c>
      <c r="BB124" s="813">
        <v>0</v>
      </c>
      <c r="BC124" s="813">
        <v>0</v>
      </c>
      <c r="BD124" s="813">
        <v>0</v>
      </c>
      <c r="BE124" s="813">
        <v>0</v>
      </c>
      <c r="BF124" s="813">
        <v>0</v>
      </c>
      <c r="BG124" s="813">
        <v>0</v>
      </c>
      <c r="BH124" s="813">
        <v>0</v>
      </c>
      <c r="BI124" s="813">
        <v>0</v>
      </c>
      <c r="BJ124" s="813">
        <v>0</v>
      </c>
      <c r="BK124" s="813">
        <v>0</v>
      </c>
      <c r="BL124" s="813">
        <v>0</v>
      </c>
      <c r="BM124" s="813">
        <v>0</v>
      </c>
      <c r="BN124" s="808"/>
      <c r="BO124" s="808"/>
      <c r="BP124" s="808"/>
      <c r="BQ124" s="813">
        <v>0</v>
      </c>
      <c r="BR124" s="813">
        <v>3.7747820337615416</v>
      </c>
      <c r="BS124" s="813">
        <v>3.7747820337615416</v>
      </c>
      <c r="BT124" s="813">
        <v>3.7747820337615416</v>
      </c>
      <c r="BU124" s="813">
        <v>3.7747820337615416</v>
      </c>
      <c r="BV124" s="813">
        <v>3.7747820337615416</v>
      </c>
      <c r="BW124" s="813">
        <v>3.7747820337615416</v>
      </c>
      <c r="BX124" s="813">
        <v>3.4613213604675948</v>
      </c>
      <c r="BY124" s="813">
        <v>3.4613213604675948</v>
      </c>
      <c r="BZ124" s="813">
        <v>3.4613213604675948</v>
      </c>
      <c r="CA124" s="813">
        <v>2.4395947484905971</v>
      </c>
      <c r="CB124" s="813">
        <v>0</v>
      </c>
      <c r="CC124" s="813">
        <v>0</v>
      </c>
      <c r="CD124" s="813">
        <v>0</v>
      </c>
      <c r="CE124" s="813">
        <v>0</v>
      </c>
      <c r="CF124" s="813">
        <v>0</v>
      </c>
      <c r="CG124" s="813">
        <v>0</v>
      </c>
      <c r="CH124" s="813">
        <v>0</v>
      </c>
      <c r="CI124" s="813">
        <v>0</v>
      </c>
      <c r="CJ124" s="813">
        <v>0</v>
      </c>
      <c r="CK124" s="813">
        <v>0</v>
      </c>
      <c r="CL124" s="813">
        <v>0</v>
      </c>
      <c r="CM124" s="813">
        <v>0</v>
      </c>
      <c r="CN124" s="813">
        <v>0</v>
      </c>
      <c r="CO124" s="813">
        <v>0</v>
      </c>
      <c r="CP124" s="813">
        <v>0</v>
      </c>
      <c r="CQ124" s="813">
        <v>0</v>
      </c>
      <c r="CR124" s="808"/>
      <c r="CS124" s="808"/>
      <c r="CT124" s="808"/>
      <c r="CU124" s="814">
        <v>0</v>
      </c>
      <c r="CV124" s="814">
        <v>20666.540392370636</v>
      </c>
      <c r="CW124" s="814">
        <v>20666.540392370636</v>
      </c>
      <c r="CX124" s="814">
        <v>20666.540392370636</v>
      </c>
      <c r="CY124" s="814">
        <v>20666.540392370636</v>
      </c>
      <c r="CZ124" s="814">
        <v>20666.540392370636</v>
      </c>
      <c r="DA124" s="814">
        <v>20666.540392370636</v>
      </c>
      <c r="DB124" s="814">
        <v>18950.375695148734</v>
      </c>
      <c r="DC124" s="814">
        <v>18950.375695148734</v>
      </c>
      <c r="DD124" s="814">
        <v>18950.375695148734</v>
      </c>
      <c r="DE124" s="814">
        <v>13356.528392834134</v>
      </c>
      <c r="DF124" s="814">
        <v>0</v>
      </c>
      <c r="DG124" s="814">
        <v>0</v>
      </c>
      <c r="DH124" s="814">
        <v>0</v>
      </c>
      <c r="DI124" s="814">
        <v>0</v>
      </c>
      <c r="DJ124" s="814">
        <v>0</v>
      </c>
      <c r="DK124" s="814">
        <v>0</v>
      </c>
      <c r="DL124" s="814">
        <v>0</v>
      </c>
      <c r="DM124" s="814">
        <v>0</v>
      </c>
      <c r="DN124" s="814">
        <v>0</v>
      </c>
      <c r="DO124" s="814">
        <v>0</v>
      </c>
      <c r="DP124" s="814">
        <v>0</v>
      </c>
      <c r="DQ124" s="814">
        <v>0</v>
      </c>
      <c r="DR124" s="814">
        <v>0</v>
      </c>
      <c r="DS124" s="814">
        <v>0</v>
      </c>
      <c r="DT124" s="814">
        <v>0</v>
      </c>
      <c r="DU124" s="814">
        <v>0</v>
      </c>
      <c r="DV124" s="808"/>
      <c r="DW124" s="808"/>
      <c r="DX124" s="808"/>
      <c r="DY124" s="814">
        <v>0</v>
      </c>
      <c r="DZ124" s="814">
        <v>14372.914358771632</v>
      </c>
      <c r="EA124" s="814">
        <v>14372.914358771632</v>
      </c>
      <c r="EB124" s="814">
        <v>14372.914358771632</v>
      </c>
      <c r="EC124" s="814">
        <v>14372.914358771632</v>
      </c>
      <c r="ED124" s="814">
        <v>14372.914358771632</v>
      </c>
      <c r="EE124" s="814">
        <v>14372.914358771632</v>
      </c>
      <c r="EF124" s="814">
        <v>13179.376991103476</v>
      </c>
      <c r="EG124" s="814">
        <v>13179.376991103476</v>
      </c>
      <c r="EH124" s="814">
        <v>13179.376991103476</v>
      </c>
      <c r="EI124" s="814">
        <v>9289.0360493803873</v>
      </c>
      <c r="EJ124" s="814">
        <v>0</v>
      </c>
      <c r="EK124" s="814">
        <v>0</v>
      </c>
      <c r="EL124" s="814">
        <v>0</v>
      </c>
      <c r="EM124" s="814">
        <v>0</v>
      </c>
      <c r="EN124" s="814">
        <v>0</v>
      </c>
      <c r="EO124" s="814">
        <v>0</v>
      </c>
      <c r="EP124" s="814">
        <v>0</v>
      </c>
      <c r="EQ124" s="814">
        <v>0</v>
      </c>
      <c r="ER124" s="814">
        <v>0</v>
      </c>
      <c r="ES124" s="814">
        <v>0</v>
      </c>
      <c r="ET124" s="814">
        <v>0</v>
      </c>
      <c r="EU124" s="814">
        <v>0</v>
      </c>
      <c r="EV124" s="814">
        <v>0</v>
      </c>
      <c r="EW124" s="814">
        <v>0</v>
      </c>
      <c r="EX124" s="814">
        <v>0</v>
      </c>
      <c r="EY124" s="814">
        <v>0</v>
      </c>
      <c r="EZ124" s="815"/>
      <c r="FA124" s="815"/>
      <c r="FB124" s="815"/>
      <c r="FC124" s="815"/>
      <c r="FD124" s="815"/>
    </row>
    <row r="125" spans="1:160" s="816" customFormat="1">
      <c r="A125" s="797">
        <v>138919</v>
      </c>
      <c r="B125" s="798" t="s">
        <v>1003</v>
      </c>
      <c r="C125" s="799" t="s">
        <v>1004</v>
      </c>
      <c r="D125" s="799"/>
      <c r="E125" s="798" t="s">
        <v>990</v>
      </c>
      <c r="F125" s="800" t="s">
        <v>991</v>
      </c>
      <c r="G125" s="800">
        <v>2015</v>
      </c>
      <c r="H125" s="800" t="s">
        <v>992</v>
      </c>
      <c r="I125" s="801">
        <v>42144</v>
      </c>
      <c r="J125" s="802">
        <v>2015</v>
      </c>
      <c r="K125" s="803"/>
      <c r="L125" s="803" t="s">
        <v>993</v>
      </c>
      <c r="M125" s="803" t="s">
        <v>22</v>
      </c>
      <c r="N125" s="804">
        <v>1.4941256090765145</v>
      </c>
      <c r="O125" s="804">
        <v>8722.1618129935632</v>
      </c>
      <c r="P125" s="805">
        <v>131262.43253289952</v>
      </c>
      <c r="Q125" s="805">
        <v>104665.94175592276</v>
      </c>
      <c r="R125" s="805">
        <v>8722.1618129935632</v>
      </c>
      <c r="S125" s="806">
        <v>1.4941256090765145</v>
      </c>
      <c r="T125" s="807">
        <v>1.1043377452592222</v>
      </c>
      <c r="U125" s="807">
        <v>0.91104245203638656</v>
      </c>
      <c r="V125" s="808"/>
      <c r="W125" s="808"/>
      <c r="X125" s="808"/>
      <c r="Y125" s="809">
        <v>0.79737926332950881</v>
      </c>
      <c r="Z125" s="808"/>
      <c r="AA125" s="808"/>
      <c r="AB125" s="808"/>
      <c r="AC125" s="809">
        <v>0.79342890606602867</v>
      </c>
      <c r="AD125" s="808"/>
      <c r="AE125" s="810"/>
      <c r="AF125" s="808"/>
      <c r="AG125" s="811">
        <v>150</v>
      </c>
      <c r="AH125" s="812">
        <v>1950</v>
      </c>
      <c r="AI125" s="808"/>
      <c r="AJ125" s="808"/>
      <c r="AK125" s="808"/>
      <c r="AL125" s="808"/>
      <c r="AM125" s="813">
        <v>0</v>
      </c>
      <c r="AN125" s="813">
        <v>1.8831247483592113</v>
      </c>
      <c r="AO125" s="813">
        <v>1.8831247483592113</v>
      </c>
      <c r="AP125" s="813">
        <v>1.8831247483592113</v>
      </c>
      <c r="AQ125" s="813">
        <v>1.8831247483592113</v>
      </c>
      <c r="AR125" s="813">
        <v>1.8831247483592113</v>
      </c>
      <c r="AS125" s="813">
        <v>1.8831247483592113</v>
      </c>
      <c r="AT125" s="813">
        <v>1.8831247483592113</v>
      </c>
      <c r="AU125" s="813">
        <v>1.8831247483592113</v>
      </c>
      <c r="AV125" s="813">
        <v>1.8831247483592113</v>
      </c>
      <c r="AW125" s="813">
        <v>1.8831247483592113</v>
      </c>
      <c r="AX125" s="813">
        <v>1.8831247483592113</v>
      </c>
      <c r="AY125" s="813">
        <v>1.8831247483592113</v>
      </c>
      <c r="AZ125" s="813">
        <v>0</v>
      </c>
      <c r="BA125" s="813">
        <v>0</v>
      </c>
      <c r="BB125" s="813">
        <v>0</v>
      </c>
      <c r="BC125" s="813">
        <v>0</v>
      </c>
      <c r="BD125" s="813">
        <v>0</v>
      </c>
      <c r="BE125" s="813">
        <v>0</v>
      </c>
      <c r="BF125" s="813">
        <v>0</v>
      </c>
      <c r="BG125" s="813">
        <v>0</v>
      </c>
      <c r="BH125" s="813">
        <v>0</v>
      </c>
      <c r="BI125" s="813">
        <v>0</v>
      </c>
      <c r="BJ125" s="813">
        <v>0</v>
      </c>
      <c r="BK125" s="813">
        <v>0</v>
      </c>
      <c r="BL125" s="813">
        <v>0</v>
      </c>
      <c r="BM125" s="813">
        <v>0</v>
      </c>
      <c r="BN125" s="808"/>
      <c r="BO125" s="808"/>
      <c r="BP125" s="808"/>
      <c r="BQ125" s="813">
        <v>0</v>
      </c>
      <c r="BR125" s="813">
        <v>1.4941256090765145</v>
      </c>
      <c r="BS125" s="813">
        <v>1.4941256090765145</v>
      </c>
      <c r="BT125" s="813">
        <v>1.4941256090765145</v>
      </c>
      <c r="BU125" s="813">
        <v>1.4941256090765145</v>
      </c>
      <c r="BV125" s="813">
        <v>1.4941256090765145</v>
      </c>
      <c r="BW125" s="813">
        <v>1.4941256090765145</v>
      </c>
      <c r="BX125" s="813">
        <v>1.4941256090765145</v>
      </c>
      <c r="BY125" s="813">
        <v>1.4941256090765145</v>
      </c>
      <c r="BZ125" s="813">
        <v>1.4941256090765145</v>
      </c>
      <c r="CA125" s="813">
        <v>1.4941256090765145</v>
      </c>
      <c r="CB125" s="813">
        <v>1.4941256090765145</v>
      </c>
      <c r="CC125" s="813">
        <v>1.4941256090765145</v>
      </c>
      <c r="CD125" s="813">
        <v>0</v>
      </c>
      <c r="CE125" s="813">
        <v>0</v>
      </c>
      <c r="CF125" s="813">
        <v>0</v>
      </c>
      <c r="CG125" s="813">
        <v>0</v>
      </c>
      <c r="CH125" s="813">
        <v>0</v>
      </c>
      <c r="CI125" s="813">
        <v>0</v>
      </c>
      <c r="CJ125" s="813">
        <v>0</v>
      </c>
      <c r="CK125" s="813">
        <v>0</v>
      </c>
      <c r="CL125" s="813">
        <v>0</v>
      </c>
      <c r="CM125" s="813">
        <v>0</v>
      </c>
      <c r="CN125" s="813">
        <v>0</v>
      </c>
      <c r="CO125" s="813">
        <v>0</v>
      </c>
      <c r="CP125" s="813">
        <v>0</v>
      </c>
      <c r="CQ125" s="813">
        <v>0</v>
      </c>
      <c r="CR125" s="808"/>
      <c r="CS125" s="808"/>
      <c r="CT125" s="808"/>
      <c r="CU125" s="814">
        <v>0</v>
      </c>
      <c r="CV125" s="814">
        <v>10938.536044408293</v>
      </c>
      <c r="CW125" s="814">
        <v>10938.536044408293</v>
      </c>
      <c r="CX125" s="814">
        <v>10938.536044408293</v>
      </c>
      <c r="CY125" s="814">
        <v>10938.536044408293</v>
      </c>
      <c r="CZ125" s="814">
        <v>10938.536044408293</v>
      </c>
      <c r="DA125" s="814">
        <v>10938.536044408293</v>
      </c>
      <c r="DB125" s="814">
        <v>10938.536044408293</v>
      </c>
      <c r="DC125" s="814">
        <v>10938.536044408293</v>
      </c>
      <c r="DD125" s="814">
        <v>10938.536044408293</v>
      </c>
      <c r="DE125" s="814">
        <v>10938.536044408293</v>
      </c>
      <c r="DF125" s="814">
        <v>10938.536044408293</v>
      </c>
      <c r="DG125" s="814">
        <v>10938.536044408293</v>
      </c>
      <c r="DH125" s="814">
        <v>0</v>
      </c>
      <c r="DI125" s="814">
        <v>0</v>
      </c>
      <c r="DJ125" s="814">
        <v>0</v>
      </c>
      <c r="DK125" s="814">
        <v>0</v>
      </c>
      <c r="DL125" s="814">
        <v>0</v>
      </c>
      <c r="DM125" s="814">
        <v>0</v>
      </c>
      <c r="DN125" s="814">
        <v>0</v>
      </c>
      <c r="DO125" s="814">
        <v>0</v>
      </c>
      <c r="DP125" s="814">
        <v>0</v>
      </c>
      <c r="DQ125" s="814">
        <v>0</v>
      </c>
      <c r="DR125" s="814">
        <v>0</v>
      </c>
      <c r="DS125" s="814">
        <v>0</v>
      </c>
      <c r="DT125" s="814">
        <v>0</v>
      </c>
      <c r="DU125" s="814">
        <v>0</v>
      </c>
      <c r="DV125" s="808"/>
      <c r="DW125" s="808"/>
      <c r="DX125" s="808"/>
      <c r="DY125" s="814">
        <v>0</v>
      </c>
      <c r="DZ125" s="814">
        <v>8722.1618129935632</v>
      </c>
      <c r="EA125" s="814">
        <v>8722.1618129935632</v>
      </c>
      <c r="EB125" s="814">
        <v>8722.1618129935632</v>
      </c>
      <c r="EC125" s="814">
        <v>8722.1618129935632</v>
      </c>
      <c r="ED125" s="814">
        <v>8722.1618129935632</v>
      </c>
      <c r="EE125" s="814">
        <v>8722.1618129935632</v>
      </c>
      <c r="EF125" s="814">
        <v>8722.1618129935632</v>
      </c>
      <c r="EG125" s="814">
        <v>8722.1618129935632</v>
      </c>
      <c r="EH125" s="814">
        <v>8722.1618129935632</v>
      </c>
      <c r="EI125" s="814">
        <v>8722.1618129935632</v>
      </c>
      <c r="EJ125" s="814">
        <v>8722.1618129935632</v>
      </c>
      <c r="EK125" s="814">
        <v>8722.1618129935632</v>
      </c>
      <c r="EL125" s="814">
        <v>0</v>
      </c>
      <c r="EM125" s="814">
        <v>0</v>
      </c>
      <c r="EN125" s="814">
        <v>0</v>
      </c>
      <c r="EO125" s="814">
        <v>0</v>
      </c>
      <c r="EP125" s="814">
        <v>0</v>
      </c>
      <c r="EQ125" s="814">
        <v>0</v>
      </c>
      <c r="ER125" s="814">
        <v>0</v>
      </c>
      <c r="ES125" s="814">
        <v>0</v>
      </c>
      <c r="ET125" s="814">
        <v>0</v>
      </c>
      <c r="EU125" s="814">
        <v>0</v>
      </c>
      <c r="EV125" s="814">
        <v>0</v>
      </c>
      <c r="EW125" s="814">
        <v>0</v>
      </c>
      <c r="EX125" s="814">
        <v>0</v>
      </c>
      <c r="EY125" s="814">
        <v>0</v>
      </c>
      <c r="EZ125" s="815"/>
      <c r="FA125" s="815"/>
      <c r="FB125" s="815"/>
      <c r="FC125" s="815"/>
      <c r="FD125" s="815"/>
    </row>
    <row r="126" spans="1:160" s="816" customFormat="1">
      <c r="A126" s="797">
        <v>138973</v>
      </c>
      <c r="B126" s="798" t="s">
        <v>1005</v>
      </c>
      <c r="C126" s="799" t="s">
        <v>1006</v>
      </c>
      <c r="D126" s="799"/>
      <c r="E126" s="798" t="s">
        <v>990</v>
      </c>
      <c r="F126" s="800" t="s">
        <v>991</v>
      </c>
      <c r="G126" s="800">
        <v>2015</v>
      </c>
      <c r="H126" s="800" t="s">
        <v>996</v>
      </c>
      <c r="I126" s="801">
        <v>42034</v>
      </c>
      <c r="J126" s="802">
        <v>2015</v>
      </c>
      <c r="K126" s="803"/>
      <c r="L126" s="803" t="s">
        <v>993</v>
      </c>
      <c r="M126" s="803" t="s">
        <v>22</v>
      </c>
      <c r="N126" s="804">
        <v>1.055315407288173</v>
      </c>
      <c r="O126" s="804">
        <v>6437.3692956946725</v>
      </c>
      <c r="P126" s="805">
        <v>86981.769313618875</v>
      </c>
      <c r="Q126" s="805">
        <v>60493.023862890841</v>
      </c>
      <c r="R126" s="805">
        <v>6437.3692956946725</v>
      </c>
      <c r="S126" s="806">
        <v>1.055315407288173</v>
      </c>
      <c r="T126" s="807">
        <v>0.68824232024679066</v>
      </c>
      <c r="U126" s="807">
        <v>0.58695629117961001</v>
      </c>
      <c r="V126" s="808"/>
      <c r="W126" s="808"/>
      <c r="X126" s="808"/>
      <c r="Y126" s="809">
        <v>0.69546784734602263</v>
      </c>
      <c r="Z126" s="808"/>
      <c r="AA126" s="808"/>
      <c r="AB126" s="808"/>
      <c r="AC126" s="809">
        <v>0.69151749008254249</v>
      </c>
      <c r="AD126" s="808"/>
      <c r="AE126" s="810"/>
      <c r="AF126" s="808"/>
      <c r="AG126" s="811">
        <v>7557.4</v>
      </c>
      <c r="AH126" s="812">
        <v>7557.4</v>
      </c>
      <c r="AI126" s="808"/>
      <c r="AJ126" s="808"/>
      <c r="AK126" s="808"/>
      <c r="AL126" s="808"/>
      <c r="AM126" s="813">
        <v>0</v>
      </c>
      <c r="AN126" s="813">
        <v>1.526086357066986</v>
      </c>
      <c r="AO126" s="813">
        <v>1.526086357066986</v>
      </c>
      <c r="AP126" s="813">
        <v>1.526086357066986</v>
      </c>
      <c r="AQ126" s="813">
        <v>1.526086357066986</v>
      </c>
      <c r="AR126" s="813">
        <v>1.526086357066986</v>
      </c>
      <c r="AS126" s="813">
        <v>1.526086357066986</v>
      </c>
      <c r="AT126" s="813">
        <v>1.3993590248098082</v>
      </c>
      <c r="AU126" s="813">
        <v>1.3993590248098082</v>
      </c>
      <c r="AV126" s="813">
        <v>1.3993590248098082</v>
      </c>
      <c r="AW126" s="813">
        <v>0.98629065973745567</v>
      </c>
      <c r="AX126" s="813">
        <v>0</v>
      </c>
      <c r="AY126" s="813">
        <v>0</v>
      </c>
      <c r="AZ126" s="813">
        <v>0</v>
      </c>
      <c r="BA126" s="813">
        <v>0</v>
      </c>
      <c r="BB126" s="813">
        <v>0</v>
      </c>
      <c r="BC126" s="813">
        <v>0</v>
      </c>
      <c r="BD126" s="813">
        <v>0</v>
      </c>
      <c r="BE126" s="813">
        <v>0</v>
      </c>
      <c r="BF126" s="813">
        <v>0</v>
      </c>
      <c r="BG126" s="813">
        <v>0</v>
      </c>
      <c r="BH126" s="813">
        <v>0</v>
      </c>
      <c r="BI126" s="813">
        <v>0</v>
      </c>
      <c r="BJ126" s="813">
        <v>0</v>
      </c>
      <c r="BK126" s="813">
        <v>0</v>
      </c>
      <c r="BL126" s="813">
        <v>0</v>
      </c>
      <c r="BM126" s="813">
        <v>0</v>
      </c>
      <c r="BN126" s="808"/>
      <c r="BO126" s="808"/>
      <c r="BP126" s="808"/>
      <c r="BQ126" s="813">
        <v>0</v>
      </c>
      <c r="BR126" s="813">
        <v>1.055315407288173</v>
      </c>
      <c r="BS126" s="813">
        <v>1.055315407288173</v>
      </c>
      <c r="BT126" s="813">
        <v>1.055315407288173</v>
      </c>
      <c r="BU126" s="813">
        <v>1.055315407288173</v>
      </c>
      <c r="BV126" s="813">
        <v>1.055315407288173</v>
      </c>
      <c r="BW126" s="813">
        <v>1.055315407288173</v>
      </c>
      <c r="BX126" s="813">
        <v>0.96768124056083293</v>
      </c>
      <c r="BY126" s="813">
        <v>0.96768124056083293</v>
      </c>
      <c r="BZ126" s="813">
        <v>0.96768124056083293</v>
      </c>
      <c r="CA126" s="813">
        <v>0.68203724151350031</v>
      </c>
      <c r="CB126" s="813">
        <v>0</v>
      </c>
      <c r="CC126" s="813">
        <v>0</v>
      </c>
      <c r="CD126" s="813">
        <v>0</v>
      </c>
      <c r="CE126" s="813">
        <v>0</v>
      </c>
      <c r="CF126" s="813">
        <v>0</v>
      </c>
      <c r="CG126" s="813">
        <v>0</v>
      </c>
      <c r="CH126" s="813">
        <v>0</v>
      </c>
      <c r="CI126" s="813">
        <v>0</v>
      </c>
      <c r="CJ126" s="813">
        <v>0</v>
      </c>
      <c r="CK126" s="813">
        <v>0</v>
      </c>
      <c r="CL126" s="813">
        <v>0</v>
      </c>
      <c r="CM126" s="813">
        <v>0</v>
      </c>
      <c r="CN126" s="813">
        <v>0</v>
      </c>
      <c r="CO126" s="813">
        <v>0</v>
      </c>
      <c r="CP126" s="813">
        <v>0</v>
      </c>
      <c r="CQ126" s="813">
        <v>0</v>
      </c>
      <c r="CR126" s="808"/>
      <c r="CS126" s="808"/>
      <c r="CT126" s="808"/>
      <c r="CU126" s="814">
        <v>0</v>
      </c>
      <c r="CV126" s="814">
        <v>9256.170964999088</v>
      </c>
      <c r="CW126" s="814">
        <v>9256.170964999088</v>
      </c>
      <c r="CX126" s="814">
        <v>9256.170964999088</v>
      </c>
      <c r="CY126" s="814">
        <v>9256.170964999088</v>
      </c>
      <c r="CZ126" s="814">
        <v>9256.170964999088</v>
      </c>
      <c r="DA126" s="814">
        <v>9256.170964999088</v>
      </c>
      <c r="DB126" s="814">
        <v>8487.5317278558432</v>
      </c>
      <c r="DC126" s="814">
        <v>8487.5317278558432</v>
      </c>
      <c r="DD126" s="814">
        <v>8487.5317278558432</v>
      </c>
      <c r="DE126" s="814">
        <v>5982.1483400568213</v>
      </c>
      <c r="DF126" s="814">
        <v>0</v>
      </c>
      <c r="DG126" s="814">
        <v>0</v>
      </c>
      <c r="DH126" s="814">
        <v>0</v>
      </c>
      <c r="DI126" s="814">
        <v>0</v>
      </c>
      <c r="DJ126" s="814">
        <v>0</v>
      </c>
      <c r="DK126" s="814">
        <v>0</v>
      </c>
      <c r="DL126" s="814">
        <v>0</v>
      </c>
      <c r="DM126" s="814">
        <v>0</v>
      </c>
      <c r="DN126" s="814">
        <v>0</v>
      </c>
      <c r="DO126" s="814">
        <v>0</v>
      </c>
      <c r="DP126" s="814">
        <v>0</v>
      </c>
      <c r="DQ126" s="814">
        <v>0</v>
      </c>
      <c r="DR126" s="814">
        <v>0</v>
      </c>
      <c r="DS126" s="814">
        <v>0</v>
      </c>
      <c r="DT126" s="814">
        <v>0</v>
      </c>
      <c r="DU126" s="814">
        <v>0</v>
      </c>
      <c r="DV126" s="808"/>
      <c r="DW126" s="808"/>
      <c r="DX126" s="808"/>
      <c r="DY126" s="814">
        <v>0</v>
      </c>
      <c r="DZ126" s="814">
        <v>6437.3692956946725</v>
      </c>
      <c r="EA126" s="814">
        <v>6437.3692956946725</v>
      </c>
      <c r="EB126" s="814">
        <v>6437.3692956946725</v>
      </c>
      <c r="EC126" s="814">
        <v>6437.3692956946725</v>
      </c>
      <c r="ED126" s="814">
        <v>6437.3692956946725</v>
      </c>
      <c r="EE126" s="814">
        <v>6437.3692956946725</v>
      </c>
      <c r="EF126" s="814">
        <v>5902.8054200529705</v>
      </c>
      <c r="EG126" s="814">
        <v>5902.8054200529705</v>
      </c>
      <c r="EH126" s="814">
        <v>5902.8054200529705</v>
      </c>
      <c r="EI126" s="814">
        <v>4160.3918285639002</v>
      </c>
      <c r="EJ126" s="814">
        <v>0</v>
      </c>
      <c r="EK126" s="814">
        <v>0</v>
      </c>
      <c r="EL126" s="814">
        <v>0</v>
      </c>
      <c r="EM126" s="814">
        <v>0</v>
      </c>
      <c r="EN126" s="814">
        <v>0</v>
      </c>
      <c r="EO126" s="814">
        <v>0</v>
      </c>
      <c r="EP126" s="814">
        <v>0</v>
      </c>
      <c r="EQ126" s="814">
        <v>0</v>
      </c>
      <c r="ER126" s="814">
        <v>0</v>
      </c>
      <c r="ES126" s="814">
        <v>0</v>
      </c>
      <c r="ET126" s="814">
        <v>0</v>
      </c>
      <c r="EU126" s="814">
        <v>0</v>
      </c>
      <c r="EV126" s="814">
        <v>0</v>
      </c>
      <c r="EW126" s="814">
        <v>0</v>
      </c>
      <c r="EX126" s="814">
        <v>0</v>
      </c>
      <c r="EY126" s="814">
        <v>0</v>
      </c>
      <c r="EZ126" s="815"/>
      <c r="FA126" s="815"/>
      <c r="FB126" s="815"/>
      <c r="FC126" s="815"/>
      <c r="FD126" s="815"/>
    </row>
    <row r="127" spans="1:160" s="816" customFormat="1">
      <c r="A127" s="797">
        <v>139214</v>
      </c>
      <c r="B127" s="797" t="s">
        <v>1007</v>
      </c>
      <c r="C127" s="799" t="s">
        <v>1008</v>
      </c>
      <c r="D127" s="799"/>
      <c r="E127" s="798" t="s">
        <v>990</v>
      </c>
      <c r="F127" s="800" t="s">
        <v>991</v>
      </c>
      <c r="G127" s="800">
        <v>2015</v>
      </c>
      <c r="H127" s="800" t="s">
        <v>992</v>
      </c>
      <c r="I127" s="801">
        <v>42142</v>
      </c>
      <c r="J127" s="802">
        <v>2015</v>
      </c>
      <c r="K127" s="803"/>
      <c r="L127" s="803" t="s">
        <v>993</v>
      </c>
      <c r="M127" s="803" t="s">
        <v>22</v>
      </c>
      <c r="N127" s="804">
        <v>7.5176131274290028E-2</v>
      </c>
      <c r="O127" s="804">
        <v>802.23997523990317</v>
      </c>
      <c r="P127" s="805">
        <v>10060.958594409618</v>
      </c>
      <c r="Q127" s="805">
        <v>8022.399752399032</v>
      </c>
      <c r="R127" s="805">
        <v>802.23997523990317</v>
      </c>
      <c r="S127" s="806">
        <v>7.5176131274290028E-2</v>
      </c>
      <c r="T127" s="807">
        <v>1.1043377452592222</v>
      </c>
      <c r="U127" s="807">
        <v>0.91104245203638656</v>
      </c>
      <c r="V127" s="808"/>
      <c r="W127" s="808"/>
      <c r="X127" s="808"/>
      <c r="Y127" s="809">
        <v>0.79737926332950881</v>
      </c>
      <c r="Z127" s="808"/>
      <c r="AA127" s="808"/>
      <c r="AB127" s="808"/>
      <c r="AC127" s="809">
        <v>0.79342890606602867</v>
      </c>
      <c r="AD127" s="808"/>
      <c r="AE127" s="810"/>
      <c r="AF127" s="808"/>
      <c r="AG127" s="811">
        <v>292.52968337730869</v>
      </c>
      <c r="AH127" s="812">
        <v>1170.1187335092347</v>
      </c>
      <c r="AI127" s="808"/>
      <c r="AJ127" s="808"/>
      <c r="AK127" s="808"/>
      <c r="AL127" s="808"/>
      <c r="AM127" s="813">
        <v>0</v>
      </c>
      <c r="AN127" s="813">
        <v>9.4748415011784201E-2</v>
      </c>
      <c r="AO127" s="813">
        <v>9.4748415011784201E-2</v>
      </c>
      <c r="AP127" s="813">
        <v>9.4748415011784201E-2</v>
      </c>
      <c r="AQ127" s="813">
        <v>9.4748415011784201E-2</v>
      </c>
      <c r="AR127" s="813">
        <v>9.4748415011784201E-2</v>
      </c>
      <c r="AS127" s="813">
        <v>9.4748415011784201E-2</v>
      </c>
      <c r="AT127" s="813">
        <v>9.4748415011784201E-2</v>
      </c>
      <c r="AU127" s="813">
        <v>9.4748415011784201E-2</v>
      </c>
      <c r="AV127" s="813">
        <v>9.4748415011784201E-2</v>
      </c>
      <c r="AW127" s="813">
        <v>9.4748415011784201E-2</v>
      </c>
      <c r="AX127" s="813">
        <v>0</v>
      </c>
      <c r="AY127" s="813">
        <v>0</v>
      </c>
      <c r="AZ127" s="813">
        <v>0</v>
      </c>
      <c r="BA127" s="813">
        <v>0</v>
      </c>
      <c r="BB127" s="813">
        <v>0</v>
      </c>
      <c r="BC127" s="813">
        <v>0</v>
      </c>
      <c r="BD127" s="813">
        <v>0</v>
      </c>
      <c r="BE127" s="813">
        <v>0</v>
      </c>
      <c r="BF127" s="813">
        <v>0</v>
      </c>
      <c r="BG127" s="813">
        <v>0</v>
      </c>
      <c r="BH127" s="813">
        <v>0</v>
      </c>
      <c r="BI127" s="813">
        <v>0</v>
      </c>
      <c r="BJ127" s="813">
        <v>0</v>
      </c>
      <c r="BK127" s="813">
        <v>0</v>
      </c>
      <c r="BL127" s="813">
        <v>0</v>
      </c>
      <c r="BM127" s="813">
        <v>0</v>
      </c>
      <c r="BN127" s="808"/>
      <c r="BO127" s="808"/>
      <c r="BP127" s="808"/>
      <c r="BQ127" s="813">
        <v>0</v>
      </c>
      <c r="BR127" s="813">
        <v>7.5176131274290028E-2</v>
      </c>
      <c r="BS127" s="813">
        <v>7.5176131274290028E-2</v>
      </c>
      <c r="BT127" s="813">
        <v>7.5176131274290028E-2</v>
      </c>
      <c r="BU127" s="813">
        <v>7.5176131274290028E-2</v>
      </c>
      <c r="BV127" s="813">
        <v>7.5176131274290028E-2</v>
      </c>
      <c r="BW127" s="813">
        <v>7.5176131274290028E-2</v>
      </c>
      <c r="BX127" s="813">
        <v>7.5176131274290028E-2</v>
      </c>
      <c r="BY127" s="813">
        <v>7.5176131274290028E-2</v>
      </c>
      <c r="BZ127" s="813">
        <v>7.5176131274290028E-2</v>
      </c>
      <c r="CA127" s="813">
        <v>7.5176131274290028E-2</v>
      </c>
      <c r="CB127" s="813">
        <v>0</v>
      </c>
      <c r="CC127" s="813">
        <v>0</v>
      </c>
      <c r="CD127" s="813">
        <v>0</v>
      </c>
      <c r="CE127" s="813">
        <v>0</v>
      </c>
      <c r="CF127" s="813">
        <v>0</v>
      </c>
      <c r="CG127" s="813">
        <v>0</v>
      </c>
      <c r="CH127" s="813">
        <v>0</v>
      </c>
      <c r="CI127" s="813">
        <v>0</v>
      </c>
      <c r="CJ127" s="813">
        <v>0</v>
      </c>
      <c r="CK127" s="813">
        <v>0</v>
      </c>
      <c r="CL127" s="813">
        <v>0</v>
      </c>
      <c r="CM127" s="813">
        <v>0</v>
      </c>
      <c r="CN127" s="813">
        <v>0</v>
      </c>
      <c r="CO127" s="813">
        <v>0</v>
      </c>
      <c r="CP127" s="813">
        <v>0</v>
      </c>
      <c r="CQ127" s="813">
        <v>0</v>
      </c>
      <c r="CR127" s="808"/>
      <c r="CS127" s="808"/>
      <c r="CT127" s="808"/>
      <c r="CU127" s="814">
        <v>0</v>
      </c>
      <c r="CV127" s="814">
        <v>1006.0958594409618</v>
      </c>
      <c r="CW127" s="814">
        <v>1006.0958594409618</v>
      </c>
      <c r="CX127" s="814">
        <v>1006.0958594409618</v>
      </c>
      <c r="CY127" s="814">
        <v>1006.0958594409618</v>
      </c>
      <c r="CZ127" s="814">
        <v>1006.0958594409618</v>
      </c>
      <c r="DA127" s="814">
        <v>1006.0958594409618</v>
      </c>
      <c r="DB127" s="814">
        <v>1006.0958594409618</v>
      </c>
      <c r="DC127" s="814">
        <v>1006.0958594409618</v>
      </c>
      <c r="DD127" s="814">
        <v>1006.0958594409618</v>
      </c>
      <c r="DE127" s="814">
        <v>1006.0958594409618</v>
      </c>
      <c r="DF127" s="814">
        <v>0</v>
      </c>
      <c r="DG127" s="814">
        <v>0</v>
      </c>
      <c r="DH127" s="814">
        <v>0</v>
      </c>
      <c r="DI127" s="814">
        <v>0</v>
      </c>
      <c r="DJ127" s="814">
        <v>0</v>
      </c>
      <c r="DK127" s="814">
        <v>0</v>
      </c>
      <c r="DL127" s="814">
        <v>0</v>
      </c>
      <c r="DM127" s="814">
        <v>0</v>
      </c>
      <c r="DN127" s="814">
        <v>0</v>
      </c>
      <c r="DO127" s="814">
        <v>0</v>
      </c>
      <c r="DP127" s="814">
        <v>0</v>
      </c>
      <c r="DQ127" s="814">
        <v>0</v>
      </c>
      <c r="DR127" s="814">
        <v>0</v>
      </c>
      <c r="DS127" s="814">
        <v>0</v>
      </c>
      <c r="DT127" s="814">
        <v>0</v>
      </c>
      <c r="DU127" s="814">
        <v>0</v>
      </c>
      <c r="DV127" s="808"/>
      <c r="DW127" s="808"/>
      <c r="DX127" s="808"/>
      <c r="DY127" s="814">
        <v>0</v>
      </c>
      <c r="DZ127" s="814">
        <v>802.23997523990317</v>
      </c>
      <c r="EA127" s="814">
        <v>802.23997523990317</v>
      </c>
      <c r="EB127" s="814">
        <v>802.23997523990317</v>
      </c>
      <c r="EC127" s="814">
        <v>802.23997523990317</v>
      </c>
      <c r="ED127" s="814">
        <v>802.23997523990317</v>
      </c>
      <c r="EE127" s="814">
        <v>802.23997523990317</v>
      </c>
      <c r="EF127" s="814">
        <v>802.23997523990317</v>
      </c>
      <c r="EG127" s="814">
        <v>802.23997523990317</v>
      </c>
      <c r="EH127" s="814">
        <v>802.23997523990317</v>
      </c>
      <c r="EI127" s="814">
        <v>802.23997523990317</v>
      </c>
      <c r="EJ127" s="814">
        <v>0</v>
      </c>
      <c r="EK127" s="814">
        <v>0</v>
      </c>
      <c r="EL127" s="814">
        <v>0</v>
      </c>
      <c r="EM127" s="814">
        <v>0</v>
      </c>
      <c r="EN127" s="814">
        <v>0</v>
      </c>
      <c r="EO127" s="814">
        <v>0</v>
      </c>
      <c r="EP127" s="814">
        <v>0</v>
      </c>
      <c r="EQ127" s="814">
        <v>0</v>
      </c>
      <c r="ER127" s="814">
        <v>0</v>
      </c>
      <c r="ES127" s="814">
        <v>0</v>
      </c>
      <c r="ET127" s="814">
        <v>0</v>
      </c>
      <c r="EU127" s="814">
        <v>0</v>
      </c>
      <c r="EV127" s="814">
        <v>0</v>
      </c>
      <c r="EW127" s="814">
        <v>0</v>
      </c>
      <c r="EX127" s="814">
        <v>0</v>
      </c>
      <c r="EY127" s="814">
        <v>0</v>
      </c>
      <c r="EZ127" s="815"/>
      <c r="FA127" s="815"/>
      <c r="FB127" s="815"/>
      <c r="FC127" s="815"/>
      <c r="FD127" s="815"/>
    </row>
    <row r="128" spans="1:160" s="816" customFormat="1">
      <c r="A128" s="797">
        <v>140247</v>
      </c>
      <c r="B128" s="797" t="s">
        <v>1009</v>
      </c>
      <c r="C128" s="799" t="s">
        <v>833</v>
      </c>
      <c r="D128" s="799"/>
      <c r="E128" s="798" t="s">
        <v>990</v>
      </c>
      <c r="F128" s="800" t="s">
        <v>991</v>
      </c>
      <c r="G128" s="800">
        <v>2015</v>
      </c>
      <c r="H128" s="800" t="s">
        <v>996</v>
      </c>
      <c r="I128" s="801">
        <v>42066</v>
      </c>
      <c r="J128" s="802">
        <v>2015</v>
      </c>
      <c r="K128" s="803"/>
      <c r="L128" s="803" t="s">
        <v>993</v>
      </c>
      <c r="M128" s="803" t="s">
        <v>22</v>
      </c>
      <c r="N128" s="804">
        <v>7.0624954180054642</v>
      </c>
      <c r="O128" s="804">
        <v>26458.358432457018</v>
      </c>
      <c r="P128" s="805">
        <v>357505.48459728685</v>
      </c>
      <c r="Q128" s="805">
        <v>248633.56978727173</v>
      </c>
      <c r="R128" s="805">
        <v>26458.358432457018</v>
      </c>
      <c r="S128" s="806">
        <v>7.0624954180054642</v>
      </c>
      <c r="T128" s="807">
        <v>0.68824232024679077</v>
      </c>
      <c r="U128" s="807">
        <v>0.58695629117961001</v>
      </c>
      <c r="V128" s="808"/>
      <c r="W128" s="808"/>
      <c r="X128" s="808"/>
      <c r="Y128" s="809">
        <v>0.69546784734602263</v>
      </c>
      <c r="Z128" s="808"/>
      <c r="AA128" s="808"/>
      <c r="AB128" s="808"/>
      <c r="AC128" s="809">
        <v>0.69151749008254249</v>
      </c>
      <c r="AD128" s="808"/>
      <c r="AE128" s="810"/>
      <c r="AF128" s="808"/>
      <c r="AG128" s="811">
        <v>13650</v>
      </c>
      <c r="AH128" s="812">
        <v>13650</v>
      </c>
      <c r="AI128" s="808"/>
      <c r="AJ128" s="808"/>
      <c r="AK128" s="808"/>
      <c r="AL128" s="808"/>
      <c r="AM128" s="813">
        <v>0</v>
      </c>
      <c r="AN128" s="813">
        <v>10.213039466525213</v>
      </c>
      <c r="AO128" s="813">
        <v>10.213039466525213</v>
      </c>
      <c r="AP128" s="813">
        <v>10.213039466525213</v>
      </c>
      <c r="AQ128" s="813">
        <v>10.213039466525213</v>
      </c>
      <c r="AR128" s="813">
        <v>10.213039466525213</v>
      </c>
      <c r="AS128" s="813">
        <v>10.213039466525213</v>
      </c>
      <c r="AT128" s="813">
        <v>9.3649411660348694</v>
      </c>
      <c r="AU128" s="813">
        <v>9.3649411660348694</v>
      </c>
      <c r="AV128" s="813">
        <v>9.3649411660348694</v>
      </c>
      <c r="AW128" s="813">
        <v>6.6005605690122024</v>
      </c>
      <c r="AX128" s="813">
        <v>0</v>
      </c>
      <c r="AY128" s="813">
        <v>0</v>
      </c>
      <c r="AZ128" s="813">
        <v>0</v>
      </c>
      <c r="BA128" s="813">
        <v>0</v>
      </c>
      <c r="BB128" s="813">
        <v>0</v>
      </c>
      <c r="BC128" s="813">
        <v>0</v>
      </c>
      <c r="BD128" s="813">
        <v>0</v>
      </c>
      <c r="BE128" s="813">
        <v>0</v>
      </c>
      <c r="BF128" s="813">
        <v>0</v>
      </c>
      <c r="BG128" s="813">
        <v>0</v>
      </c>
      <c r="BH128" s="813">
        <v>0</v>
      </c>
      <c r="BI128" s="813">
        <v>0</v>
      </c>
      <c r="BJ128" s="813">
        <v>0</v>
      </c>
      <c r="BK128" s="813">
        <v>0</v>
      </c>
      <c r="BL128" s="813">
        <v>0</v>
      </c>
      <c r="BM128" s="813">
        <v>0</v>
      </c>
      <c r="BN128" s="808"/>
      <c r="BO128" s="808"/>
      <c r="BP128" s="808"/>
      <c r="BQ128" s="813">
        <v>0</v>
      </c>
      <c r="BR128" s="813">
        <v>7.0624954180054642</v>
      </c>
      <c r="BS128" s="813">
        <v>7.0624954180054642</v>
      </c>
      <c r="BT128" s="813">
        <v>7.0624954180054642</v>
      </c>
      <c r="BU128" s="813">
        <v>7.0624954180054642</v>
      </c>
      <c r="BV128" s="813">
        <v>7.0624954180054642</v>
      </c>
      <c r="BW128" s="813">
        <v>7.0624954180054642</v>
      </c>
      <c r="BX128" s="813">
        <v>6.4760206099071116</v>
      </c>
      <c r="BY128" s="813">
        <v>6.4760206099071116</v>
      </c>
      <c r="BZ128" s="813">
        <v>6.4760206099071116</v>
      </c>
      <c r="CA128" s="813">
        <v>4.5644030778211171</v>
      </c>
      <c r="CB128" s="813">
        <v>0</v>
      </c>
      <c r="CC128" s="813">
        <v>0</v>
      </c>
      <c r="CD128" s="813">
        <v>0</v>
      </c>
      <c r="CE128" s="813">
        <v>0</v>
      </c>
      <c r="CF128" s="813">
        <v>0</v>
      </c>
      <c r="CG128" s="813">
        <v>0</v>
      </c>
      <c r="CH128" s="813">
        <v>0</v>
      </c>
      <c r="CI128" s="813">
        <v>0</v>
      </c>
      <c r="CJ128" s="813">
        <v>0</v>
      </c>
      <c r="CK128" s="813">
        <v>0</v>
      </c>
      <c r="CL128" s="813">
        <v>0</v>
      </c>
      <c r="CM128" s="813">
        <v>0</v>
      </c>
      <c r="CN128" s="813">
        <v>0</v>
      </c>
      <c r="CO128" s="813">
        <v>0</v>
      </c>
      <c r="CP128" s="813">
        <v>0</v>
      </c>
      <c r="CQ128" s="813">
        <v>0</v>
      </c>
      <c r="CR128" s="808"/>
      <c r="CS128" s="808"/>
      <c r="CT128" s="808"/>
      <c r="CU128" s="814">
        <v>0</v>
      </c>
      <c r="CV128" s="814">
        <v>38043.970736281852</v>
      </c>
      <c r="CW128" s="814">
        <v>38043.970736281852</v>
      </c>
      <c r="CX128" s="814">
        <v>38043.970736281852</v>
      </c>
      <c r="CY128" s="814">
        <v>38043.970736281852</v>
      </c>
      <c r="CZ128" s="814">
        <v>38043.970736281852</v>
      </c>
      <c r="DA128" s="814">
        <v>38043.970736281852</v>
      </c>
      <c r="DB128" s="814">
        <v>34884.771456664988</v>
      </c>
      <c r="DC128" s="814">
        <v>34884.771456664988</v>
      </c>
      <c r="DD128" s="814">
        <v>34884.771456664988</v>
      </c>
      <c r="DE128" s="814">
        <v>24587.345809600782</v>
      </c>
      <c r="DF128" s="814">
        <v>0</v>
      </c>
      <c r="DG128" s="814">
        <v>0</v>
      </c>
      <c r="DH128" s="814">
        <v>0</v>
      </c>
      <c r="DI128" s="814">
        <v>0</v>
      </c>
      <c r="DJ128" s="814">
        <v>0</v>
      </c>
      <c r="DK128" s="814">
        <v>0</v>
      </c>
      <c r="DL128" s="814">
        <v>0</v>
      </c>
      <c r="DM128" s="814">
        <v>0</v>
      </c>
      <c r="DN128" s="814">
        <v>0</v>
      </c>
      <c r="DO128" s="814">
        <v>0</v>
      </c>
      <c r="DP128" s="814">
        <v>0</v>
      </c>
      <c r="DQ128" s="814">
        <v>0</v>
      </c>
      <c r="DR128" s="814">
        <v>0</v>
      </c>
      <c r="DS128" s="814">
        <v>0</v>
      </c>
      <c r="DT128" s="814">
        <v>0</v>
      </c>
      <c r="DU128" s="814">
        <v>0</v>
      </c>
      <c r="DV128" s="808"/>
      <c r="DW128" s="808"/>
      <c r="DX128" s="808"/>
      <c r="DY128" s="814">
        <v>0</v>
      </c>
      <c r="DZ128" s="814">
        <v>26458.358432457018</v>
      </c>
      <c r="EA128" s="814">
        <v>26458.358432457018</v>
      </c>
      <c r="EB128" s="814">
        <v>26458.358432457018</v>
      </c>
      <c r="EC128" s="814">
        <v>26458.358432457018</v>
      </c>
      <c r="ED128" s="814">
        <v>26458.358432457018</v>
      </c>
      <c r="EE128" s="814">
        <v>26458.358432457018</v>
      </c>
      <c r="EF128" s="814">
        <v>24261.236910124775</v>
      </c>
      <c r="EG128" s="814">
        <v>24261.236910124775</v>
      </c>
      <c r="EH128" s="814">
        <v>24261.236910124775</v>
      </c>
      <c r="EI128" s="814">
        <v>17099.708462155308</v>
      </c>
      <c r="EJ128" s="814">
        <v>0</v>
      </c>
      <c r="EK128" s="814">
        <v>0</v>
      </c>
      <c r="EL128" s="814">
        <v>0</v>
      </c>
      <c r="EM128" s="814">
        <v>0</v>
      </c>
      <c r="EN128" s="814">
        <v>0</v>
      </c>
      <c r="EO128" s="814">
        <v>0</v>
      </c>
      <c r="EP128" s="814">
        <v>0</v>
      </c>
      <c r="EQ128" s="814">
        <v>0</v>
      </c>
      <c r="ER128" s="814">
        <v>0</v>
      </c>
      <c r="ES128" s="814">
        <v>0</v>
      </c>
      <c r="ET128" s="814">
        <v>0</v>
      </c>
      <c r="EU128" s="814">
        <v>0</v>
      </c>
      <c r="EV128" s="814">
        <v>0</v>
      </c>
      <c r="EW128" s="814">
        <v>0</v>
      </c>
      <c r="EX128" s="814">
        <v>0</v>
      </c>
      <c r="EY128" s="814">
        <v>0</v>
      </c>
      <c r="EZ128" s="815"/>
      <c r="FA128" s="815"/>
      <c r="FB128" s="815"/>
      <c r="FC128" s="815"/>
      <c r="FD128" s="815"/>
    </row>
    <row r="129" spans="1:160" s="816" customFormat="1">
      <c r="A129" s="797">
        <v>140284</v>
      </c>
      <c r="B129" s="797"/>
      <c r="C129" s="799" t="s">
        <v>1010</v>
      </c>
      <c r="D129" s="799"/>
      <c r="E129" s="798" t="s">
        <v>990</v>
      </c>
      <c r="F129" s="800" t="s">
        <v>991</v>
      </c>
      <c r="G129" s="800">
        <v>2015</v>
      </c>
      <c r="H129" s="800" t="s">
        <v>992</v>
      </c>
      <c r="I129" s="801">
        <v>42170</v>
      </c>
      <c r="J129" s="802">
        <v>2015</v>
      </c>
      <c r="K129" s="803"/>
      <c r="L129" s="803" t="s">
        <v>993</v>
      </c>
      <c r="M129" s="803" t="s">
        <v>22</v>
      </c>
      <c r="N129" s="804">
        <v>1.5179795738077793E-2</v>
      </c>
      <c r="O129" s="804">
        <v>47.96849799264411</v>
      </c>
      <c r="P129" s="805">
        <v>234.90147311859863</v>
      </c>
      <c r="Q129" s="805">
        <v>187.30556359032462</v>
      </c>
      <c r="R129" s="805">
        <v>9.1368567605036404</v>
      </c>
      <c r="S129" s="806">
        <v>2.89138966439577E-3</v>
      </c>
      <c r="T129" s="807">
        <v>1.1043377452592222</v>
      </c>
      <c r="U129" s="807">
        <v>0.91104245203638645</v>
      </c>
      <c r="V129" s="808"/>
      <c r="W129" s="808"/>
      <c r="X129" s="808"/>
      <c r="Y129" s="809">
        <v>0.79737926332950881</v>
      </c>
      <c r="Z129" s="808"/>
      <c r="AA129" s="808"/>
      <c r="AB129" s="808"/>
      <c r="AC129" s="809">
        <v>0.79342890606602867</v>
      </c>
      <c r="AD129" s="808"/>
      <c r="AE129" s="810"/>
      <c r="AF129" s="808"/>
      <c r="AG129" s="811">
        <v>26.143873438951498</v>
      </c>
      <c r="AH129" s="812">
        <v>26.143873438951498</v>
      </c>
      <c r="AI129" s="808"/>
      <c r="AJ129" s="808"/>
      <c r="AK129" s="808"/>
      <c r="AL129" s="808"/>
      <c r="AM129" s="813">
        <v>0</v>
      </c>
      <c r="AN129" s="813">
        <v>1.9131891492764116E-2</v>
      </c>
      <c r="AO129" s="813">
        <v>1.9131891492764116E-2</v>
      </c>
      <c r="AP129" s="813">
        <v>3.6441698081455458E-3</v>
      </c>
      <c r="AQ129" s="813">
        <v>3.6441698081455458E-3</v>
      </c>
      <c r="AR129" s="813">
        <v>3.6441698081455458E-3</v>
      </c>
      <c r="AS129" s="813">
        <v>3.6441698081455458E-3</v>
      </c>
      <c r="AT129" s="813">
        <v>3.6441698081455458E-3</v>
      </c>
      <c r="AU129" s="813">
        <v>3.6441698081455458E-3</v>
      </c>
      <c r="AV129" s="813">
        <v>3.6441698081455458E-3</v>
      </c>
      <c r="AW129" s="813">
        <v>3.6441698081455458E-3</v>
      </c>
      <c r="AX129" s="813">
        <v>3.6441698081455458E-3</v>
      </c>
      <c r="AY129" s="813">
        <v>3.6441698081455458E-3</v>
      </c>
      <c r="AZ129" s="813">
        <v>0</v>
      </c>
      <c r="BA129" s="813">
        <v>0</v>
      </c>
      <c r="BB129" s="813">
        <v>0</v>
      </c>
      <c r="BC129" s="813">
        <v>0</v>
      </c>
      <c r="BD129" s="813">
        <v>0</v>
      </c>
      <c r="BE129" s="813">
        <v>0</v>
      </c>
      <c r="BF129" s="813">
        <v>0</v>
      </c>
      <c r="BG129" s="813">
        <v>0</v>
      </c>
      <c r="BH129" s="813">
        <v>0</v>
      </c>
      <c r="BI129" s="813">
        <v>0</v>
      </c>
      <c r="BJ129" s="813">
        <v>0</v>
      </c>
      <c r="BK129" s="813">
        <v>0</v>
      </c>
      <c r="BL129" s="813">
        <v>0</v>
      </c>
      <c r="BM129" s="813">
        <v>0</v>
      </c>
      <c r="BN129" s="808"/>
      <c r="BO129" s="808"/>
      <c r="BP129" s="808"/>
      <c r="BQ129" s="813">
        <v>0</v>
      </c>
      <c r="BR129" s="813">
        <v>1.5179795738077793E-2</v>
      </c>
      <c r="BS129" s="813">
        <v>1.5179795738077793E-2</v>
      </c>
      <c r="BT129" s="813">
        <v>2.89138966439577E-3</v>
      </c>
      <c r="BU129" s="813">
        <v>2.89138966439577E-3</v>
      </c>
      <c r="BV129" s="813">
        <v>2.89138966439577E-3</v>
      </c>
      <c r="BW129" s="813">
        <v>2.89138966439577E-3</v>
      </c>
      <c r="BX129" s="813">
        <v>2.89138966439577E-3</v>
      </c>
      <c r="BY129" s="813">
        <v>2.89138966439577E-3</v>
      </c>
      <c r="BZ129" s="813">
        <v>2.89138966439577E-3</v>
      </c>
      <c r="CA129" s="813">
        <v>2.89138966439577E-3</v>
      </c>
      <c r="CB129" s="813">
        <v>2.89138966439577E-3</v>
      </c>
      <c r="CC129" s="813">
        <v>2.89138966439577E-3</v>
      </c>
      <c r="CD129" s="813">
        <v>0</v>
      </c>
      <c r="CE129" s="813">
        <v>0</v>
      </c>
      <c r="CF129" s="813">
        <v>0</v>
      </c>
      <c r="CG129" s="813">
        <v>0</v>
      </c>
      <c r="CH129" s="813">
        <v>0</v>
      </c>
      <c r="CI129" s="813">
        <v>0</v>
      </c>
      <c r="CJ129" s="813">
        <v>0</v>
      </c>
      <c r="CK129" s="813">
        <v>0</v>
      </c>
      <c r="CL129" s="813">
        <v>0</v>
      </c>
      <c r="CM129" s="813">
        <v>0</v>
      </c>
      <c r="CN129" s="813">
        <v>0</v>
      </c>
      <c r="CO129" s="813">
        <v>0</v>
      </c>
      <c r="CP129" s="813">
        <v>0</v>
      </c>
      <c r="CQ129" s="813">
        <v>0</v>
      </c>
      <c r="CR129" s="808"/>
      <c r="CS129" s="808"/>
      <c r="CT129" s="808"/>
      <c r="CU129" s="814">
        <v>0</v>
      </c>
      <c r="CV129" s="814">
        <v>60.157694335250874</v>
      </c>
      <c r="CW129" s="814">
        <v>60.157694335250874</v>
      </c>
      <c r="CX129" s="814">
        <v>11.458608444809689</v>
      </c>
      <c r="CY129" s="814">
        <v>11.458608444809689</v>
      </c>
      <c r="CZ129" s="814">
        <v>11.458608444809689</v>
      </c>
      <c r="DA129" s="814">
        <v>11.458608444809689</v>
      </c>
      <c r="DB129" s="814">
        <v>11.458608444809689</v>
      </c>
      <c r="DC129" s="814">
        <v>11.458608444809689</v>
      </c>
      <c r="DD129" s="814">
        <v>11.458608444809689</v>
      </c>
      <c r="DE129" s="814">
        <v>11.458608444809689</v>
      </c>
      <c r="DF129" s="814">
        <v>11.458608444809689</v>
      </c>
      <c r="DG129" s="814">
        <v>11.458608444809689</v>
      </c>
      <c r="DH129" s="814">
        <v>0</v>
      </c>
      <c r="DI129" s="814">
        <v>0</v>
      </c>
      <c r="DJ129" s="814">
        <v>0</v>
      </c>
      <c r="DK129" s="814">
        <v>0</v>
      </c>
      <c r="DL129" s="814">
        <v>0</v>
      </c>
      <c r="DM129" s="814">
        <v>0</v>
      </c>
      <c r="DN129" s="814">
        <v>0</v>
      </c>
      <c r="DO129" s="814">
        <v>0</v>
      </c>
      <c r="DP129" s="814">
        <v>0</v>
      </c>
      <c r="DQ129" s="814">
        <v>0</v>
      </c>
      <c r="DR129" s="814">
        <v>0</v>
      </c>
      <c r="DS129" s="814">
        <v>0</v>
      </c>
      <c r="DT129" s="814">
        <v>0</v>
      </c>
      <c r="DU129" s="814">
        <v>0</v>
      </c>
      <c r="DV129" s="808"/>
      <c r="DW129" s="808"/>
      <c r="DX129" s="808"/>
      <c r="DY129" s="814">
        <v>0</v>
      </c>
      <c r="DZ129" s="814">
        <v>47.96849799264411</v>
      </c>
      <c r="EA129" s="814">
        <v>47.96849799264411</v>
      </c>
      <c r="EB129" s="814">
        <v>9.1368567605036404</v>
      </c>
      <c r="EC129" s="814">
        <v>9.1368567605036404</v>
      </c>
      <c r="ED129" s="814">
        <v>9.1368567605036404</v>
      </c>
      <c r="EE129" s="814">
        <v>9.1368567605036404</v>
      </c>
      <c r="EF129" s="814">
        <v>9.1368567605036404</v>
      </c>
      <c r="EG129" s="814">
        <v>9.1368567605036404</v>
      </c>
      <c r="EH129" s="814">
        <v>9.1368567605036404</v>
      </c>
      <c r="EI129" s="814">
        <v>9.1368567605036404</v>
      </c>
      <c r="EJ129" s="814">
        <v>9.1368567605036404</v>
      </c>
      <c r="EK129" s="814">
        <v>9.1368567605036404</v>
      </c>
      <c r="EL129" s="814">
        <v>0</v>
      </c>
      <c r="EM129" s="814">
        <v>0</v>
      </c>
      <c r="EN129" s="814">
        <v>0</v>
      </c>
      <c r="EO129" s="814">
        <v>0</v>
      </c>
      <c r="EP129" s="814">
        <v>0</v>
      </c>
      <c r="EQ129" s="814">
        <v>0</v>
      </c>
      <c r="ER129" s="814">
        <v>0</v>
      </c>
      <c r="ES129" s="814">
        <v>0</v>
      </c>
      <c r="ET129" s="814">
        <v>0</v>
      </c>
      <c r="EU129" s="814">
        <v>0</v>
      </c>
      <c r="EV129" s="814">
        <v>0</v>
      </c>
      <c r="EW129" s="814">
        <v>0</v>
      </c>
      <c r="EX129" s="814">
        <v>0</v>
      </c>
      <c r="EY129" s="814">
        <v>0</v>
      </c>
      <c r="EZ129" s="815"/>
      <c r="FA129" s="815"/>
      <c r="FB129" s="815"/>
      <c r="FC129" s="815"/>
      <c r="FD129" s="815"/>
    </row>
    <row r="130" spans="1:160" s="816" customFormat="1">
      <c r="A130" s="797">
        <v>143323</v>
      </c>
      <c r="B130" s="798" t="s">
        <v>1011</v>
      </c>
      <c r="C130" s="799" t="s">
        <v>1012</v>
      </c>
      <c r="D130" s="799"/>
      <c r="E130" s="798" t="s">
        <v>990</v>
      </c>
      <c r="F130" s="800" t="s">
        <v>991</v>
      </c>
      <c r="G130" s="800">
        <v>2015</v>
      </c>
      <c r="H130" s="800" t="s">
        <v>1013</v>
      </c>
      <c r="I130" s="801">
        <v>42305</v>
      </c>
      <c r="J130" s="802">
        <v>2015</v>
      </c>
      <c r="K130" s="803"/>
      <c r="L130" s="803" t="s">
        <v>993</v>
      </c>
      <c r="M130" s="803" t="s">
        <v>22</v>
      </c>
      <c r="N130" s="804">
        <v>0</v>
      </c>
      <c r="O130" s="804">
        <v>12512.649995556951</v>
      </c>
      <c r="P130" s="805">
        <v>186585.74619599967</v>
      </c>
      <c r="Q130" s="805">
        <v>125573.34755183787</v>
      </c>
      <c r="R130" s="805">
        <v>12512.649995556951</v>
      </c>
      <c r="S130" s="806">
        <v>0</v>
      </c>
      <c r="T130" s="807">
        <v>0.89981385612279274</v>
      </c>
      <c r="U130" s="807" t="s">
        <v>1014</v>
      </c>
      <c r="V130" s="808"/>
      <c r="W130" s="808"/>
      <c r="X130" s="808"/>
      <c r="Y130" s="809">
        <v>0.67300611173121927</v>
      </c>
      <c r="Z130" s="808"/>
      <c r="AA130" s="808"/>
      <c r="AB130" s="808"/>
      <c r="AC130" s="809">
        <v>0.66905575446773913</v>
      </c>
      <c r="AD130" s="808"/>
      <c r="AE130" s="810"/>
      <c r="AF130" s="808"/>
      <c r="AG130" s="811">
        <v>4835.55</v>
      </c>
      <c r="AH130" s="812">
        <v>4835.55</v>
      </c>
      <c r="AI130" s="808"/>
      <c r="AJ130" s="808"/>
      <c r="AK130" s="808"/>
      <c r="AL130" s="808"/>
      <c r="AM130" s="813">
        <v>0</v>
      </c>
      <c r="AN130" s="813">
        <v>0</v>
      </c>
      <c r="AO130" s="813">
        <v>0</v>
      </c>
      <c r="AP130" s="813">
        <v>0</v>
      </c>
      <c r="AQ130" s="813">
        <v>0</v>
      </c>
      <c r="AR130" s="813">
        <v>0</v>
      </c>
      <c r="AS130" s="813">
        <v>0</v>
      </c>
      <c r="AT130" s="813">
        <v>0</v>
      </c>
      <c r="AU130" s="813">
        <v>0</v>
      </c>
      <c r="AV130" s="813">
        <v>0</v>
      </c>
      <c r="AW130" s="813">
        <v>0</v>
      </c>
      <c r="AX130" s="813">
        <v>0</v>
      </c>
      <c r="AY130" s="813">
        <v>0</v>
      </c>
      <c r="AZ130" s="813">
        <v>0</v>
      </c>
      <c r="BA130" s="813">
        <v>0</v>
      </c>
      <c r="BB130" s="813">
        <v>0</v>
      </c>
      <c r="BC130" s="813">
        <v>0</v>
      </c>
      <c r="BD130" s="813">
        <v>0</v>
      </c>
      <c r="BE130" s="813">
        <v>0</v>
      </c>
      <c r="BF130" s="813">
        <v>0</v>
      </c>
      <c r="BG130" s="813">
        <v>0</v>
      </c>
      <c r="BH130" s="813">
        <v>0</v>
      </c>
      <c r="BI130" s="813">
        <v>0</v>
      </c>
      <c r="BJ130" s="813">
        <v>0</v>
      </c>
      <c r="BK130" s="813">
        <v>0</v>
      </c>
      <c r="BL130" s="813">
        <v>0</v>
      </c>
      <c r="BM130" s="813">
        <v>0</v>
      </c>
      <c r="BN130" s="808"/>
      <c r="BO130" s="808"/>
      <c r="BP130" s="808"/>
      <c r="BQ130" s="813">
        <v>0</v>
      </c>
      <c r="BR130" s="813">
        <v>0</v>
      </c>
      <c r="BS130" s="813">
        <v>0</v>
      </c>
      <c r="BT130" s="813">
        <v>0</v>
      </c>
      <c r="BU130" s="813">
        <v>0</v>
      </c>
      <c r="BV130" s="813">
        <v>0</v>
      </c>
      <c r="BW130" s="813">
        <v>0</v>
      </c>
      <c r="BX130" s="813">
        <v>0</v>
      </c>
      <c r="BY130" s="813">
        <v>0</v>
      </c>
      <c r="BZ130" s="813">
        <v>0</v>
      </c>
      <c r="CA130" s="813">
        <v>0</v>
      </c>
      <c r="CB130" s="813">
        <v>0</v>
      </c>
      <c r="CC130" s="813">
        <v>0</v>
      </c>
      <c r="CD130" s="813">
        <v>0</v>
      </c>
      <c r="CE130" s="813">
        <v>0</v>
      </c>
      <c r="CF130" s="813">
        <v>0</v>
      </c>
      <c r="CG130" s="813">
        <v>0</v>
      </c>
      <c r="CH130" s="813">
        <v>0</v>
      </c>
      <c r="CI130" s="813">
        <v>0</v>
      </c>
      <c r="CJ130" s="813">
        <v>0</v>
      </c>
      <c r="CK130" s="813">
        <v>0</v>
      </c>
      <c r="CL130" s="813">
        <v>0</v>
      </c>
      <c r="CM130" s="813">
        <v>0</v>
      </c>
      <c r="CN130" s="813">
        <v>0</v>
      </c>
      <c r="CO130" s="813">
        <v>0</v>
      </c>
      <c r="CP130" s="813">
        <v>0</v>
      </c>
      <c r="CQ130" s="813">
        <v>0</v>
      </c>
      <c r="CR130" s="808"/>
      <c r="CS130" s="808"/>
      <c r="CT130" s="808"/>
      <c r="CU130" s="814">
        <v>0</v>
      </c>
      <c r="CV130" s="814">
        <v>18592.178848673175</v>
      </c>
      <c r="CW130" s="814">
        <v>18592.178848673175</v>
      </c>
      <c r="CX130" s="814">
        <v>18592.178848673175</v>
      </c>
      <c r="CY130" s="814">
        <v>18592.178848673175</v>
      </c>
      <c r="CZ130" s="814">
        <v>18592.178848673175</v>
      </c>
      <c r="DA130" s="814">
        <v>18592.178848673175</v>
      </c>
      <c r="DB130" s="814">
        <v>18592.178848673175</v>
      </c>
      <c r="DC130" s="814">
        <v>18592.178848673175</v>
      </c>
      <c r="DD130" s="814">
        <v>16170.228739592396</v>
      </c>
      <c r="DE130" s="814">
        <v>15247.902754544735</v>
      </c>
      <c r="DF130" s="814">
        <v>6430.1839124771359</v>
      </c>
      <c r="DG130" s="814">
        <v>0</v>
      </c>
      <c r="DH130" s="814">
        <v>0</v>
      </c>
      <c r="DI130" s="814">
        <v>0</v>
      </c>
      <c r="DJ130" s="814">
        <v>0</v>
      </c>
      <c r="DK130" s="814">
        <v>0</v>
      </c>
      <c r="DL130" s="814">
        <v>0</v>
      </c>
      <c r="DM130" s="814">
        <v>0</v>
      </c>
      <c r="DN130" s="814">
        <v>0</v>
      </c>
      <c r="DO130" s="814">
        <v>0</v>
      </c>
      <c r="DP130" s="814">
        <v>0</v>
      </c>
      <c r="DQ130" s="814">
        <v>0</v>
      </c>
      <c r="DR130" s="814">
        <v>0</v>
      </c>
      <c r="DS130" s="814">
        <v>0</v>
      </c>
      <c r="DT130" s="814">
        <v>0</v>
      </c>
      <c r="DU130" s="814">
        <v>0</v>
      </c>
      <c r="DV130" s="808"/>
      <c r="DW130" s="808"/>
      <c r="DX130" s="808"/>
      <c r="DY130" s="814">
        <v>0</v>
      </c>
      <c r="DZ130" s="814">
        <v>12512.649995556951</v>
      </c>
      <c r="EA130" s="814">
        <v>12512.649995556951</v>
      </c>
      <c r="EB130" s="814">
        <v>12512.649995556951</v>
      </c>
      <c r="EC130" s="814">
        <v>12512.649995556951</v>
      </c>
      <c r="ED130" s="814">
        <v>12512.649995556951</v>
      </c>
      <c r="EE130" s="814">
        <v>12512.649995556951</v>
      </c>
      <c r="EF130" s="814">
        <v>12512.649995556951</v>
      </c>
      <c r="EG130" s="814">
        <v>12512.649995556951</v>
      </c>
      <c r="EH130" s="814">
        <v>10882.662769837494</v>
      </c>
      <c r="EI130" s="814">
        <v>10261.931744891899</v>
      </c>
      <c r="EJ130" s="814">
        <v>4327.5530726528759</v>
      </c>
      <c r="EK130" s="814">
        <v>0</v>
      </c>
      <c r="EL130" s="814">
        <v>0</v>
      </c>
      <c r="EM130" s="814">
        <v>0</v>
      </c>
      <c r="EN130" s="814">
        <v>0</v>
      </c>
      <c r="EO130" s="814">
        <v>0</v>
      </c>
      <c r="EP130" s="814">
        <v>0</v>
      </c>
      <c r="EQ130" s="814">
        <v>0</v>
      </c>
      <c r="ER130" s="814">
        <v>0</v>
      </c>
      <c r="ES130" s="814">
        <v>0</v>
      </c>
      <c r="ET130" s="814">
        <v>0</v>
      </c>
      <c r="EU130" s="814">
        <v>0</v>
      </c>
      <c r="EV130" s="814">
        <v>0</v>
      </c>
      <c r="EW130" s="814">
        <v>0</v>
      </c>
      <c r="EX130" s="814">
        <v>0</v>
      </c>
      <c r="EY130" s="814">
        <v>0</v>
      </c>
      <c r="EZ130" s="815"/>
      <c r="FA130" s="815"/>
      <c r="FB130" s="815"/>
      <c r="FC130" s="815"/>
      <c r="FD130" s="815"/>
    </row>
    <row r="131" spans="1:160" s="816" customFormat="1">
      <c r="A131" s="797">
        <v>144213</v>
      </c>
      <c r="B131" s="798"/>
      <c r="C131" s="799" t="s">
        <v>1015</v>
      </c>
      <c r="D131" s="799"/>
      <c r="E131" s="798" t="s">
        <v>990</v>
      </c>
      <c r="F131" s="800" t="s">
        <v>991</v>
      </c>
      <c r="G131" s="800">
        <v>2015</v>
      </c>
      <c r="H131" s="800" t="s">
        <v>992</v>
      </c>
      <c r="I131" s="801">
        <v>42347</v>
      </c>
      <c r="J131" s="802">
        <v>2015</v>
      </c>
      <c r="K131" s="803"/>
      <c r="L131" s="803" t="s">
        <v>993</v>
      </c>
      <c r="M131" s="803" t="s">
        <v>22</v>
      </c>
      <c r="N131" s="804">
        <v>0</v>
      </c>
      <c r="O131" s="804">
        <v>0</v>
      </c>
      <c r="P131" s="805">
        <v>0</v>
      </c>
      <c r="Q131" s="805">
        <v>0</v>
      </c>
      <c r="R131" s="805">
        <v>0</v>
      </c>
      <c r="S131" s="806">
        <v>0</v>
      </c>
      <c r="T131" s="807" t="s">
        <v>1014</v>
      </c>
      <c r="U131" s="807" t="s">
        <v>1014</v>
      </c>
      <c r="V131" s="808"/>
      <c r="W131" s="808"/>
      <c r="X131" s="808"/>
      <c r="Y131" s="809">
        <v>0.79737926332950881</v>
      </c>
      <c r="Z131" s="808"/>
      <c r="AA131" s="808"/>
      <c r="AB131" s="808"/>
      <c r="AC131" s="809">
        <v>0.79342890606602867</v>
      </c>
      <c r="AD131" s="808"/>
      <c r="AE131" s="810"/>
      <c r="AF131" s="808"/>
      <c r="AG131" s="811">
        <v>0</v>
      </c>
      <c r="AH131" s="812">
        <v>0</v>
      </c>
      <c r="AI131" s="808"/>
      <c r="AJ131" s="808"/>
      <c r="AK131" s="808"/>
      <c r="AL131" s="808"/>
      <c r="AM131" s="813">
        <v>0</v>
      </c>
      <c r="AN131" s="813">
        <v>0</v>
      </c>
      <c r="AO131" s="813">
        <v>0</v>
      </c>
      <c r="AP131" s="813">
        <v>0</v>
      </c>
      <c r="AQ131" s="813">
        <v>0</v>
      </c>
      <c r="AR131" s="813">
        <v>0</v>
      </c>
      <c r="AS131" s="813">
        <v>0</v>
      </c>
      <c r="AT131" s="813">
        <v>0</v>
      </c>
      <c r="AU131" s="813">
        <v>0</v>
      </c>
      <c r="AV131" s="813">
        <v>0</v>
      </c>
      <c r="AW131" s="813">
        <v>0</v>
      </c>
      <c r="AX131" s="813">
        <v>0</v>
      </c>
      <c r="AY131" s="813">
        <v>0</v>
      </c>
      <c r="AZ131" s="813">
        <v>0</v>
      </c>
      <c r="BA131" s="813">
        <v>0</v>
      </c>
      <c r="BB131" s="813">
        <v>0</v>
      </c>
      <c r="BC131" s="813">
        <v>0</v>
      </c>
      <c r="BD131" s="813">
        <v>0</v>
      </c>
      <c r="BE131" s="813">
        <v>0</v>
      </c>
      <c r="BF131" s="813">
        <v>0</v>
      </c>
      <c r="BG131" s="813">
        <v>0</v>
      </c>
      <c r="BH131" s="813">
        <v>0</v>
      </c>
      <c r="BI131" s="813">
        <v>0</v>
      </c>
      <c r="BJ131" s="813">
        <v>0</v>
      </c>
      <c r="BK131" s="813">
        <v>0</v>
      </c>
      <c r="BL131" s="813">
        <v>0</v>
      </c>
      <c r="BM131" s="813">
        <v>0</v>
      </c>
      <c r="BN131" s="808"/>
      <c r="BO131" s="808"/>
      <c r="BP131" s="808"/>
      <c r="BQ131" s="813">
        <v>0</v>
      </c>
      <c r="BR131" s="813">
        <v>0</v>
      </c>
      <c r="BS131" s="813">
        <v>0</v>
      </c>
      <c r="BT131" s="813">
        <v>0</v>
      </c>
      <c r="BU131" s="813">
        <v>0</v>
      </c>
      <c r="BV131" s="813">
        <v>0</v>
      </c>
      <c r="BW131" s="813">
        <v>0</v>
      </c>
      <c r="BX131" s="813">
        <v>0</v>
      </c>
      <c r="BY131" s="813">
        <v>0</v>
      </c>
      <c r="BZ131" s="813">
        <v>0</v>
      </c>
      <c r="CA131" s="813">
        <v>0</v>
      </c>
      <c r="CB131" s="813">
        <v>0</v>
      </c>
      <c r="CC131" s="813">
        <v>0</v>
      </c>
      <c r="CD131" s="813">
        <v>0</v>
      </c>
      <c r="CE131" s="813">
        <v>0</v>
      </c>
      <c r="CF131" s="813">
        <v>0</v>
      </c>
      <c r="CG131" s="813">
        <v>0</v>
      </c>
      <c r="CH131" s="813">
        <v>0</v>
      </c>
      <c r="CI131" s="813">
        <v>0</v>
      </c>
      <c r="CJ131" s="813">
        <v>0</v>
      </c>
      <c r="CK131" s="813">
        <v>0</v>
      </c>
      <c r="CL131" s="813">
        <v>0</v>
      </c>
      <c r="CM131" s="813">
        <v>0</v>
      </c>
      <c r="CN131" s="813">
        <v>0</v>
      </c>
      <c r="CO131" s="813">
        <v>0</v>
      </c>
      <c r="CP131" s="813">
        <v>0</v>
      </c>
      <c r="CQ131" s="813">
        <v>0</v>
      </c>
      <c r="CR131" s="808"/>
      <c r="CS131" s="808"/>
      <c r="CT131" s="808"/>
      <c r="CU131" s="814">
        <v>0</v>
      </c>
      <c r="CV131" s="814">
        <v>0</v>
      </c>
      <c r="CW131" s="814">
        <v>0</v>
      </c>
      <c r="CX131" s="814">
        <v>0</v>
      </c>
      <c r="CY131" s="814">
        <v>0</v>
      </c>
      <c r="CZ131" s="814">
        <v>0</v>
      </c>
      <c r="DA131" s="814">
        <v>0</v>
      </c>
      <c r="DB131" s="814">
        <v>0</v>
      </c>
      <c r="DC131" s="814">
        <v>0</v>
      </c>
      <c r="DD131" s="814">
        <v>0</v>
      </c>
      <c r="DE131" s="814">
        <v>0</v>
      </c>
      <c r="DF131" s="814">
        <v>0</v>
      </c>
      <c r="DG131" s="814">
        <v>0</v>
      </c>
      <c r="DH131" s="814">
        <v>0</v>
      </c>
      <c r="DI131" s="814">
        <v>0</v>
      </c>
      <c r="DJ131" s="814">
        <v>0</v>
      </c>
      <c r="DK131" s="814">
        <v>0</v>
      </c>
      <c r="DL131" s="814">
        <v>0</v>
      </c>
      <c r="DM131" s="814">
        <v>0</v>
      </c>
      <c r="DN131" s="814">
        <v>0</v>
      </c>
      <c r="DO131" s="814">
        <v>0</v>
      </c>
      <c r="DP131" s="814">
        <v>0</v>
      </c>
      <c r="DQ131" s="814">
        <v>0</v>
      </c>
      <c r="DR131" s="814">
        <v>0</v>
      </c>
      <c r="DS131" s="814">
        <v>0</v>
      </c>
      <c r="DT131" s="814">
        <v>0</v>
      </c>
      <c r="DU131" s="814">
        <v>0</v>
      </c>
      <c r="DV131" s="808"/>
      <c r="DW131" s="808"/>
      <c r="DX131" s="808"/>
      <c r="DY131" s="814">
        <v>0</v>
      </c>
      <c r="DZ131" s="814">
        <v>0</v>
      </c>
      <c r="EA131" s="814">
        <v>0</v>
      </c>
      <c r="EB131" s="814">
        <v>0</v>
      </c>
      <c r="EC131" s="814">
        <v>0</v>
      </c>
      <c r="ED131" s="814">
        <v>0</v>
      </c>
      <c r="EE131" s="814">
        <v>0</v>
      </c>
      <c r="EF131" s="814">
        <v>0</v>
      </c>
      <c r="EG131" s="814">
        <v>0</v>
      </c>
      <c r="EH131" s="814">
        <v>0</v>
      </c>
      <c r="EI131" s="814">
        <v>0</v>
      </c>
      <c r="EJ131" s="814">
        <v>0</v>
      </c>
      <c r="EK131" s="814">
        <v>0</v>
      </c>
      <c r="EL131" s="814">
        <v>0</v>
      </c>
      <c r="EM131" s="814">
        <v>0</v>
      </c>
      <c r="EN131" s="814">
        <v>0</v>
      </c>
      <c r="EO131" s="814">
        <v>0</v>
      </c>
      <c r="EP131" s="814">
        <v>0</v>
      </c>
      <c r="EQ131" s="814">
        <v>0</v>
      </c>
      <c r="ER131" s="814">
        <v>0</v>
      </c>
      <c r="ES131" s="814">
        <v>0</v>
      </c>
      <c r="ET131" s="814">
        <v>0</v>
      </c>
      <c r="EU131" s="814">
        <v>0</v>
      </c>
      <c r="EV131" s="814">
        <v>0</v>
      </c>
      <c r="EW131" s="814">
        <v>0</v>
      </c>
      <c r="EX131" s="814">
        <v>0</v>
      </c>
      <c r="EY131" s="814">
        <v>0</v>
      </c>
      <c r="EZ131" s="815"/>
      <c r="FA131" s="815"/>
      <c r="FB131" s="815"/>
      <c r="FC131" s="815"/>
      <c r="FD131" s="815"/>
    </row>
    <row r="132" spans="1:160" s="816" customFormat="1">
      <c r="A132" s="797">
        <v>145605</v>
      </c>
      <c r="B132" s="797" t="s">
        <v>1009</v>
      </c>
      <c r="C132" s="799" t="s">
        <v>833</v>
      </c>
      <c r="D132" s="799"/>
      <c r="E132" s="798" t="s">
        <v>990</v>
      </c>
      <c r="F132" s="800" t="s">
        <v>991</v>
      </c>
      <c r="G132" s="800">
        <v>2015</v>
      </c>
      <c r="H132" s="800" t="s">
        <v>996</v>
      </c>
      <c r="I132" s="801">
        <v>42192</v>
      </c>
      <c r="J132" s="802">
        <v>2015</v>
      </c>
      <c r="K132" s="803"/>
      <c r="L132" s="803" t="s">
        <v>993</v>
      </c>
      <c r="M132" s="803" t="s">
        <v>22</v>
      </c>
      <c r="N132" s="804">
        <v>6.7783720391201872</v>
      </c>
      <c r="O132" s="804">
        <v>16929.386171419803</v>
      </c>
      <c r="P132" s="805">
        <v>228749.95901950976</v>
      </c>
      <c r="Q132" s="805">
        <v>159088.24157978932</v>
      </c>
      <c r="R132" s="805">
        <v>16929.386171419803</v>
      </c>
      <c r="S132" s="806">
        <v>6.7783720391201872</v>
      </c>
      <c r="T132" s="807">
        <v>0.68824232024679077</v>
      </c>
      <c r="U132" s="807">
        <v>0.58695629117961001</v>
      </c>
      <c r="V132" s="808"/>
      <c r="W132" s="808"/>
      <c r="X132" s="808"/>
      <c r="Y132" s="809">
        <v>0.69546784734602263</v>
      </c>
      <c r="Z132" s="808"/>
      <c r="AA132" s="808"/>
      <c r="AB132" s="808"/>
      <c r="AC132" s="809">
        <v>0.69151749008254249</v>
      </c>
      <c r="AD132" s="808"/>
      <c r="AE132" s="810"/>
      <c r="AF132" s="808"/>
      <c r="AG132" s="811">
        <v>11040</v>
      </c>
      <c r="AH132" s="812">
        <v>11040</v>
      </c>
      <c r="AI132" s="808"/>
      <c r="AJ132" s="808"/>
      <c r="AK132" s="808"/>
      <c r="AL132" s="808"/>
      <c r="AM132" s="813">
        <v>0</v>
      </c>
      <c r="AN132" s="813">
        <v>9.8021700626994868</v>
      </c>
      <c r="AO132" s="813">
        <v>9.8021700626994868</v>
      </c>
      <c r="AP132" s="813">
        <v>9.8021700626994868</v>
      </c>
      <c r="AQ132" s="813">
        <v>9.8021700626994868</v>
      </c>
      <c r="AR132" s="813">
        <v>9.8021700626994868</v>
      </c>
      <c r="AS132" s="813">
        <v>9.8021700626994868</v>
      </c>
      <c r="AT132" s="813">
        <v>8.9881906593553058</v>
      </c>
      <c r="AU132" s="813">
        <v>8.9881906593553058</v>
      </c>
      <c r="AV132" s="813">
        <v>8.9881906593553058</v>
      </c>
      <c r="AW132" s="813">
        <v>6.3350207760059645</v>
      </c>
      <c r="AX132" s="813">
        <v>0</v>
      </c>
      <c r="AY132" s="813">
        <v>0</v>
      </c>
      <c r="AZ132" s="813">
        <v>0</v>
      </c>
      <c r="BA132" s="813">
        <v>0</v>
      </c>
      <c r="BB132" s="813">
        <v>0</v>
      </c>
      <c r="BC132" s="813">
        <v>0</v>
      </c>
      <c r="BD132" s="813">
        <v>0</v>
      </c>
      <c r="BE132" s="813">
        <v>0</v>
      </c>
      <c r="BF132" s="813">
        <v>0</v>
      </c>
      <c r="BG132" s="813">
        <v>0</v>
      </c>
      <c r="BH132" s="813">
        <v>0</v>
      </c>
      <c r="BI132" s="813">
        <v>0</v>
      </c>
      <c r="BJ132" s="813">
        <v>0</v>
      </c>
      <c r="BK132" s="813">
        <v>0</v>
      </c>
      <c r="BL132" s="813">
        <v>0</v>
      </c>
      <c r="BM132" s="813">
        <v>0</v>
      </c>
      <c r="BN132" s="808"/>
      <c r="BO132" s="808"/>
      <c r="BP132" s="808"/>
      <c r="BQ132" s="813">
        <v>0</v>
      </c>
      <c r="BR132" s="813">
        <v>6.7783720391201872</v>
      </c>
      <c r="BS132" s="813">
        <v>6.7783720391201872</v>
      </c>
      <c r="BT132" s="813">
        <v>6.7783720391201872</v>
      </c>
      <c r="BU132" s="813">
        <v>6.7783720391201872</v>
      </c>
      <c r="BV132" s="813">
        <v>6.7783720391201872</v>
      </c>
      <c r="BW132" s="813">
        <v>6.7783720391201872</v>
      </c>
      <c r="BX132" s="813">
        <v>6.2154910451407339</v>
      </c>
      <c r="BY132" s="813">
        <v>6.2154910451407339</v>
      </c>
      <c r="BZ132" s="813">
        <v>6.2154910451407339</v>
      </c>
      <c r="CA132" s="813">
        <v>4.3807776666444056</v>
      </c>
      <c r="CB132" s="813">
        <v>0</v>
      </c>
      <c r="CC132" s="813">
        <v>0</v>
      </c>
      <c r="CD132" s="813">
        <v>0</v>
      </c>
      <c r="CE132" s="813">
        <v>0</v>
      </c>
      <c r="CF132" s="813">
        <v>0</v>
      </c>
      <c r="CG132" s="813">
        <v>0</v>
      </c>
      <c r="CH132" s="813">
        <v>0</v>
      </c>
      <c r="CI132" s="813">
        <v>0</v>
      </c>
      <c r="CJ132" s="813">
        <v>0</v>
      </c>
      <c r="CK132" s="813">
        <v>0</v>
      </c>
      <c r="CL132" s="813">
        <v>0</v>
      </c>
      <c r="CM132" s="813">
        <v>0</v>
      </c>
      <c r="CN132" s="813">
        <v>0</v>
      </c>
      <c r="CO132" s="813">
        <v>0</v>
      </c>
      <c r="CP132" s="813">
        <v>0</v>
      </c>
      <c r="CQ132" s="813">
        <v>0</v>
      </c>
      <c r="CR132" s="808"/>
      <c r="CS132" s="808"/>
      <c r="CT132" s="808"/>
      <c r="CU132" s="814">
        <v>0</v>
      </c>
      <c r="CV132" s="814">
        <v>24342.442624808744</v>
      </c>
      <c r="CW132" s="814">
        <v>24342.442624808744</v>
      </c>
      <c r="CX132" s="814">
        <v>24342.442624808744</v>
      </c>
      <c r="CY132" s="814">
        <v>24342.442624808744</v>
      </c>
      <c r="CZ132" s="814">
        <v>24342.442624808744</v>
      </c>
      <c r="DA132" s="814">
        <v>24342.442624808744</v>
      </c>
      <c r="DB132" s="814">
        <v>22321.028305638589</v>
      </c>
      <c r="DC132" s="814">
        <v>22321.028305638589</v>
      </c>
      <c r="DD132" s="814">
        <v>22321.028305638589</v>
      </c>
      <c r="DE132" s="814">
        <v>15732.218353741524</v>
      </c>
      <c r="DF132" s="814">
        <v>0</v>
      </c>
      <c r="DG132" s="814">
        <v>0</v>
      </c>
      <c r="DH132" s="814">
        <v>0</v>
      </c>
      <c r="DI132" s="814">
        <v>0</v>
      </c>
      <c r="DJ132" s="814">
        <v>0</v>
      </c>
      <c r="DK132" s="814">
        <v>0</v>
      </c>
      <c r="DL132" s="814">
        <v>0</v>
      </c>
      <c r="DM132" s="814">
        <v>0</v>
      </c>
      <c r="DN132" s="814">
        <v>0</v>
      </c>
      <c r="DO132" s="814">
        <v>0</v>
      </c>
      <c r="DP132" s="814">
        <v>0</v>
      </c>
      <c r="DQ132" s="814">
        <v>0</v>
      </c>
      <c r="DR132" s="814">
        <v>0</v>
      </c>
      <c r="DS132" s="814">
        <v>0</v>
      </c>
      <c r="DT132" s="814">
        <v>0</v>
      </c>
      <c r="DU132" s="814">
        <v>0</v>
      </c>
      <c r="DV132" s="808"/>
      <c r="DW132" s="808"/>
      <c r="DX132" s="808"/>
      <c r="DY132" s="814">
        <v>0</v>
      </c>
      <c r="DZ132" s="814">
        <v>16929.386171419803</v>
      </c>
      <c r="EA132" s="814">
        <v>16929.386171419803</v>
      </c>
      <c r="EB132" s="814">
        <v>16929.386171419803</v>
      </c>
      <c r="EC132" s="814">
        <v>16929.386171419803</v>
      </c>
      <c r="ED132" s="814">
        <v>16929.386171419803</v>
      </c>
      <c r="EE132" s="814">
        <v>16929.386171419803</v>
      </c>
      <c r="EF132" s="814">
        <v>15523.557506272107</v>
      </c>
      <c r="EG132" s="814">
        <v>15523.557506272107</v>
      </c>
      <c r="EH132" s="814">
        <v>15523.557506272107</v>
      </c>
      <c r="EI132" s="814">
        <v>10941.252032454206</v>
      </c>
      <c r="EJ132" s="814">
        <v>0</v>
      </c>
      <c r="EK132" s="814">
        <v>0</v>
      </c>
      <c r="EL132" s="814">
        <v>0</v>
      </c>
      <c r="EM132" s="814">
        <v>0</v>
      </c>
      <c r="EN132" s="814">
        <v>0</v>
      </c>
      <c r="EO132" s="814">
        <v>0</v>
      </c>
      <c r="EP132" s="814">
        <v>0</v>
      </c>
      <c r="EQ132" s="814">
        <v>0</v>
      </c>
      <c r="ER132" s="814">
        <v>0</v>
      </c>
      <c r="ES132" s="814">
        <v>0</v>
      </c>
      <c r="ET132" s="814">
        <v>0</v>
      </c>
      <c r="EU132" s="814">
        <v>0</v>
      </c>
      <c r="EV132" s="814">
        <v>0</v>
      </c>
      <c r="EW132" s="814">
        <v>0</v>
      </c>
      <c r="EX132" s="814">
        <v>0</v>
      </c>
      <c r="EY132" s="814">
        <v>0</v>
      </c>
      <c r="EZ132" s="815"/>
      <c r="FA132" s="815"/>
      <c r="FB132" s="815"/>
      <c r="FC132" s="815"/>
      <c r="FD132" s="815"/>
    </row>
    <row r="133" spans="1:160" s="816" customFormat="1">
      <c r="A133" s="797">
        <v>145744</v>
      </c>
      <c r="B133" s="798" t="s">
        <v>1016</v>
      </c>
      <c r="C133" s="799" t="s">
        <v>1017</v>
      </c>
      <c r="D133" s="799"/>
      <c r="E133" s="798" t="s">
        <v>990</v>
      </c>
      <c r="F133" s="800" t="s">
        <v>991</v>
      </c>
      <c r="G133" s="800">
        <v>2015</v>
      </c>
      <c r="H133" s="800" t="s">
        <v>996</v>
      </c>
      <c r="I133" s="801">
        <v>42223</v>
      </c>
      <c r="J133" s="802">
        <v>2015</v>
      </c>
      <c r="K133" s="803"/>
      <c r="L133" s="803" t="s">
        <v>993</v>
      </c>
      <c r="M133" s="803" t="s">
        <v>22</v>
      </c>
      <c r="N133" s="804">
        <v>5.1142208199349914</v>
      </c>
      <c r="O133" s="804">
        <v>17131.855292698623</v>
      </c>
      <c r="P133" s="805">
        <v>231485.72289932688</v>
      </c>
      <c r="Q133" s="805">
        <v>160990.8773961328</v>
      </c>
      <c r="R133" s="805">
        <v>17131.855292698623</v>
      </c>
      <c r="S133" s="806">
        <v>5.1142208199349914</v>
      </c>
      <c r="T133" s="807">
        <v>0.68824232024679088</v>
      </c>
      <c r="U133" s="807">
        <v>0.58695629117961001</v>
      </c>
      <c r="V133" s="808"/>
      <c r="W133" s="808"/>
      <c r="X133" s="808"/>
      <c r="Y133" s="809">
        <v>0.69546784734602263</v>
      </c>
      <c r="Z133" s="808"/>
      <c r="AA133" s="808"/>
      <c r="AB133" s="808"/>
      <c r="AC133" s="809">
        <v>0.69151749008254249</v>
      </c>
      <c r="AD133" s="808"/>
      <c r="AE133" s="810"/>
      <c r="AF133" s="808"/>
      <c r="AG133" s="811">
        <v>8422</v>
      </c>
      <c r="AH133" s="812">
        <v>8422</v>
      </c>
      <c r="AI133" s="808"/>
      <c r="AJ133" s="808"/>
      <c r="AK133" s="808"/>
      <c r="AL133" s="808"/>
      <c r="AM133" s="813">
        <v>0</v>
      </c>
      <c r="AN133" s="813">
        <v>7.3956492688630862</v>
      </c>
      <c r="AO133" s="813">
        <v>7.3956492688630862</v>
      </c>
      <c r="AP133" s="813">
        <v>7.3956492688630862</v>
      </c>
      <c r="AQ133" s="813">
        <v>7.3956492688630862</v>
      </c>
      <c r="AR133" s="813">
        <v>7.3956492688630862</v>
      </c>
      <c r="AS133" s="813">
        <v>7.3956492688630862</v>
      </c>
      <c r="AT133" s="813">
        <v>6.7815091202321476</v>
      </c>
      <c r="AU133" s="813">
        <v>6.7815091202321476</v>
      </c>
      <c r="AV133" s="813">
        <v>6.7815091202321476</v>
      </c>
      <c r="AW133" s="813">
        <v>4.7797162741122854</v>
      </c>
      <c r="AX133" s="813">
        <v>0</v>
      </c>
      <c r="AY133" s="813">
        <v>0</v>
      </c>
      <c r="AZ133" s="813">
        <v>0</v>
      </c>
      <c r="BA133" s="813">
        <v>0</v>
      </c>
      <c r="BB133" s="813">
        <v>0</v>
      </c>
      <c r="BC133" s="813">
        <v>0</v>
      </c>
      <c r="BD133" s="813">
        <v>0</v>
      </c>
      <c r="BE133" s="813">
        <v>0</v>
      </c>
      <c r="BF133" s="813">
        <v>0</v>
      </c>
      <c r="BG133" s="813">
        <v>0</v>
      </c>
      <c r="BH133" s="813">
        <v>0</v>
      </c>
      <c r="BI133" s="813">
        <v>0</v>
      </c>
      <c r="BJ133" s="813">
        <v>0</v>
      </c>
      <c r="BK133" s="813">
        <v>0</v>
      </c>
      <c r="BL133" s="813">
        <v>0</v>
      </c>
      <c r="BM133" s="813">
        <v>0</v>
      </c>
      <c r="BN133" s="808"/>
      <c r="BO133" s="808"/>
      <c r="BP133" s="808"/>
      <c r="BQ133" s="813">
        <v>0</v>
      </c>
      <c r="BR133" s="813">
        <v>5.1142208199349914</v>
      </c>
      <c r="BS133" s="813">
        <v>5.1142208199349914</v>
      </c>
      <c r="BT133" s="813">
        <v>5.1142208199349914</v>
      </c>
      <c r="BU133" s="813">
        <v>5.1142208199349914</v>
      </c>
      <c r="BV133" s="813">
        <v>5.1142208199349914</v>
      </c>
      <c r="BW133" s="813">
        <v>5.1142208199349914</v>
      </c>
      <c r="BX133" s="813">
        <v>4.6895321657948053</v>
      </c>
      <c r="BY133" s="813">
        <v>4.6895321657948053</v>
      </c>
      <c r="BZ133" s="813">
        <v>4.6895321657948053</v>
      </c>
      <c r="CA133" s="813">
        <v>3.3052574011808087</v>
      </c>
      <c r="CB133" s="813">
        <v>0</v>
      </c>
      <c r="CC133" s="813">
        <v>0</v>
      </c>
      <c r="CD133" s="813">
        <v>0</v>
      </c>
      <c r="CE133" s="813">
        <v>0</v>
      </c>
      <c r="CF133" s="813">
        <v>0</v>
      </c>
      <c r="CG133" s="813">
        <v>0</v>
      </c>
      <c r="CH133" s="813">
        <v>0</v>
      </c>
      <c r="CI133" s="813">
        <v>0</v>
      </c>
      <c r="CJ133" s="813">
        <v>0</v>
      </c>
      <c r="CK133" s="813">
        <v>0</v>
      </c>
      <c r="CL133" s="813">
        <v>0</v>
      </c>
      <c r="CM133" s="813">
        <v>0</v>
      </c>
      <c r="CN133" s="813">
        <v>0</v>
      </c>
      <c r="CO133" s="813">
        <v>0</v>
      </c>
      <c r="CP133" s="813">
        <v>0</v>
      </c>
      <c r="CQ133" s="813">
        <v>0</v>
      </c>
      <c r="CR133" s="808"/>
      <c r="CS133" s="808"/>
      <c r="CT133" s="808"/>
      <c r="CU133" s="814">
        <v>0</v>
      </c>
      <c r="CV133" s="814">
        <v>24633.569126273138</v>
      </c>
      <c r="CW133" s="814">
        <v>24633.569126273138</v>
      </c>
      <c r="CX133" s="814">
        <v>24633.569126273138</v>
      </c>
      <c r="CY133" s="814">
        <v>24633.569126273138</v>
      </c>
      <c r="CZ133" s="814">
        <v>24633.569126273138</v>
      </c>
      <c r="DA133" s="814">
        <v>24633.569126273138</v>
      </c>
      <c r="DB133" s="814">
        <v>22587.979448540143</v>
      </c>
      <c r="DC133" s="814">
        <v>22587.979448540143</v>
      </c>
      <c r="DD133" s="814">
        <v>22587.979448540143</v>
      </c>
      <c r="DE133" s="814">
        <v>15920.369796067647</v>
      </c>
      <c r="DF133" s="814">
        <v>0</v>
      </c>
      <c r="DG133" s="814">
        <v>0</v>
      </c>
      <c r="DH133" s="814">
        <v>0</v>
      </c>
      <c r="DI133" s="814">
        <v>0</v>
      </c>
      <c r="DJ133" s="814">
        <v>0</v>
      </c>
      <c r="DK133" s="814">
        <v>0</v>
      </c>
      <c r="DL133" s="814">
        <v>0</v>
      </c>
      <c r="DM133" s="814">
        <v>0</v>
      </c>
      <c r="DN133" s="814">
        <v>0</v>
      </c>
      <c r="DO133" s="814">
        <v>0</v>
      </c>
      <c r="DP133" s="814">
        <v>0</v>
      </c>
      <c r="DQ133" s="814">
        <v>0</v>
      </c>
      <c r="DR133" s="814">
        <v>0</v>
      </c>
      <c r="DS133" s="814">
        <v>0</v>
      </c>
      <c r="DT133" s="814">
        <v>0</v>
      </c>
      <c r="DU133" s="814">
        <v>0</v>
      </c>
      <c r="DV133" s="808"/>
      <c r="DW133" s="808"/>
      <c r="DX133" s="808"/>
      <c r="DY133" s="814">
        <v>0</v>
      </c>
      <c r="DZ133" s="814">
        <v>17131.855292698623</v>
      </c>
      <c r="EA133" s="814">
        <v>17131.855292698623</v>
      </c>
      <c r="EB133" s="814">
        <v>17131.855292698623</v>
      </c>
      <c r="EC133" s="814">
        <v>17131.855292698623</v>
      </c>
      <c r="ED133" s="814">
        <v>17131.855292698623</v>
      </c>
      <c r="EE133" s="814">
        <v>17131.855292698623</v>
      </c>
      <c r="EF133" s="814">
        <v>15709.213442972414</v>
      </c>
      <c r="EG133" s="814">
        <v>15709.213442972414</v>
      </c>
      <c r="EH133" s="814">
        <v>15709.213442972414</v>
      </c>
      <c r="EI133" s="814">
        <v>11072.105311023804</v>
      </c>
      <c r="EJ133" s="814">
        <v>0</v>
      </c>
      <c r="EK133" s="814">
        <v>0</v>
      </c>
      <c r="EL133" s="814">
        <v>0</v>
      </c>
      <c r="EM133" s="814">
        <v>0</v>
      </c>
      <c r="EN133" s="814">
        <v>0</v>
      </c>
      <c r="EO133" s="814">
        <v>0</v>
      </c>
      <c r="EP133" s="814">
        <v>0</v>
      </c>
      <c r="EQ133" s="814">
        <v>0</v>
      </c>
      <c r="ER133" s="814">
        <v>0</v>
      </c>
      <c r="ES133" s="814">
        <v>0</v>
      </c>
      <c r="ET133" s="814">
        <v>0</v>
      </c>
      <c r="EU133" s="814">
        <v>0</v>
      </c>
      <c r="EV133" s="814">
        <v>0</v>
      </c>
      <c r="EW133" s="814">
        <v>0</v>
      </c>
      <c r="EX133" s="814">
        <v>0</v>
      </c>
      <c r="EY133" s="814">
        <v>0</v>
      </c>
      <c r="EZ133" s="815"/>
      <c r="FA133" s="815"/>
      <c r="FB133" s="815"/>
      <c r="FC133" s="815"/>
      <c r="FD133" s="815"/>
    </row>
    <row r="134" spans="1:160" s="816" customFormat="1">
      <c r="A134" s="797">
        <v>145825</v>
      </c>
      <c r="B134" s="798" t="s">
        <v>1018</v>
      </c>
      <c r="C134" s="799" t="s">
        <v>1019</v>
      </c>
      <c r="D134" s="799"/>
      <c r="E134" s="798" t="s">
        <v>990</v>
      </c>
      <c r="F134" s="800" t="s">
        <v>991</v>
      </c>
      <c r="G134" s="800">
        <v>2015</v>
      </c>
      <c r="H134" s="800" t="s">
        <v>1013</v>
      </c>
      <c r="I134" s="801">
        <v>42284</v>
      </c>
      <c r="J134" s="802">
        <v>2015</v>
      </c>
      <c r="K134" s="803"/>
      <c r="L134" s="803" t="s">
        <v>993</v>
      </c>
      <c r="M134" s="803" t="s">
        <v>22</v>
      </c>
      <c r="N134" s="804">
        <v>0</v>
      </c>
      <c r="O134" s="804">
        <v>12822.434559446516</v>
      </c>
      <c r="P134" s="805">
        <v>191205.18204962468</v>
      </c>
      <c r="Q134" s="805">
        <v>128682.25611407784</v>
      </c>
      <c r="R134" s="805">
        <v>12822.434559446516</v>
      </c>
      <c r="S134" s="806">
        <v>0</v>
      </c>
      <c r="T134" s="807">
        <v>0.89981385612279285</v>
      </c>
      <c r="U134" s="807" t="s">
        <v>1014</v>
      </c>
      <c r="V134" s="808"/>
      <c r="W134" s="808"/>
      <c r="X134" s="808"/>
      <c r="Y134" s="809">
        <v>0.67300611173121927</v>
      </c>
      <c r="Z134" s="808"/>
      <c r="AA134" s="808"/>
      <c r="AB134" s="808"/>
      <c r="AC134" s="809">
        <v>0.66905575446773913</v>
      </c>
      <c r="AD134" s="808"/>
      <c r="AE134" s="810"/>
      <c r="AF134" s="808"/>
      <c r="AG134" s="811">
        <v>4661.32</v>
      </c>
      <c r="AH134" s="812">
        <v>4661.32</v>
      </c>
      <c r="AI134" s="808"/>
      <c r="AJ134" s="808"/>
      <c r="AK134" s="808"/>
      <c r="AL134" s="808"/>
      <c r="AM134" s="813">
        <v>0</v>
      </c>
      <c r="AN134" s="813">
        <v>0</v>
      </c>
      <c r="AO134" s="813">
        <v>0</v>
      </c>
      <c r="AP134" s="813">
        <v>0</v>
      </c>
      <c r="AQ134" s="813">
        <v>0</v>
      </c>
      <c r="AR134" s="813">
        <v>0</v>
      </c>
      <c r="AS134" s="813">
        <v>0</v>
      </c>
      <c r="AT134" s="813">
        <v>0</v>
      </c>
      <c r="AU134" s="813">
        <v>0</v>
      </c>
      <c r="AV134" s="813">
        <v>0</v>
      </c>
      <c r="AW134" s="813">
        <v>0</v>
      </c>
      <c r="AX134" s="813">
        <v>0</v>
      </c>
      <c r="AY134" s="813">
        <v>0</v>
      </c>
      <c r="AZ134" s="813">
        <v>0</v>
      </c>
      <c r="BA134" s="813">
        <v>0</v>
      </c>
      <c r="BB134" s="813">
        <v>0</v>
      </c>
      <c r="BC134" s="813">
        <v>0</v>
      </c>
      <c r="BD134" s="813">
        <v>0</v>
      </c>
      <c r="BE134" s="813">
        <v>0</v>
      </c>
      <c r="BF134" s="813">
        <v>0</v>
      </c>
      <c r="BG134" s="813">
        <v>0</v>
      </c>
      <c r="BH134" s="813">
        <v>0</v>
      </c>
      <c r="BI134" s="813">
        <v>0</v>
      </c>
      <c r="BJ134" s="813">
        <v>0</v>
      </c>
      <c r="BK134" s="813">
        <v>0</v>
      </c>
      <c r="BL134" s="813">
        <v>0</v>
      </c>
      <c r="BM134" s="813">
        <v>0</v>
      </c>
      <c r="BN134" s="808"/>
      <c r="BO134" s="808"/>
      <c r="BP134" s="808"/>
      <c r="BQ134" s="813">
        <v>0</v>
      </c>
      <c r="BR134" s="813">
        <v>0</v>
      </c>
      <c r="BS134" s="813">
        <v>0</v>
      </c>
      <c r="BT134" s="813">
        <v>0</v>
      </c>
      <c r="BU134" s="813">
        <v>0</v>
      </c>
      <c r="BV134" s="813">
        <v>0</v>
      </c>
      <c r="BW134" s="813">
        <v>0</v>
      </c>
      <c r="BX134" s="813">
        <v>0</v>
      </c>
      <c r="BY134" s="813">
        <v>0</v>
      </c>
      <c r="BZ134" s="813">
        <v>0</v>
      </c>
      <c r="CA134" s="813">
        <v>0</v>
      </c>
      <c r="CB134" s="813">
        <v>0</v>
      </c>
      <c r="CC134" s="813">
        <v>0</v>
      </c>
      <c r="CD134" s="813">
        <v>0</v>
      </c>
      <c r="CE134" s="813">
        <v>0</v>
      </c>
      <c r="CF134" s="813">
        <v>0</v>
      </c>
      <c r="CG134" s="813">
        <v>0</v>
      </c>
      <c r="CH134" s="813">
        <v>0</v>
      </c>
      <c r="CI134" s="813">
        <v>0</v>
      </c>
      <c r="CJ134" s="813">
        <v>0</v>
      </c>
      <c r="CK134" s="813">
        <v>0</v>
      </c>
      <c r="CL134" s="813">
        <v>0</v>
      </c>
      <c r="CM134" s="813">
        <v>0</v>
      </c>
      <c r="CN134" s="813">
        <v>0</v>
      </c>
      <c r="CO134" s="813">
        <v>0</v>
      </c>
      <c r="CP134" s="813">
        <v>0</v>
      </c>
      <c r="CQ134" s="813">
        <v>0</v>
      </c>
      <c r="CR134" s="808"/>
      <c r="CS134" s="808"/>
      <c r="CT134" s="808"/>
      <c r="CU134" s="814">
        <v>0</v>
      </c>
      <c r="CV134" s="814">
        <v>19052.47862677279</v>
      </c>
      <c r="CW134" s="814">
        <v>19052.47862677279</v>
      </c>
      <c r="CX134" s="814">
        <v>19052.47862677279</v>
      </c>
      <c r="CY134" s="814">
        <v>19052.47862677279</v>
      </c>
      <c r="CZ134" s="814">
        <v>19052.47862677279</v>
      </c>
      <c r="DA134" s="814">
        <v>19052.47862677279</v>
      </c>
      <c r="DB134" s="814">
        <v>19052.47862677279</v>
      </c>
      <c r="DC134" s="814">
        <v>19052.47862677279</v>
      </c>
      <c r="DD134" s="814">
        <v>16570.566578488862</v>
      </c>
      <c r="DE134" s="814">
        <v>15625.405913885434</v>
      </c>
      <c r="DF134" s="814">
        <v>6589.3805430680777</v>
      </c>
      <c r="DG134" s="814">
        <v>0</v>
      </c>
      <c r="DH134" s="814">
        <v>0</v>
      </c>
      <c r="DI134" s="814">
        <v>0</v>
      </c>
      <c r="DJ134" s="814">
        <v>0</v>
      </c>
      <c r="DK134" s="814">
        <v>0</v>
      </c>
      <c r="DL134" s="814">
        <v>0</v>
      </c>
      <c r="DM134" s="814">
        <v>0</v>
      </c>
      <c r="DN134" s="814">
        <v>0</v>
      </c>
      <c r="DO134" s="814">
        <v>0</v>
      </c>
      <c r="DP134" s="814">
        <v>0</v>
      </c>
      <c r="DQ134" s="814">
        <v>0</v>
      </c>
      <c r="DR134" s="814">
        <v>0</v>
      </c>
      <c r="DS134" s="814">
        <v>0</v>
      </c>
      <c r="DT134" s="814">
        <v>0</v>
      </c>
      <c r="DU134" s="814">
        <v>0</v>
      </c>
      <c r="DV134" s="808"/>
      <c r="DW134" s="808"/>
      <c r="DX134" s="808"/>
      <c r="DY134" s="814">
        <v>0</v>
      </c>
      <c r="DZ134" s="814">
        <v>12822.434559446516</v>
      </c>
      <c r="EA134" s="814">
        <v>12822.434559446516</v>
      </c>
      <c r="EB134" s="814">
        <v>12822.434559446516</v>
      </c>
      <c r="EC134" s="814">
        <v>12822.434559446516</v>
      </c>
      <c r="ED134" s="814">
        <v>12822.434559446516</v>
      </c>
      <c r="EE134" s="814">
        <v>12822.434559446516</v>
      </c>
      <c r="EF134" s="814">
        <v>12822.434559446516</v>
      </c>
      <c r="EG134" s="814">
        <v>12822.434559446516</v>
      </c>
      <c r="EH134" s="814">
        <v>11152.092582172083</v>
      </c>
      <c r="EI134" s="814">
        <v>10515.993678326035</v>
      </c>
      <c r="EJ134" s="814">
        <v>4434.6933780075969</v>
      </c>
      <c r="EK134" s="814">
        <v>0</v>
      </c>
      <c r="EL134" s="814">
        <v>0</v>
      </c>
      <c r="EM134" s="814">
        <v>0</v>
      </c>
      <c r="EN134" s="814">
        <v>0</v>
      </c>
      <c r="EO134" s="814">
        <v>0</v>
      </c>
      <c r="EP134" s="814">
        <v>0</v>
      </c>
      <c r="EQ134" s="814">
        <v>0</v>
      </c>
      <c r="ER134" s="814">
        <v>0</v>
      </c>
      <c r="ES134" s="814">
        <v>0</v>
      </c>
      <c r="ET134" s="814">
        <v>0</v>
      </c>
      <c r="EU134" s="814">
        <v>0</v>
      </c>
      <c r="EV134" s="814">
        <v>0</v>
      </c>
      <c r="EW134" s="814">
        <v>0</v>
      </c>
      <c r="EX134" s="814">
        <v>0</v>
      </c>
      <c r="EY134" s="814">
        <v>0</v>
      </c>
      <c r="EZ134" s="815"/>
      <c r="FA134" s="815"/>
      <c r="FB134" s="815"/>
      <c r="FC134" s="815"/>
      <c r="FD134" s="815"/>
    </row>
    <row r="135" spans="1:160" s="816" customFormat="1">
      <c r="A135" s="797">
        <v>145828</v>
      </c>
      <c r="B135" s="798" t="s">
        <v>1020</v>
      </c>
      <c r="C135" s="799" t="s">
        <v>1021</v>
      </c>
      <c r="D135" s="799"/>
      <c r="E135" s="798" t="s">
        <v>990</v>
      </c>
      <c r="F135" s="800" t="s">
        <v>991</v>
      </c>
      <c r="G135" s="800">
        <v>2015</v>
      </c>
      <c r="H135" s="800" t="s">
        <v>1013</v>
      </c>
      <c r="I135" s="801">
        <v>42272</v>
      </c>
      <c r="J135" s="802">
        <v>2015</v>
      </c>
      <c r="K135" s="803"/>
      <c r="L135" s="803" t="s">
        <v>993</v>
      </c>
      <c r="M135" s="803" t="s">
        <v>22</v>
      </c>
      <c r="N135" s="804">
        <v>0</v>
      </c>
      <c r="O135" s="804">
        <v>12173.095107826492</v>
      </c>
      <c r="P135" s="805">
        <v>181522.38215047907</v>
      </c>
      <c r="Q135" s="805">
        <v>122165.67260328241</v>
      </c>
      <c r="R135" s="805">
        <v>12173.095107826492</v>
      </c>
      <c r="S135" s="806">
        <v>0</v>
      </c>
      <c r="T135" s="807">
        <v>0.89981385612279297</v>
      </c>
      <c r="U135" s="807" t="s">
        <v>1014</v>
      </c>
      <c r="V135" s="808"/>
      <c r="W135" s="808"/>
      <c r="X135" s="808"/>
      <c r="Y135" s="809">
        <v>0.67300611173121927</v>
      </c>
      <c r="Z135" s="808"/>
      <c r="AA135" s="808"/>
      <c r="AB135" s="808"/>
      <c r="AC135" s="809">
        <v>0.66905575446773913</v>
      </c>
      <c r="AD135" s="808"/>
      <c r="AE135" s="810"/>
      <c r="AF135" s="808"/>
      <c r="AG135" s="811">
        <v>4403.8599999999997</v>
      </c>
      <c r="AH135" s="812">
        <v>4403.8599999999997</v>
      </c>
      <c r="AI135" s="808"/>
      <c r="AJ135" s="808"/>
      <c r="AK135" s="808"/>
      <c r="AL135" s="808"/>
      <c r="AM135" s="813">
        <v>0</v>
      </c>
      <c r="AN135" s="813">
        <v>0</v>
      </c>
      <c r="AO135" s="813">
        <v>0</v>
      </c>
      <c r="AP135" s="813">
        <v>0</v>
      </c>
      <c r="AQ135" s="813">
        <v>0</v>
      </c>
      <c r="AR135" s="813">
        <v>0</v>
      </c>
      <c r="AS135" s="813">
        <v>0</v>
      </c>
      <c r="AT135" s="813">
        <v>0</v>
      </c>
      <c r="AU135" s="813">
        <v>0</v>
      </c>
      <c r="AV135" s="813">
        <v>0</v>
      </c>
      <c r="AW135" s="813">
        <v>0</v>
      </c>
      <c r="AX135" s="813">
        <v>0</v>
      </c>
      <c r="AY135" s="813">
        <v>0</v>
      </c>
      <c r="AZ135" s="813">
        <v>0</v>
      </c>
      <c r="BA135" s="813">
        <v>0</v>
      </c>
      <c r="BB135" s="813">
        <v>0</v>
      </c>
      <c r="BC135" s="813">
        <v>0</v>
      </c>
      <c r="BD135" s="813">
        <v>0</v>
      </c>
      <c r="BE135" s="813">
        <v>0</v>
      </c>
      <c r="BF135" s="813">
        <v>0</v>
      </c>
      <c r="BG135" s="813">
        <v>0</v>
      </c>
      <c r="BH135" s="813">
        <v>0</v>
      </c>
      <c r="BI135" s="813">
        <v>0</v>
      </c>
      <c r="BJ135" s="813">
        <v>0</v>
      </c>
      <c r="BK135" s="813">
        <v>0</v>
      </c>
      <c r="BL135" s="813">
        <v>0</v>
      </c>
      <c r="BM135" s="813">
        <v>0</v>
      </c>
      <c r="BN135" s="808"/>
      <c r="BO135" s="808"/>
      <c r="BP135" s="808"/>
      <c r="BQ135" s="813">
        <v>0</v>
      </c>
      <c r="BR135" s="813">
        <v>0</v>
      </c>
      <c r="BS135" s="813">
        <v>0</v>
      </c>
      <c r="BT135" s="813">
        <v>0</v>
      </c>
      <c r="BU135" s="813">
        <v>0</v>
      </c>
      <c r="BV135" s="813">
        <v>0</v>
      </c>
      <c r="BW135" s="813">
        <v>0</v>
      </c>
      <c r="BX135" s="813">
        <v>0</v>
      </c>
      <c r="BY135" s="813">
        <v>0</v>
      </c>
      <c r="BZ135" s="813">
        <v>0</v>
      </c>
      <c r="CA135" s="813">
        <v>0</v>
      </c>
      <c r="CB135" s="813">
        <v>0</v>
      </c>
      <c r="CC135" s="813">
        <v>0</v>
      </c>
      <c r="CD135" s="813">
        <v>0</v>
      </c>
      <c r="CE135" s="813">
        <v>0</v>
      </c>
      <c r="CF135" s="813">
        <v>0</v>
      </c>
      <c r="CG135" s="813">
        <v>0</v>
      </c>
      <c r="CH135" s="813">
        <v>0</v>
      </c>
      <c r="CI135" s="813">
        <v>0</v>
      </c>
      <c r="CJ135" s="813">
        <v>0</v>
      </c>
      <c r="CK135" s="813">
        <v>0</v>
      </c>
      <c r="CL135" s="813">
        <v>0</v>
      </c>
      <c r="CM135" s="813">
        <v>0</v>
      </c>
      <c r="CN135" s="813">
        <v>0</v>
      </c>
      <c r="CO135" s="813">
        <v>0</v>
      </c>
      <c r="CP135" s="813">
        <v>0</v>
      </c>
      <c r="CQ135" s="813">
        <v>0</v>
      </c>
      <c r="CR135" s="808"/>
      <c r="CS135" s="808"/>
      <c r="CT135" s="808"/>
      <c r="CU135" s="814">
        <v>0</v>
      </c>
      <c r="CV135" s="814">
        <v>18087.644221406568</v>
      </c>
      <c r="CW135" s="814">
        <v>18087.644221406568</v>
      </c>
      <c r="CX135" s="814">
        <v>18087.644221406568</v>
      </c>
      <c r="CY135" s="814">
        <v>18087.644221406568</v>
      </c>
      <c r="CZ135" s="814">
        <v>18087.644221406568</v>
      </c>
      <c r="DA135" s="814">
        <v>18087.644221406568</v>
      </c>
      <c r="DB135" s="814">
        <v>18087.644221406568</v>
      </c>
      <c r="DC135" s="814">
        <v>18087.644221406568</v>
      </c>
      <c r="DD135" s="814">
        <v>15731.418399161092</v>
      </c>
      <c r="DE135" s="814">
        <v>14834.121508383223</v>
      </c>
      <c r="DF135" s="814">
        <v>6255.6884716822069</v>
      </c>
      <c r="DG135" s="814">
        <v>0</v>
      </c>
      <c r="DH135" s="814">
        <v>0</v>
      </c>
      <c r="DI135" s="814">
        <v>0</v>
      </c>
      <c r="DJ135" s="814">
        <v>0</v>
      </c>
      <c r="DK135" s="814">
        <v>0</v>
      </c>
      <c r="DL135" s="814">
        <v>0</v>
      </c>
      <c r="DM135" s="814">
        <v>0</v>
      </c>
      <c r="DN135" s="814">
        <v>0</v>
      </c>
      <c r="DO135" s="814">
        <v>0</v>
      </c>
      <c r="DP135" s="814">
        <v>0</v>
      </c>
      <c r="DQ135" s="814">
        <v>0</v>
      </c>
      <c r="DR135" s="814">
        <v>0</v>
      </c>
      <c r="DS135" s="814">
        <v>0</v>
      </c>
      <c r="DT135" s="814">
        <v>0</v>
      </c>
      <c r="DU135" s="814">
        <v>0</v>
      </c>
      <c r="DV135" s="808"/>
      <c r="DW135" s="808"/>
      <c r="DX135" s="808"/>
      <c r="DY135" s="814">
        <v>0</v>
      </c>
      <c r="DZ135" s="814">
        <v>12173.095107826492</v>
      </c>
      <c r="EA135" s="814">
        <v>12173.095107826492</v>
      </c>
      <c r="EB135" s="814">
        <v>12173.095107826492</v>
      </c>
      <c r="EC135" s="814">
        <v>12173.095107826492</v>
      </c>
      <c r="ED135" s="814">
        <v>12173.095107826492</v>
      </c>
      <c r="EE135" s="814">
        <v>12173.095107826492</v>
      </c>
      <c r="EF135" s="814">
        <v>12173.095107826492</v>
      </c>
      <c r="EG135" s="814">
        <v>12173.095107826492</v>
      </c>
      <c r="EH135" s="814">
        <v>10587.340728836367</v>
      </c>
      <c r="EI135" s="814">
        <v>9983.4544373054414</v>
      </c>
      <c r="EJ135" s="814">
        <v>4210.1165745286553</v>
      </c>
      <c r="EK135" s="814">
        <v>0</v>
      </c>
      <c r="EL135" s="814">
        <v>0</v>
      </c>
      <c r="EM135" s="814">
        <v>0</v>
      </c>
      <c r="EN135" s="814">
        <v>0</v>
      </c>
      <c r="EO135" s="814">
        <v>0</v>
      </c>
      <c r="EP135" s="814">
        <v>0</v>
      </c>
      <c r="EQ135" s="814">
        <v>0</v>
      </c>
      <c r="ER135" s="814">
        <v>0</v>
      </c>
      <c r="ES135" s="814">
        <v>0</v>
      </c>
      <c r="ET135" s="814">
        <v>0</v>
      </c>
      <c r="EU135" s="814">
        <v>0</v>
      </c>
      <c r="EV135" s="814">
        <v>0</v>
      </c>
      <c r="EW135" s="814">
        <v>0</v>
      </c>
      <c r="EX135" s="814">
        <v>0</v>
      </c>
      <c r="EY135" s="814">
        <v>0</v>
      </c>
      <c r="EZ135" s="815"/>
      <c r="FA135" s="815"/>
      <c r="FB135" s="815"/>
      <c r="FC135" s="815"/>
      <c r="FD135" s="815"/>
    </row>
    <row r="136" spans="1:160" s="816" customFormat="1">
      <c r="A136" s="797">
        <v>146485</v>
      </c>
      <c r="B136" s="797" t="s">
        <v>1016</v>
      </c>
      <c r="C136" s="799" t="s">
        <v>1017</v>
      </c>
      <c r="D136" s="799"/>
      <c r="E136" s="798" t="s">
        <v>990</v>
      </c>
      <c r="F136" s="800" t="s">
        <v>991</v>
      </c>
      <c r="G136" s="800">
        <v>2015</v>
      </c>
      <c r="H136" s="800" t="s">
        <v>996</v>
      </c>
      <c r="I136" s="801">
        <v>42223</v>
      </c>
      <c r="J136" s="802">
        <v>2015</v>
      </c>
      <c r="K136" s="803"/>
      <c r="L136" s="803" t="s">
        <v>993</v>
      </c>
      <c r="M136" s="803" t="s">
        <v>22</v>
      </c>
      <c r="N136" s="804">
        <v>4.5053850080379689</v>
      </c>
      <c r="O136" s="804">
        <v>15089.932665333503</v>
      </c>
      <c r="P136" s="805">
        <v>203895.25313266035</v>
      </c>
      <c r="Q136" s="805">
        <v>141802.59278024366</v>
      </c>
      <c r="R136" s="805">
        <v>15089.932665333503</v>
      </c>
      <c r="S136" s="806">
        <v>4.5053850080379689</v>
      </c>
      <c r="T136" s="807">
        <v>0.68824232024679077</v>
      </c>
      <c r="U136" s="807">
        <v>0.58695629117961001</v>
      </c>
      <c r="V136" s="808"/>
      <c r="W136" s="808"/>
      <c r="X136" s="808"/>
      <c r="Y136" s="809">
        <v>0.69546784734602263</v>
      </c>
      <c r="Z136" s="808"/>
      <c r="AA136" s="808"/>
      <c r="AB136" s="808"/>
      <c r="AC136" s="809">
        <v>0.69151749008254249</v>
      </c>
      <c r="AD136" s="808"/>
      <c r="AE136" s="810"/>
      <c r="AF136" s="808"/>
      <c r="AG136" s="811">
        <v>7502</v>
      </c>
      <c r="AH136" s="812">
        <v>7502</v>
      </c>
      <c r="AI136" s="808"/>
      <c r="AJ136" s="808"/>
      <c r="AK136" s="808"/>
      <c r="AL136" s="808"/>
      <c r="AM136" s="813">
        <v>0</v>
      </c>
      <c r="AN136" s="813">
        <v>6.5152148320936707</v>
      </c>
      <c r="AO136" s="813">
        <v>6.5152148320936707</v>
      </c>
      <c r="AP136" s="813">
        <v>6.5152148320936707</v>
      </c>
      <c r="AQ136" s="813">
        <v>6.5152148320936707</v>
      </c>
      <c r="AR136" s="813">
        <v>6.5152148320936707</v>
      </c>
      <c r="AS136" s="813">
        <v>6.5152148320936707</v>
      </c>
      <c r="AT136" s="813">
        <v>5.9741866059187965</v>
      </c>
      <c r="AU136" s="813">
        <v>5.9741866059187965</v>
      </c>
      <c r="AV136" s="813">
        <v>5.9741866059187965</v>
      </c>
      <c r="AW136" s="813">
        <v>4.2107024319560606</v>
      </c>
      <c r="AX136" s="813">
        <v>0</v>
      </c>
      <c r="AY136" s="813">
        <v>0</v>
      </c>
      <c r="AZ136" s="813">
        <v>0</v>
      </c>
      <c r="BA136" s="813">
        <v>0</v>
      </c>
      <c r="BB136" s="813">
        <v>0</v>
      </c>
      <c r="BC136" s="813">
        <v>0</v>
      </c>
      <c r="BD136" s="813">
        <v>0</v>
      </c>
      <c r="BE136" s="813">
        <v>0</v>
      </c>
      <c r="BF136" s="813">
        <v>0</v>
      </c>
      <c r="BG136" s="813">
        <v>0</v>
      </c>
      <c r="BH136" s="813">
        <v>0</v>
      </c>
      <c r="BI136" s="813">
        <v>0</v>
      </c>
      <c r="BJ136" s="813">
        <v>0</v>
      </c>
      <c r="BK136" s="813">
        <v>0</v>
      </c>
      <c r="BL136" s="813">
        <v>0</v>
      </c>
      <c r="BM136" s="813">
        <v>0</v>
      </c>
      <c r="BN136" s="808"/>
      <c r="BO136" s="808"/>
      <c r="BP136" s="808"/>
      <c r="BQ136" s="813">
        <v>0</v>
      </c>
      <c r="BR136" s="813">
        <v>4.5053850080379689</v>
      </c>
      <c r="BS136" s="813">
        <v>4.5053850080379689</v>
      </c>
      <c r="BT136" s="813">
        <v>4.5053850080379689</v>
      </c>
      <c r="BU136" s="813">
        <v>4.5053850080379689</v>
      </c>
      <c r="BV136" s="813">
        <v>4.5053850080379689</v>
      </c>
      <c r="BW136" s="813">
        <v>4.5053850080379689</v>
      </c>
      <c r="BX136" s="813">
        <v>4.1312545270097099</v>
      </c>
      <c r="BY136" s="813">
        <v>4.1312545270097099</v>
      </c>
      <c r="BZ136" s="813">
        <v>4.1312545270097099</v>
      </c>
      <c r="CA136" s="813">
        <v>2.9117743772307128</v>
      </c>
      <c r="CB136" s="813">
        <v>0</v>
      </c>
      <c r="CC136" s="813">
        <v>0</v>
      </c>
      <c r="CD136" s="813">
        <v>0</v>
      </c>
      <c r="CE136" s="813">
        <v>0</v>
      </c>
      <c r="CF136" s="813">
        <v>0</v>
      </c>
      <c r="CG136" s="813">
        <v>0</v>
      </c>
      <c r="CH136" s="813">
        <v>0</v>
      </c>
      <c r="CI136" s="813">
        <v>0</v>
      </c>
      <c r="CJ136" s="813">
        <v>0</v>
      </c>
      <c r="CK136" s="813">
        <v>0</v>
      </c>
      <c r="CL136" s="813">
        <v>0</v>
      </c>
      <c r="CM136" s="813">
        <v>0</v>
      </c>
      <c r="CN136" s="813">
        <v>0</v>
      </c>
      <c r="CO136" s="813">
        <v>0</v>
      </c>
      <c r="CP136" s="813">
        <v>0</v>
      </c>
      <c r="CQ136" s="813">
        <v>0</v>
      </c>
      <c r="CR136" s="808"/>
      <c r="CS136" s="808"/>
      <c r="CT136" s="808"/>
      <c r="CU136" s="814">
        <v>0</v>
      </c>
      <c r="CV136" s="814">
        <v>21697.527388100327</v>
      </c>
      <c r="CW136" s="814">
        <v>21697.527388100327</v>
      </c>
      <c r="CX136" s="814">
        <v>21697.527388100327</v>
      </c>
      <c r="CY136" s="814">
        <v>21697.527388100327</v>
      </c>
      <c r="CZ136" s="814">
        <v>21697.527388100327</v>
      </c>
      <c r="DA136" s="814">
        <v>21697.527388100327</v>
      </c>
      <c r="DB136" s="814">
        <v>19895.7487733202</v>
      </c>
      <c r="DC136" s="814">
        <v>19895.7487733202</v>
      </c>
      <c r="DD136" s="814">
        <v>19895.7487733202</v>
      </c>
      <c r="DE136" s="814">
        <v>14022.842484097804</v>
      </c>
      <c r="DF136" s="814">
        <v>0</v>
      </c>
      <c r="DG136" s="814">
        <v>0</v>
      </c>
      <c r="DH136" s="814">
        <v>0</v>
      </c>
      <c r="DI136" s="814">
        <v>0</v>
      </c>
      <c r="DJ136" s="814">
        <v>0</v>
      </c>
      <c r="DK136" s="814">
        <v>0</v>
      </c>
      <c r="DL136" s="814">
        <v>0</v>
      </c>
      <c r="DM136" s="814">
        <v>0</v>
      </c>
      <c r="DN136" s="814">
        <v>0</v>
      </c>
      <c r="DO136" s="814">
        <v>0</v>
      </c>
      <c r="DP136" s="814">
        <v>0</v>
      </c>
      <c r="DQ136" s="814">
        <v>0</v>
      </c>
      <c r="DR136" s="814">
        <v>0</v>
      </c>
      <c r="DS136" s="814">
        <v>0</v>
      </c>
      <c r="DT136" s="814">
        <v>0</v>
      </c>
      <c r="DU136" s="814">
        <v>0</v>
      </c>
      <c r="DV136" s="808"/>
      <c r="DW136" s="808"/>
      <c r="DX136" s="808"/>
      <c r="DY136" s="814">
        <v>0</v>
      </c>
      <c r="DZ136" s="814">
        <v>15089.932665333503</v>
      </c>
      <c r="EA136" s="814">
        <v>15089.932665333503</v>
      </c>
      <c r="EB136" s="814">
        <v>15089.932665333503</v>
      </c>
      <c r="EC136" s="814">
        <v>15089.932665333503</v>
      </c>
      <c r="ED136" s="814">
        <v>15089.932665333503</v>
      </c>
      <c r="EE136" s="814">
        <v>15089.932665333503</v>
      </c>
      <c r="EF136" s="814">
        <v>13836.853570718269</v>
      </c>
      <c r="EG136" s="814">
        <v>13836.853570718269</v>
      </c>
      <c r="EH136" s="814">
        <v>13836.853570718269</v>
      </c>
      <c r="EI136" s="814">
        <v>9752.4360760878535</v>
      </c>
      <c r="EJ136" s="814">
        <v>0</v>
      </c>
      <c r="EK136" s="814">
        <v>0</v>
      </c>
      <c r="EL136" s="814">
        <v>0</v>
      </c>
      <c r="EM136" s="814">
        <v>0</v>
      </c>
      <c r="EN136" s="814">
        <v>0</v>
      </c>
      <c r="EO136" s="814">
        <v>0</v>
      </c>
      <c r="EP136" s="814">
        <v>0</v>
      </c>
      <c r="EQ136" s="814">
        <v>0</v>
      </c>
      <c r="ER136" s="814">
        <v>0</v>
      </c>
      <c r="ES136" s="814">
        <v>0</v>
      </c>
      <c r="ET136" s="814">
        <v>0</v>
      </c>
      <c r="EU136" s="814">
        <v>0</v>
      </c>
      <c r="EV136" s="814">
        <v>0</v>
      </c>
      <c r="EW136" s="814">
        <v>0</v>
      </c>
      <c r="EX136" s="814">
        <v>0</v>
      </c>
      <c r="EY136" s="814">
        <v>0</v>
      </c>
      <c r="EZ136" s="815"/>
      <c r="FA136" s="815"/>
      <c r="FB136" s="815"/>
      <c r="FC136" s="815"/>
      <c r="FD136" s="815"/>
    </row>
    <row r="137" spans="1:160" s="816" customFormat="1">
      <c r="A137" s="797">
        <v>147115</v>
      </c>
      <c r="B137" s="797" t="s">
        <v>1022</v>
      </c>
      <c r="C137" s="799" t="s">
        <v>1023</v>
      </c>
      <c r="D137" s="799"/>
      <c r="E137" s="798" t="s">
        <v>990</v>
      </c>
      <c r="F137" s="800" t="s">
        <v>991</v>
      </c>
      <c r="G137" s="800">
        <v>2015</v>
      </c>
      <c r="H137" s="800" t="s">
        <v>996</v>
      </c>
      <c r="I137" s="801">
        <v>42244</v>
      </c>
      <c r="J137" s="802">
        <v>2015</v>
      </c>
      <c r="K137" s="803"/>
      <c r="L137" s="803" t="s">
        <v>993</v>
      </c>
      <c r="M137" s="803" t="s">
        <v>22</v>
      </c>
      <c r="N137" s="804">
        <v>0.65414139834672247</v>
      </c>
      <c r="O137" s="804">
        <v>548.45316848783057</v>
      </c>
      <c r="P137" s="805">
        <v>15772.207747080894</v>
      </c>
      <c r="Q137" s="805">
        <v>10969.063369756612</v>
      </c>
      <c r="R137" s="805">
        <v>548.45316848783057</v>
      </c>
      <c r="S137" s="806">
        <v>0.65414139834672247</v>
      </c>
      <c r="T137" s="807">
        <v>0.67983654082245237</v>
      </c>
      <c r="U137" s="807">
        <v>0.39414609158369551</v>
      </c>
      <c r="V137" s="808"/>
      <c r="W137" s="808"/>
      <c r="X137" s="808"/>
      <c r="Y137" s="809">
        <v>0.69546784734602263</v>
      </c>
      <c r="Z137" s="808"/>
      <c r="AA137" s="808"/>
      <c r="AB137" s="808"/>
      <c r="AC137" s="809">
        <v>0.69151749008254249</v>
      </c>
      <c r="AD137" s="808"/>
      <c r="AE137" s="810"/>
      <c r="AF137" s="808"/>
      <c r="AG137" s="811">
        <v>24755</v>
      </c>
      <c r="AH137" s="812">
        <v>24755</v>
      </c>
      <c r="AI137" s="808"/>
      <c r="AJ137" s="808"/>
      <c r="AK137" s="808"/>
      <c r="AL137" s="808"/>
      <c r="AM137" s="813">
        <v>0</v>
      </c>
      <c r="AN137" s="813">
        <v>0.94595061980086914</v>
      </c>
      <c r="AO137" s="813">
        <v>0.94595061980086914</v>
      </c>
      <c r="AP137" s="813">
        <v>0.94595061980086914</v>
      </c>
      <c r="AQ137" s="813">
        <v>0.94595061980086914</v>
      </c>
      <c r="AR137" s="813">
        <v>0.94595061980086914</v>
      </c>
      <c r="AS137" s="813">
        <v>0.94595061980086914</v>
      </c>
      <c r="AT137" s="813">
        <v>0.94595061980086914</v>
      </c>
      <c r="AU137" s="813">
        <v>0.94595061980086914</v>
      </c>
      <c r="AV137" s="813">
        <v>0.94595061980086914</v>
      </c>
      <c r="AW137" s="813">
        <v>0.94595061980086914</v>
      </c>
      <c r="AX137" s="813">
        <v>0.94595061980086914</v>
      </c>
      <c r="AY137" s="813">
        <v>0.94595061980086914</v>
      </c>
      <c r="AZ137" s="813">
        <v>0.94595061980086914</v>
      </c>
      <c r="BA137" s="813">
        <v>0.94595061980086914</v>
      </c>
      <c r="BB137" s="813">
        <v>0.94595061980086914</v>
      </c>
      <c r="BC137" s="813">
        <v>0.94595061980086914</v>
      </c>
      <c r="BD137" s="813">
        <v>0.94595061980086914</v>
      </c>
      <c r="BE137" s="813">
        <v>0.94595061980086914</v>
      </c>
      <c r="BF137" s="813">
        <v>0.94595061980086914</v>
      </c>
      <c r="BG137" s="813">
        <v>0.94595061980086914</v>
      </c>
      <c r="BH137" s="813">
        <v>0</v>
      </c>
      <c r="BI137" s="813">
        <v>0</v>
      </c>
      <c r="BJ137" s="813">
        <v>0</v>
      </c>
      <c r="BK137" s="813">
        <v>0</v>
      </c>
      <c r="BL137" s="813">
        <v>0</v>
      </c>
      <c r="BM137" s="813">
        <v>0</v>
      </c>
      <c r="BN137" s="808"/>
      <c r="BO137" s="808"/>
      <c r="BP137" s="808"/>
      <c r="BQ137" s="813">
        <v>0</v>
      </c>
      <c r="BR137" s="813">
        <v>0.65414139834672247</v>
      </c>
      <c r="BS137" s="813">
        <v>0.65414139834672247</v>
      </c>
      <c r="BT137" s="813">
        <v>0.65414139834672247</v>
      </c>
      <c r="BU137" s="813">
        <v>0.65414139834672247</v>
      </c>
      <c r="BV137" s="813">
        <v>0.65414139834672247</v>
      </c>
      <c r="BW137" s="813">
        <v>0.65414139834672247</v>
      </c>
      <c r="BX137" s="813">
        <v>0.65414139834672247</v>
      </c>
      <c r="BY137" s="813">
        <v>0.65414139834672247</v>
      </c>
      <c r="BZ137" s="813">
        <v>0.65414139834672247</v>
      </c>
      <c r="CA137" s="813">
        <v>0.65414139834672247</v>
      </c>
      <c r="CB137" s="813">
        <v>0.65414139834672247</v>
      </c>
      <c r="CC137" s="813">
        <v>0.65414139834672247</v>
      </c>
      <c r="CD137" s="813">
        <v>0.65414139834672247</v>
      </c>
      <c r="CE137" s="813">
        <v>0.65414139834672247</v>
      </c>
      <c r="CF137" s="813">
        <v>0.65414139834672247</v>
      </c>
      <c r="CG137" s="813">
        <v>0.65414139834672247</v>
      </c>
      <c r="CH137" s="813">
        <v>0.65414139834672247</v>
      </c>
      <c r="CI137" s="813">
        <v>0.65414139834672247</v>
      </c>
      <c r="CJ137" s="813">
        <v>0.65414139834672247</v>
      </c>
      <c r="CK137" s="813">
        <v>0.65414139834672247</v>
      </c>
      <c r="CL137" s="813">
        <v>0</v>
      </c>
      <c r="CM137" s="813">
        <v>0</v>
      </c>
      <c r="CN137" s="813">
        <v>0</v>
      </c>
      <c r="CO137" s="813">
        <v>0</v>
      </c>
      <c r="CP137" s="813">
        <v>0</v>
      </c>
      <c r="CQ137" s="813">
        <v>0</v>
      </c>
      <c r="CR137" s="808"/>
      <c r="CS137" s="808"/>
      <c r="CT137" s="808"/>
      <c r="CU137" s="814">
        <v>0</v>
      </c>
      <c r="CV137" s="814">
        <v>788.61038735404475</v>
      </c>
      <c r="CW137" s="814">
        <v>788.61038735404475</v>
      </c>
      <c r="CX137" s="814">
        <v>788.61038735404475</v>
      </c>
      <c r="CY137" s="814">
        <v>788.61038735404475</v>
      </c>
      <c r="CZ137" s="814">
        <v>788.61038735404475</v>
      </c>
      <c r="DA137" s="814">
        <v>788.61038735404475</v>
      </c>
      <c r="DB137" s="814">
        <v>788.61038735404475</v>
      </c>
      <c r="DC137" s="814">
        <v>788.61038735404475</v>
      </c>
      <c r="DD137" s="814">
        <v>788.61038735404475</v>
      </c>
      <c r="DE137" s="814">
        <v>788.61038735404475</v>
      </c>
      <c r="DF137" s="814">
        <v>788.61038735404475</v>
      </c>
      <c r="DG137" s="814">
        <v>788.61038735404475</v>
      </c>
      <c r="DH137" s="814">
        <v>788.61038735404475</v>
      </c>
      <c r="DI137" s="814">
        <v>788.61038735404475</v>
      </c>
      <c r="DJ137" s="814">
        <v>788.61038735404475</v>
      </c>
      <c r="DK137" s="814">
        <v>788.61038735404475</v>
      </c>
      <c r="DL137" s="814">
        <v>788.61038735404475</v>
      </c>
      <c r="DM137" s="814">
        <v>788.61038735404475</v>
      </c>
      <c r="DN137" s="814">
        <v>788.61038735404475</v>
      </c>
      <c r="DO137" s="814">
        <v>788.61038735404475</v>
      </c>
      <c r="DP137" s="814">
        <v>0</v>
      </c>
      <c r="DQ137" s="814">
        <v>0</v>
      </c>
      <c r="DR137" s="814">
        <v>0</v>
      </c>
      <c r="DS137" s="814">
        <v>0</v>
      </c>
      <c r="DT137" s="814">
        <v>0</v>
      </c>
      <c r="DU137" s="814">
        <v>0</v>
      </c>
      <c r="DV137" s="808"/>
      <c r="DW137" s="808"/>
      <c r="DX137" s="808"/>
      <c r="DY137" s="814">
        <v>0</v>
      </c>
      <c r="DZ137" s="814">
        <v>548.45316848783057</v>
      </c>
      <c r="EA137" s="814">
        <v>548.45316848783057</v>
      </c>
      <c r="EB137" s="814">
        <v>548.45316848783057</v>
      </c>
      <c r="EC137" s="814">
        <v>548.45316848783057</v>
      </c>
      <c r="ED137" s="814">
        <v>548.45316848783057</v>
      </c>
      <c r="EE137" s="814">
        <v>548.45316848783057</v>
      </c>
      <c r="EF137" s="814">
        <v>548.45316848783057</v>
      </c>
      <c r="EG137" s="814">
        <v>548.45316848783057</v>
      </c>
      <c r="EH137" s="814">
        <v>548.45316848783057</v>
      </c>
      <c r="EI137" s="814">
        <v>548.45316848783057</v>
      </c>
      <c r="EJ137" s="814">
        <v>548.45316848783057</v>
      </c>
      <c r="EK137" s="814">
        <v>548.45316848783057</v>
      </c>
      <c r="EL137" s="814">
        <v>548.45316848783057</v>
      </c>
      <c r="EM137" s="814">
        <v>548.45316848783057</v>
      </c>
      <c r="EN137" s="814">
        <v>548.45316848783057</v>
      </c>
      <c r="EO137" s="814">
        <v>548.45316848783057</v>
      </c>
      <c r="EP137" s="814">
        <v>548.45316848783057</v>
      </c>
      <c r="EQ137" s="814">
        <v>548.45316848783057</v>
      </c>
      <c r="ER137" s="814">
        <v>548.45316848783057</v>
      </c>
      <c r="ES137" s="814">
        <v>548.45316848783057</v>
      </c>
      <c r="ET137" s="814">
        <v>0</v>
      </c>
      <c r="EU137" s="814">
        <v>0</v>
      </c>
      <c r="EV137" s="814">
        <v>0</v>
      </c>
      <c r="EW137" s="814">
        <v>0</v>
      </c>
      <c r="EX137" s="814">
        <v>0</v>
      </c>
      <c r="EY137" s="814">
        <v>0</v>
      </c>
      <c r="EZ137" s="815"/>
      <c r="FA137" s="815"/>
      <c r="FB137" s="815"/>
      <c r="FC137" s="815"/>
      <c r="FD137" s="815"/>
    </row>
    <row r="138" spans="1:160" s="816" customFormat="1">
      <c r="A138" s="797">
        <v>148591</v>
      </c>
      <c r="B138" s="798"/>
      <c r="C138" s="799" t="s">
        <v>1024</v>
      </c>
      <c r="D138" s="799"/>
      <c r="E138" s="798" t="s">
        <v>990</v>
      </c>
      <c r="F138" s="800" t="s">
        <v>991</v>
      </c>
      <c r="G138" s="800">
        <v>2015</v>
      </c>
      <c r="H138" s="800" t="s">
        <v>992</v>
      </c>
      <c r="I138" s="801">
        <v>42278</v>
      </c>
      <c r="J138" s="802">
        <v>2015</v>
      </c>
      <c r="K138" s="803"/>
      <c r="L138" s="803" t="s">
        <v>993</v>
      </c>
      <c r="M138" s="803" t="s">
        <v>22</v>
      </c>
      <c r="N138" s="804">
        <v>0</v>
      </c>
      <c r="O138" s="804">
        <v>3605.958792816346</v>
      </c>
      <c r="P138" s="805">
        <v>54267.156802038182</v>
      </c>
      <c r="Q138" s="805">
        <v>43271.505513796154</v>
      </c>
      <c r="R138" s="805">
        <v>3605.958792816346</v>
      </c>
      <c r="S138" s="806">
        <v>0</v>
      </c>
      <c r="T138" s="807">
        <v>1.1043377452592222</v>
      </c>
      <c r="U138" s="807" t="s">
        <v>1014</v>
      </c>
      <c r="V138" s="808"/>
      <c r="W138" s="808"/>
      <c r="X138" s="808"/>
      <c r="Y138" s="809">
        <v>0.79737926332950881</v>
      </c>
      <c r="Z138" s="808"/>
      <c r="AA138" s="808"/>
      <c r="AB138" s="808"/>
      <c r="AC138" s="809">
        <v>0.79342890606602867</v>
      </c>
      <c r="AD138" s="808"/>
      <c r="AE138" s="810"/>
      <c r="AF138" s="808"/>
      <c r="AG138" s="811">
        <v>176.58410548823949</v>
      </c>
      <c r="AH138" s="812">
        <v>2648.7615823235924</v>
      </c>
      <c r="AI138" s="808"/>
      <c r="AJ138" s="808"/>
      <c r="AK138" s="808"/>
      <c r="AL138" s="808"/>
      <c r="AM138" s="813">
        <v>0</v>
      </c>
      <c r="AN138" s="813">
        <v>0</v>
      </c>
      <c r="AO138" s="813">
        <v>0</v>
      </c>
      <c r="AP138" s="813">
        <v>0</v>
      </c>
      <c r="AQ138" s="813">
        <v>0</v>
      </c>
      <c r="AR138" s="813">
        <v>0</v>
      </c>
      <c r="AS138" s="813">
        <v>0</v>
      </c>
      <c r="AT138" s="813">
        <v>0</v>
      </c>
      <c r="AU138" s="813">
        <v>0</v>
      </c>
      <c r="AV138" s="813">
        <v>0</v>
      </c>
      <c r="AW138" s="813">
        <v>0</v>
      </c>
      <c r="AX138" s="813">
        <v>0</v>
      </c>
      <c r="AY138" s="813">
        <v>0</v>
      </c>
      <c r="AZ138" s="813">
        <v>0</v>
      </c>
      <c r="BA138" s="813">
        <v>0</v>
      </c>
      <c r="BB138" s="813">
        <v>0</v>
      </c>
      <c r="BC138" s="813">
        <v>0</v>
      </c>
      <c r="BD138" s="813">
        <v>0</v>
      </c>
      <c r="BE138" s="813">
        <v>0</v>
      </c>
      <c r="BF138" s="813">
        <v>0</v>
      </c>
      <c r="BG138" s="813">
        <v>0</v>
      </c>
      <c r="BH138" s="813">
        <v>0</v>
      </c>
      <c r="BI138" s="813">
        <v>0</v>
      </c>
      <c r="BJ138" s="813">
        <v>0</v>
      </c>
      <c r="BK138" s="813">
        <v>0</v>
      </c>
      <c r="BL138" s="813">
        <v>0</v>
      </c>
      <c r="BM138" s="813">
        <v>0</v>
      </c>
      <c r="BN138" s="808"/>
      <c r="BO138" s="808"/>
      <c r="BP138" s="808"/>
      <c r="BQ138" s="813">
        <v>0</v>
      </c>
      <c r="BR138" s="813">
        <v>0</v>
      </c>
      <c r="BS138" s="813">
        <v>0</v>
      </c>
      <c r="BT138" s="813">
        <v>0</v>
      </c>
      <c r="BU138" s="813">
        <v>0</v>
      </c>
      <c r="BV138" s="813">
        <v>0</v>
      </c>
      <c r="BW138" s="813">
        <v>0</v>
      </c>
      <c r="BX138" s="813">
        <v>0</v>
      </c>
      <c r="BY138" s="813">
        <v>0</v>
      </c>
      <c r="BZ138" s="813">
        <v>0</v>
      </c>
      <c r="CA138" s="813">
        <v>0</v>
      </c>
      <c r="CB138" s="813">
        <v>0</v>
      </c>
      <c r="CC138" s="813">
        <v>0</v>
      </c>
      <c r="CD138" s="813">
        <v>0</v>
      </c>
      <c r="CE138" s="813">
        <v>0</v>
      </c>
      <c r="CF138" s="813">
        <v>0</v>
      </c>
      <c r="CG138" s="813">
        <v>0</v>
      </c>
      <c r="CH138" s="813">
        <v>0</v>
      </c>
      <c r="CI138" s="813">
        <v>0</v>
      </c>
      <c r="CJ138" s="813">
        <v>0</v>
      </c>
      <c r="CK138" s="813">
        <v>0</v>
      </c>
      <c r="CL138" s="813">
        <v>0</v>
      </c>
      <c r="CM138" s="813">
        <v>0</v>
      </c>
      <c r="CN138" s="813">
        <v>0</v>
      </c>
      <c r="CO138" s="813">
        <v>0</v>
      </c>
      <c r="CP138" s="813">
        <v>0</v>
      </c>
      <c r="CQ138" s="813">
        <v>0</v>
      </c>
      <c r="CR138" s="808"/>
      <c r="CS138" s="808"/>
      <c r="CT138" s="808"/>
      <c r="CU138" s="814">
        <v>0</v>
      </c>
      <c r="CV138" s="814">
        <v>4522.2630668365155</v>
      </c>
      <c r="CW138" s="814">
        <v>4522.2630668365155</v>
      </c>
      <c r="CX138" s="814">
        <v>4522.2630668365155</v>
      </c>
      <c r="CY138" s="814">
        <v>4522.2630668365155</v>
      </c>
      <c r="CZ138" s="814">
        <v>4522.2630668365155</v>
      </c>
      <c r="DA138" s="814">
        <v>4522.2630668365155</v>
      </c>
      <c r="DB138" s="814">
        <v>4522.2630668365155</v>
      </c>
      <c r="DC138" s="814">
        <v>4522.2630668365155</v>
      </c>
      <c r="DD138" s="814">
        <v>4522.2630668365155</v>
      </c>
      <c r="DE138" s="814">
        <v>4522.2630668365155</v>
      </c>
      <c r="DF138" s="814">
        <v>4522.2630668365155</v>
      </c>
      <c r="DG138" s="814">
        <v>4522.2630668365155</v>
      </c>
      <c r="DH138" s="814">
        <v>0</v>
      </c>
      <c r="DI138" s="814">
        <v>0</v>
      </c>
      <c r="DJ138" s="814">
        <v>0</v>
      </c>
      <c r="DK138" s="814">
        <v>0</v>
      </c>
      <c r="DL138" s="814">
        <v>0</v>
      </c>
      <c r="DM138" s="814">
        <v>0</v>
      </c>
      <c r="DN138" s="814">
        <v>0</v>
      </c>
      <c r="DO138" s="814">
        <v>0</v>
      </c>
      <c r="DP138" s="814">
        <v>0</v>
      </c>
      <c r="DQ138" s="814">
        <v>0</v>
      </c>
      <c r="DR138" s="814">
        <v>0</v>
      </c>
      <c r="DS138" s="814">
        <v>0</v>
      </c>
      <c r="DT138" s="814">
        <v>0</v>
      </c>
      <c r="DU138" s="814">
        <v>0</v>
      </c>
      <c r="DV138" s="808"/>
      <c r="DW138" s="808"/>
      <c r="DX138" s="808"/>
      <c r="DY138" s="814">
        <v>0</v>
      </c>
      <c r="DZ138" s="814">
        <v>3605.958792816346</v>
      </c>
      <c r="EA138" s="814">
        <v>3605.958792816346</v>
      </c>
      <c r="EB138" s="814">
        <v>3605.958792816346</v>
      </c>
      <c r="EC138" s="814">
        <v>3605.958792816346</v>
      </c>
      <c r="ED138" s="814">
        <v>3605.958792816346</v>
      </c>
      <c r="EE138" s="814">
        <v>3605.958792816346</v>
      </c>
      <c r="EF138" s="814">
        <v>3605.958792816346</v>
      </c>
      <c r="EG138" s="814">
        <v>3605.958792816346</v>
      </c>
      <c r="EH138" s="814">
        <v>3605.958792816346</v>
      </c>
      <c r="EI138" s="814">
        <v>3605.958792816346</v>
      </c>
      <c r="EJ138" s="814">
        <v>3605.958792816346</v>
      </c>
      <c r="EK138" s="814">
        <v>3605.958792816346</v>
      </c>
      <c r="EL138" s="814">
        <v>0</v>
      </c>
      <c r="EM138" s="814">
        <v>0</v>
      </c>
      <c r="EN138" s="814">
        <v>0</v>
      </c>
      <c r="EO138" s="814">
        <v>0</v>
      </c>
      <c r="EP138" s="814">
        <v>0</v>
      </c>
      <c r="EQ138" s="814">
        <v>0</v>
      </c>
      <c r="ER138" s="814">
        <v>0</v>
      </c>
      <c r="ES138" s="814">
        <v>0</v>
      </c>
      <c r="ET138" s="814">
        <v>0</v>
      </c>
      <c r="EU138" s="814">
        <v>0</v>
      </c>
      <c r="EV138" s="814">
        <v>0</v>
      </c>
      <c r="EW138" s="814">
        <v>0</v>
      </c>
      <c r="EX138" s="814">
        <v>0</v>
      </c>
      <c r="EY138" s="814">
        <v>0</v>
      </c>
      <c r="EZ138" s="815"/>
      <c r="FA138" s="815"/>
      <c r="FB138" s="815"/>
      <c r="FC138" s="815"/>
      <c r="FD138" s="815"/>
    </row>
    <row r="139" spans="1:160" s="816" customFormat="1">
      <c r="A139" s="797">
        <v>150653</v>
      </c>
      <c r="B139" s="797"/>
      <c r="C139" s="799" t="s">
        <v>1025</v>
      </c>
      <c r="D139" s="799"/>
      <c r="E139" s="798" t="s">
        <v>990</v>
      </c>
      <c r="F139" s="800" t="s">
        <v>991</v>
      </c>
      <c r="G139" s="800">
        <v>2015</v>
      </c>
      <c r="H139" s="800" t="s">
        <v>992</v>
      </c>
      <c r="I139" s="801">
        <v>42073</v>
      </c>
      <c r="J139" s="802">
        <v>2015</v>
      </c>
      <c r="K139" s="803"/>
      <c r="L139" s="803" t="s">
        <v>993</v>
      </c>
      <c r="M139" s="803" t="s">
        <v>22</v>
      </c>
      <c r="N139" s="804">
        <v>0.66576922882025336</v>
      </c>
      <c r="O139" s="804">
        <v>638.55715581764071</v>
      </c>
      <c r="P139" s="805">
        <v>12390.450653393418</v>
      </c>
      <c r="Q139" s="805">
        <v>9879.8884143234754</v>
      </c>
      <c r="R139" s="805">
        <v>638.55715581764071</v>
      </c>
      <c r="S139" s="806">
        <v>0.66576922882025336</v>
      </c>
      <c r="T139" s="807">
        <v>1.1746532706458273</v>
      </c>
      <c r="U139" s="807">
        <v>1.2294561517680644</v>
      </c>
      <c r="V139" s="808"/>
      <c r="W139" s="808"/>
      <c r="X139" s="808"/>
      <c r="Y139" s="809">
        <v>0.79737926332950881</v>
      </c>
      <c r="Z139" s="808"/>
      <c r="AA139" s="808"/>
      <c r="AB139" s="808"/>
      <c r="AC139" s="809">
        <v>0.79342890606602867</v>
      </c>
      <c r="AD139" s="808"/>
      <c r="AE139" s="810"/>
      <c r="AF139" s="808"/>
      <c r="AG139" s="811">
        <v>12245.36</v>
      </c>
      <c r="AH139" s="812">
        <v>12245.36</v>
      </c>
      <c r="AI139" s="808"/>
      <c r="AJ139" s="808"/>
      <c r="AK139" s="808"/>
      <c r="AL139" s="808"/>
      <c r="AM139" s="813">
        <v>0</v>
      </c>
      <c r="AN139" s="813">
        <v>0.83910382358170399</v>
      </c>
      <c r="AO139" s="813">
        <v>0.83910382358170399</v>
      </c>
      <c r="AP139" s="813">
        <v>0.83910382358170399</v>
      </c>
      <c r="AQ139" s="813">
        <v>0.83910382358170399</v>
      </c>
      <c r="AR139" s="813">
        <v>0.83910382358170399</v>
      </c>
      <c r="AS139" s="813">
        <v>0.83910382358170399</v>
      </c>
      <c r="AT139" s="813">
        <v>0.83910382358170399</v>
      </c>
      <c r="AU139" s="813">
        <v>0.83910382358170399</v>
      </c>
      <c r="AV139" s="813">
        <v>0.83910382358170399</v>
      </c>
      <c r="AW139" s="813">
        <v>0.83910382358170399</v>
      </c>
      <c r="AX139" s="813">
        <v>0.83910382358170399</v>
      </c>
      <c r="AY139" s="813">
        <v>0.83910382358170399</v>
      </c>
      <c r="AZ139" s="813">
        <v>0.83910382358170399</v>
      </c>
      <c r="BA139" s="813">
        <v>0.83910382358170399</v>
      </c>
      <c r="BB139" s="813">
        <v>0.83910382358170399</v>
      </c>
      <c r="BC139" s="813">
        <v>0.39623059170768926</v>
      </c>
      <c r="BD139" s="813">
        <v>0</v>
      </c>
      <c r="BE139" s="813">
        <v>0</v>
      </c>
      <c r="BF139" s="813">
        <v>0</v>
      </c>
      <c r="BG139" s="813">
        <v>0</v>
      </c>
      <c r="BH139" s="813">
        <v>0</v>
      </c>
      <c r="BI139" s="813">
        <v>0</v>
      </c>
      <c r="BJ139" s="813">
        <v>0</v>
      </c>
      <c r="BK139" s="813">
        <v>0</v>
      </c>
      <c r="BL139" s="813">
        <v>0</v>
      </c>
      <c r="BM139" s="813">
        <v>0</v>
      </c>
      <c r="BN139" s="808"/>
      <c r="BO139" s="808"/>
      <c r="BP139" s="808"/>
      <c r="BQ139" s="813">
        <v>0</v>
      </c>
      <c r="BR139" s="813">
        <v>0.66576922882025336</v>
      </c>
      <c r="BS139" s="813">
        <v>0.66576922882025336</v>
      </c>
      <c r="BT139" s="813">
        <v>0.66576922882025336</v>
      </c>
      <c r="BU139" s="813">
        <v>0.66576922882025336</v>
      </c>
      <c r="BV139" s="813">
        <v>0.66576922882025336</v>
      </c>
      <c r="BW139" s="813">
        <v>0.66576922882025336</v>
      </c>
      <c r="BX139" s="813">
        <v>0.66576922882025336</v>
      </c>
      <c r="BY139" s="813">
        <v>0.66576922882025336</v>
      </c>
      <c r="BZ139" s="813">
        <v>0.66576922882025336</v>
      </c>
      <c r="CA139" s="813">
        <v>0.66576922882025336</v>
      </c>
      <c r="CB139" s="813">
        <v>0.66576922882025336</v>
      </c>
      <c r="CC139" s="813">
        <v>0.66576922882025336</v>
      </c>
      <c r="CD139" s="813">
        <v>0.66576922882025336</v>
      </c>
      <c r="CE139" s="813">
        <v>0.66576922882025336</v>
      </c>
      <c r="CF139" s="813">
        <v>0.66576922882025336</v>
      </c>
      <c r="CG139" s="813">
        <v>0.31438080492852716</v>
      </c>
      <c r="CH139" s="813">
        <v>0</v>
      </c>
      <c r="CI139" s="813">
        <v>0</v>
      </c>
      <c r="CJ139" s="813">
        <v>0</v>
      </c>
      <c r="CK139" s="813">
        <v>0</v>
      </c>
      <c r="CL139" s="813">
        <v>0</v>
      </c>
      <c r="CM139" s="813">
        <v>0</v>
      </c>
      <c r="CN139" s="813">
        <v>0</v>
      </c>
      <c r="CO139" s="813">
        <v>0</v>
      </c>
      <c r="CP139" s="813">
        <v>0</v>
      </c>
      <c r="CQ139" s="813">
        <v>0</v>
      </c>
      <c r="CR139" s="808"/>
      <c r="CS139" s="808"/>
      <c r="CT139" s="808"/>
      <c r="CU139" s="814">
        <v>0</v>
      </c>
      <c r="CV139" s="814">
        <v>800.81986726279274</v>
      </c>
      <c r="CW139" s="814">
        <v>800.81986726279274</v>
      </c>
      <c r="CX139" s="814">
        <v>800.81986726279274</v>
      </c>
      <c r="CY139" s="814">
        <v>800.81986726279274</v>
      </c>
      <c r="CZ139" s="814">
        <v>800.81986726279274</v>
      </c>
      <c r="DA139" s="814">
        <v>800.81986726279274</v>
      </c>
      <c r="DB139" s="814">
        <v>800.81986726279274</v>
      </c>
      <c r="DC139" s="814">
        <v>800.81986726279274</v>
      </c>
      <c r="DD139" s="814">
        <v>800.81986726279274</v>
      </c>
      <c r="DE139" s="814">
        <v>800.81986726279274</v>
      </c>
      <c r="DF139" s="814">
        <v>800.81986726279274</v>
      </c>
      <c r="DG139" s="814">
        <v>800.81986726279274</v>
      </c>
      <c r="DH139" s="814">
        <v>800.81986726279274</v>
      </c>
      <c r="DI139" s="814">
        <v>800.81986726279274</v>
      </c>
      <c r="DJ139" s="814">
        <v>800.81986726279274</v>
      </c>
      <c r="DK139" s="814">
        <v>378.15264445152769</v>
      </c>
      <c r="DL139" s="814">
        <v>0</v>
      </c>
      <c r="DM139" s="814">
        <v>0</v>
      </c>
      <c r="DN139" s="814">
        <v>0</v>
      </c>
      <c r="DO139" s="814">
        <v>0</v>
      </c>
      <c r="DP139" s="814">
        <v>0</v>
      </c>
      <c r="DQ139" s="814">
        <v>0</v>
      </c>
      <c r="DR139" s="814">
        <v>0</v>
      </c>
      <c r="DS139" s="814">
        <v>0</v>
      </c>
      <c r="DT139" s="814">
        <v>0</v>
      </c>
      <c r="DU139" s="814">
        <v>0</v>
      </c>
      <c r="DV139" s="808"/>
      <c r="DW139" s="808"/>
      <c r="DX139" s="808"/>
      <c r="DY139" s="814">
        <v>0</v>
      </c>
      <c r="DZ139" s="814">
        <v>638.55715581764071</v>
      </c>
      <c r="EA139" s="814">
        <v>638.55715581764071</v>
      </c>
      <c r="EB139" s="814">
        <v>638.55715581764071</v>
      </c>
      <c r="EC139" s="814">
        <v>638.55715581764071</v>
      </c>
      <c r="ED139" s="814">
        <v>638.55715581764071</v>
      </c>
      <c r="EE139" s="814">
        <v>638.55715581764071</v>
      </c>
      <c r="EF139" s="814">
        <v>638.55715581764071</v>
      </c>
      <c r="EG139" s="814">
        <v>638.55715581764071</v>
      </c>
      <c r="EH139" s="814">
        <v>638.55715581764071</v>
      </c>
      <c r="EI139" s="814">
        <v>638.55715581764071</v>
      </c>
      <c r="EJ139" s="814">
        <v>638.55715581764071</v>
      </c>
      <c r="EK139" s="814">
        <v>638.55715581764071</v>
      </c>
      <c r="EL139" s="814">
        <v>638.55715581764071</v>
      </c>
      <c r="EM139" s="814">
        <v>638.55715581764071</v>
      </c>
      <c r="EN139" s="814">
        <v>638.55715581764071</v>
      </c>
      <c r="EO139" s="814">
        <v>301.53107705886481</v>
      </c>
      <c r="EP139" s="814">
        <v>0</v>
      </c>
      <c r="EQ139" s="814">
        <v>0</v>
      </c>
      <c r="ER139" s="814">
        <v>0</v>
      </c>
      <c r="ES139" s="814">
        <v>0</v>
      </c>
      <c r="ET139" s="814">
        <v>0</v>
      </c>
      <c r="EU139" s="814">
        <v>0</v>
      </c>
      <c r="EV139" s="814">
        <v>0</v>
      </c>
      <c r="EW139" s="814">
        <v>0</v>
      </c>
      <c r="EX139" s="814">
        <v>0</v>
      </c>
      <c r="EY139" s="814">
        <v>0</v>
      </c>
      <c r="EZ139" s="815"/>
      <c r="FA139" s="815"/>
      <c r="FB139" s="815"/>
      <c r="FC139" s="815"/>
      <c r="FD139" s="815"/>
    </row>
    <row r="140" spans="1:160" customFormat="1">
      <c r="A140" s="817">
        <v>133297</v>
      </c>
      <c r="B140" s="817" t="s">
        <v>1026</v>
      </c>
      <c r="C140" s="818" t="s">
        <v>1027</v>
      </c>
      <c r="D140" s="818"/>
      <c r="E140" s="819" t="s">
        <v>1028</v>
      </c>
      <c r="F140" s="820" t="s">
        <v>991</v>
      </c>
      <c r="G140" s="820">
        <v>2015</v>
      </c>
      <c r="H140" s="820" t="s">
        <v>996</v>
      </c>
      <c r="I140" s="821">
        <v>42025</v>
      </c>
      <c r="J140" s="822">
        <v>2015</v>
      </c>
      <c r="K140" s="823"/>
      <c r="L140" s="823" t="s">
        <v>993</v>
      </c>
      <c r="M140" s="823" t="s">
        <v>22</v>
      </c>
      <c r="N140" s="824">
        <v>31.909607235190606</v>
      </c>
      <c r="O140" s="824">
        <v>212619.58587078407</v>
      </c>
      <c r="P140" s="825">
        <v>2872917.0131871365</v>
      </c>
      <c r="Q140" s="825">
        <v>1998021.410765023</v>
      </c>
      <c r="R140" s="825">
        <v>212619.58587078407</v>
      </c>
      <c r="S140" s="826">
        <v>31.909607235190606</v>
      </c>
      <c r="T140" s="827">
        <v>0.96037112112869971</v>
      </c>
      <c r="U140" s="827">
        <v>0.92845722686522347</v>
      </c>
      <c r="V140" s="828"/>
      <c r="W140" s="828"/>
      <c r="X140" s="828"/>
      <c r="Y140" s="829">
        <v>0.69546784734602263</v>
      </c>
      <c r="Z140" s="828"/>
      <c r="AA140" s="828"/>
      <c r="AB140" s="828"/>
      <c r="AC140" s="829">
        <v>0.69151749008254249</v>
      </c>
      <c r="AD140" s="828"/>
      <c r="AE140" s="830"/>
      <c r="AF140" s="828"/>
      <c r="AG140" s="831">
        <v>20475.809991935108</v>
      </c>
      <c r="AH140" s="832">
        <v>20475.809991935108</v>
      </c>
      <c r="AI140" s="828"/>
      <c r="AJ140" s="828"/>
      <c r="AK140" s="828"/>
      <c r="AL140" s="828"/>
      <c r="AM140" s="833">
        <v>0</v>
      </c>
      <c r="AN140" s="833">
        <v>46.144324175201611</v>
      </c>
      <c r="AO140" s="833">
        <v>46.144324175201611</v>
      </c>
      <c r="AP140" s="833">
        <v>46.144324175201611</v>
      </c>
      <c r="AQ140" s="833">
        <v>46.144324175201611</v>
      </c>
      <c r="AR140" s="833">
        <v>46.144324175201611</v>
      </c>
      <c r="AS140" s="833">
        <v>46.144324175201611</v>
      </c>
      <c r="AT140" s="833">
        <v>42.312465594948925</v>
      </c>
      <c r="AU140" s="833">
        <v>42.312465594948925</v>
      </c>
      <c r="AV140" s="833">
        <v>42.312465594948925</v>
      </c>
      <c r="AW140" s="833">
        <v>29.822503636929458</v>
      </c>
      <c r="AX140" s="833">
        <v>0</v>
      </c>
      <c r="AY140" s="833">
        <v>0</v>
      </c>
      <c r="AZ140" s="833">
        <v>0</v>
      </c>
      <c r="BA140" s="833">
        <v>0</v>
      </c>
      <c r="BB140" s="833">
        <v>0</v>
      </c>
      <c r="BC140" s="833">
        <v>0</v>
      </c>
      <c r="BD140" s="833">
        <v>0</v>
      </c>
      <c r="BE140" s="833">
        <v>0</v>
      </c>
      <c r="BF140" s="833">
        <v>0</v>
      </c>
      <c r="BG140" s="833">
        <v>0</v>
      </c>
      <c r="BH140" s="833">
        <v>0</v>
      </c>
      <c r="BI140" s="833">
        <v>0</v>
      </c>
      <c r="BJ140" s="833">
        <v>0</v>
      </c>
      <c r="BK140" s="833">
        <v>0</v>
      </c>
      <c r="BL140" s="833">
        <v>0</v>
      </c>
      <c r="BM140" s="833">
        <v>0</v>
      </c>
      <c r="BN140" s="828"/>
      <c r="BO140" s="828"/>
      <c r="BP140" s="828"/>
      <c r="BQ140" s="833">
        <v>0</v>
      </c>
      <c r="BR140" s="833">
        <v>31.909607235190606</v>
      </c>
      <c r="BS140" s="833">
        <v>31.909607235190606</v>
      </c>
      <c r="BT140" s="833">
        <v>31.909607235190606</v>
      </c>
      <c r="BU140" s="833">
        <v>31.909607235190606</v>
      </c>
      <c r="BV140" s="833">
        <v>31.909607235190606</v>
      </c>
      <c r="BW140" s="833">
        <v>31.909607235190606</v>
      </c>
      <c r="BX140" s="833">
        <v>29.259810007423013</v>
      </c>
      <c r="BY140" s="833">
        <v>29.259810007423013</v>
      </c>
      <c r="BZ140" s="833">
        <v>29.259810007423013</v>
      </c>
      <c r="CA140" s="833">
        <v>20.622782862986956</v>
      </c>
      <c r="CB140" s="833">
        <v>0</v>
      </c>
      <c r="CC140" s="833">
        <v>0</v>
      </c>
      <c r="CD140" s="833">
        <v>0</v>
      </c>
      <c r="CE140" s="833">
        <v>0</v>
      </c>
      <c r="CF140" s="833">
        <v>0</v>
      </c>
      <c r="CG140" s="833">
        <v>0</v>
      </c>
      <c r="CH140" s="833">
        <v>0</v>
      </c>
      <c r="CI140" s="833">
        <v>0</v>
      </c>
      <c r="CJ140" s="833">
        <v>0</v>
      </c>
      <c r="CK140" s="833">
        <v>0</v>
      </c>
      <c r="CL140" s="833">
        <v>0</v>
      </c>
      <c r="CM140" s="833">
        <v>0</v>
      </c>
      <c r="CN140" s="833">
        <v>0</v>
      </c>
      <c r="CO140" s="833">
        <v>0</v>
      </c>
      <c r="CP140" s="833">
        <v>0</v>
      </c>
      <c r="CQ140" s="833">
        <v>0</v>
      </c>
      <c r="CR140" s="828"/>
      <c r="CS140" s="828"/>
      <c r="CT140" s="828"/>
      <c r="CU140" s="834">
        <v>0</v>
      </c>
      <c r="CV140" s="834">
        <v>305721.66158674686</v>
      </c>
      <c r="CW140" s="834">
        <v>305721.66158674686</v>
      </c>
      <c r="CX140" s="834">
        <v>305721.66158674686</v>
      </c>
      <c r="CY140" s="834">
        <v>305721.66158674686</v>
      </c>
      <c r="CZ140" s="834">
        <v>305721.66158674686</v>
      </c>
      <c r="DA140" s="834">
        <v>305721.66158674686</v>
      </c>
      <c r="DB140" s="834">
        <v>280334.3102047572</v>
      </c>
      <c r="DC140" s="834">
        <v>280334.3102047572</v>
      </c>
      <c r="DD140" s="834">
        <v>280334.3102047572</v>
      </c>
      <c r="DE140" s="834">
        <v>197584.11305238368</v>
      </c>
      <c r="DF140" s="834">
        <v>0</v>
      </c>
      <c r="DG140" s="834">
        <v>0</v>
      </c>
      <c r="DH140" s="834">
        <v>0</v>
      </c>
      <c r="DI140" s="834">
        <v>0</v>
      </c>
      <c r="DJ140" s="834">
        <v>0</v>
      </c>
      <c r="DK140" s="834">
        <v>0</v>
      </c>
      <c r="DL140" s="834">
        <v>0</v>
      </c>
      <c r="DM140" s="834">
        <v>0</v>
      </c>
      <c r="DN140" s="834">
        <v>0</v>
      </c>
      <c r="DO140" s="834">
        <v>0</v>
      </c>
      <c r="DP140" s="834">
        <v>0</v>
      </c>
      <c r="DQ140" s="834">
        <v>0</v>
      </c>
      <c r="DR140" s="834">
        <v>0</v>
      </c>
      <c r="DS140" s="834">
        <v>0</v>
      </c>
      <c r="DT140" s="834">
        <v>0</v>
      </c>
      <c r="DU140" s="834">
        <v>0</v>
      </c>
      <c r="DV140" s="828"/>
      <c r="DW140" s="828"/>
      <c r="DX140" s="828"/>
      <c r="DY140" s="834">
        <v>0</v>
      </c>
      <c r="DZ140" s="834">
        <v>212619.58587078407</v>
      </c>
      <c r="EA140" s="834">
        <v>212619.58587078407</v>
      </c>
      <c r="EB140" s="834">
        <v>212619.58587078407</v>
      </c>
      <c r="EC140" s="834">
        <v>212619.58587078407</v>
      </c>
      <c r="ED140" s="834">
        <v>212619.58587078407</v>
      </c>
      <c r="EE140" s="834">
        <v>212619.58587078407</v>
      </c>
      <c r="EF140" s="834">
        <v>194963.49925533464</v>
      </c>
      <c r="EG140" s="834">
        <v>194963.49925533464</v>
      </c>
      <c r="EH140" s="834">
        <v>194963.49925533464</v>
      </c>
      <c r="EI140" s="834">
        <v>137413.39777431445</v>
      </c>
      <c r="EJ140" s="834">
        <v>0</v>
      </c>
      <c r="EK140" s="834">
        <v>0</v>
      </c>
      <c r="EL140" s="834">
        <v>0</v>
      </c>
      <c r="EM140" s="834">
        <v>0</v>
      </c>
      <c r="EN140" s="834">
        <v>0</v>
      </c>
      <c r="EO140" s="834">
        <v>0</v>
      </c>
      <c r="EP140" s="834">
        <v>0</v>
      </c>
      <c r="EQ140" s="834">
        <v>0</v>
      </c>
      <c r="ER140" s="834">
        <v>0</v>
      </c>
      <c r="ES140" s="834">
        <v>0</v>
      </c>
      <c r="ET140" s="834">
        <v>0</v>
      </c>
      <c r="EU140" s="834">
        <v>0</v>
      </c>
      <c r="EV140" s="834">
        <v>0</v>
      </c>
      <c r="EW140" s="834">
        <v>0</v>
      </c>
      <c r="EX140" s="834">
        <v>0</v>
      </c>
      <c r="EY140" s="834">
        <v>0</v>
      </c>
      <c r="EZ140" s="764"/>
      <c r="FA140" s="764"/>
      <c r="FB140" s="764"/>
      <c r="FC140" s="764"/>
      <c r="FD140" s="764"/>
    </row>
    <row r="141" spans="1:160" customFormat="1">
      <c r="A141" s="817">
        <v>135920</v>
      </c>
      <c r="B141" s="817" t="s">
        <v>1029</v>
      </c>
      <c r="C141" s="818" t="s">
        <v>1030</v>
      </c>
      <c r="D141" s="818"/>
      <c r="E141" s="819" t="s">
        <v>1028</v>
      </c>
      <c r="F141" s="820" t="s">
        <v>991</v>
      </c>
      <c r="G141" s="820">
        <v>2015</v>
      </c>
      <c r="H141" s="820" t="s">
        <v>996</v>
      </c>
      <c r="I141" s="821">
        <v>42034</v>
      </c>
      <c r="J141" s="822">
        <v>2015</v>
      </c>
      <c r="K141" s="823"/>
      <c r="L141" s="823" t="s">
        <v>993</v>
      </c>
      <c r="M141" s="823" t="s">
        <v>22</v>
      </c>
      <c r="N141" s="824">
        <v>26.580638622472655</v>
      </c>
      <c r="O141" s="824">
        <v>234699.26328722131</v>
      </c>
      <c r="P141" s="825">
        <v>3171257.7358236518</v>
      </c>
      <c r="Q141" s="825">
        <v>2205507.7909126971</v>
      </c>
      <c r="R141" s="825">
        <v>234699.26328722131</v>
      </c>
      <c r="S141" s="826">
        <v>26.580638622472655</v>
      </c>
      <c r="T141" s="827">
        <v>0.96037112112869971</v>
      </c>
      <c r="U141" s="827">
        <v>0.92845722686522347</v>
      </c>
      <c r="V141" s="828"/>
      <c r="W141" s="828"/>
      <c r="X141" s="828"/>
      <c r="Y141" s="829">
        <v>0.69546784734602263</v>
      </c>
      <c r="Z141" s="828"/>
      <c r="AA141" s="828"/>
      <c r="AB141" s="828"/>
      <c r="AC141" s="829">
        <v>0.69151749008254249</v>
      </c>
      <c r="AD141" s="828"/>
      <c r="AE141" s="830"/>
      <c r="AF141" s="828"/>
      <c r="AG141" s="831">
        <v>16450</v>
      </c>
      <c r="AH141" s="832">
        <v>16450</v>
      </c>
      <c r="AI141" s="828"/>
      <c r="AJ141" s="828"/>
      <c r="AK141" s="828"/>
      <c r="AL141" s="828"/>
      <c r="AM141" s="833">
        <v>0</v>
      </c>
      <c r="AN141" s="833">
        <v>38.438129192220252</v>
      </c>
      <c r="AO141" s="833">
        <v>38.438129192220252</v>
      </c>
      <c r="AP141" s="833">
        <v>38.438129192220252</v>
      </c>
      <c r="AQ141" s="833">
        <v>38.438129192220252</v>
      </c>
      <c r="AR141" s="833">
        <v>38.438129192220252</v>
      </c>
      <c r="AS141" s="833">
        <v>38.438129192220252</v>
      </c>
      <c r="AT141" s="833">
        <v>35.246198704846783</v>
      </c>
      <c r="AU141" s="833">
        <v>35.246198704846783</v>
      </c>
      <c r="AV141" s="833">
        <v>35.246198704846783</v>
      </c>
      <c r="AW141" s="833">
        <v>24.842085524524737</v>
      </c>
      <c r="AX141" s="833">
        <v>0</v>
      </c>
      <c r="AY141" s="833">
        <v>0</v>
      </c>
      <c r="AZ141" s="833">
        <v>0</v>
      </c>
      <c r="BA141" s="833">
        <v>0</v>
      </c>
      <c r="BB141" s="833">
        <v>0</v>
      </c>
      <c r="BC141" s="833">
        <v>0</v>
      </c>
      <c r="BD141" s="833">
        <v>0</v>
      </c>
      <c r="BE141" s="833">
        <v>0</v>
      </c>
      <c r="BF141" s="833">
        <v>0</v>
      </c>
      <c r="BG141" s="833">
        <v>0</v>
      </c>
      <c r="BH141" s="833">
        <v>0</v>
      </c>
      <c r="BI141" s="833">
        <v>0</v>
      </c>
      <c r="BJ141" s="833">
        <v>0</v>
      </c>
      <c r="BK141" s="833">
        <v>0</v>
      </c>
      <c r="BL141" s="833">
        <v>0</v>
      </c>
      <c r="BM141" s="833">
        <v>0</v>
      </c>
      <c r="BN141" s="828"/>
      <c r="BO141" s="828"/>
      <c r="BP141" s="828"/>
      <c r="BQ141" s="833">
        <v>0</v>
      </c>
      <c r="BR141" s="833">
        <v>26.580638622472655</v>
      </c>
      <c r="BS141" s="833">
        <v>26.580638622472655</v>
      </c>
      <c r="BT141" s="833">
        <v>26.580638622472655</v>
      </c>
      <c r="BU141" s="833">
        <v>26.580638622472655</v>
      </c>
      <c r="BV141" s="833">
        <v>26.580638622472655</v>
      </c>
      <c r="BW141" s="833">
        <v>26.580638622472655</v>
      </c>
      <c r="BX141" s="833">
        <v>24.373362863326207</v>
      </c>
      <c r="BY141" s="833">
        <v>24.373362863326207</v>
      </c>
      <c r="BZ141" s="833">
        <v>24.373362863326207</v>
      </c>
      <c r="CA141" s="833">
        <v>17.178736630335209</v>
      </c>
      <c r="CB141" s="833">
        <v>0</v>
      </c>
      <c r="CC141" s="833">
        <v>0</v>
      </c>
      <c r="CD141" s="833">
        <v>0</v>
      </c>
      <c r="CE141" s="833">
        <v>0</v>
      </c>
      <c r="CF141" s="833">
        <v>0</v>
      </c>
      <c r="CG141" s="833">
        <v>0</v>
      </c>
      <c r="CH141" s="833">
        <v>0</v>
      </c>
      <c r="CI141" s="833">
        <v>0</v>
      </c>
      <c r="CJ141" s="833">
        <v>0</v>
      </c>
      <c r="CK141" s="833">
        <v>0</v>
      </c>
      <c r="CL141" s="833">
        <v>0</v>
      </c>
      <c r="CM141" s="833">
        <v>0</v>
      </c>
      <c r="CN141" s="833">
        <v>0</v>
      </c>
      <c r="CO141" s="833">
        <v>0</v>
      </c>
      <c r="CP141" s="833">
        <v>0</v>
      </c>
      <c r="CQ141" s="833">
        <v>0</v>
      </c>
      <c r="CR141" s="828"/>
      <c r="CS141" s="828"/>
      <c r="CT141" s="828"/>
      <c r="CU141" s="834">
        <v>0</v>
      </c>
      <c r="CV141" s="834">
        <v>337469.61010901944</v>
      </c>
      <c r="CW141" s="834">
        <v>337469.61010901944</v>
      </c>
      <c r="CX141" s="834">
        <v>337469.61010901944</v>
      </c>
      <c r="CY141" s="834">
        <v>337469.61010901944</v>
      </c>
      <c r="CZ141" s="834">
        <v>337469.61010901944</v>
      </c>
      <c r="DA141" s="834">
        <v>337469.61010901944</v>
      </c>
      <c r="DB141" s="834">
        <v>309445.88575754833</v>
      </c>
      <c r="DC141" s="834">
        <v>309445.88575754833</v>
      </c>
      <c r="DD141" s="834">
        <v>309445.88575754833</v>
      </c>
      <c r="DE141" s="834">
        <v>218102.41789689029</v>
      </c>
      <c r="DF141" s="834">
        <v>0</v>
      </c>
      <c r="DG141" s="834">
        <v>0</v>
      </c>
      <c r="DH141" s="834">
        <v>0</v>
      </c>
      <c r="DI141" s="834">
        <v>0</v>
      </c>
      <c r="DJ141" s="834">
        <v>0</v>
      </c>
      <c r="DK141" s="834">
        <v>0</v>
      </c>
      <c r="DL141" s="834">
        <v>0</v>
      </c>
      <c r="DM141" s="834">
        <v>0</v>
      </c>
      <c r="DN141" s="834">
        <v>0</v>
      </c>
      <c r="DO141" s="834">
        <v>0</v>
      </c>
      <c r="DP141" s="834">
        <v>0</v>
      </c>
      <c r="DQ141" s="834">
        <v>0</v>
      </c>
      <c r="DR141" s="834">
        <v>0</v>
      </c>
      <c r="DS141" s="834">
        <v>0</v>
      </c>
      <c r="DT141" s="834">
        <v>0</v>
      </c>
      <c r="DU141" s="834">
        <v>0</v>
      </c>
      <c r="DV141" s="828"/>
      <c r="DW141" s="828"/>
      <c r="DX141" s="828"/>
      <c r="DY141" s="834">
        <v>0</v>
      </c>
      <c r="DZ141" s="834">
        <v>234699.26328722131</v>
      </c>
      <c r="EA141" s="834">
        <v>234699.26328722131</v>
      </c>
      <c r="EB141" s="834">
        <v>234699.26328722131</v>
      </c>
      <c r="EC141" s="834">
        <v>234699.26328722131</v>
      </c>
      <c r="ED141" s="834">
        <v>234699.26328722131</v>
      </c>
      <c r="EE141" s="834">
        <v>234699.26328722131</v>
      </c>
      <c r="EF141" s="834">
        <v>215209.66403788538</v>
      </c>
      <c r="EG141" s="834">
        <v>215209.66403788538</v>
      </c>
      <c r="EH141" s="834">
        <v>215209.66403788538</v>
      </c>
      <c r="EI141" s="834">
        <v>151683.21907571293</v>
      </c>
      <c r="EJ141" s="834">
        <v>0</v>
      </c>
      <c r="EK141" s="834">
        <v>0</v>
      </c>
      <c r="EL141" s="834">
        <v>0</v>
      </c>
      <c r="EM141" s="834">
        <v>0</v>
      </c>
      <c r="EN141" s="834">
        <v>0</v>
      </c>
      <c r="EO141" s="834">
        <v>0</v>
      </c>
      <c r="EP141" s="834">
        <v>0</v>
      </c>
      <c r="EQ141" s="834">
        <v>0</v>
      </c>
      <c r="ER141" s="834">
        <v>0</v>
      </c>
      <c r="ES141" s="834">
        <v>0</v>
      </c>
      <c r="ET141" s="834">
        <v>0</v>
      </c>
      <c r="EU141" s="834">
        <v>0</v>
      </c>
      <c r="EV141" s="834">
        <v>0</v>
      </c>
      <c r="EW141" s="834">
        <v>0</v>
      </c>
      <c r="EX141" s="834">
        <v>0</v>
      </c>
      <c r="EY141" s="834">
        <v>0</v>
      </c>
      <c r="EZ141" s="764"/>
      <c r="FA141" s="764"/>
      <c r="FB141" s="764"/>
      <c r="FC141" s="764"/>
      <c r="FD141" s="764"/>
    </row>
    <row r="142" spans="1:160" customFormat="1">
      <c r="A142" s="817">
        <v>136174</v>
      </c>
      <c r="B142" s="817" t="s">
        <v>1029</v>
      </c>
      <c r="C142" s="818" t="s">
        <v>1031</v>
      </c>
      <c r="D142" s="818"/>
      <c r="E142" s="819" t="s">
        <v>1028</v>
      </c>
      <c r="F142" s="820" t="s">
        <v>991</v>
      </c>
      <c r="G142" s="820">
        <v>2015</v>
      </c>
      <c r="H142" s="820" t="s">
        <v>996</v>
      </c>
      <c r="I142" s="821">
        <v>42089</v>
      </c>
      <c r="J142" s="822">
        <v>2015</v>
      </c>
      <c r="K142" s="823"/>
      <c r="L142" s="823" t="s">
        <v>993</v>
      </c>
      <c r="M142" s="823" t="s">
        <v>22</v>
      </c>
      <c r="N142" s="824">
        <v>8.8667812979539953</v>
      </c>
      <c r="O142" s="824">
        <v>78369.814351302557</v>
      </c>
      <c r="P142" s="825">
        <v>1058933.3623620432</v>
      </c>
      <c r="Q142" s="825">
        <v>736454.10600481578</v>
      </c>
      <c r="R142" s="825">
        <v>78369.814351302557</v>
      </c>
      <c r="S142" s="826">
        <v>8.8667812979539953</v>
      </c>
      <c r="T142" s="827">
        <v>0.9650705827941457</v>
      </c>
      <c r="U142" s="827">
        <v>0.93592761282439285</v>
      </c>
      <c r="V142" s="828"/>
      <c r="W142" s="828"/>
      <c r="X142" s="828"/>
      <c r="Y142" s="829">
        <v>0.69546784734602263</v>
      </c>
      <c r="Z142" s="828"/>
      <c r="AA142" s="828"/>
      <c r="AB142" s="828"/>
      <c r="AC142" s="829">
        <v>0.69151749008254249</v>
      </c>
      <c r="AD142" s="828"/>
      <c r="AE142" s="830"/>
      <c r="AF142" s="828"/>
      <c r="AG142" s="831">
        <v>9180</v>
      </c>
      <c r="AH142" s="832">
        <v>9180</v>
      </c>
      <c r="AI142" s="828"/>
      <c r="AJ142" s="828"/>
      <c r="AK142" s="828"/>
      <c r="AL142" s="828"/>
      <c r="AM142" s="833">
        <v>0</v>
      </c>
      <c r="AN142" s="833">
        <v>12.822208295694182</v>
      </c>
      <c r="AO142" s="833">
        <v>12.822208295694182</v>
      </c>
      <c r="AP142" s="833">
        <v>12.822208295694182</v>
      </c>
      <c r="AQ142" s="833">
        <v>12.822208295694182</v>
      </c>
      <c r="AR142" s="833">
        <v>12.822208295694182</v>
      </c>
      <c r="AS142" s="833">
        <v>12.822208295694182</v>
      </c>
      <c r="AT142" s="833">
        <v>11.757442698757616</v>
      </c>
      <c r="AU142" s="833">
        <v>11.757442698757616</v>
      </c>
      <c r="AV142" s="833">
        <v>11.757442698757616</v>
      </c>
      <c r="AW142" s="833">
        <v>8.2868339794064418</v>
      </c>
      <c r="AX142" s="833">
        <v>0</v>
      </c>
      <c r="AY142" s="833">
        <v>0</v>
      </c>
      <c r="AZ142" s="833">
        <v>0</v>
      </c>
      <c r="BA142" s="833">
        <v>0</v>
      </c>
      <c r="BB142" s="833">
        <v>0</v>
      </c>
      <c r="BC142" s="833">
        <v>0</v>
      </c>
      <c r="BD142" s="833">
        <v>0</v>
      </c>
      <c r="BE142" s="833">
        <v>0</v>
      </c>
      <c r="BF142" s="833">
        <v>0</v>
      </c>
      <c r="BG142" s="833">
        <v>0</v>
      </c>
      <c r="BH142" s="833">
        <v>0</v>
      </c>
      <c r="BI142" s="833">
        <v>0</v>
      </c>
      <c r="BJ142" s="833">
        <v>0</v>
      </c>
      <c r="BK142" s="833">
        <v>0</v>
      </c>
      <c r="BL142" s="833">
        <v>0</v>
      </c>
      <c r="BM142" s="833">
        <v>0</v>
      </c>
      <c r="BN142" s="828"/>
      <c r="BO142" s="828"/>
      <c r="BP142" s="828"/>
      <c r="BQ142" s="833">
        <v>0</v>
      </c>
      <c r="BR142" s="833">
        <v>8.8667812979539953</v>
      </c>
      <c r="BS142" s="833">
        <v>8.8667812979539953</v>
      </c>
      <c r="BT142" s="833">
        <v>8.8667812979539953</v>
      </c>
      <c r="BU142" s="833">
        <v>8.8667812979539953</v>
      </c>
      <c r="BV142" s="833">
        <v>8.8667812979539953</v>
      </c>
      <c r="BW142" s="833">
        <v>8.8667812979539953</v>
      </c>
      <c r="BX142" s="833">
        <v>8.1304772648341803</v>
      </c>
      <c r="BY142" s="833">
        <v>8.1304772648341803</v>
      </c>
      <c r="BZ142" s="833">
        <v>8.1304772648341803</v>
      </c>
      <c r="CA142" s="833">
        <v>5.73049063416987</v>
      </c>
      <c r="CB142" s="833">
        <v>0</v>
      </c>
      <c r="CC142" s="833">
        <v>0</v>
      </c>
      <c r="CD142" s="833">
        <v>0</v>
      </c>
      <c r="CE142" s="833">
        <v>0</v>
      </c>
      <c r="CF142" s="833">
        <v>0</v>
      </c>
      <c r="CG142" s="833">
        <v>0</v>
      </c>
      <c r="CH142" s="833">
        <v>0</v>
      </c>
      <c r="CI142" s="833">
        <v>0</v>
      </c>
      <c r="CJ142" s="833">
        <v>0</v>
      </c>
      <c r="CK142" s="833">
        <v>0</v>
      </c>
      <c r="CL142" s="833">
        <v>0</v>
      </c>
      <c r="CM142" s="833">
        <v>0</v>
      </c>
      <c r="CN142" s="833">
        <v>0</v>
      </c>
      <c r="CO142" s="833">
        <v>0</v>
      </c>
      <c r="CP142" s="833">
        <v>0</v>
      </c>
      <c r="CQ142" s="833">
        <v>0</v>
      </c>
      <c r="CR142" s="828"/>
      <c r="CS142" s="828"/>
      <c r="CT142" s="828"/>
      <c r="CU142" s="834">
        <v>0</v>
      </c>
      <c r="CV142" s="834">
        <v>112686.46659995842</v>
      </c>
      <c r="CW142" s="834">
        <v>112686.46659995842</v>
      </c>
      <c r="CX142" s="834">
        <v>112686.46659995842</v>
      </c>
      <c r="CY142" s="834">
        <v>112686.46659995842</v>
      </c>
      <c r="CZ142" s="834">
        <v>112686.46659995842</v>
      </c>
      <c r="DA142" s="834">
        <v>112686.46659995842</v>
      </c>
      <c r="DB142" s="834">
        <v>103328.89962639201</v>
      </c>
      <c r="DC142" s="834">
        <v>103328.89962639201</v>
      </c>
      <c r="DD142" s="834">
        <v>103328.89962639201</v>
      </c>
      <c r="DE142" s="834">
        <v>72827.863883116617</v>
      </c>
      <c r="DF142" s="834">
        <v>0</v>
      </c>
      <c r="DG142" s="834">
        <v>0</v>
      </c>
      <c r="DH142" s="834">
        <v>0</v>
      </c>
      <c r="DI142" s="834">
        <v>0</v>
      </c>
      <c r="DJ142" s="834">
        <v>0</v>
      </c>
      <c r="DK142" s="834">
        <v>0</v>
      </c>
      <c r="DL142" s="834">
        <v>0</v>
      </c>
      <c r="DM142" s="834">
        <v>0</v>
      </c>
      <c r="DN142" s="834">
        <v>0</v>
      </c>
      <c r="DO142" s="834">
        <v>0</v>
      </c>
      <c r="DP142" s="834">
        <v>0</v>
      </c>
      <c r="DQ142" s="834">
        <v>0</v>
      </c>
      <c r="DR142" s="834">
        <v>0</v>
      </c>
      <c r="DS142" s="834">
        <v>0</v>
      </c>
      <c r="DT142" s="834">
        <v>0</v>
      </c>
      <c r="DU142" s="834">
        <v>0</v>
      </c>
      <c r="DV142" s="828"/>
      <c r="DW142" s="828"/>
      <c r="DX142" s="828"/>
      <c r="DY142" s="834">
        <v>0</v>
      </c>
      <c r="DZ142" s="834">
        <v>78369.814351302557</v>
      </c>
      <c r="EA142" s="834">
        <v>78369.814351302557</v>
      </c>
      <c r="EB142" s="834">
        <v>78369.814351302557</v>
      </c>
      <c r="EC142" s="834">
        <v>78369.814351302557</v>
      </c>
      <c r="ED142" s="834">
        <v>78369.814351302557</v>
      </c>
      <c r="EE142" s="834">
        <v>78369.814351302557</v>
      </c>
      <c r="EF142" s="834">
        <v>71861.927391800084</v>
      </c>
      <c r="EG142" s="834">
        <v>71861.927391800084</v>
      </c>
      <c r="EH142" s="834">
        <v>71861.927391800084</v>
      </c>
      <c r="EI142" s="834">
        <v>50649.437721600254</v>
      </c>
      <c r="EJ142" s="834">
        <v>0</v>
      </c>
      <c r="EK142" s="834">
        <v>0</v>
      </c>
      <c r="EL142" s="834">
        <v>0</v>
      </c>
      <c r="EM142" s="834">
        <v>0</v>
      </c>
      <c r="EN142" s="834">
        <v>0</v>
      </c>
      <c r="EO142" s="834">
        <v>0</v>
      </c>
      <c r="EP142" s="834">
        <v>0</v>
      </c>
      <c r="EQ142" s="834">
        <v>0</v>
      </c>
      <c r="ER142" s="834">
        <v>0</v>
      </c>
      <c r="ES142" s="834">
        <v>0</v>
      </c>
      <c r="ET142" s="834">
        <v>0</v>
      </c>
      <c r="EU142" s="834">
        <v>0</v>
      </c>
      <c r="EV142" s="834">
        <v>0</v>
      </c>
      <c r="EW142" s="834">
        <v>0</v>
      </c>
      <c r="EX142" s="834">
        <v>0</v>
      </c>
      <c r="EY142" s="834">
        <v>0</v>
      </c>
      <c r="EZ142" s="764"/>
      <c r="FA142" s="764"/>
      <c r="FB142" s="764"/>
    </row>
    <row r="143" spans="1:160" customFormat="1">
      <c r="A143" s="817">
        <v>138283</v>
      </c>
      <c r="B143" s="819" t="s">
        <v>1032</v>
      </c>
      <c r="C143" s="818" t="s">
        <v>1033</v>
      </c>
      <c r="D143" s="818"/>
      <c r="E143" s="819" t="s">
        <v>1028</v>
      </c>
      <c r="F143" s="820" t="s">
        <v>991</v>
      </c>
      <c r="G143" s="820">
        <v>2015</v>
      </c>
      <c r="H143" s="820" t="s">
        <v>996</v>
      </c>
      <c r="I143" s="821">
        <v>42263</v>
      </c>
      <c r="J143" s="822">
        <v>2015</v>
      </c>
      <c r="K143" s="823"/>
      <c r="L143" s="823" t="s">
        <v>993</v>
      </c>
      <c r="M143" s="823" t="s">
        <v>22</v>
      </c>
      <c r="N143" s="824">
        <v>0.97413729903523649</v>
      </c>
      <c r="O143" s="824">
        <v>10247.426518813834</v>
      </c>
      <c r="P143" s="825">
        <v>138463.28345864129</v>
      </c>
      <c r="Q143" s="825">
        <v>96296.761683443401</v>
      </c>
      <c r="R143" s="825">
        <v>10247.426518813834</v>
      </c>
      <c r="S143" s="826">
        <v>0.97413729903523649</v>
      </c>
      <c r="T143" s="827">
        <v>0.68824232024679077</v>
      </c>
      <c r="U143" s="827">
        <v>0.58695629117961001</v>
      </c>
      <c r="V143" s="828"/>
      <c r="W143" s="828"/>
      <c r="X143" s="828"/>
      <c r="Y143" s="829">
        <v>0.69546784734602263</v>
      </c>
      <c r="Z143" s="828"/>
      <c r="AA143" s="828"/>
      <c r="AB143" s="828"/>
      <c r="AC143" s="829">
        <v>0.69151749008254249</v>
      </c>
      <c r="AD143" s="828"/>
      <c r="AE143" s="830"/>
      <c r="AF143" s="828"/>
      <c r="AG143" s="831">
        <v>6807.8854644872654</v>
      </c>
      <c r="AH143" s="832">
        <v>6807.8854644872654</v>
      </c>
      <c r="AI143" s="828"/>
      <c r="AJ143" s="828"/>
      <c r="AK143" s="828"/>
      <c r="AL143" s="828"/>
      <c r="AM143" s="833">
        <v>0</v>
      </c>
      <c r="AN143" s="833">
        <v>1.408695098831064</v>
      </c>
      <c r="AO143" s="833">
        <v>1.408695098831064</v>
      </c>
      <c r="AP143" s="833">
        <v>1.408695098831064</v>
      </c>
      <c r="AQ143" s="833">
        <v>1.408695098831064</v>
      </c>
      <c r="AR143" s="833">
        <v>1.408695098831064</v>
      </c>
      <c r="AS143" s="833">
        <v>1.408695098831064</v>
      </c>
      <c r="AT143" s="833">
        <v>1.2917160229013613</v>
      </c>
      <c r="AU143" s="833">
        <v>1.2917160229013613</v>
      </c>
      <c r="AV143" s="833">
        <v>1.2917160229013613</v>
      </c>
      <c r="AW143" s="833">
        <v>0.91042214744995908</v>
      </c>
      <c r="AX143" s="833">
        <v>0</v>
      </c>
      <c r="AY143" s="833">
        <v>0</v>
      </c>
      <c r="AZ143" s="833">
        <v>0</v>
      </c>
      <c r="BA143" s="833">
        <v>0</v>
      </c>
      <c r="BB143" s="833">
        <v>0</v>
      </c>
      <c r="BC143" s="833">
        <v>0</v>
      </c>
      <c r="BD143" s="833">
        <v>0</v>
      </c>
      <c r="BE143" s="833">
        <v>0</v>
      </c>
      <c r="BF143" s="833">
        <v>0</v>
      </c>
      <c r="BG143" s="833">
        <v>0</v>
      </c>
      <c r="BH143" s="833">
        <v>0</v>
      </c>
      <c r="BI143" s="833">
        <v>0</v>
      </c>
      <c r="BJ143" s="833">
        <v>0</v>
      </c>
      <c r="BK143" s="833">
        <v>0</v>
      </c>
      <c r="BL143" s="833">
        <v>0</v>
      </c>
      <c r="BM143" s="833">
        <v>0</v>
      </c>
      <c r="BN143" s="828"/>
      <c r="BO143" s="828"/>
      <c r="BP143" s="828"/>
      <c r="BQ143" s="833">
        <v>0</v>
      </c>
      <c r="BR143" s="833">
        <v>0.97413729903523649</v>
      </c>
      <c r="BS143" s="833">
        <v>0.97413729903523649</v>
      </c>
      <c r="BT143" s="833">
        <v>0.97413729903523649</v>
      </c>
      <c r="BU143" s="833">
        <v>0.97413729903523649</v>
      </c>
      <c r="BV143" s="833">
        <v>0.97413729903523649</v>
      </c>
      <c r="BW143" s="833">
        <v>0.97413729903523649</v>
      </c>
      <c r="BX143" s="833">
        <v>0.89324422205615339</v>
      </c>
      <c r="BY143" s="833">
        <v>0.89324422205615339</v>
      </c>
      <c r="BZ143" s="833">
        <v>0.89324422205615339</v>
      </c>
      <c r="CA143" s="833">
        <v>0.62957283832015409</v>
      </c>
      <c r="CB143" s="833">
        <v>0</v>
      </c>
      <c r="CC143" s="833">
        <v>0</v>
      </c>
      <c r="CD143" s="833">
        <v>0</v>
      </c>
      <c r="CE143" s="833">
        <v>0</v>
      </c>
      <c r="CF143" s="833">
        <v>0</v>
      </c>
      <c r="CG143" s="833">
        <v>0</v>
      </c>
      <c r="CH143" s="833">
        <v>0</v>
      </c>
      <c r="CI143" s="833">
        <v>0</v>
      </c>
      <c r="CJ143" s="833">
        <v>0</v>
      </c>
      <c r="CK143" s="833">
        <v>0</v>
      </c>
      <c r="CL143" s="833">
        <v>0</v>
      </c>
      <c r="CM143" s="833">
        <v>0</v>
      </c>
      <c r="CN143" s="833">
        <v>0</v>
      </c>
      <c r="CO143" s="833">
        <v>0</v>
      </c>
      <c r="CP143" s="833">
        <v>0</v>
      </c>
      <c r="CQ143" s="833">
        <v>0</v>
      </c>
      <c r="CR143" s="828"/>
      <c r="CS143" s="828"/>
      <c r="CT143" s="828"/>
      <c r="CU143" s="834">
        <v>0</v>
      </c>
      <c r="CV143" s="834">
        <v>14734.579834163544</v>
      </c>
      <c r="CW143" s="834">
        <v>14734.579834163544</v>
      </c>
      <c r="CX143" s="834">
        <v>14734.579834163544</v>
      </c>
      <c r="CY143" s="834">
        <v>14734.579834163544</v>
      </c>
      <c r="CZ143" s="834">
        <v>14734.579834163544</v>
      </c>
      <c r="DA143" s="834">
        <v>14734.579834163544</v>
      </c>
      <c r="DB143" s="834">
        <v>13511.009499714906</v>
      </c>
      <c r="DC143" s="834">
        <v>13511.009499714906</v>
      </c>
      <c r="DD143" s="834">
        <v>13511.009499714906</v>
      </c>
      <c r="DE143" s="834">
        <v>9522.7759545153167</v>
      </c>
      <c r="DF143" s="834">
        <v>0</v>
      </c>
      <c r="DG143" s="834">
        <v>0</v>
      </c>
      <c r="DH143" s="834">
        <v>0</v>
      </c>
      <c r="DI143" s="834">
        <v>0</v>
      </c>
      <c r="DJ143" s="834">
        <v>0</v>
      </c>
      <c r="DK143" s="834">
        <v>0</v>
      </c>
      <c r="DL143" s="834">
        <v>0</v>
      </c>
      <c r="DM143" s="834">
        <v>0</v>
      </c>
      <c r="DN143" s="834">
        <v>0</v>
      </c>
      <c r="DO143" s="834">
        <v>0</v>
      </c>
      <c r="DP143" s="834">
        <v>0</v>
      </c>
      <c r="DQ143" s="834">
        <v>0</v>
      </c>
      <c r="DR143" s="834">
        <v>0</v>
      </c>
      <c r="DS143" s="834">
        <v>0</v>
      </c>
      <c r="DT143" s="834">
        <v>0</v>
      </c>
      <c r="DU143" s="834">
        <v>0</v>
      </c>
      <c r="DV143" s="828"/>
      <c r="DW143" s="828"/>
      <c r="DX143" s="828"/>
      <c r="DY143" s="834">
        <v>0</v>
      </c>
      <c r="DZ143" s="834">
        <v>10247.426518813834</v>
      </c>
      <c r="EA143" s="834">
        <v>10247.426518813834</v>
      </c>
      <c r="EB143" s="834">
        <v>10247.426518813834</v>
      </c>
      <c r="EC143" s="834">
        <v>10247.426518813834</v>
      </c>
      <c r="ED143" s="834">
        <v>10247.426518813834</v>
      </c>
      <c r="EE143" s="834">
        <v>10247.426518813834</v>
      </c>
      <c r="EF143" s="834">
        <v>9396.472692238387</v>
      </c>
      <c r="EG143" s="834">
        <v>9396.472692238387</v>
      </c>
      <c r="EH143" s="834">
        <v>9396.472692238387</v>
      </c>
      <c r="EI143" s="834">
        <v>6622.7844938452336</v>
      </c>
      <c r="EJ143" s="834">
        <v>0</v>
      </c>
      <c r="EK143" s="834">
        <v>0</v>
      </c>
      <c r="EL143" s="834">
        <v>0</v>
      </c>
      <c r="EM143" s="834">
        <v>0</v>
      </c>
      <c r="EN143" s="834">
        <v>0</v>
      </c>
      <c r="EO143" s="834">
        <v>0</v>
      </c>
      <c r="EP143" s="834">
        <v>0</v>
      </c>
      <c r="EQ143" s="834">
        <v>0</v>
      </c>
      <c r="ER143" s="834">
        <v>0</v>
      </c>
      <c r="ES143" s="834">
        <v>0</v>
      </c>
      <c r="ET143" s="834">
        <v>0</v>
      </c>
      <c r="EU143" s="834">
        <v>0</v>
      </c>
      <c r="EV143" s="834">
        <v>0</v>
      </c>
      <c r="EW143" s="834">
        <v>0</v>
      </c>
      <c r="EX143" s="834">
        <v>0</v>
      </c>
      <c r="EY143" s="834">
        <v>0</v>
      </c>
      <c r="EZ143" s="764"/>
      <c r="FA143" s="764"/>
      <c r="FB143" s="764"/>
      <c r="FC143" s="764"/>
      <c r="FD143" s="764"/>
    </row>
    <row r="144" spans="1:160" customFormat="1">
      <c r="A144" s="817">
        <v>138288</v>
      </c>
      <c r="B144" s="819" t="s">
        <v>1034</v>
      </c>
      <c r="C144" s="818" t="s">
        <v>1035</v>
      </c>
      <c r="D144" s="818"/>
      <c r="E144" s="819" t="s">
        <v>1028</v>
      </c>
      <c r="F144" s="820" t="s">
        <v>991</v>
      </c>
      <c r="G144" s="820">
        <v>2015</v>
      </c>
      <c r="H144" s="820" t="s">
        <v>996</v>
      </c>
      <c r="I144" s="821">
        <v>42261</v>
      </c>
      <c r="J144" s="822">
        <v>2015</v>
      </c>
      <c r="K144" s="823"/>
      <c r="L144" s="823" t="s">
        <v>993</v>
      </c>
      <c r="M144" s="823" t="s">
        <v>22</v>
      </c>
      <c r="N144" s="824">
        <v>0</v>
      </c>
      <c r="O144" s="824">
        <v>10713.153362795612</v>
      </c>
      <c r="P144" s="825">
        <v>144756.18713491102</v>
      </c>
      <c r="Q144" s="825">
        <v>100673.27385673457</v>
      </c>
      <c r="R144" s="825">
        <v>10713.153362795612</v>
      </c>
      <c r="S144" s="826">
        <v>0</v>
      </c>
      <c r="T144" s="827">
        <v>0.68824232024679077</v>
      </c>
      <c r="U144" s="827" t="s">
        <v>1014</v>
      </c>
      <c r="V144" s="828"/>
      <c r="W144" s="828"/>
      <c r="X144" s="828"/>
      <c r="Y144" s="829">
        <v>0.69546784734602263</v>
      </c>
      <c r="Z144" s="828"/>
      <c r="AA144" s="828"/>
      <c r="AB144" s="828"/>
      <c r="AC144" s="829">
        <v>0.69151749008254249</v>
      </c>
      <c r="AD144" s="828"/>
      <c r="AE144" s="830"/>
      <c r="AF144" s="828"/>
      <c r="AG144" s="831">
        <v>11822.184422560429</v>
      </c>
      <c r="AH144" s="832">
        <v>11822.184422560429</v>
      </c>
      <c r="AI144" s="828"/>
      <c r="AJ144" s="828"/>
      <c r="AK144" s="828"/>
      <c r="AL144" s="828"/>
      <c r="AM144" s="833">
        <v>0</v>
      </c>
      <c r="AN144" s="833">
        <v>0</v>
      </c>
      <c r="AO144" s="833">
        <v>0</v>
      </c>
      <c r="AP144" s="833">
        <v>0</v>
      </c>
      <c r="AQ144" s="833">
        <v>0</v>
      </c>
      <c r="AR144" s="833">
        <v>0</v>
      </c>
      <c r="AS144" s="833">
        <v>0</v>
      </c>
      <c r="AT144" s="833">
        <v>0</v>
      </c>
      <c r="AU144" s="833">
        <v>0</v>
      </c>
      <c r="AV144" s="833">
        <v>0</v>
      </c>
      <c r="AW144" s="833">
        <v>0</v>
      </c>
      <c r="AX144" s="833">
        <v>0</v>
      </c>
      <c r="AY144" s="833">
        <v>0</v>
      </c>
      <c r="AZ144" s="833">
        <v>0</v>
      </c>
      <c r="BA144" s="833">
        <v>0</v>
      </c>
      <c r="BB144" s="833">
        <v>0</v>
      </c>
      <c r="BC144" s="833">
        <v>0</v>
      </c>
      <c r="BD144" s="833">
        <v>0</v>
      </c>
      <c r="BE144" s="833">
        <v>0</v>
      </c>
      <c r="BF144" s="833">
        <v>0</v>
      </c>
      <c r="BG144" s="833">
        <v>0</v>
      </c>
      <c r="BH144" s="833">
        <v>0</v>
      </c>
      <c r="BI144" s="833">
        <v>0</v>
      </c>
      <c r="BJ144" s="833">
        <v>0</v>
      </c>
      <c r="BK144" s="833">
        <v>0</v>
      </c>
      <c r="BL144" s="833">
        <v>0</v>
      </c>
      <c r="BM144" s="833">
        <v>0</v>
      </c>
      <c r="BN144" s="828"/>
      <c r="BO144" s="828"/>
      <c r="BP144" s="828"/>
      <c r="BQ144" s="833">
        <v>0</v>
      </c>
      <c r="BR144" s="833">
        <v>0</v>
      </c>
      <c r="BS144" s="833">
        <v>0</v>
      </c>
      <c r="BT144" s="833">
        <v>0</v>
      </c>
      <c r="BU144" s="833">
        <v>0</v>
      </c>
      <c r="BV144" s="833">
        <v>0</v>
      </c>
      <c r="BW144" s="833">
        <v>0</v>
      </c>
      <c r="BX144" s="833">
        <v>0</v>
      </c>
      <c r="BY144" s="833">
        <v>0</v>
      </c>
      <c r="BZ144" s="833">
        <v>0</v>
      </c>
      <c r="CA144" s="833">
        <v>0</v>
      </c>
      <c r="CB144" s="833">
        <v>0</v>
      </c>
      <c r="CC144" s="833">
        <v>0</v>
      </c>
      <c r="CD144" s="833">
        <v>0</v>
      </c>
      <c r="CE144" s="833">
        <v>0</v>
      </c>
      <c r="CF144" s="833">
        <v>0</v>
      </c>
      <c r="CG144" s="833">
        <v>0</v>
      </c>
      <c r="CH144" s="833">
        <v>0</v>
      </c>
      <c r="CI144" s="833">
        <v>0</v>
      </c>
      <c r="CJ144" s="833">
        <v>0</v>
      </c>
      <c r="CK144" s="833">
        <v>0</v>
      </c>
      <c r="CL144" s="833">
        <v>0</v>
      </c>
      <c r="CM144" s="833">
        <v>0</v>
      </c>
      <c r="CN144" s="833">
        <v>0</v>
      </c>
      <c r="CO144" s="833">
        <v>0</v>
      </c>
      <c r="CP144" s="833">
        <v>0</v>
      </c>
      <c r="CQ144" s="833">
        <v>0</v>
      </c>
      <c r="CR144" s="828"/>
      <c r="CS144" s="828"/>
      <c r="CT144" s="828"/>
      <c r="CU144" s="834">
        <v>0</v>
      </c>
      <c r="CV144" s="834">
        <v>15404.239611763671</v>
      </c>
      <c r="CW144" s="834">
        <v>15404.239611763671</v>
      </c>
      <c r="CX144" s="834">
        <v>15404.239611763671</v>
      </c>
      <c r="CY144" s="834">
        <v>15404.239611763671</v>
      </c>
      <c r="CZ144" s="834">
        <v>15404.239611763671</v>
      </c>
      <c r="DA144" s="834">
        <v>15404.239611763671</v>
      </c>
      <c r="DB144" s="834">
        <v>14125.060237405718</v>
      </c>
      <c r="DC144" s="834">
        <v>14125.060237405718</v>
      </c>
      <c r="DD144" s="834">
        <v>14125.060237405718</v>
      </c>
      <c r="DE144" s="834">
        <v>9955.5687521118143</v>
      </c>
      <c r="DF144" s="834">
        <v>0</v>
      </c>
      <c r="DG144" s="834">
        <v>0</v>
      </c>
      <c r="DH144" s="834">
        <v>0</v>
      </c>
      <c r="DI144" s="834">
        <v>0</v>
      </c>
      <c r="DJ144" s="834">
        <v>0</v>
      </c>
      <c r="DK144" s="834">
        <v>0</v>
      </c>
      <c r="DL144" s="834">
        <v>0</v>
      </c>
      <c r="DM144" s="834">
        <v>0</v>
      </c>
      <c r="DN144" s="834">
        <v>0</v>
      </c>
      <c r="DO144" s="834">
        <v>0</v>
      </c>
      <c r="DP144" s="834">
        <v>0</v>
      </c>
      <c r="DQ144" s="834">
        <v>0</v>
      </c>
      <c r="DR144" s="834">
        <v>0</v>
      </c>
      <c r="DS144" s="834">
        <v>0</v>
      </c>
      <c r="DT144" s="834">
        <v>0</v>
      </c>
      <c r="DU144" s="834">
        <v>0</v>
      </c>
      <c r="DV144" s="828"/>
      <c r="DW144" s="828"/>
      <c r="DX144" s="828"/>
      <c r="DY144" s="834">
        <v>0</v>
      </c>
      <c r="DZ144" s="834">
        <v>10713.153362795612</v>
      </c>
      <c r="EA144" s="834">
        <v>10713.153362795612</v>
      </c>
      <c r="EB144" s="834">
        <v>10713.153362795612</v>
      </c>
      <c r="EC144" s="834">
        <v>10713.153362795612</v>
      </c>
      <c r="ED144" s="834">
        <v>10713.153362795612</v>
      </c>
      <c r="EE144" s="834">
        <v>10713.153362795612</v>
      </c>
      <c r="EF144" s="834">
        <v>9823.5252369414538</v>
      </c>
      <c r="EG144" s="834">
        <v>9823.5252369414538</v>
      </c>
      <c r="EH144" s="834">
        <v>9823.5252369414538</v>
      </c>
      <c r="EI144" s="834">
        <v>6923.7779691365322</v>
      </c>
      <c r="EJ144" s="834">
        <v>0</v>
      </c>
      <c r="EK144" s="834">
        <v>0</v>
      </c>
      <c r="EL144" s="834">
        <v>0</v>
      </c>
      <c r="EM144" s="834">
        <v>0</v>
      </c>
      <c r="EN144" s="834">
        <v>0</v>
      </c>
      <c r="EO144" s="834">
        <v>0</v>
      </c>
      <c r="EP144" s="834">
        <v>0</v>
      </c>
      <c r="EQ144" s="834">
        <v>0</v>
      </c>
      <c r="ER144" s="834">
        <v>0</v>
      </c>
      <c r="ES144" s="834">
        <v>0</v>
      </c>
      <c r="ET144" s="834">
        <v>0</v>
      </c>
      <c r="EU144" s="834">
        <v>0</v>
      </c>
      <c r="EV144" s="834">
        <v>0</v>
      </c>
      <c r="EW144" s="834">
        <v>0</v>
      </c>
      <c r="EX144" s="834">
        <v>0</v>
      </c>
      <c r="EY144" s="834">
        <v>0</v>
      </c>
      <c r="EZ144" s="764"/>
      <c r="FA144" s="764"/>
      <c r="FB144" s="764"/>
      <c r="FC144" s="764"/>
      <c r="FD144" s="764"/>
    </row>
    <row r="145" spans="1:16368" s="835" customFormat="1">
      <c r="A145" s="817">
        <v>138636</v>
      </c>
      <c r="B145" s="817" t="s">
        <v>1029</v>
      </c>
      <c r="C145" s="818" t="s">
        <v>1030</v>
      </c>
      <c r="D145" s="818"/>
      <c r="E145" s="819" t="s">
        <v>1028</v>
      </c>
      <c r="F145" s="820" t="s">
        <v>991</v>
      </c>
      <c r="G145" s="820">
        <v>2015</v>
      </c>
      <c r="H145" s="820" t="s">
        <v>996</v>
      </c>
      <c r="I145" s="821">
        <v>42069</v>
      </c>
      <c r="J145" s="822">
        <v>2015</v>
      </c>
      <c r="K145" s="823"/>
      <c r="L145" s="823" t="s">
        <v>993</v>
      </c>
      <c r="M145" s="823" t="s">
        <v>22</v>
      </c>
      <c r="N145" s="824">
        <v>18.769099097858824</v>
      </c>
      <c r="O145" s="824">
        <v>165138.71966986585</v>
      </c>
      <c r="P145" s="825">
        <v>2231355.2880487009</v>
      </c>
      <c r="Q145" s="825">
        <v>1551835.8588433941</v>
      </c>
      <c r="R145" s="825">
        <v>165138.71966986585</v>
      </c>
      <c r="S145" s="826">
        <v>18.769099097858824</v>
      </c>
      <c r="T145" s="827">
        <v>0.9650705827941457</v>
      </c>
      <c r="U145" s="827">
        <v>0.93592761282439296</v>
      </c>
      <c r="V145" s="828"/>
      <c r="W145" s="828"/>
      <c r="X145" s="828"/>
      <c r="Y145" s="829">
        <v>0.69546784734602263</v>
      </c>
      <c r="Z145" s="828"/>
      <c r="AA145" s="828"/>
      <c r="AB145" s="828"/>
      <c r="AC145" s="829">
        <v>0.69151749008254249</v>
      </c>
      <c r="AD145" s="828"/>
      <c r="AE145" s="830"/>
      <c r="AF145" s="828"/>
      <c r="AG145" s="831">
        <v>19200</v>
      </c>
      <c r="AH145" s="832">
        <v>19200</v>
      </c>
      <c r="AI145" s="828"/>
      <c r="AJ145" s="828"/>
      <c r="AK145" s="828"/>
      <c r="AL145" s="828"/>
      <c r="AM145" s="833">
        <v>0</v>
      </c>
      <c r="AN145" s="833">
        <v>27.141900771907395</v>
      </c>
      <c r="AO145" s="833">
        <v>27.141900771907395</v>
      </c>
      <c r="AP145" s="833">
        <v>27.141900771907395</v>
      </c>
      <c r="AQ145" s="833">
        <v>27.141900771907395</v>
      </c>
      <c r="AR145" s="833">
        <v>27.141900771907395</v>
      </c>
      <c r="AS145" s="833">
        <v>27.141900771907395</v>
      </c>
      <c r="AT145" s="833">
        <v>24.88801739153072</v>
      </c>
      <c r="AU145" s="833">
        <v>24.88801739153072</v>
      </c>
      <c r="AV145" s="833">
        <v>24.88801739153072</v>
      </c>
      <c r="AW145" s="833">
        <v>17.54147338706473</v>
      </c>
      <c r="AX145" s="833">
        <v>0</v>
      </c>
      <c r="AY145" s="833">
        <v>0</v>
      </c>
      <c r="AZ145" s="833">
        <v>0</v>
      </c>
      <c r="BA145" s="833">
        <v>0</v>
      </c>
      <c r="BB145" s="833">
        <v>0</v>
      </c>
      <c r="BC145" s="833">
        <v>0</v>
      </c>
      <c r="BD145" s="833">
        <v>0</v>
      </c>
      <c r="BE145" s="833">
        <v>0</v>
      </c>
      <c r="BF145" s="833">
        <v>0</v>
      </c>
      <c r="BG145" s="833">
        <v>0</v>
      </c>
      <c r="BH145" s="833">
        <v>0</v>
      </c>
      <c r="BI145" s="833">
        <v>0</v>
      </c>
      <c r="BJ145" s="833">
        <v>0</v>
      </c>
      <c r="BK145" s="833">
        <v>0</v>
      </c>
      <c r="BL145" s="833">
        <v>0</v>
      </c>
      <c r="BM145" s="833">
        <v>0</v>
      </c>
      <c r="BN145" s="828"/>
      <c r="BO145" s="828"/>
      <c r="BP145" s="828"/>
      <c r="BQ145" s="833">
        <v>0</v>
      </c>
      <c r="BR145" s="833">
        <v>18.769099097858824</v>
      </c>
      <c r="BS145" s="833">
        <v>18.769099097858824</v>
      </c>
      <c r="BT145" s="833">
        <v>18.769099097858824</v>
      </c>
      <c r="BU145" s="833">
        <v>18.769099097858824</v>
      </c>
      <c r="BV145" s="833">
        <v>18.769099097858824</v>
      </c>
      <c r="BW145" s="833">
        <v>18.769099097858824</v>
      </c>
      <c r="BX145" s="833">
        <v>17.21049931972199</v>
      </c>
      <c r="BY145" s="833">
        <v>17.21049931972199</v>
      </c>
      <c r="BZ145" s="833">
        <v>17.21049931972199</v>
      </c>
      <c r="CA145" s="833">
        <v>12.130235648972718</v>
      </c>
      <c r="CB145" s="833">
        <v>0</v>
      </c>
      <c r="CC145" s="833">
        <v>0</v>
      </c>
      <c r="CD145" s="833">
        <v>0</v>
      </c>
      <c r="CE145" s="833">
        <v>0</v>
      </c>
      <c r="CF145" s="833">
        <v>0</v>
      </c>
      <c r="CG145" s="833">
        <v>0</v>
      </c>
      <c r="CH145" s="833">
        <v>0</v>
      </c>
      <c r="CI145" s="833">
        <v>0</v>
      </c>
      <c r="CJ145" s="833">
        <v>0</v>
      </c>
      <c r="CK145" s="833">
        <v>0</v>
      </c>
      <c r="CL145" s="833">
        <v>0</v>
      </c>
      <c r="CM145" s="833">
        <v>0</v>
      </c>
      <c r="CN145" s="833">
        <v>0</v>
      </c>
      <c r="CO145" s="833">
        <v>0</v>
      </c>
      <c r="CP145" s="833">
        <v>0</v>
      </c>
      <c r="CQ145" s="833">
        <v>0</v>
      </c>
      <c r="CR145" s="828"/>
      <c r="CS145" s="828"/>
      <c r="CT145" s="828"/>
      <c r="CU145" s="834">
        <v>0</v>
      </c>
      <c r="CV145" s="834">
        <v>237449.82647300279</v>
      </c>
      <c r="CW145" s="834">
        <v>237449.82647300279</v>
      </c>
      <c r="CX145" s="834">
        <v>237449.82647300279</v>
      </c>
      <c r="CY145" s="834">
        <v>237449.82647300279</v>
      </c>
      <c r="CZ145" s="834">
        <v>237449.82647300279</v>
      </c>
      <c r="DA145" s="834">
        <v>237449.82647300279</v>
      </c>
      <c r="DB145" s="834">
        <v>217731.81843596965</v>
      </c>
      <c r="DC145" s="834">
        <v>217731.81843596965</v>
      </c>
      <c r="DD145" s="834">
        <v>217731.81843596965</v>
      </c>
      <c r="DE145" s="834">
        <v>153460.87390277517</v>
      </c>
      <c r="DF145" s="834">
        <v>0</v>
      </c>
      <c r="DG145" s="834">
        <v>0</v>
      </c>
      <c r="DH145" s="834">
        <v>0</v>
      </c>
      <c r="DI145" s="834">
        <v>0</v>
      </c>
      <c r="DJ145" s="834">
        <v>0</v>
      </c>
      <c r="DK145" s="834">
        <v>0</v>
      </c>
      <c r="DL145" s="834">
        <v>0</v>
      </c>
      <c r="DM145" s="834">
        <v>0</v>
      </c>
      <c r="DN145" s="834">
        <v>0</v>
      </c>
      <c r="DO145" s="834">
        <v>0</v>
      </c>
      <c r="DP145" s="834">
        <v>0</v>
      </c>
      <c r="DQ145" s="834">
        <v>0</v>
      </c>
      <c r="DR145" s="834">
        <v>0</v>
      </c>
      <c r="DS145" s="834">
        <v>0</v>
      </c>
      <c r="DT145" s="834">
        <v>0</v>
      </c>
      <c r="DU145" s="834">
        <v>0</v>
      </c>
      <c r="DV145" s="828"/>
      <c r="DW145" s="828"/>
      <c r="DX145" s="828"/>
      <c r="DY145" s="834">
        <v>0</v>
      </c>
      <c r="DZ145" s="834">
        <v>165138.71966986585</v>
      </c>
      <c r="EA145" s="834">
        <v>165138.71966986585</v>
      </c>
      <c r="EB145" s="834">
        <v>165138.71966986585</v>
      </c>
      <c r="EC145" s="834">
        <v>165138.71966986585</v>
      </c>
      <c r="ED145" s="834">
        <v>165138.71966986585</v>
      </c>
      <c r="EE145" s="834">
        <v>165138.71966986585</v>
      </c>
      <c r="EF145" s="834">
        <v>151425.47906639884</v>
      </c>
      <c r="EG145" s="834">
        <v>151425.47906639884</v>
      </c>
      <c r="EH145" s="834">
        <v>151425.47906639884</v>
      </c>
      <c r="EI145" s="834">
        <v>106727.10362500246</v>
      </c>
      <c r="EJ145" s="834">
        <v>0</v>
      </c>
      <c r="EK145" s="834">
        <v>0</v>
      </c>
      <c r="EL145" s="834">
        <v>0</v>
      </c>
      <c r="EM145" s="834">
        <v>0</v>
      </c>
      <c r="EN145" s="834">
        <v>0</v>
      </c>
      <c r="EO145" s="834">
        <v>0</v>
      </c>
      <c r="EP145" s="834">
        <v>0</v>
      </c>
      <c r="EQ145" s="834">
        <v>0</v>
      </c>
      <c r="ER145" s="834">
        <v>0</v>
      </c>
      <c r="ES145" s="834">
        <v>0</v>
      </c>
      <c r="ET145" s="834">
        <v>0</v>
      </c>
      <c r="EU145" s="834">
        <v>0</v>
      </c>
      <c r="EV145" s="834">
        <v>0</v>
      </c>
      <c r="EW145" s="834">
        <v>0</v>
      </c>
      <c r="EX145" s="834">
        <v>0</v>
      </c>
      <c r="EY145" s="834">
        <v>0</v>
      </c>
      <c r="EZ145" s="764"/>
      <c r="FA145" s="764"/>
      <c r="FB145" s="764"/>
      <c r="FC145" s="764"/>
      <c r="FD145" s="764"/>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row>
    <row r="146" spans="1:16368" customFormat="1">
      <c r="A146" s="817">
        <v>138728</v>
      </c>
      <c r="B146" s="819" t="s">
        <v>1036</v>
      </c>
      <c r="C146" s="818" t="s">
        <v>816</v>
      </c>
      <c r="D146" s="818"/>
      <c r="E146" s="819" t="s">
        <v>1028</v>
      </c>
      <c r="F146" s="820" t="s">
        <v>991</v>
      </c>
      <c r="G146" s="820">
        <v>2015</v>
      </c>
      <c r="H146" s="820" t="s">
        <v>992</v>
      </c>
      <c r="I146" s="821">
        <v>42256</v>
      </c>
      <c r="J146" s="822">
        <v>2015</v>
      </c>
      <c r="K146" s="823"/>
      <c r="L146" s="823" t="s">
        <v>993</v>
      </c>
      <c r="M146" s="823" t="s">
        <v>22</v>
      </c>
      <c r="N146" s="824">
        <v>0</v>
      </c>
      <c r="O146" s="824">
        <v>5332.093862409045</v>
      </c>
      <c r="P146" s="825">
        <v>80244.281851191481</v>
      </c>
      <c r="Q146" s="825">
        <v>63985.12634890854</v>
      </c>
      <c r="R146" s="825">
        <v>5332.093862409045</v>
      </c>
      <c r="S146" s="826">
        <v>0</v>
      </c>
      <c r="T146" s="827">
        <v>1.2891890278772489</v>
      </c>
      <c r="U146" s="827" t="s">
        <v>1014</v>
      </c>
      <c r="V146" s="828"/>
      <c r="W146" s="828"/>
      <c r="X146" s="828"/>
      <c r="Y146" s="829">
        <v>0.79737926332950881</v>
      </c>
      <c r="Z146" s="828"/>
      <c r="AA146" s="828"/>
      <c r="AB146" s="828"/>
      <c r="AC146" s="829">
        <v>0.79342890606602867</v>
      </c>
      <c r="AD146" s="828"/>
      <c r="AE146" s="830"/>
      <c r="AF146" s="828"/>
      <c r="AG146" s="831">
        <v>140.4081777333999</v>
      </c>
      <c r="AH146" s="832">
        <v>2667.7553769345982</v>
      </c>
      <c r="AI146" s="828"/>
      <c r="AJ146" s="828"/>
      <c r="AK146" s="828"/>
      <c r="AL146" s="828"/>
      <c r="AM146" s="833">
        <v>0</v>
      </c>
      <c r="AN146" s="833">
        <v>0</v>
      </c>
      <c r="AO146" s="833">
        <v>0</v>
      </c>
      <c r="AP146" s="833">
        <v>0</v>
      </c>
      <c r="AQ146" s="833">
        <v>0</v>
      </c>
      <c r="AR146" s="833">
        <v>0</v>
      </c>
      <c r="AS146" s="833">
        <v>0</v>
      </c>
      <c r="AT146" s="833">
        <v>0</v>
      </c>
      <c r="AU146" s="833">
        <v>0</v>
      </c>
      <c r="AV146" s="833">
        <v>0</v>
      </c>
      <c r="AW146" s="833">
        <v>0</v>
      </c>
      <c r="AX146" s="833">
        <v>0</v>
      </c>
      <c r="AY146" s="833">
        <v>0</v>
      </c>
      <c r="AZ146" s="833">
        <v>0</v>
      </c>
      <c r="BA146" s="833">
        <v>0</v>
      </c>
      <c r="BB146" s="833">
        <v>0</v>
      </c>
      <c r="BC146" s="833">
        <v>0</v>
      </c>
      <c r="BD146" s="833">
        <v>0</v>
      </c>
      <c r="BE146" s="833">
        <v>0</v>
      </c>
      <c r="BF146" s="833">
        <v>0</v>
      </c>
      <c r="BG146" s="833">
        <v>0</v>
      </c>
      <c r="BH146" s="833">
        <v>0</v>
      </c>
      <c r="BI146" s="833">
        <v>0</v>
      </c>
      <c r="BJ146" s="833">
        <v>0</v>
      </c>
      <c r="BK146" s="833">
        <v>0</v>
      </c>
      <c r="BL146" s="833">
        <v>0</v>
      </c>
      <c r="BM146" s="833">
        <v>0</v>
      </c>
      <c r="BN146" s="828"/>
      <c r="BO146" s="828"/>
      <c r="BP146" s="828"/>
      <c r="BQ146" s="833">
        <v>0</v>
      </c>
      <c r="BR146" s="833">
        <v>0</v>
      </c>
      <c r="BS146" s="833">
        <v>0</v>
      </c>
      <c r="BT146" s="833">
        <v>0</v>
      </c>
      <c r="BU146" s="833">
        <v>0</v>
      </c>
      <c r="BV146" s="833">
        <v>0</v>
      </c>
      <c r="BW146" s="833">
        <v>0</v>
      </c>
      <c r="BX146" s="833">
        <v>0</v>
      </c>
      <c r="BY146" s="833">
        <v>0</v>
      </c>
      <c r="BZ146" s="833">
        <v>0</v>
      </c>
      <c r="CA146" s="833">
        <v>0</v>
      </c>
      <c r="CB146" s="833">
        <v>0</v>
      </c>
      <c r="CC146" s="833">
        <v>0</v>
      </c>
      <c r="CD146" s="833">
        <v>0</v>
      </c>
      <c r="CE146" s="833">
        <v>0</v>
      </c>
      <c r="CF146" s="833">
        <v>0</v>
      </c>
      <c r="CG146" s="833">
        <v>0</v>
      </c>
      <c r="CH146" s="833">
        <v>0</v>
      </c>
      <c r="CI146" s="833">
        <v>0</v>
      </c>
      <c r="CJ146" s="833">
        <v>0</v>
      </c>
      <c r="CK146" s="833">
        <v>0</v>
      </c>
      <c r="CL146" s="833">
        <v>0</v>
      </c>
      <c r="CM146" s="833">
        <v>0</v>
      </c>
      <c r="CN146" s="833">
        <v>0</v>
      </c>
      <c r="CO146" s="833">
        <v>0</v>
      </c>
      <c r="CP146" s="833">
        <v>0</v>
      </c>
      <c r="CQ146" s="833">
        <v>0</v>
      </c>
      <c r="CR146" s="828"/>
      <c r="CS146" s="828"/>
      <c r="CT146" s="828"/>
      <c r="CU146" s="834">
        <v>0</v>
      </c>
      <c r="CV146" s="834">
        <v>6687.0234875992901</v>
      </c>
      <c r="CW146" s="834">
        <v>6687.0234875992901</v>
      </c>
      <c r="CX146" s="834">
        <v>6687.0234875992901</v>
      </c>
      <c r="CY146" s="834">
        <v>6687.0234875992901</v>
      </c>
      <c r="CZ146" s="834">
        <v>6687.0234875992901</v>
      </c>
      <c r="DA146" s="834">
        <v>6687.0234875992901</v>
      </c>
      <c r="DB146" s="834">
        <v>6687.0234875992901</v>
      </c>
      <c r="DC146" s="834">
        <v>6687.0234875992901</v>
      </c>
      <c r="DD146" s="834">
        <v>6687.0234875992901</v>
      </c>
      <c r="DE146" s="834">
        <v>6687.0234875992901</v>
      </c>
      <c r="DF146" s="834">
        <v>6687.0234875992901</v>
      </c>
      <c r="DG146" s="834">
        <v>6687.0234875992901</v>
      </c>
      <c r="DH146" s="834">
        <v>0</v>
      </c>
      <c r="DI146" s="834">
        <v>0</v>
      </c>
      <c r="DJ146" s="834">
        <v>0</v>
      </c>
      <c r="DK146" s="834">
        <v>0</v>
      </c>
      <c r="DL146" s="834">
        <v>0</v>
      </c>
      <c r="DM146" s="834">
        <v>0</v>
      </c>
      <c r="DN146" s="834">
        <v>0</v>
      </c>
      <c r="DO146" s="834">
        <v>0</v>
      </c>
      <c r="DP146" s="834">
        <v>0</v>
      </c>
      <c r="DQ146" s="834">
        <v>0</v>
      </c>
      <c r="DR146" s="834">
        <v>0</v>
      </c>
      <c r="DS146" s="834">
        <v>0</v>
      </c>
      <c r="DT146" s="834">
        <v>0</v>
      </c>
      <c r="DU146" s="834">
        <v>0</v>
      </c>
      <c r="DV146" s="828"/>
      <c r="DW146" s="828"/>
      <c r="DX146" s="828"/>
      <c r="DY146" s="834">
        <v>0</v>
      </c>
      <c r="DZ146" s="834">
        <v>5332.093862409045</v>
      </c>
      <c r="EA146" s="834">
        <v>5332.093862409045</v>
      </c>
      <c r="EB146" s="834">
        <v>5332.093862409045</v>
      </c>
      <c r="EC146" s="834">
        <v>5332.093862409045</v>
      </c>
      <c r="ED146" s="834">
        <v>5332.093862409045</v>
      </c>
      <c r="EE146" s="834">
        <v>5332.093862409045</v>
      </c>
      <c r="EF146" s="834">
        <v>5332.093862409045</v>
      </c>
      <c r="EG146" s="834">
        <v>5332.093862409045</v>
      </c>
      <c r="EH146" s="834">
        <v>5332.093862409045</v>
      </c>
      <c r="EI146" s="834">
        <v>5332.093862409045</v>
      </c>
      <c r="EJ146" s="834">
        <v>5332.093862409045</v>
      </c>
      <c r="EK146" s="834">
        <v>5332.093862409045</v>
      </c>
      <c r="EL146" s="834">
        <v>0</v>
      </c>
      <c r="EM146" s="834">
        <v>0</v>
      </c>
      <c r="EN146" s="834">
        <v>0</v>
      </c>
      <c r="EO146" s="834">
        <v>0</v>
      </c>
      <c r="EP146" s="834">
        <v>0</v>
      </c>
      <c r="EQ146" s="834">
        <v>0</v>
      </c>
      <c r="ER146" s="834">
        <v>0</v>
      </c>
      <c r="ES146" s="834">
        <v>0</v>
      </c>
      <c r="ET146" s="834">
        <v>0</v>
      </c>
      <c r="EU146" s="834">
        <v>0</v>
      </c>
      <c r="EV146" s="834">
        <v>0</v>
      </c>
      <c r="EW146" s="834">
        <v>0</v>
      </c>
      <c r="EX146" s="834">
        <v>0</v>
      </c>
      <c r="EY146" s="834">
        <v>0</v>
      </c>
      <c r="EZ146" s="764"/>
      <c r="FA146" s="764"/>
      <c r="FB146" s="764"/>
      <c r="FC146" s="764"/>
      <c r="FD146" s="764"/>
    </row>
    <row r="147" spans="1:16368" customFormat="1">
      <c r="A147" s="817">
        <v>139172</v>
      </c>
      <c r="B147" s="819" t="s">
        <v>1037</v>
      </c>
      <c r="C147" s="818" t="s">
        <v>1038</v>
      </c>
      <c r="D147" s="818"/>
      <c r="E147" s="819" t="s">
        <v>1028</v>
      </c>
      <c r="F147" s="820" t="s">
        <v>991</v>
      </c>
      <c r="G147" s="820">
        <v>2015</v>
      </c>
      <c r="H147" s="820" t="s">
        <v>996</v>
      </c>
      <c r="I147" s="821">
        <v>42129</v>
      </c>
      <c r="J147" s="822">
        <v>2015</v>
      </c>
      <c r="K147" s="823"/>
      <c r="L147" s="823" t="s">
        <v>993</v>
      </c>
      <c r="M147" s="823" t="s">
        <v>22</v>
      </c>
      <c r="N147" s="824">
        <v>4.7511286426641943</v>
      </c>
      <c r="O147" s="824">
        <v>42133.592185283749</v>
      </c>
      <c r="P147" s="825">
        <v>569309.329241917</v>
      </c>
      <c r="Q147" s="825">
        <v>395936.33368188411</v>
      </c>
      <c r="R147" s="825">
        <v>42133.592185283749</v>
      </c>
      <c r="S147" s="826">
        <v>4.7511286426641943</v>
      </c>
      <c r="T147" s="827">
        <v>0.96037112112869982</v>
      </c>
      <c r="U147" s="827">
        <v>0.92845722686522347</v>
      </c>
      <c r="V147" s="828"/>
      <c r="W147" s="828"/>
      <c r="X147" s="828"/>
      <c r="Y147" s="829">
        <v>0.69546784734602263</v>
      </c>
      <c r="Z147" s="828"/>
      <c r="AA147" s="828"/>
      <c r="AB147" s="828"/>
      <c r="AC147" s="829">
        <v>0.69151749008254249</v>
      </c>
      <c r="AD147" s="828"/>
      <c r="AE147" s="830"/>
      <c r="AF147" s="828"/>
      <c r="AG147" s="831">
        <v>168.18269262042426</v>
      </c>
      <c r="AH147" s="832">
        <v>168.18269262042426</v>
      </c>
      <c r="AI147" s="828"/>
      <c r="AJ147" s="828"/>
      <c r="AK147" s="828"/>
      <c r="AL147" s="828"/>
      <c r="AM147" s="833">
        <v>0</v>
      </c>
      <c r="AN147" s="833">
        <v>6.8705834788026543</v>
      </c>
      <c r="AO147" s="833">
        <v>6.8705834788026543</v>
      </c>
      <c r="AP147" s="833">
        <v>6.8705834788026543</v>
      </c>
      <c r="AQ147" s="833">
        <v>6.8705834788026543</v>
      </c>
      <c r="AR147" s="833">
        <v>6.8705834788026543</v>
      </c>
      <c r="AS147" s="833">
        <v>6.8705834788026543</v>
      </c>
      <c r="AT147" s="833">
        <v>6.3000451791272036</v>
      </c>
      <c r="AU147" s="833">
        <v>6.3000451791272036</v>
      </c>
      <c r="AV147" s="833">
        <v>6.3000451791272036</v>
      </c>
      <c r="AW147" s="833">
        <v>4.4403727749150503</v>
      </c>
      <c r="AX147" s="833">
        <v>0</v>
      </c>
      <c r="AY147" s="833">
        <v>0</v>
      </c>
      <c r="AZ147" s="833">
        <v>0</v>
      </c>
      <c r="BA147" s="833">
        <v>0</v>
      </c>
      <c r="BB147" s="833">
        <v>0</v>
      </c>
      <c r="BC147" s="833">
        <v>0</v>
      </c>
      <c r="BD147" s="833">
        <v>0</v>
      </c>
      <c r="BE147" s="833">
        <v>0</v>
      </c>
      <c r="BF147" s="833">
        <v>0</v>
      </c>
      <c r="BG147" s="833">
        <v>0</v>
      </c>
      <c r="BH147" s="833">
        <v>0</v>
      </c>
      <c r="BI147" s="833">
        <v>0</v>
      </c>
      <c r="BJ147" s="833">
        <v>0</v>
      </c>
      <c r="BK147" s="833">
        <v>0</v>
      </c>
      <c r="BL147" s="833">
        <v>0</v>
      </c>
      <c r="BM147" s="833">
        <v>0</v>
      </c>
      <c r="BN147" s="828"/>
      <c r="BO147" s="828"/>
      <c r="BP147" s="828"/>
      <c r="BQ147" s="833">
        <v>0</v>
      </c>
      <c r="BR147" s="833">
        <v>4.7511286426641943</v>
      </c>
      <c r="BS147" s="833">
        <v>4.7511286426641943</v>
      </c>
      <c r="BT147" s="833">
        <v>4.7511286426641943</v>
      </c>
      <c r="BU147" s="833">
        <v>4.7511286426641943</v>
      </c>
      <c r="BV147" s="833">
        <v>4.7511286426641943</v>
      </c>
      <c r="BW147" s="833">
        <v>4.7511286426641943</v>
      </c>
      <c r="BX147" s="833">
        <v>4.3565914296766657</v>
      </c>
      <c r="BY147" s="833">
        <v>4.3565914296766657</v>
      </c>
      <c r="BZ147" s="833">
        <v>4.3565914296766657</v>
      </c>
      <c r="CA147" s="833">
        <v>3.0705954363401098</v>
      </c>
      <c r="CB147" s="833">
        <v>0</v>
      </c>
      <c r="CC147" s="833">
        <v>0</v>
      </c>
      <c r="CD147" s="833">
        <v>0</v>
      </c>
      <c r="CE147" s="833">
        <v>0</v>
      </c>
      <c r="CF147" s="833">
        <v>0</v>
      </c>
      <c r="CG147" s="833">
        <v>0</v>
      </c>
      <c r="CH147" s="833">
        <v>0</v>
      </c>
      <c r="CI147" s="833">
        <v>0</v>
      </c>
      <c r="CJ147" s="833">
        <v>0</v>
      </c>
      <c r="CK147" s="833">
        <v>0</v>
      </c>
      <c r="CL147" s="833">
        <v>0</v>
      </c>
      <c r="CM147" s="833">
        <v>0</v>
      </c>
      <c r="CN147" s="833">
        <v>0</v>
      </c>
      <c r="CO147" s="833">
        <v>0</v>
      </c>
      <c r="CP147" s="833">
        <v>0</v>
      </c>
      <c r="CQ147" s="833">
        <v>0</v>
      </c>
      <c r="CR147" s="828"/>
      <c r="CS147" s="828"/>
      <c r="CT147" s="828"/>
      <c r="CU147" s="834">
        <v>0</v>
      </c>
      <c r="CV147" s="834">
        <v>60583.091434161768</v>
      </c>
      <c r="CW147" s="834">
        <v>60583.091434161768</v>
      </c>
      <c r="CX147" s="834">
        <v>60583.091434161768</v>
      </c>
      <c r="CY147" s="834">
        <v>60583.091434161768</v>
      </c>
      <c r="CZ147" s="834">
        <v>60583.091434161768</v>
      </c>
      <c r="DA147" s="834">
        <v>60583.091434161768</v>
      </c>
      <c r="DB147" s="834">
        <v>55552.227013029275</v>
      </c>
      <c r="DC147" s="834">
        <v>55552.227013029275</v>
      </c>
      <c r="DD147" s="834">
        <v>55552.227013029275</v>
      </c>
      <c r="DE147" s="834">
        <v>39154.099597858622</v>
      </c>
      <c r="DF147" s="834">
        <v>0</v>
      </c>
      <c r="DG147" s="834">
        <v>0</v>
      </c>
      <c r="DH147" s="834">
        <v>0</v>
      </c>
      <c r="DI147" s="834">
        <v>0</v>
      </c>
      <c r="DJ147" s="834">
        <v>0</v>
      </c>
      <c r="DK147" s="834">
        <v>0</v>
      </c>
      <c r="DL147" s="834">
        <v>0</v>
      </c>
      <c r="DM147" s="834">
        <v>0</v>
      </c>
      <c r="DN147" s="834">
        <v>0</v>
      </c>
      <c r="DO147" s="834">
        <v>0</v>
      </c>
      <c r="DP147" s="834">
        <v>0</v>
      </c>
      <c r="DQ147" s="834">
        <v>0</v>
      </c>
      <c r="DR147" s="834">
        <v>0</v>
      </c>
      <c r="DS147" s="834">
        <v>0</v>
      </c>
      <c r="DT147" s="834">
        <v>0</v>
      </c>
      <c r="DU147" s="834">
        <v>0</v>
      </c>
      <c r="DV147" s="828"/>
      <c r="DW147" s="828"/>
      <c r="DX147" s="828"/>
      <c r="DY147" s="834">
        <v>0</v>
      </c>
      <c r="DZ147" s="834">
        <v>42133.592185283749</v>
      </c>
      <c r="EA147" s="834">
        <v>42133.592185283749</v>
      </c>
      <c r="EB147" s="834">
        <v>42133.592185283749</v>
      </c>
      <c r="EC147" s="834">
        <v>42133.592185283749</v>
      </c>
      <c r="ED147" s="834">
        <v>42133.592185283749</v>
      </c>
      <c r="EE147" s="834">
        <v>42133.592185283749</v>
      </c>
      <c r="EF147" s="834">
        <v>38634.787736029037</v>
      </c>
      <c r="EG147" s="834">
        <v>38634.787736029037</v>
      </c>
      <c r="EH147" s="834">
        <v>38634.787736029037</v>
      </c>
      <c r="EI147" s="834">
        <v>27230.417362094508</v>
      </c>
      <c r="EJ147" s="834">
        <v>0</v>
      </c>
      <c r="EK147" s="834">
        <v>0</v>
      </c>
      <c r="EL147" s="834">
        <v>0</v>
      </c>
      <c r="EM147" s="834">
        <v>0</v>
      </c>
      <c r="EN147" s="834">
        <v>0</v>
      </c>
      <c r="EO147" s="834">
        <v>0</v>
      </c>
      <c r="EP147" s="834">
        <v>0</v>
      </c>
      <c r="EQ147" s="834">
        <v>0</v>
      </c>
      <c r="ER147" s="834">
        <v>0</v>
      </c>
      <c r="ES147" s="834">
        <v>0</v>
      </c>
      <c r="ET147" s="834">
        <v>0</v>
      </c>
      <c r="EU147" s="834">
        <v>0</v>
      </c>
      <c r="EV147" s="834">
        <v>0</v>
      </c>
      <c r="EW147" s="834">
        <v>0</v>
      </c>
      <c r="EX147" s="834">
        <v>0</v>
      </c>
      <c r="EY147" s="834">
        <v>0</v>
      </c>
      <c r="EZ147" s="764"/>
      <c r="FA147" s="764"/>
      <c r="FB147" s="764"/>
      <c r="FC147" s="764"/>
      <c r="FD147" s="764"/>
    </row>
    <row r="148" spans="1:16368" customFormat="1">
      <c r="A148" s="817">
        <v>139677</v>
      </c>
      <c r="B148" s="819" t="s">
        <v>1039</v>
      </c>
      <c r="C148" s="818" t="s">
        <v>1040</v>
      </c>
      <c r="D148" s="818"/>
      <c r="E148" s="819" t="s">
        <v>1028</v>
      </c>
      <c r="F148" s="820" t="s">
        <v>991</v>
      </c>
      <c r="G148" s="820">
        <v>2015</v>
      </c>
      <c r="H148" s="820" t="s">
        <v>996</v>
      </c>
      <c r="I148" s="821">
        <v>42242</v>
      </c>
      <c r="J148" s="822">
        <v>2015</v>
      </c>
      <c r="K148" s="823"/>
      <c r="L148" s="823" t="s">
        <v>993</v>
      </c>
      <c r="M148" s="823" t="s">
        <v>22</v>
      </c>
      <c r="N148" s="824">
        <v>5.3931730538350324</v>
      </c>
      <c r="O148" s="824">
        <v>49234.781921249647</v>
      </c>
      <c r="P148" s="825">
        <v>665260.64399391145</v>
      </c>
      <c r="Q148" s="825">
        <v>462667.38800247433</v>
      </c>
      <c r="R148" s="825">
        <v>49234.781921249647</v>
      </c>
      <c r="S148" s="826">
        <v>5.3931730538350324</v>
      </c>
      <c r="T148" s="827">
        <v>0.96037112112869971</v>
      </c>
      <c r="U148" s="827">
        <v>0.92845722686522358</v>
      </c>
      <c r="V148" s="828"/>
      <c r="W148" s="828"/>
      <c r="X148" s="828"/>
      <c r="Y148" s="829">
        <v>0.69546784734602263</v>
      </c>
      <c r="Z148" s="828"/>
      <c r="AA148" s="828"/>
      <c r="AB148" s="828"/>
      <c r="AC148" s="829">
        <v>0.69151749008254249</v>
      </c>
      <c r="AD148" s="828"/>
      <c r="AE148" s="830"/>
      <c r="AF148" s="828"/>
      <c r="AG148" s="831">
        <v>445.72020222415506</v>
      </c>
      <c r="AH148" s="832">
        <v>445.72020222415506</v>
      </c>
      <c r="AI148" s="828"/>
      <c r="AJ148" s="828"/>
      <c r="AK148" s="828"/>
      <c r="AL148" s="828"/>
      <c r="AM148" s="833">
        <v>0</v>
      </c>
      <c r="AN148" s="833">
        <v>7.7990407056678785</v>
      </c>
      <c r="AO148" s="833">
        <v>7.7990407056678785</v>
      </c>
      <c r="AP148" s="833">
        <v>7.7990407056678785</v>
      </c>
      <c r="AQ148" s="833">
        <v>7.7990407056678785</v>
      </c>
      <c r="AR148" s="833">
        <v>7.7990407056678785</v>
      </c>
      <c r="AS148" s="833">
        <v>7.7990407056678785</v>
      </c>
      <c r="AT148" s="833">
        <v>7.1514026357660159</v>
      </c>
      <c r="AU148" s="833">
        <v>7.1514026357660159</v>
      </c>
      <c r="AV148" s="833">
        <v>7.1514026357660159</v>
      </c>
      <c r="AW148" s="833">
        <v>5.040423149903571</v>
      </c>
      <c r="AX148" s="833">
        <v>0</v>
      </c>
      <c r="AY148" s="833">
        <v>0</v>
      </c>
      <c r="AZ148" s="833">
        <v>0</v>
      </c>
      <c r="BA148" s="833">
        <v>0</v>
      </c>
      <c r="BB148" s="833">
        <v>0</v>
      </c>
      <c r="BC148" s="833">
        <v>0</v>
      </c>
      <c r="BD148" s="833">
        <v>0</v>
      </c>
      <c r="BE148" s="833">
        <v>0</v>
      </c>
      <c r="BF148" s="833">
        <v>0</v>
      </c>
      <c r="BG148" s="833">
        <v>0</v>
      </c>
      <c r="BH148" s="833">
        <v>0</v>
      </c>
      <c r="BI148" s="833">
        <v>0</v>
      </c>
      <c r="BJ148" s="833">
        <v>0</v>
      </c>
      <c r="BK148" s="833">
        <v>0</v>
      </c>
      <c r="BL148" s="833">
        <v>0</v>
      </c>
      <c r="BM148" s="833">
        <v>0</v>
      </c>
      <c r="BN148" s="828"/>
      <c r="BO148" s="828"/>
      <c r="BP148" s="828"/>
      <c r="BQ148" s="833">
        <v>0</v>
      </c>
      <c r="BR148" s="833">
        <v>5.3931730538350324</v>
      </c>
      <c r="BS148" s="833">
        <v>5.3931730538350324</v>
      </c>
      <c r="BT148" s="833">
        <v>5.3931730538350324</v>
      </c>
      <c r="BU148" s="833">
        <v>5.3931730538350324</v>
      </c>
      <c r="BV148" s="833">
        <v>5.3931730538350324</v>
      </c>
      <c r="BW148" s="833">
        <v>5.3931730538350324</v>
      </c>
      <c r="BX148" s="833">
        <v>4.9453200012545944</v>
      </c>
      <c r="BY148" s="833">
        <v>4.9453200012545944</v>
      </c>
      <c r="BZ148" s="833">
        <v>4.9453200012545944</v>
      </c>
      <c r="CA148" s="833">
        <v>3.4855407655752604</v>
      </c>
      <c r="CB148" s="833">
        <v>0</v>
      </c>
      <c r="CC148" s="833">
        <v>0</v>
      </c>
      <c r="CD148" s="833">
        <v>0</v>
      </c>
      <c r="CE148" s="833">
        <v>0</v>
      </c>
      <c r="CF148" s="833">
        <v>0</v>
      </c>
      <c r="CG148" s="833">
        <v>0</v>
      </c>
      <c r="CH148" s="833">
        <v>0</v>
      </c>
      <c r="CI148" s="833">
        <v>0</v>
      </c>
      <c r="CJ148" s="833">
        <v>0</v>
      </c>
      <c r="CK148" s="833">
        <v>0</v>
      </c>
      <c r="CL148" s="833">
        <v>0</v>
      </c>
      <c r="CM148" s="833">
        <v>0</v>
      </c>
      <c r="CN148" s="833">
        <v>0</v>
      </c>
      <c r="CO148" s="833">
        <v>0</v>
      </c>
      <c r="CP148" s="833">
        <v>0</v>
      </c>
      <c r="CQ148" s="833">
        <v>0</v>
      </c>
      <c r="CR148" s="828"/>
      <c r="CS148" s="828"/>
      <c r="CT148" s="828"/>
      <c r="CU148" s="834">
        <v>0</v>
      </c>
      <c r="CV148" s="834">
        <v>70793.757194002101</v>
      </c>
      <c r="CW148" s="834">
        <v>70793.757194002101</v>
      </c>
      <c r="CX148" s="834">
        <v>70793.757194002101</v>
      </c>
      <c r="CY148" s="834">
        <v>70793.757194002101</v>
      </c>
      <c r="CZ148" s="834">
        <v>70793.757194002101</v>
      </c>
      <c r="DA148" s="834">
        <v>70793.757194002101</v>
      </c>
      <c r="DB148" s="834">
        <v>64914.991586726261</v>
      </c>
      <c r="DC148" s="834">
        <v>64914.991586726261</v>
      </c>
      <c r="DD148" s="834">
        <v>64914.991586726261</v>
      </c>
      <c r="DE148" s="834">
        <v>45753.12606972002</v>
      </c>
      <c r="DF148" s="834">
        <v>0</v>
      </c>
      <c r="DG148" s="834">
        <v>0</v>
      </c>
      <c r="DH148" s="834">
        <v>0</v>
      </c>
      <c r="DI148" s="834">
        <v>0</v>
      </c>
      <c r="DJ148" s="834">
        <v>0</v>
      </c>
      <c r="DK148" s="834">
        <v>0</v>
      </c>
      <c r="DL148" s="834">
        <v>0</v>
      </c>
      <c r="DM148" s="834">
        <v>0</v>
      </c>
      <c r="DN148" s="834">
        <v>0</v>
      </c>
      <c r="DO148" s="834">
        <v>0</v>
      </c>
      <c r="DP148" s="834">
        <v>0</v>
      </c>
      <c r="DQ148" s="834">
        <v>0</v>
      </c>
      <c r="DR148" s="834">
        <v>0</v>
      </c>
      <c r="DS148" s="834">
        <v>0</v>
      </c>
      <c r="DT148" s="834">
        <v>0</v>
      </c>
      <c r="DU148" s="834">
        <v>0</v>
      </c>
      <c r="DV148" s="828"/>
      <c r="DW148" s="828"/>
      <c r="DX148" s="828"/>
      <c r="DY148" s="834">
        <v>0</v>
      </c>
      <c r="DZ148" s="834">
        <v>49234.781921249647</v>
      </c>
      <c r="EA148" s="834">
        <v>49234.781921249647</v>
      </c>
      <c r="EB148" s="834">
        <v>49234.781921249647</v>
      </c>
      <c r="EC148" s="834">
        <v>49234.781921249647</v>
      </c>
      <c r="ED148" s="834">
        <v>49234.781921249647</v>
      </c>
      <c r="EE148" s="834">
        <v>49234.781921249647</v>
      </c>
      <c r="EF148" s="834">
        <v>45146.289459305684</v>
      </c>
      <c r="EG148" s="834">
        <v>45146.289459305684</v>
      </c>
      <c r="EH148" s="834">
        <v>45146.289459305684</v>
      </c>
      <c r="EI148" s="834">
        <v>31819.828097059373</v>
      </c>
      <c r="EJ148" s="834">
        <v>0</v>
      </c>
      <c r="EK148" s="834">
        <v>0</v>
      </c>
      <c r="EL148" s="834">
        <v>0</v>
      </c>
      <c r="EM148" s="834">
        <v>0</v>
      </c>
      <c r="EN148" s="834">
        <v>0</v>
      </c>
      <c r="EO148" s="834">
        <v>0</v>
      </c>
      <c r="EP148" s="834">
        <v>0</v>
      </c>
      <c r="EQ148" s="834">
        <v>0</v>
      </c>
      <c r="ER148" s="834">
        <v>0</v>
      </c>
      <c r="ES148" s="834">
        <v>0</v>
      </c>
      <c r="ET148" s="834">
        <v>0</v>
      </c>
      <c r="EU148" s="834">
        <v>0</v>
      </c>
      <c r="EV148" s="834">
        <v>0</v>
      </c>
      <c r="EW148" s="834">
        <v>0</v>
      </c>
      <c r="EX148" s="834">
        <v>0</v>
      </c>
      <c r="EY148" s="834">
        <v>0</v>
      </c>
      <c r="EZ148" s="764"/>
      <c r="FA148" s="764"/>
      <c r="FB148" s="764"/>
      <c r="FC148" s="764"/>
      <c r="FD148" s="764"/>
    </row>
    <row r="149" spans="1:16368" customFormat="1">
      <c r="A149" s="817">
        <v>140373</v>
      </c>
      <c r="B149" s="819" t="s">
        <v>1041</v>
      </c>
      <c r="C149" s="818" t="s">
        <v>1042</v>
      </c>
      <c r="D149" s="818"/>
      <c r="E149" s="819" t="s">
        <v>1028</v>
      </c>
      <c r="F149" s="820" t="s">
        <v>991</v>
      </c>
      <c r="G149" s="820">
        <v>2015</v>
      </c>
      <c r="H149" s="820" t="s">
        <v>1013</v>
      </c>
      <c r="I149" s="821">
        <v>42090</v>
      </c>
      <c r="J149" s="822">
        <v>2015</v>
      </c>
      <c r="K149" s="823"/>
      <c r="L149" s="823" t="s">
        <v>993</v>
      </c>
      <c r="M149" s="823" t="s">
        <v>22</v>
      </c>
      <c r="N149" s="824">
        <v>6.0572114048709796E-2</v>
      </c>
      <c r="O149" s="824">
        <v>41277.334935726481</v>
      </c>
      <c r="P149" s="825">
        <v>962220.61124128499</v>
      </c>
      <c r="Q149" s="825">
        <v>647580.3521991343</v>
      </c>
      <c r="R149" s="825">
        <v>41277.334935726481</v>
      </c>
      <c r="S149" s="826">
        <v>6.0572114048709796E-2</v>
      </c>
      <c r="T149" s="827">
        <v>1.0671766900656514</v>
      </c>
      <c r="U149" s="827">
        <v>1.0059303502523884</v>
      </c>
      <c r="V149" s="828"/>
      <c r="W149" s="828"/>
      <c r="X149" s="828"/>
      <c r="Y149" s="829">
        <v>0.67300611173121927</v>
      </c>
      <c r="Z149" s="828"/>
      <c r="AA149" s="828"/>
      <c r="AB149" s="828"/>
      <c r="AC149" s="829">
        <v>0.66905575446773913</v>
      </c>
      <c r="AD149" s="828"/>
      <c r="AE149" s="830"/>
      <c r="AF149" s="828"/>
      <c r="AG149" s="831">
        <v>7450</v>
      </c>
      <c r="AH149" s="832">
        <v>7450</v>
      </c>
      <c r="AI149" s="828"/>
      <c r="AJ149" s="828"/>
      <c r="AK149" s="828"/>
      <c r="AL149" s="828"/>
      <c r="AM149" s="833">
        <v>0</v>
      </c>
      <c r="AN149" s="833">
        <v>9.0533731522714961E-2</v>
      </c>
      <c r="AO149" s="833">
        <v>9.0533731522714961E-2</v>
      </c>
      <c r="AP149" s="833">
        <v>9.0533731522714961E-2</v>
      </c>
      <c r="AQ149" s="833">
        <v>9.0533731522714961E-2</v>
      </c>
      <c r="AR149" s="833">
        <v>9.0533731522714961E-2</v>
      </c>
      <c r="AS149" s="833">
        <v>9.0533731522714961E-2</v>
      </c>
      <c r="AT149" s="833">
        <v>9.0533731522714961E-2</v>
      </c>
      <c r="AU149" s="833">
        <v>9.0533731522714961E-2</v>
      </c>
      <c r="AV149" s="833">
        <v>9.0533731522714961E-2</v>
      </c>
      <c r="AW149" s="833">
        <v>9.0533731522714961E-2</v>
      </c>
      <c r="AX149" s="833">
        <v>9.0533731522714961E-2</v>
      </c>
      <c r="AY149" s="833">
        <v>9.0533731522714961E-2</v>
      </c>
      <c r="AZ149" s="833">
        <v>9.0533731522714961E-2</v>
      </c>
      <c r="BA149" s="833">
        <v>9.0533731522714961E-2</v>
      </c>
      <c r="BB149" s="833">
        <v>9.0533731522714961E-2</v>
      </c>
      <c r="BC149" s="833">
        <v>6.2334410972133054E-2</v>
      </c>
      <c r="BD149" s="833">
        <v>0</v>
      </c>
      <c r="BE149" s="833">
        <v>0</v>
      </c>
      <c r="BF149" s="833">
        <v>0</v>
      </c>
      <c r="BG149" s="833">
        <v>0</v>
      </c>
      <c r="BH149" s="833">
        <v>0</v>
      </c>
      <c r="BI149" s="833">
        <v>0</v>
      </c>
      <c r="BJ149" s="833">
        <v>0</v>
      </c>
      <c r="BK149" s="833">
        <v>0</v>
      </c>
      <c r="BL149" s="833">
        <v>0</v>
      </c>
      <c r="BM149" s="833">
        <v>0</v>
      </c>
      <c r="BN149" s="828"/>
      <c r="BO149" s="828"/>
      <c r="BP149" s="828"/>
      <c r="BQ149" s="833">
        <v>0</v>
      </c>
      <c r="BR149" s="833">
        <v>6.0572114048709796E-2</v>
      </c>
      <c r="BS149" s="833">
        <v>6.0572114048709796E-2</v>
      </c>
      <c r="BT149" s="833">
        <v>6.0572114048709796E-2</v>
      </c>
      <c r="BU149" s="833">
        <v>6.0572114048709796E-2</v>
      </c>
      <c r="BV149" s="833">
        <v>6.0572114048709796E-2</v>
      </c>
      <c r="BW149" s="833">
        <v>6.0572114048709796E-2</v>
      </c>
      <c r="BX149" s="833">
        <v>6.0572114048709796E-2</v>
      </c>
      <c r="BY149" s="833">
        <v>6.0572114048709796E-2</v>
      </c>
      <c r="BZ149" s="833">
        <v>6.0572114048709796E-2</v>
      </c>
      <c r="CA149" s="833">
        <v>6.0572114048709796E-2</v>
      </c>
      <c r="CB149" s="833">
        <v>6.0572114048709796E-2</v>
      </c>
      <c r="CC149" s="833">
        <v>6.0572114048709796E-2</v>
      </c>
      <c r="CD149" s="833">
        <v>6.0572114048709796E-2</v>
      </c>
      <c r="CE149" s="833">
        <v>6.0572114048709796E-2</v>
      </c>
      <c r="CF149" s="833">
        <v>6.0572114048709796E-2</v>
      </c>
      <c r="CG149" s="833">
        <v>4.1705196362262595E-2</v>
      </c>
      <c r="CH149" s="833">
        <v>0</v>
      </c>
      <c r="CI149" s="833">
        <v>0</v>
      </c>
      <c r="CJ149" s="833">
        <v>0</v>
      </c>
      <c r="CK149" s="833">
        <v>0</v>
      </c>
      <c r="CL149" s="833">
        <v>0</v>
      </c>
      <c r="CM149" s="833">
        <v>0</v>
      </c>
      <c r="CN149" s="833">
        <v>0</v>
      </c>
      <c r="CO149" s="833">
        <v>0</v>
      </c>
      <c r="CP149" s="833">
        <v>0</v>
      </c>
      <c r="CQ149" s="833">
        <v>0</v>
      </c>
      <c r="CR149" s="828"/>
      <c r="CS149" s="828"/>
      <c r="CT149" s="828"/>
      <c r="CU149" s="834">
        <v>0</v>
      </c>
      <c r="CV149" s="834">
        <v>61332.778731453116</v>
      </c>
      <c r="CW149" s="834">
        <v>61332.778731453116</v>
      </c>
      <c r="CX149" s="834">
        <v>61332.778731453116</v>
      </c>
      <c r="CY149" s="834">
        <v>61332.778731453116</v>
      </c>
      <c r="CZ149" s="834">
        <v>61332.778731453116</v>
      </c>
      <c r="DA149" s="834">
        <v>61332.778731453116</v>
      </c>
      <c r="DB149" s="834">
        <v>61332.778731453116</v>
      </c>
      <c r="DC149" s="834">
        <v>61332.778731453116</v>
      </c>
      <c r="DD149" s="834">
        <v>61332.778731453116</v>
      </c>
      <c r="DE149" s="834">
        <v>61332.778731453116</v>
      </c>
      <c r="DF149" s="834">
        <v>61332.778731453116</v>
      </c>
      <c r="DG149" s="834">
        <v>61332.778731453116</v>
      </c>
      <c r="DH149" s="834">
        <v>61332.778731453116</v>
      </c>
      <c r="DI149" s="834">
        <v>61332.778731453116</v>
      </c>
      <c r="DJ149" s="834">
        <v>61332.778731453116</v>
      </c>
      <c r="DK149" s="834">
        <v>42228.930269488243</v>
      </c>
      <c r="DL149" s="834">
        <v>0</v>
      </c>
      <c r="DM149" s="834">
        <v>0</v>
      </c>
      <c r="DN149" s="834">
        <v>0</v>
      </c>
      <c r="DO149" s="834">
        <v>0</v>
      </c>
      <c r="DP149" s="834">
        <v>0</v>
      </c>
      <c r="DQ149" s="834">
        <v>0</v>
      </c>
      <c r="DR149" s="834">
        <v>0</v>
      </c>
      <c r="DS149" s="834">
        <v>0</v>
      </c>
      <c r="DT149" s="834">
        <v>0</v>
      </c>
      <c r="DU149" s="834">
        <v>0</v>
      </c>
      <c r="DV149" s="828"/>
      <c r="DW149" s="828"/>
      <c r="DX149" s="828"/>
      <c r="DY149" s="834">
        <v>0</v>
      </c>
      <c r="DZ149" s="834">
        <v>41277.334935726481</v>
      </c>
      <c r="EA149" s="834">
        <v>41277.334935726481</v>
      </c>
      <c r="EB149" s="834">
        <v>41277.334935726481</v>
      </c>
      <c r="EC149" s="834">
        <v>41277.334935726481</v>
      </c>
      <c r="ED149" s="834">
        <v>41277.334935726481</v>
      </c>
      <c r="EE149" s="834">
        <v>41277.334935726481</v>
      </c>
      <c r="EF149" s="834">
        <v>41277.334935726481</v>
      </c>
      <c r="EG149" s="834">
        <v>41277.334935726481</v>
      </c>
      <c r="EH149" s="834">
        <v>41277.334935726481</v>
      </c>
      <c r="EI149" s="834">
        <v>41277.334935726481</v>
      </c>
      <c r="EJ149" s="834">
        <v>41277.334935726481</v>
      </c>
      <c r="EK149" s="834">
        <v>41277.334935726481</v>
      </c>
      <c r="EL149" s="834">
        <v>41277.334935726481</v>
      </c>
      <c r="EM149" s="834">
        <v>41277.334935726481</v>
      </c>
      <c r="EN149" s="834">
        <v>41277.334935726481</v>
      </c>
      <c r="EO149" s="834">
        <v>28420.328163237071</v>
      </c>
      <c r="EP149" s="834">
        <v>0</v>
      </c>
      <c r="EQ149" s="834">
        <v>0</v>
      </c>
      <c r="ER149" s="834">
        <v>0</v>
      </c>
      <c r="ES149" s="834">
        <v>0</v>
      </c>
      <c r="ET149" s="834">
        <v>0</v>
      </c>
      <c r="EU149" s="834">
        <v>0</v>
      </c>
      <c r="EV149" s="834">
        <v>0</v>
      </c>
      <c r="EW149" s="834">
        <v>0</v>
      </c>
      <c r="EX149" s="834">
        <v>0</v>
      </c>
      <c r="EY149" s="834">
        <v>0</v>
      </c>
      <c r="EZ149" s="764"/>
      <c r="FA149" s="764"/>
      <c r="FB149" s="764"/>
      <c r="FC149" s="764"/>
      <c r="FD149" s="764"/>
    </row>
    <row r="150" spans="1:16368" customFormat="1">
      <c r="A150" s="817">
        <v>141481</v>
      </c>
      <c r="B150" s="817" t="s">
        <v>1043</v>
      </c>
      <c r="C150" s="818" t="s">
        <v>1044</v>
      </c>
      <c r="D150" s="818"/>
      <c r="E150" s="819" t="s">
        <v>1028</v>
      </c>
      <c r="F150" s="820" t="s">
        <v>991</v>
      </c>
      <c r="G150" s="820">
        <v>2015</v>
      </c>
      <c r="H150" s="820" t="s">
        <v>992</v>
      </c>
      <c r="I150" s="821">
        <v>42247</v>
      </c>
      <c r="J150" s="822">
        <v>2015</v>
      </c>
      <c r="K150" s="823"/>
      <c r="L150" s="823" t="s">
        <v>993</v>
      </c>
      <c r="M150" s="823" t="s">
        <v>22</v>
      </c>
      <c r="N150" s="824">
        <v>0</v>
      </c>
      <c r="O150" s="824">
        <v>1201.9862642721152</v>
      </c>
      <c r="P150" s="825">
        <v>18089.052267346058</v>
      </c>
      <c r="Q150" s="825">
        <v>14423.835171265382</v>
      </c>
      <c r="R150" s="825">
        <v>1201.9862642721152</v>
      </c>
      <c r="S150" s="826">
        <v>0</v>
      </c>
      <c r="T150" s="827">
        <v>1.1043377452592222</v>
      </c>
      <c r="U150" s="827" t="s">
        <v>1014</v>
      </c>
      <c r="V150" s="828"/>
      <c r="W150" s="828"/>
      <c r="X150" s="828"/>
      <c r="Y150" s="829">
        <v>0.79737926332950881</v>
      </c>
      <c r="Z150" s="828"/>
      <c r="AA150" s="828"/>
      <c r="AB150" s="828"/>
      <c r="AC150" s="829">
        <v>0.79342890606602867</v>
      </c>
      <c r="AD150" s="828"/>
      <c r="AE150" s="830"/>
      <c r="AF150" s="828"/>
      <c r="AG150" s="831">
        <v>28.185987261146494</v>
      </c>
      <c r="AH150" s="832">
        <v>140.92993630573247</v>
      </c>
      <c r="AI150" s="828"/>
      <c r="AJ150" s="828"/>
      <c r="AK150" s="828"/>
      <c r="AL150" s="828"/>
      <c r="AM150" s="833">
        <v>0</v>
      </c>
      <c r="AN150" s="833">
        <v>0</v>
      </c>
      <c r="AO150" s="833">
        <v>0</v>
      </c>
      <c r="AP150" s="833">
        <v>0</v>
      </c>
      <c r="AQ150" s="833">
        <v>0</v>
      </c>
      <c r="AR150" s="833">
        <v>0</v>
      </c>
      <c r="AS150" s="833">
        <v>0</v>
      </c>
      <c r="AT150" s="833">
        <v>0</v>
      </c>
      <c r="AU150" s="833">
        <v>0</v>
      </c>
      <c r="AV150" s="833">
        <v>0</v>
      </c>
      <c r="AW150" s="833">
        <v>0</v>
      </c>
      <c r="AX150" s="833">
        <v>0</v>
      </c>
      <c r="AY150" s="833">
        <v>0</v>
      </c>
      <c r="AZ150" s="833">
        <v>0</v>
      </c>
      <c r="BA150" s="833">
        <v>0</v>
      </c>
      <c r="BB150" s="833">
        <v>0</v>
      </c>
      <c r="BC150" s="833">
        <v>0</v>
      </c>
      <c r="BD150" s="833">
        <v>0</v>
      </c>
      <c r="BE150" s="833">
        <v>0</v>
      </c>
      <c r="BF150" s="833">
        <v>0</v>
      </c>
      <c r="BG150" s="833">
        <v>0</v>
      </c>
      <c r="BH150" s="833">
        <v>0</v>
      </c>
      <c r="BI150" s="833">
        <v>0</v>
      </c>
      <c r="BJ150" s="833">
        <v>0</v>
      </c>
      <c r="BK150" s="833">
        <v>0</v>
      </c>
      <c r="BL150" s="833">
        <v>0</v>
      </c>
      <c r="BM150" s="833">
        <v>0</v>
      </c>
      <c r="BN150" s="828"/>
      <c r="BO150" s="828"/>
      <c r="BP150" s="828"/>
      <c r="BQ150" s="833">
        <v>0</v>
      </c>
      <c r="BR150" s="833">
        <v>0</v>
      </c>
      <c r="BS150" s="833">
        <v>0</v>
      </c>
      <c r="BT150" s="833">
        <v>0</v>
      </c>
      <c r="BU150" s="833">
        <v>0</v>
      </c>
      <c r="BV150" s="833">
        <v>0</v>
      </c>
      <c r="BW150" s="833">
        <v>0</v>
      </c>
      <c r="BX150" s="833">
        <v>0</v>
      </c>
      <c r="BY150" s="833">
        <v>0</v>
      </c>
      <c r="BZ150" s="833">
        <v>0</v>
      </c>
      <c r="CA150" s="833">
        <v>0</v>
      </c>
      <c r="CB150" s="833">
        <v>0</v>
      </c>
      <c r="CC150" s="833">
        <v>0</v>
      </c>
      <c r="CD150" s="833">
        <v>0</v>
      </c>
      <c r="CE150" s="833">
        <v>0</v>
      </c>
      <c r="CF150" s="833">
        <v>0</v>
      </c>
      <c r="CG150" s="833">
        <v>0</v>
      </c>
      <c r="CH150" s="833">
        <v>0</v>
      </c>
      <c r="CI150" s="833">
        <v>0</v>
      </c>
      <c r="CJ150" s="833">
        <v>0</v>
      </c>
      <c r="CK150" s="833">
        <v>0</v>
      </c>
      <c r="CL150" s="833">
        <v>0</v>
      </c>
      <c r="CM150" s="833">
        <v>0</v>
      </c>
      <c r="CN150" s="833">
        <v>0</v>
      </c>
      <c r="CO150" s="833">
        <v>0</v>
      </c>
      <c r="CP150" s="833">
        <v>0</v>
      </c>
      <c r="CQ150" s="833">
        <v>0</v>
      </c>
      <c r="CR150" s="828"/>
      <c r="CS150" s="828"/>
      <c r="CT150" s="828"/>
      <c r="CU150" s="834">
        <v>0</v>
      </c>
      <c r="CV150" s="834">
        <v>1507.4210222788383</v>
      </c>
      <c r="CW150" s="834">
        <v>1507.4210222788383</v>
      </c>
      <c r="CX150" s="834">
        <v>1507.4210222788383</v>
      </c>
      <c r="CY150" s="834">
        <v>1507.4210222788383</v>
      </c>
      <c r="CZ150" s="834">
        <v>1507.4210222788383</v>
      </c>
      <c r="DA150" s="834">
        <v>1507.4210222788383</v>
      </c>
      <c r="DB150" s="834">
        <v>1507.4210222788383</v>
      </c>
      <c r="DC150" s="834">
        <v>1507.4210222788383</v>
      </c>
      <c r="DD150" s="834">
        <v>1507.4210222788383</v>
      </c>
      <c r="DE150" s="834">
        <v>1507.4210222788383</v>
      </c>
      <c r="DF150" s="834">
        <v>1507.4210222788383</v>
      </c>
      <c r="DG150" s="834">
        <v>1507.4210222788383</v>
      </c>
      <c r="DH150" s="834">
        <v>0</v>
      </c>
      <c r="DI150" s="834">
        <v>0</v>
      </c>
      <c r="DJ150" s="834">
        <v>0</v>
      </c>
      <c r="DK150" s="834">
        <v>0</v>
      </c>
      <c r="DL150" s="834">
        <v>0</v>
      </c>
      <c r="DM150" s="834">
        <v>0</v>
      </c>
      <c r="DN150" s="834">
        <v>0</v>
      </c>
      <c r="DO150" s="834">
        <v>0</v>
      </c>
      <c r="DP150" s="834">
        <v>0</v>
      </c>
      <c r="DQ150" s="834">
        <v>0</v>
      </c>
      <c r="DR150" s="834">
        <v>0</v>
      </c>
      <c r="DS150" s="834">
        <v>0</v>
      </c>
      <c r="DT150" s="834">
        <v>0</v>
      </c>
      <c r="DU150" s="834">
        <v>0</v>
      </c>
      <c r="DV150" s="828"/>
      <c r="DW150" s="828"/>
      <c r="DX150" s="828"/>
      <c r="DY150" s="834">
        <v>0</v>
      </c>
      <c r="DZ150" s="834">
        <v>1201.9862642721152</v>
      </c>
      <c r="EA150" s="834">
        <v>1201.9862642721152</v>
      </c>
      <c r="EB150" s="834">
        <v>1201.9862642721152</v>
      </c>
      <c r="EC150" s="834">
        <v>1201.9862642721152</v>
      </c>
      <c r="ED150" s="834">
        <v>1201.9862642721152</v>
      </c>
      <c r="EE150" s="834">
        <v>1201.9862642721152</v>
      </c>
      <c r="EF150" s="834">
        <v>1201.9862642721152</v>
      </c>
      <c r="EG150" s="834">
        <v>1201.9862642721152</v>
      </c>
      <c r="EH150" s="834">
        <v>1201.9862642721152</v>
      </c>
      <c r="EI150" s="834">
        <v>1201.9862642721152</v>
      </c>
      <c r="EJ150" s="834">
        <v>1201.9862642721152</v>
      </c>
      <c r="EK150" s="834">
        <v>1201.9862642721152</v>
      </c>
      <c r="EL150" s="834">
        <v>0</v>
      </c>
      <c r="EM150" s="834">
        <v>0</v>
      </c>
      <c r="EN150" s="834">
        <v>0</v>
      </c>
      <c r="EO150" s="834">
        <v>0</v>
      </c>
      <c r="EP150" s="834">
        <v>0</v>
      </c>
      <c r="EQ150" s="834">
        <v>0</v>
      </c>
      <c r="ER150" s="834">
        <v>0</v>
      </c>
      <c r="ES150" s="834">
        <v>0</v>
      </c>
      <c r="ET150" s="834">
        <v>0</v>
      </c>
      <c r="EU150" s="834">
        <v>0</v>
      </c>
      <c r="EV150" s="834">
        <v>0</v>
      </c>
      <c r="EW150" s="834">
        <v>0</v>
      </c>
      <c r="EX150" s="834">
        <v>0</v>
      </c>
      <c r="EY150" s="834">
        <v>0</v>
      </c>
      <c r="EZ150" s="764"/>
      <c r="FA150" s="764"/>
      <c r="FB150" s="764"/>
      <c r="FC150" s="764"/>
      <c r="FD150" s="764"/>
    </row>
    <row r="151" spans="1:16368" customFormat="1">
      <c r="A151" s="817">
        <v>141592</v>
      </c>
      <c r="B151" s="817" t="s">
        <v>1045</v>
      </c>
      <c r="C151" s="818" t="s">
        <v>1046</v>
      </c>
      <c r="D151" s="818"/>
      <c r="E151" s="819" t="s">
        <v>1028</v>
      </c>
      <c r="F151" s="820" t="s">
        <v>991</v>
      </c>
      <c r="G151" s="820">
        <v>2015</v>
      </c>
      <c r="H151" s="820" t="s">
        <v>992</v>
      </c>
      <c r="I151" s="821">
        <v>42346</v>
      </c>
      <c r="J151" s="822">
        <v>2015</v>
      </c>
      <c r="K151" s="823"/>
      <c r="L151" s="823" t="s">
        <v>993</v>
      </c>
      <c r="M151" s="823" t="s">
        <v>22</v>
      </c>
      <c r="N151" s="824">
        <v>0</v>
      </c>
      <c r="O151" s="824">
        <v>582727.85350656055</v>
      </c>
      <c r="P151" s="825">
        <v>8769646.4702130724</v>
      </c>
      <c r="Q151" s="825">
        <v>6992734.2420787271</v>
      </c>
      <c r="R151" s="825">
        <v>582727.85350656055</v>
      </c>
      <c r="S151" s="826">
        <v>0</v>
      </c>
      <c r="T151" s="827">
        <v>1.2323011475073453</v>
      </c>
      <c r="U151" s="827" t="s">
        <v>1014</v>
      </c>
      <c r="V151" s="828"/>
      <c r="W151" s="828"/>
      <c r="X151" s="828"/>
      <c r="Y151" s="829">
        <v>0.79737926332950881</v>
      </c>
      <c r="Z151" s="828"/>
      <c r="AA151" s="828"/>
      <c r="AB151" s="828"/>
      <c r="AC151" s="829">
        <v>0.79342890606602867</v>
      </c>
      <c r="AD151" s="828"/>
      <c r="AE151" s="830"/>
      <c r="AF151" s="828"/>
      <c r="AG151" s="831">
        <v>531.76807256810844</v>
      </c>
      <c r="AH151" s="832">
        <v>375428.25923308457</v>
      </c>
      <c r="AI151" s="828"/>
      <c r="AJ151" s="828"/>
      <c r="AK151" s="828"/>
      <c r="AL151" s="828"/>
      <c r="AM151" s="833">
        <v>0</v>
      </c>
      <c r="AN151" s="833">
        <v>0</v>
      </c>
      <c r="AO151" s="833">
        <v>0</v>
      </c>
      <c r="AP151" s="833">
        <v>0</v>
      </c>
      <c r="AQ151" s="833">
        <v>0</v>
      </c>
      <c r="AR151" s="833">
        <v>0</v>
      </c>
      <c r="AS151" s="833">
        <v>0</v>
      </c>
      <c r="AT151" s="833">
        <v>0</v>
      </c>
      <c r="AU151" s="833">
        <v>0</v>
      </c>
      <c r="AV151" s="833">
        <v>0</v>
      </c>
      <c r="AW151" s="833">
        <v>0</v>
      </c>
      <c r="AX151" s="833">
        <v>0</v>
      </c>
      <c r="AY151" s="833">
        <v>0</v>
      </c>
      <c r="AZ151" s="833">
        <v>0</v>
      </c>
      <c r="BA151" s="833">
        <v>0</v>
      </c>
      <c r="BB151" s="833">
        <v>0</v>
      </c>
      <c r="BC151" s="833">
        <v>0</v>
      </c>
      <c r="BD151" s="833">
        <v>0</v>
      </c>
      <c r="BE151" s="833">
        <v>0</v>
      </c>
      <c r="BF151" s="833">
        <v>0</v>
      </c>
      <c r="BG151" s="833">
        <v>0</v>
      </c>
      <c r="BH151" s="833">
        <v>0</v>
      </c>
      <c r="BI151" s="833">
        <v>0</v>
      </c>
      <c r="BJ151" s="833">
        <v>0</v>
      </c>
      <c r="BK151" s="833">
        <v>0</v>
      </c>
      <c r="BL151" s="833">
        <v>0</v>
      </c>
      <c r="BM151" s="833">
        <v>0</v>
      </c>
      <c r="BN151" s="828"/>
      <c r="BO151" s="828"/>
      <c r="BP151" s="828"/>
      <c r="BQ151" s="833">
        <v>0</v>
      </c>
      <c r="BR151" s="833">
        <v>0</v>
      </c>
      <c r="BS151" s="833">
        <v>0</v>
      </c>
      <c r="BT151" s="833">
        <v>0</v>
      </c>
      <c r="BU151" s="833">
        <v>0</v>
      </c>
      <c r="BV151" s="833">
        <v>0</v>
      </c>
      <c r="BW151" s="833">
        <v>0</v>
      </c>
      <c r="BX151" s="833">
        <v>0</v>
      </c>
      <c r="BY151" s="833">
        <v>0</v>
      </c>
      <c r="BZ151" s="833">
        <v>0</v>
      </c>
      <c r="CA151" s="833">
        <v>0</v>
      </c>
      <c r="CB151" s="833">
        <v>0</v>
      </c>
      <c r="CC151" s="833">
        <v>0</v>
      </c>
      <c r="CD151" s="833">
        <v>0</v>
      </c>
      <c r="CE151" s="833">
        <v>0</v>
      </c>
      <c r="CF151" s="833">
        <v>0</v>
      </c>
      <c r="CG151" s="833">
        <v>0</v>
      </c>
      <c r="CH151" s="833">
        <v>0</v>
      </c>
      <c r="CI151" s="833">
        <v>0</v>
      </c>
      <c r="CJ151" s="833">
        <v>0</v>
      </c>
      <c r="CK151" s="833">
        <v>0</v>
      </c>
      <c r="CL151" s="833">
        <v>0</v>
      </c>
      <c r="CM151" s="833">
        <v>0</v>
      </c>
      <c r="CN151" s="833">
        <v>0</v>
      </c>
      <c r="CO151" s="833">
        <v>0</v>
      </c>
      <c r="CP151" s="833">
        <v>0</v>
      </c>
      <c r="CQ151" s="833">
        <v>0</v>
      </c>
      <c r="CR151" s="828"/>
      <c r="CS151" s="828"/>
      <c r="CT151" s="828"/>
      <c r="CU151" s="834">
        <v>0</v>
      </c>
      <c r="CV151" s="834">
        <v>730803.87251775607</v>
      </c>
      <c r="CW151" s="834">
        <v>730803.87251775607</v>
      </c>
      <c r="CX151" s="834">
        <v>730803.87251775607</v>
      </c>
      <c r="CY151" s="834">
        <v>730803.87251775607</v>
      </c>
      <c r="CZ151" s="834">
        <v>730803.87251775607</v>
      </c>
      <c r="DA151" s="834">
        <v>730803.87251775607</v>
      </c>
      <c r="DB151" s="834">
        <v>730803.87251775607</v>
      </c>
      <c r="DC151" s="834">
        <v>730803.87251775607</v>
      </c>
      <c r="DD151" s="834">
        <v>730803.87251775607</v>
      </c>
      <c r="DE151" s="834">
        <v>730803.87251775607</v>
      </c>
      <c r="DF151" s="834">
        <v>730803.87251775607</v>
      </c>
      <c r="DG151" s="834">
        <v>730803.87251775607</v>
      </c>
      <c r="DH151" s="834">
        <v>0</v>
      </c>
      <c r="DI151" s="834">
        <v>0</v>
      </c>
      <c r="DJ151" s="834">
        <v>0</v>
      </c>
      <c r="DK151" s="834">
        <v>0</v>
      </c>
      <c r="DL151" s="834">
        <v>0</v>
      </c>
      <c r="DM151" s="834">
        <v>0</v>
      </c>
      <c r="DN151" s="834">
        <v>0</v>
      </c>
      <c r="DO151" s="834">
        <v>0</v>
      </c>
      <c r="DP151" s="834">
        <v>0</v>
      </c>
      <c r="DQ151" s="834">
        <v>0</v>
      </c>
      <c r="DR151" s="834">
        <v>0</v>
      </c>
      <c r="DS151" s="834">
        <v>0</v>
      </c>
      <c r="DT151" s="834">
        <v>0</v>
      </c>
      <c r="DU151" s="834">
        <v>0</v>
      </c>
      <c r="DV151" s="828"/>
      <c r="DW151" s="828"/>
      <c r="DX151" s="828"/>
      <c r="DY151" s="834">
        <v>0</v>
      </c>
      <c r="DZ151" s="834">
        <v>582727.85350656055</v>
      </c>
      <c r="EA151" s="834">
        <v>582727.85350656055</v>
      </c>
      <c r="EB151" s="834">
        <v>582727.85350656055</v>
      </c>
      <c r="EC151" s="834">
        <v>582727.85350656055</v>
      </c>
      <c r="ED151" s="834">
        <v>582727.85350656055</v>
      </c>
      <c r="EE151" s="834">
        <v>582727.85350656055</v>
      </c>
      <c r="EF151" s="834">
        <v>582727.85350656055</v>
      </c>
      <c r="EG151" s="834">
        <v>582727.85350656055</v>
      </c>
      <c r="EH151" s="834">
        <v>582727.85350656055</v>
      </c>
      <c r="EI151" s="834">
        <v>582727.85350656055</v>
      </c>
      <c r="EJ151" s="834">
        <v>582727.85350656055</v>
      </c>
      <c r="EK151" s="834">
        <v>582727.85350656055</v>
      </c>
      <c r="EL151" s="834">
        <v>0</v>
      </c>
      <c r="EM151" s="834">
        <v>0</v>
      </c>
      <c r="EN151" s="834">
        <v>0</v>
      </c>
      <c r="EO151" s="834">
        <v>0</v>
      </c>
      <c r="EP151" s="834">
        <v>0</v>
      </c>
      <c r="EQ151" s="834">
        <v>0</v>
      </c>
      <c r="ER151" s="834">
        <v>0</v>
      </c>
      <c r="ES151" s="834">
        <v>0</v>
      </c>
      <c r="ET151" s="834">
        <v>0</v>
      </c>
      <c r="EU151" s="834">
        <v>0</v>
      </c>
      <c r="EV151" s="834">
        <v>0</v>
      </c>
      <c r="EW151" s="834">
        <v>0</v>
      </c>
      <c r="EX151" s="834">
        <v>0</v>
      </c>
      <c r="EY151" s="834">
        <v>0</v>
      </c>
      <c r="EZ151" s="764"/>
      <c r="FA151" s="764"/>
      <c r="FB151" s="764"/>
      <c r="FC151" s="764"/>
      <c r="FD151" s="764"/>
    </row>
    <row r="152" spans="1:16368" customFormat="1">
      <c r="A152" s="817">
        <v>143203</v>
      </c>
      <c r="B152" s="817" t="s">
        <v>1047</v>
      </c>
      <c r="C152" s="818" t="s">
        <v>1048</v>
      </c>
      <c r="D152" s="818"/>
      <c r="E152" s="819" t="s">
        <v>1028</v>
      </c>
      <c r="F152" s="820" t="s">
        <v>991</v>
      </c>
      <c r="G152" s="820">
        <v>2015</v>
      </c>
      <c r="H152" s="820" t="s">
        <v>996</v>
      </c>
      <c r="I152" s="821">
        <v>42261</v>
      </c>
      <c r="J152" s="822">
        <v>2015</v>
      </c>
      <c r="K152" s="823"/>
      <c r="L152" s="823" t="s">
        <v>993</v>
      </c>
      <c r="M152" s="823" t="s">
        <v>22</v>
      </c>
      <c r="N152" s="824">
        <v>0</v>
      </c>
      <c r="O152" s="824">
        <v>0</v>
      </c>
      <c r="P152" s="825">
        <v>0</v>
      </c>
      <c r="Q152" s="825">
        <v>0</v>
      </c>
      <c r="R152" s="825">
        <v>0</v>
      </c>
      <c r="S152" s="826">
        <v>0</v>
      </c>
      <c r="T152" s="827" t="s">
        <v>1014</v>
      </c>
      <c r="U152" s="827" t="s">
        <v>1014</v>
      </c>
      <c r="V152" s="828"/>
      <c r="W152" s="828"/>
      <c r="X152" s="828"/>
      <c r="Y152" s="829">
        <v>0.69546784734602263</v>
      </c>
      <c r="Z152" s="828"/>
      <c r="AA152" s="828"/>
      <c r="AB152" s="828"/>
      <c r="AC152" s="829">
        <v>0.69151749008254249</v>
      </c>
      <c r="AD152" s="828"/>
      <c r="AE152" s="830"/>
      <c r="AF152" s="828"/>
      <c r="AG152" s="831">
        <v>0</v>
      </c>
      <c r="AH152" s="832">
        <v>0</v>
      </c>
      <c r="AI152" s="828"/>
      <c r="AJ152" s="828"/>
      <c r="AK152" s="828"/>
      <c r="AL152" s="828"/>
      <c r="AM152" s="833">
        <v>0</v>
      </c>
      <c r="AN152" s="833">
        <v>0</v>
      </c>
      <c r="AO152" s="833">
        <v>0</v>
      </c>
      <c r="AP152" s="833">
        <v>0</v>
      </c>
      <c r="AQ152" s="833">
        <v>0</v>
      </c>
      <c r="AR152" s="833">
        <v>0</v>
      </c>
      <c r="AS152" s="833">
        <v>0</v>
      </c>
      <c r="AT152" s="833">
        <v>0</v>
      </c>
      <c r="AU152" s="833">
        <v>0</v>
      </c>
      <c r="AV152" s="833">
        <v>0</v>
      </c>
      <c r="AW152" s="833">
        <v>0</v>
      </c>
      <c r="AX152" s="833">
        <v>0</v>
      </c>
      <c r="AY152" s="833">
        <v>0</v>
      </c>
      <c r="AZ152" s="833">
        <v>0</v>
      </c>
      <c r="BA152" s="833">
        <v>0</v>
      </c>
      <c r="BB152" s="833">
        <v>0</v>
      </c>
      <c r="BC152" s="833">
        <v>0</v>
      </c>
      <c r="BD152" s="833">
        <v>0</v>
      </c>
      <c r="BE152" s="833">
        <v>0</v>
      </c>
      <c r="BF152" s="833">
        <v>0</v>
      </c>
      <c r="BG152" s="833">
        <v>0</v>
      </c>
      <c r="BH152" s="833">
        <v>0</v>
      </c>
      <c r="BI152" s="833">
        <v>0</v>
      </c>
      <c r="BJ152" s="833">
        <v>0</v>
      </c>
      <c r="BK152" s="833">
        <v>0</v>
      </c>
      <c r="BL152" s="833">
        <v>0</v>
      </c>
      <c r="BM152" s="833">
        <v>0</v>
      </c>
      <c r="BN152" s="828"/>
      <c r="BO152" s="828"/>
      <c r="BP152" s="828"/>
      <c r="BQ152" s="833">
        <v>0</v>
      </c>
      <c r="BR152" s="833">
        <v>0</v>
      </c>
      <c r="BS152" s="833">
        <v>0</v>
      </c>
      <c r="BT152" s="833">
        <v>0</v>
      </c>
      <c r="BU152" s="833">
        <v>0</v>
      </c>
      <c r="BV152" s="833">
        <v>0</v>
      </c>
      <c r="BW152" s="833">
        <v>0</v>
      </c>
      <c r="BX152" s="833">
        <v>0</v>
      </c>
      <c r="BY152" s="833">
        <v>0</v>
      </c>
      <c r="BZ152" s="833">
        <v>0</v>
      </c>
      <c r="CA152" s="833">
        <v>0</v>
      </c>
      <c r="CB152" s="833">
        <v>0</v>
      </c>
      <c r="CC152" s="833">
        <v>0</v>
      </c>
      <c r="CD152" s="833">
        <v>0</v>
      </c>
      <c r="CE152" s="833">
        <v>0</v>
      </c>
      <c r="CF152" s="833">
        <v>0</v>
      </c>
      <c r="CG152" s="833">
        <v>0</v>
      </c>
      <c r="CH152" s="833">
        <v>0</v>
      </c>
      <c r="CI152" s="833">
        <v>0</v>
      </c>
      <c r="CJ152" s="833">
        <v>0</v>
      </c>
      <c r="CK152" s="833">
        <v>0</v>
      </c>
      <c r="CL152" s="833">
        <v>0</v>
      </c>
      <c r="CM152" s="833">
        <v>0</v>
      </c>
      <c r="CN152" s="833">
        <v>0</v>
      </c>
      <c r="CO152" s="833">
        <v>0</v>
      </c>
      <c r="CP152" s="833">
        <v>0</v>
      </c>
      <c r="CQ152" s="833">
        <v>0</v>
      </c>
      <c r="CR152" s="828"/>
      <c r="CS152" s="828"/>
      <c r="CT152" s="828"/>
      <c r="CU152" s="834">
        <v>0</v>
      </c>
      <c r="CV152" s="834">
        <v>0</v>
      </c>
      <c r="CW152" s="834">
        <v>0</v>
      </c>
      <c r="CX152" s="834">
        <v>0</v>
      </c>
      <c r="CY152" s="834">
        <v>0</v>
      </c>
      <c r="CZ152" s="834">
        <v>0</v>
      </c>
      <c r="DA152" s="834">
        <v>0</v>
      </c>
      <c r="DB152" s="834">
        <v>0</v>
      </c>
      <c r="DC152" s="834">
        <v>0</v>
      </c>
      <c r="DD152" s="834">
        <v>0</v>
      </c>
      <c r="DE152" s="834">
        <v>0</v>
      </c>
      <c r="DF152" s="834">
        <v>0</v>
      </c>
      <c r="DG152" s="834">
        <v>0</v>
      </c>
      <c r="DH152" s="834">
        <v>0</v>
      </c>
      <c r="DI152" s="834">
        <v>0</v>
      </c>
      <c r="DJ152" s="834">
        <v>0</v>
      </c>
      <c r="DK152" s="834">
        <v>0</v>
      </c>
      <c r="DL152" s="834">
        <v>0</v>
      </c>
      <c r="DM152" s="834">
        <v>0</v>
      </c>
      <c r="DN152" s="834">
        <v>0</v>
      </c>
      <c r="DO152" s="834">
        <v>0</v>
      </c>
      <c r="DP152" s="834">
        <v>0</v>
      </c>
      <c r="DQ152" s="834">
        <v>0</v>
      </c>
      <c r="DR152" s="834">
        <v>0</v>
      </c>
      <c r="DS152" s="834">
        <v>0</v>
      </c>
      <c r="DT152" s="834">
        <v>0</v>
      </c>
      <c r="DU152" s="834">
        <v>0</v>
      </c>
      <c r="DV152" s="828"/>
      <c r="DW152" s="828"/>
      <c r="DX152" s="828"/>
      <c r="DY152" s="834">
        <v>0</v>
      </c>
      <c r="DZ152" s="834">
        <v>0</v>
      </c>
      <c r="EA152" s="834">
        <v>0</v>
      </c>
      <c r="EB152" s="834">
        <v>0</v>
      </c>
      <c r="EC152" s="834">
        <v>0</v>
      </c>
      <c r="ED152" s="834">
        <v>0</v>
      </c>
      <c r="EE152" s="834">
        <v>0</v>
      </c>
      <c r="EF152" s="834">
        <v>0</v>
      </c>
      <c r="EG152" s="834">
        <v>0</v>
      </c>
      <c r="EH152" s="834">
        <v>0</v>
      </c>
      <c r="EI152" s="834">
        <v>0</v>
      </c>
      <c r="EJ152" s="834">
        <v>0</v>
      </c>
      <c r="EK152" s="834">
        <v>0</v>
      </c>
      <c r="EL152" s="834">
        <v>0</v>
      </c>
      <c r="EM152" s="834">
        <v>0</v>
      </c>
      <c r="EN152" s="834">
        <v>0</v>
      </c>
      <c r="EO152" s="834">
        <v>0</v>
      </c>
      <c r="EP152" s="834">
        <v>0</v>
      </c>
      <c r="EQ152" s="834">
        <v>0</v>
      </c>
      <c r="ER152" s="834">
        <v>0</v>
      </c>
      <c r="ES152" s="834">
        <v>0</v>
      </c>
      <c r="ET152" s="834">
        <v>0</v>
      </c>
      <c r="EU152" s="834">
        <v>0</v>
      </c>
      <c r="EV152" s="834">
        <v>0</v>
      </c>
      <c r="EW152" s="834">
        <v>0</v>
      </c>
      <c r="EX152" s="834">
        <v>0</v>
      </c>
      <c r="EY152" s="834">
        <v>0</v>
      </c>
      <c r="EZ152" s="764"/>
      <c r="FA152" s="764"/>
      <c r="FB152" s="764"/>
      <c r="FC152" s="764"/>
      <c r="FD152" s="764"/>
    </row>
    <row r="153" spans="1:16368" customFormat="1">
      <c r="A153" s="817">
        <v>145296</v>
      </c>
      <c r="B153" s="817" t="s">
        <v>1049</v>
      </c>
      <c r="C153" s="818" t="s">
        <v>1031</v>
      </c>
      <c r="D153" s="818"/>
      <c r="E153" s="819" t="s">
        <v>1028</v>
      </c>
      <c r="F153" s="820" t="s">
        <v>991</v>
      </c>
      <c r="G153" s="820">
        <v>2015</v>
      </c>
      <c r="H153" s="820" t="s">
        <v>996</v>
      </c>
      <c r="I153" s="821">
        <v>42184</v>
      </c>
      <c r="J153" s="822">
        <v>2015</v>
      </c>
      <c r="K153" s="823"/>
      <c r="L153" s="823" t="s">
        <v>993</v>
      </c>
      <c r="M153" s="823" t="s">
        <v>22</v>
      </c>
      <c r="N153" s="824">
        <v>16.568584031213309</v>
      </c>
      <c r="O153" s="824">
        <v>54643.758278690519</v>
      </c>
      <c r="P153" s="825">
        <v>738346.76227213419</v>
      </c>
      <c r="Q153" s="825">
        <v>513496.43335230672</v>
      </c>
      <c r="R153" s="825">
        <v>54643.758278690519</v>
      </c>
      <c r="S153" s="826">
        <v>16.568584031213309</v>
      </c>
      <c r="T153" s="827">
        <v>0.9650705827941457</v>
      </c>
      <c r="U153" s="827">
        <v>0.93592761282439296</v>
      </c>
      <c r="V153" s="828"/>
      <c r="W153" s="828"/>
      <c r="X153" s="828"/>
      <c r="Y153" s="829">
        <v>0.69546784734602263</v>
      </c>
      <c r="Z153" s="828"/>
      <c r="AA153" s="828"/>
      <c r="AB153" s="828"/>
      <c r="AC153" s="829">
        <v>0.69151749008254249</v>
      </c>
      <c r="AD153" s="828"/>
      <c r="AE153" s="830"/>
      <c r="AF153" s="828"/>
      <c r="AG153" s="831">
        <v>16780</v>
      </c>
      <c r="AH153" s="832">
        <v>16780</v>
      </c>
      <c r="AI153" s="828"/>
      <c r="AJ153" s="828"/>
      <c r="AK153" s="828"/>
      <c r="AL153" s="828"/>
      <c r="AM153" s="833">
        <v>0</v>
      </c>
      <c r="AN153" s="833">
        <v>23.959746888304462</v>
      </c>
      <c r="AO153" s="833">
        <v>23.959746888304462</v>
      </c>
      <c r="AP153" s="833">
        <v>23.959746888304462</v>
      </c>
      <c r="AQ153" s="833">
        <v>23.959746888304462</v>
      </c>
      <c r="AR153" s="833">
        <v>23.959746888304462</v>
      </c>
      <c r="AS153" s="833">
        <v>23.959746888304462</v>
      </c>
      <c r="AT153" s="833">
        <v>21.970111904247812</v>
      </c>
      <c r="AU153" s="833">
        <v>21.970111904247812</v>
      </c>
      <c r="AV153" s="833">
        <v>21.970111904247812</v>
      </c>
      <c r="AW153" s="833">
        <v>15.484886852029558</v>
      </c>
      <c r="AX153" s="833">
        <v>0</v>
      </c>
      <c r="AY153" s="833">
        <v>0</v>
      </c>
      <c r="AZ153" s="833">
        <v>0</v>
      </c>
      <c r="BA153" s="833">
        <v>0</v>
      </c>
      <c r="BB153" s="833">
        <v>0</v>
      </c>
      <c r="BC153" s="833">
        <v>0</v>
      </c>
      <c r="BD153" s="833">
        <v>0</v>
      </c>
      <c r="BE153" s="833">
        <v>0</v>
      </c>
      <c r="BF153" s="833">
        <v>0</v>
      </c>
      <c r="BG153" s="833">
        <v>0</v>
      </c>
      <c r="BH153" s="833">
        <v>0</v>
      </c>
      <c r="BI153" s="833">
        <v>0</v>
      </c>
      <c r="BJ153" s="833">
        <v>0</v>
      </c>
      <c r="BK153" s="833">
        <v>0</v>
      </c>
      <c r="BL153" s="833">
        <v>0</v>
      </c>
      <c r="BM153" s="833">
        <v>0</v>
      </c>
      <c r="BN153" s="828"/>
      <c r="BO153" s="828"/>
      <c r="BP153" s="828"/>
      <c r="BQ153" s="833">
        <v>0</v>
      </c>
      <c r="BR153" s="833">
        <v>16.568584031213309</v>
      </c>
      <c r="BS153" s="833">
        <v>16.568584031213309</v>
      </c>
      <c r="BT153" s="833">
        <v>16.568584031213309</v>
      </c>
      <c r="BU153" s="833">
        <v>16.568584031213309</v>
      </c>
      <c r="BV153" s="833">
        <v>16.568584031213309</v>
      </c>
      <c r="BW153" s="833">
        <v>16.568584031213309</v>
      </c>
      <c r="BX153" s="833">
        <v>15.192716640858036</v>
      </c>
      <c r="BY153" s="833">
        <v>15.192716640858036</v>
      </c>
      <c r="BZ153" s="833">
        <v>15.192716640858036</v>
      </c>
      <c r="CA153" s="833">
        <v>10.708070090127643</v>
      </c>
      <c r="CB153" s="833">
        <v>0</v>
      </c>
      <c r="CC153" s="833">
        <v>0</v>
      </c>
      <c r="CD153" s="833">
        <v>0</v>
      </c>
      <c r="CE153" s="833">
        <v>0</v>
      </c>
      <c r="CF153" s="833">
        <v>0</v>
      </c>
      <c r="CG153" s="833">
        <v>0</v>
      </c>
      <c r="CH153" s="833">
        <v>0</v>
      </c>
      <c r="CI153" s="833">
        <v>0</v>
      </c>
      <c r="CJ153" s="833">
        <v>0</v>
      </c>
      <c r="CK153" s="833">
        <v>0</v>
      </c>
      <c r="CL153" s="833">
        <v>0</v>
      </c>
      <c r="CM153" s="833">
        <v>0</v>
      </c>
      <c r="CN153" s="833">
        <v>0</v>
      </c>
      <c r="CO153" s="833">
        <v>0</v>
      </c>
      <c r="CP153" s="833">
        <v>0</v>
      </c>
      <c r="CQ153" s="833">
        <v>0</v>
      </c>
      <c r="CR153" s="828"/>
      <c r="CS153" s="828"/>
      <c r="CT153" s="828"/>
      <c r="CU153" s="834">
        <v>0</v>
      </c>
      <c r="CV153" s="834">
        <v>78571.221498185376</v>
      </c>
      <c r="CW153" s="834">
        <v>78571.221498185376</v>
      </c>
      <c r="CX153" s="834">
        <v>78571.221498185376</v>
      </c>
      <c r="CY153" s="834">
        <v>78571.221498185376</v>
      </c>
      <c r="CZ153" s="834">
        <v>78571.221498185376</v>
      </c>
      <c r="DA153" s="834">
        <v>78571.221498185376</v>
      </c>
      <c r="DB153" s="834">
        <v>72046.609541238431</v>
      </c>
      <c r="DC153" s="834">
        <v>72046.609541238431</v>
      </c>
      <c r="DD153" s="834">
        <v>72046.609541238431</v>
      </c>
      <c r="DE153" s="834">
        <v>50779.604659306635</v>
      </c>
      <c r="DF153" s="834">
        <v>0</v>
      </c>
      <c r="DG153" s="834">
        <v>0</v>
      </c>
      <c r="DH153" s="834">
        <v>0</v>
      </c>
      <c r="DI153" s="834">
        <v>0</v>
      </c>
      <c r="DJ153" s="834">
        <v>0</v>
      </c>
      <c r="DK153" s="834">
        <v>0</v>
      </c>
      <c r="DL153" s="834">
        <v>0</v>
      </c>
      <c r="DM153" s="834">
        <v>0</v>
      </c>
      <c r="DN153" s="834">
        <v>0</v>
      </c>
      <c r="DO153" s="834">
        <v>0</v>
      </c>
      <c r="DP153" s="834">
        <v>0</v>
      </c>
      <c r="DQ153" s="834">
        <v>0</v>
      </c>
      <c r="DR153" s="834">
        <v>0</v>
      </c>
      <c r="DS153" s="834">
        <v>0</v>
      </c>
      <c r="DT153" s="834">
        <v>0</v>
      </c>
      <c r="DU153" s="834">
        <v>0</v>
      </c>
      <c r="DV153" s="828"/>
      <c r="DW153" s="828"/>
      <c r="DX153" s="828"/>
      <c r="DY153" s="834">
        <v>0</v>
      </c>
      <c r="DZ153" s="834">
        <v>54643.758278690519</v>
      </c>
      <c r="EA153" s="834">
        <v>54643.758278690519</v>
      </c>
      <c r="EB153" s="834">
        <v>54643.758278690519</v>
      </c>
      <c r="EC153" s="834">
        <v>54643.758278690519</v>
      </c>
      <c r="ED153" s="834">
        <v>54643.758278690519</v>
      </c>
      <c r="EE153" s="834">
        <v>54643.758278690519</v>
      </c>
      <c r="EF153" s="834">
        <v>50106.100446224511</v>
      </c>
      <c r="EG153" s="834">
        <v>50106.100446224511</v>
      </c>
      <c r="EH153" s="834">
        <v>50106.100446224511</v>
      </c>
      <c r="EI153" s="834">
        <v>35315.582341490044</v>
      </c>
      <c r="EJ153" s="834">
        <v>0</v>
      </c>
      <c r="EK153" s="834">
        <v>0</v>
      </c>
      <c r="EL153" s="834">
        <v>0</v>
      </c>
      <c r="EM153" s="834">
        <v>0</v>
      </c>
      <c r="EN153" s="834">
        <v>0</v>
      </c>
      <c r="EO153" s="834">
        <v>0</v>
      </c>
      <c r="EP153" s="834">
        <v>0</v>
      </c>
      <c r="EQ153" s="834">
        <v>0</v>
      </c>
      <c r="ER153" s="834">
        <v>0</v>
      </c>
      <c r="ES153" s="834">
        <v>0</v>
      </c>
      <c r="ET153" s="834">
        <v>0</v>
      </c>
      <c r="EU153" s="834">
        <v>0</v>
      </c>
      <c r="EV153" s="834">
        <v>0</v>
      </c>
      <c r="EW153" s="834">
        <v>0</v>
      </c>
      <c r="EX153" s="834">
        <v>0</v>
      </c>
      <c r="EY153" s="834">
        <v>0</v>
      </c>
      <c r="EZ153" s="764"/>
      <c r="FA153" s="764"/>
      <c r="FB153" s="764"/>
      <c r="FC153" s="764"/>
      <c r="FD153" s="764"/>
    </row>
    <row r="154" spans="1:16368" s="835" customFormat="1">
      <c r="A154" s="817">
        <v>148274</v>
      </c>
      <c r="B154" s="819" t="s">
        <v>1050</v>
      </c>
      <c r="C154" s="818" t="s">
        <v>1048</v>
      </c>
      <c r="D154" s="818"/>
      <c r="E154" s="819" t="s">
        <v>1028</v>
      </c>
      <c r="F154" s="820" t="s">
        <v>991</v>
      </c>
      <c r="G154" s="820">
        <v>2015</v>
      </c>
      <c r="H154" s="820" t="s">
        <v>996</v>
      </c>
      <c r="I154" s="821">
        <v>42313</v>
      </c>
      <c r="J154" s="822">
        <v>2015</v>
      </c>
      <c r="K154" s="823"/>
      <c r="L154" s="823" t="s">
        <v>993</v>
      </c>
      <c r="M154" s="823" t="s">
        <v>22</v>
      </c>
      <c r="N154" s="824">
        <v>0.56824675777055456</v>
      </c>
      <c r="O154" s="824">
        <v>5432.2034453742917</v>
      </c>
      <c r="P154" s="825">
        <v>73399.962818072774</v>
      </c>
      <c r="Q154" s="825">
        <v>51047.314136363173</v>
      </c>
      <c r="R154" s="825">
        <v>5432.2034453742917</v>
      </c>
      <c r="S154" s="826">
        <v>0.56824675777055456</v>
      </c>
      <c r="T154" s="827">
        <v>0.68824232024679077</v>
      </c>
      <c r="U154" s="827">
        <v>0.58695629117961001</v>
      </c>
      <c r="V154" s="828"/>
      <c r="W154" s="828"/>
      <c r="X154" s="828"/>
      <c r="Y154" s="829">
        <v>0.69546784734602263</v>
      </c>
      <c r="Z154" s="828"/>
      <c r="AA154" s="828"/>
      <c r="AB154" s="828"/>
      <c r="AC154" s="829">
        <v>0.69151749008254249</v>
      </c>
      <c r="AD154" s="828"/>
      <c r="AE154" s="830"/>
      <c r="AF154" s="828"/>
      <c r="AG154" s="831">
        <v>1636.31</v>
      </c>
      <c r="AH154" s="832">
        <v>1636.31</v>
      </c>
      <c r="AI154" s="828"/>
      <c r="AJ154" s="828"/>
      <c r="AK154" s="828"/>
      <c r="AL154" s="828"/>
      <c r="AM154" s="833">
        <v>0</v>
      </c>
      <c r="AN154" s="833">
        <v>0.82173880765145391</v>
      </c>
      <c r="AO154" s="833">
        <v>0.82173880765145391</v>
      </c>
      <c r="AP154" s="833">
        <v>0.82173880765145391</v>
      </c>
      <c r="AQ154" s="833">
        <v>0.82173880765145391</v>
      </c>
      <c r="AR154" s="833">
        <v>0.82173880765145391</v>
      </c>
      <c r="AS154" s="833">
        <v>0.82173880765145391</v>
      </c>
      <c r="AT154" s="833">
        <v>0.75350101335912734</v>
      </c>
      <c r="AU154" s="833">
        <v>0.75350101335912734</v>
      </c>
      <c r="AV154" s="833">
        <v>0.75350101335912734</v>
      </c>
      <c r="AW154" s="833">
        <v>0.53107958601247607</v>
      </c>
      <c r="AX154" s="833">
        <v>0</v>
      </c>
      <c r="AY154" s="833">
        <v>0</v>
      </c>
      <c r="AZ154" s="833">
        <v>0</v>
      </c>
      <c r="BA154" s="833">
        <v>0</v>
      </c>
      <c r="BB154" s="833">
        <v>0</v>
      </c>
      <c r="BC154" s="833">
        <v>0</v>
      </c>
      <c r="BD154" s="833">
        <v>0</v>
      </c>
      <c r="BE154" s="833">
        <v>0</v>
      </c>
      <c r="BF154" s="833">
        <v>0</v>
      </c>
      <c r="BG154" s="833">
        <v>0</v>
      </c>
      <c r="BH154" s="833">
        <v>0</v>
      </c>
      <c r="BI154" s="833">
        <v>0</v>
      </c>
      <c r="BJ154" s="833">
        <v>0</v>
      </c>
      <c r="BK154" s="833">
        <v>0</v>
      </c>
      <c r="BL154" s="833">
        <v>0</v>
      </c>
      <c r="BM154" s="833">
        <v>0</v>
      </c>
      <c r="BN154" s="828"/>
      <c r="BO154" s="828"/>
      <c r="BP154" s="828"/>
      <c r="BQ154" s="833">
        <v>0</v>
      </c>
      <c r="BR154" s="833">
        <v>0.56824675777055456</v>
      </c>
      <c r="BS154" s="833">
        <v>0.56824675777055456</v>
      </c>
      <c r="BT154" s="833">
        <v>0.56824675777055456</v>
      </c>
      <c r="BU154" s="833">
        <v>0.56824675777055456</v>
      </c>
      <c r="BV154" s="833">
        <v>0.56824675777055456</v>
      </c>
      <c r="BW154" s="833">
        <v>0.56824675777055456</v>
      </c>
      <c r="BX154" s="833">
        <v>0.52105912953275613</v>
      </c>
      <c r="BY154" s="833">
        <v>0.52105912953275613</v>
      </c>
      <c r="BZ154" s="833">
        <v>0.52105912953275613</v>
      </c>
      <c r="CA154" s="833">
        <v>0.36725082235342316</v>
      </c>
      <c r="CB154" s="833">
        <v>0</v>
      </c>
      <c r="CC154" s="833">
        <v>0</v>
      </c>
      <c r="CD154" s="833">
        <v>0</v>
      </c>
      <c r="CE154" s="833">
        <v>0</v>
      </c>
      <c r="CF154" s="833">
        <v>0</v>
      </c>
      <c r="CG154" s="833">
        <v>0</v>
      </c>
      <c r="CH154" s="833">
        <v>0</v>
      </c>
      <c r="CI154" s="833">
        <v>0</v>
      </c>
      <c r="CJ154" s="833">
        <v>0</v>
      </c>
      <c r="CK154" s="833">
        <v>0</v>
      </c>
      <c r="CL154" s="833">
        <v>0</v>
      </c>
      <c r="CM154" s="833">
        <v>0</v>
      </c>
      <c r="CN154" s="833">
        <v>0</v>
      </c>
      <c r="CO154" s="833">
        <v>0</v>
      </c>
      <c r="CP154" s="833">
        <v>0</v>
      </c>
      <c r="CQ154" s="833">
        <v>0</v>
      </c>
      <c r="CR154" s="828"/>
      <c r="CS154" s="828"/>
      <c r="CT154" s="828"/>
      <c r="CU154" s="834">
        <v>0</v>
      </c>
      <c r="CV154" s="834">
        <v>7810.8620924808283</v>
      </c>
      <c r="CW154" s="834">
        <v>7810.8620924808283</v>
      </c>
      <c r="CX154" s="834">
        <v>7810.8620924808283</v>
      </c>
      <c r="CY154" s="834">
        <v>7810.8620924808283</v>
      </c>
      <c r="CZ154" s="834">
        <v>7810.8620924808283</v>
      </c>
      <c r="DA154" s="834">
        <v>7810.8620924808283</v>
      </c>
      <c r="DB154" s="834">
        <v>7162.2423659332271</v>
      </c>
      <c r="DC154" s="834">
        <v>7162.2423659332271</v>
      </c>
      <c r="DD154" s="834">
        <v>7162.2423659332271</v>
      </c>
      <c r="DE154" s="834">
        <v>5048.0631653881237</v>
      </c>
      <c r="DF154" s="834">
        <v>0</v>
      </c>
      <c r="DG154" s="834">
        <v>0</v>
      </c>
      <c r="DH154" s="834">
        <v>0</v>
      </c>
      <c r="DI154" s="834">
        <v>0</v>
      </c>
      <c r="DJ154" s="834">
        <v>0</v>
      </c>
      <c r="DK154" s="834">
        <v>0</v>
      </c>
      <c r="DL154" s="834">
        <v>0</v>
      </c>
      <c r="DM154" s="834">
        <v>0</v>
      </c>
      <c r="DN154" s="834">
        <v>0</v>
      </c>
      <c r="DO154" s="834">
        <v>0</v>
      </c>
      <c r="DP154" s="834">
        <v>0</v>
      </c>
      <c r="DQ154" s="834">
        <v>0</v>
      </c>
      <c r="DR154" s="834">
        <v>0</v>
      </c>
      <c r="DS154" s="834">
        <v>0</v>
      </c>
      <c r="DT154" s="834">
        <v>0</v>
      </c>
      <c r="DU154" s="834">
        <v>0</v>
      </c>
      <c r="DV154" s="828"/>
      <c r="DW154" s="828"/>
      <c r="DX154" s="828"/>
      <c r="DY154" s="834">
        <v>0</v>
      </c>
      <c r="DZ154" s="834">
        <v>5432.2034453742917</v>
      </c>
      <c r="EA154" s="834">
        <v>5432.2034453742917</v>
      </c>
      <c r="EB154" s="834">
        <v>5432.2034453742917</v>
      </c>
      <c r="EC154" s="834">
        <v>5432.2034453742917</v>
      </c>
      <c r="ED154" s="834">
        <v>5432.2034453742917</v>
      </c>
      <c r="EE154" s="834">
        <v>5432.2034453742917</v>
      </c>
      <c r="EF154" s="834">
        <v>4981.1092804060654</v>
      </c>
      <c r="EG154" s="834">
        <v>4981.1092804060654</v>
      </c>
      <c r="EH154" s="834">
        <v>4981.1092804060654</v>
      </c>
      <c r="EI154" s="834">
        <v>3510.7656228992273</v>
      </c>
      <c r="EJ154" s="834">
        <v>0</v>
      </c>
      <c r="EK154" s="834">
        <v>0</v>
      </c>
      <c r="EL154" s="834">
        <v>0</v>
      </c>
      <c r="EM154" s="834">
        <v>0</v>
      </c>
      <c r="EN154" s="834">
        <v>0</v>
      </c>
      <c r="EO154" s="834">
        <v>0</v>
      </c>
      <c r="EP154" s="834">
        <v>0</v>
      </c>
      <c r="EQ154" s="834">
        <v>0</v>
      </c>
      <c r="ER154" s="834">
        <v>0</v>
      </c>
      <c r="ES154" s="834">
        <v>0</v>
      </c>
      <c r="ET154" s="834">
        <v>0</v>
      </c>
      <c r="EU154" s="834">
        <v>0</v>
      </c>
      <c r="EV154" s="834">
        <v>0</v>
      </c>
      <c r="EW154" s="834">
        <v>0</v>
      </c>
      <c r="EX154" s="834">
        <v>0</v>
      </c>
      <c r="EY154" s="834">
        <v>0</v>
      </c>
      <c r="EZ154" s="764"/>
      <c r="FA154" s="764"/>
      <c r="FB154" s="764"/>
      <c r="FC154" s="764"/>
      <c r="FD154" s="76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row>
    <row r="155" spans="1:16368" customFormat="1">
      <c r="A155" s="817">
        <v>149312</v>
      </c>
      <c r="B155" s="819" t="s">
        <v>1051</v>
      </c>
      <c r="C155" s="818" t="s">
        <v>1048</v>
      </c>
      <c r="D155" s="818"/>
      <c r="E155" s="819" t="s">
        <v>1028</v>
      </c>
      <c r="F155" s="820" t="s">
        <v>991</v>
      </c>
      <c r="G155" s="820">
        <v>2015</v>
      </c>
      <c r="H155" s="820" t="s">
        <v>996</v>
      </c>
      <c r="I155" s="821">
        <v>42331</v>
      </c>
      <c r="J155" s="822">
        <v>2015</v>
      </c>
      <c r="K155" s="823"/>
      <c r="L155" s="823" t="s">
        <v>993</v>
      </c>
      <c r="M155" s="823" t="s">
        <v>22</v>
      </c>
      <c r="N155" s="824">
        <v>5.6307297293576468</v>
      </c>
      <c r="O155" s="824">
        <v>49094.478742386229</v>
      </c>
      <c r="P155" s="825">
        <v>663364.8666697758</v>
      </c>
      <c r="Q155" s="825">
        <v>461348.93582781026</v>
      </c>
      <c r="R155" s="825">
        <v>49094.478742386229</v>
      </c>
      <c r="S155" s="826">
        <v>5.6307297293576468</v>
      </c>
      <c r="T155" s="827">
        <v>0.9650705827941457</v>
      </c>
      <c r="U155" s="827">
        <v>0.93592761282439296</v>
      </c>
      <c r="V155" s="828"/>
      <c r="W155" s="828"/>
      <c r="X155" s="828"/>
      <c r="Y155" s="829">
        <v>0.69546784734602263</v>
      </c>
      <c r="Z155" s="828"/>
      <c r="AA155" s="828"/>
      <c r="AB155" s="828"/>
      <c r="AC155" s="829">
        <v>0.69151749008254249</v>
      </c>
      <c r="AD155" s="828"/>
      <c r="AE155" s="830"/>
      <c r="AF155" s="828"/>
      <c r="AG155" s="831">
        <v>16779.461943964467</v>
      </c>
      <c r="AH155" s="832">
        <v>16779.461943964467</v>
      </c>
      <c r="AI155" s="828"/>
      <c r="AJ155" s="828"/>
      <c r="AK155" s="828"/>
      <c r="AL155" s="828"/>
      <c r="AM155" s="833">
        <v>0</v>
      </c>
      <c r="AN155" s="833">
        <v>8.1425702315722184</v>
      </c>
      <c r="AO155" s="833">
        <v>8.1425702315722184</v>
      </c>
      <c r="AP155" s="833">
        <v>8.1425702315722184</v>
      </c>
      <c r="AQ155" s="833">
        <v>8.1425702315722184</v>
      </c>
      <c r="AR155" s="833">
        <v>8.1425702315722184</v>
      </c>
      <c r="AS155" s="833">
        <v>8.1425702315722184</v>
      </c>
      <c r="AT155" s="833">
        <v>7.4664052174592168</v>
      </c>
      <c r="AU155" s="833">
        <v>7.4664052174592168</v>
      </c>
      <c r="AV155" s="833">
        <v>7.4664052174592168</v>
      </c>
      <c r="AW155" s="833">
        <v>5.2624420161194196</v>
      </c>
      <c r="AX155" s="833">
        <v>0</v>
      </c>
      <c r="AY155" s="833">
        <v>0</v>
      </c>
      <c r="AZ155" s="833">
        <v>0</v>
      </c>
      <c r="BA155" s="833">
        <v>0</v>
      </c>
      <c r="BB155" s="833">
        <v>0</v>
      </c>
      <c r="BC155" s="833">
        <v>0</v>
      </c>
      <c r="BD155" s="833">
        <v>0</v>
      </c>
      <c r="BE155" s="833">
        <v>0</v>
      </c>
      <c r="BF155" s="833">
        <v>0</v>
      </c>
      <c r="BG155" s="833">
        <v>0</v>
      </c>
      <c r="BH155" s="833">
        <v>0</v>
      </c>
      <c r="BI155" s="833">
        <v>0</v>
      </c>
      <c r="BJ155" s="833">
        <v>0</v>
      </c>
      <c r="BK155" s="833">
        <v>0</v>
      </c>
      <c r="BL155" s="833">
        <v>0</v>
      </c>
      <c r="BM155" s="833">
        <v>0</v>
      </c>
      <c r="BN155" s="828"/>
      <c r="BO155" s="828"/>
      <c r="BP155" s="828"/>
      <c r="BQ155" s="833">
        <v>0</v>
      </c>
      <c r="BR155" s="833">
        <v>5.6307297293576468</v>
      </c>
      <c r="BS155" s="833">
        <v>5.6307297293576468</v>
      </c>
      <c r="BT155" s="833">
        <v>5.6307297293576468</v>
      </c>
      <c r="BU155" s="833">
        <v>5.6307297293576468</v>
      </c>
      <c r="BV155" s="833">
        <v>5.6307297293576468</v>
      </c>
      <c r="BW155" s="833">
        <v>5.6307297293576468</v>
      </c>
      <c r="BX155" s="833">
        <v>5.1631497959165973</v>
      </c>
      <c r="BY155" s="833">
        <v>5.1631497959165973</v>
      </c>
      <c r="BZ155" s="833">
        <v>5.1631497959165973</v>
      </c>
      <c r="CA155" s="833">
        <v>3.6390706946918154</v>
      </c>
      <c r="CB155" s="833">
        <v>0</v>
      </c>
      <c r="CC155" s="833">
        <v>0</v>
      </c>
      <c r="CD155" s="833">
        <v>0</v>
      </c>
      <c r="CE155" s="833">
        <v>0</v>
      </c>
      <c r="CF155" s="833">
        <v>0</v>
      </c>
      <c r="CG155" s="833">
        <v>0</v>
      </c>
      <c r="CH155" s="833">
        <v>0</v>
      </c>
      <c r="CI155" s="833">
        <v>0</v>
      </c>
      <c r="CJ155" s="833">
        <v>0</v>
      </c>
      <c r="CK155" s="833">
        <v>0</v>
      </c>
      <c r="CL155" s="833">
        <v>0</v>
      </c>
      <c r="CM155" s="833">
        <v>0</v>
      </c>
      <c r="CN155" s="833">
        <v>0</v>
      </c>
      <c r="CO155" s="833">
        <v>0</v>
      </c>
      <c r="CP155" s="833">
        <v>0</v>
      </c>
      <c r="CQ155" s="833">
        <v>0</v>
      </c>
      <c r="CR155" s="828"/>
      <c r="CS155" s="828"/>
      <c r="CT155" s="828"/>
      <c r="CU155" s="834">
        <v>0</v>
      </c>
      <c r="CV155" s="834">
        <v>70592.017919643375</v>
      </c>
      <c r="CW155" s="834">
        <v>70592.017919643375</v>
      </c>
      <c r="CX155" s="834">
        <v>70592.017919643375</v>
      </c>
      <c r="CY155" s="834">
        <v>70592.017919643375</v>
      </c>
      <c r="CZ155" s="834">
        <v>70592.017919643375</v>
      </c>
      <c r="DA155" s="834">
        <v>70592.017919643375</v>
      </c>
      <c r="DB155" s="834">
        <v>64730.004889921605</v>
      </c>
      <c r="DC155" s="834">
        <v>64730.004889921605</v>
      </c>
      <c r="DD155" s="834">
        <v>64730.004889921605</v>
      </c>
      <c r="DE155" s="834">
        <v>45622.744482150738</v>
      </c>
      <c r="DF155" s="834">
        <v>0</v>
      </c>
      <c r="DG155" s="834">
        <v>0</v>
      </c>
      <c r="DH155" s="834">
        <v>0</v>
      </c>
      <c r="DI155" s="834">
        <v>0</v>
      </c>
      <c r="DJ155" s="834">
        <v>0</v>
      </c>
      <c r="DK155" s="834">
        <v>0</v>
      </c>
      <c r="DL155" s="834">
        <v>0</v>
      </c>
      <c r="DM155" s="834">
        <v>0</v>
      </c>
      <c r="DN155" s="834">
        <v>0</v>
      </c>
      <c r="DO155" s="834">
        <v>0</v>
      </c>
      <c r="DP155" s="834">
        <v>0</v>
      </c>
      <c r="DQ155" s="834">
        <v>0</v>
      </c>
      <c r="DR155" s="834">
        <v>0</v>
      </c>
      <c r="DS155" s="834">
        <v>0</v>
      </c>
      <c r="DT155" s="834">
        <v>0</v>
      </c>
      <c r="DU155" s="834">
        <v>0</v>
      </c>
      <c r="DV155" s="828"/>
      <c r="DW155" s="828"/>
      <c r="DX155" s="828"/>
      <c r="DY155" s="834">
        <v>0</v>
      </c>
      <c r="DZ155" s="834">
        <v>49094.478742386229</v>
      </c>
      <c r="EA155" s="834">
        <v>49094.478742386229</v>
      </c>
      <c r="EB155" s="834">
        <v>49094.478742386229</v>
      </c>
      <c r="EC155" s="834">
        <v>49094.478742386229</v>
      </c>
      <c r="ED155" s="834">
        <v>49094.478742386229</v>
      </c>
      <c r="EE155" s="834">
        <v>49094.478742386229</v>
      </c>
      <c r="EF155" s="834">
        <v>45017.637159491293</v>
      </c>
      <c r="EG155" s="834">
        <v>45017.637159491293</v>
      </c>
      <c r="EH155" s="834">
        <v>45017.637159491293</v>
      </c>
      <c r="EI155" s="834">
        <v>31729.151895019004</v>
      </c>
      <c r="EJ155" s="834">
        <v>0</v>
      </c>
      <c r="EK155" s="834">
        <v>0</v>
      </c>
      <c r="EL155" s="834">
        <v>0</v>
      </c>
      <c r="EM155" s="834">
        <v>0</v>
      </c>
      <c r="EN155" s="834">
        <v>0</v>
      </c>
      <c r="EO155" s="834">
        <v>0</v>
      </c>
      <c r="EP155" s="834">
        <v>0</v>
      </c>
      <c r="EQ155" s="834">
        <v>0</v>
      </c>
      <c r="ER155" s="834">
        <v>0</v>
      </c>
      <c r="ES155" s="834">
        <v>0</v>
      </c>
      <c r="ET155" s="834">
        <v>0</v>
      </c>
      <c r="EU155" s="834">
        <v>0</v>
      </c>
      <c r="EV155" s="834">
        <v>0</v>
      </c>
      <c r="EW155" s="834">
        <v>0</v>
      </c>
      <c r="EX155" s="834">
        <v>0</v>
      </c>
      <c r="EY155" s="834">
        <v>0</v>
      </c>
      <c r="EZ155" s="764"/>
      <c r="FA155" s="764"/>
      <c r="FB155" s="764"/>
      <c r="FC155" s="764"/>
      <c r="FD155" s="764"/>
    </row>
    <row r="156" spans="1:16368" customFormat="1">
      <c r="A156" s="817">
        <v>149368</v>
      </c>
      <c r="B156" s="817" t="s">
        <v>1052</v>
      </c>
      <c r="C156" s="818" t="s">
        <v>1053</v>
      </c>
      <c r="D156" s="818"/>
      <c r="E156" s="819" t="s">
        <v>1028</v>
      </c>
      <c r="F156" s="820" t="s">
        <v>991</v>
      </c>
      <c r="G156" s="820">
        <v>2015</v>
      </c>
      <c r="H156" s="820" t="s">
        <v>996</v>
      </c>
      <c r="I156" s="821">
        <v>42331</v>
      </c>
      <c r="J156" s="822">
        <v>2015</v>
      </c>
      <c r="K156" s="823"/>
      <c r="L156" s="823" t="s">
        <v>993</v>
      </c>
      <c r="M156" s="823" t="s">
        <v>22</v>
      </c>
      <c r="N156" s="824">
        <v>2.6382885182204321</v>
      </c>
      <c r="O156" s="824">
        <v>13832.039401218281</v>
      </c>
      <c r="P156" s="825">
        <v>186898.59243251977</v>
      </c>
      <c r="Q156" s="825">
        <v>129981.96175104615</v>
      </c>
      <c r="R156" s="825">
        <v>13832.039401218281</v>
      </c>
      <c r="S156" s="826">
        <v>2.6382885182204321</v>
      </c>
      <c r="T156" s="827">
        <v>0.68824232024679066</v>
      </c>
      <c r="U156" s="827">
        <v>0.58695629117961001</v>
      </c>
      <c r="V156" s="828"/>
      <c r="W156" s="828"/>
      <c r="X156" s="828"/>
      <c r="Y156" s="829">
        <v>0.69546784734602263</v>
      </c>
      <c r="Z156" s="828"/>
      <c r="AA156" s="828"/>
      <c r="AB156" s="828"/>
      <c r="AC156" s="829">
        <v>0.69151749008254249</v>
      </c>
      <c r="AD156" s="828"/>
      <c r="AE156" s="830"/>
      <c r="AF156" s="828"/>
      <c r="AG156" s="831">
        <v>10638.407637836248</v>
      </c>
      <c r="AH156" s="832">
        <v>10638.407637836248</v>
      </c>
      <c r="AI156" s="828"/>
      <c r="AJ156" s="828"/>
      <c r="AK156" s="828"/>
      <c r="AL156" s="828"/>
      <c r="AM156" s="833">
        <v>0</v>
      </c>
      <c r="AN156" s="833">
        <v>3.8152158926674651</v>
      </c>
      <c r="AO156" s="833">
        <v>3.8152158926674651</v>
      </c>
      <c r="AP156" s="833">
        <v>3.8152158926674651</v>
      </c>
      <c r="AQ156" s="833">
        <v>3.8152158926674651</v>
      </c>
      <c r="AR156" s="833">
        <v>3.8152158926674651</v>
      </c>
      <c r="AS156" s="833">
        <v>3.8152158926674651</v>
      </c>
      <c r="AT156" s="833">
        <v>3.4983975620245205</v>
      </c>
      <c r="AU156" s="833">
        <v>3.4983975620245205</v>
      </c>
      <c r="AV156" s="833">
        <v>3.4983975620245205</v>
      </c>
      <c r="AW156" s="833">
        <v>2.4657266493436389</v>
      </c>
      <c r="AX156" s="833">
        <v>0</v>
      </c>
      <c r="AY156" s="833">
        <v>0</v>
      </c>
      <c r="AZ156" s="833">
        <v>0</v>
      </c>
      <c r="BA156" s="833">
        <v>0</v>
      </c>
      <c r="BB156" s="833">
        <v>0</v>
      </c>
      <c r="BC156" s="833">
        <v>0</v>
      </c>
      <c r="BD156" s="833">
        <v>0</v>
      </c>
      <c r="BE156" s="833">
        <v>0</v>
      </c>
      <c r="BF156" s="833">
        <v>0</v>
      </c>
      <c r="BG156" s="833">
        <v>0</v>
      </c>
      <c r="BH156" s="833">
        <v>0</v>
      </c>
      <c r="BI156" s="833">
        <v>0</v>
      </c>
      <c r="BJ156" s="833">
        <v>0</v>
      </c>
      <c r="BK156" s="833">
        <v>0</v>
      </c>
      <c r="BL156" s="833">
        <v>0</v>
      </c>
      <c r="BM156" s="833">
        <v>0</v>
      </c>
      <c r="BN156" s="828"/>
      <c r="BO156" s="828"/>
      <c r="BP156" s="828"/>
      <c r="BQ156" s="833">
        <v>0</v>
      </c>
      <c r="BR156" s="833">
        <v>2.6382885182204321</v>
      </c>
      <c r="BS156" s="833">
        <v>2.6382885182204321</v>
      </c>
      <c r="BT156" s="833">
        <v>2.6382885182204321</v>
      </c>
      <c r="BU156" s="833">
        <v>2.6382885182204321</v>
      </c>
      <c r="BV156" s="833">
        <v>2.6382885182204321</v>
      </c>
      <c r="BW156" s="833">
        <v>2.6382885182204321</v>
      </c>
      <c r="BX156" s="833">
        <v>2.4192031014020818</v>
      </c>
      <c r="BY156" s="833">
        <v>2.4192031014020818</v>
      </c>
      <c r="BZ156" s="833">
        <v>2.4192031014020818</v>
      </c>
      <c r="CA156" s="833">
        <v>1.7050931037837505</v>
      </c>
      <c r="CB156" s="833">
        <v>0</v>
      </c>
      <c r="CC156" s="833">
        <v>0</v>
      </c>
      <c r="CD156" s="833">
        <v>0</v>
      </c>
      <c r="CE156" s="833">
        <v>0</v>
      </c>
      <c r="CF156" s="833">
        <v>0</v>
      </c>
      <c r="CG156" s="833">
        <v>0</v>
      </c>
      <c r="CH156" s="833">
        <v>0</v>
      </c>
      <c r="CI156" s="833">
        <v>0</v>
      </c>
      <c r="CJ156" s="833">
        <v>0</v>
      </c>
      <c r="CK156" s="833">
        <v>0</v>
      </c>
      <c r="CL156" s="833">
        <v>0</v>
      </c>
      <c r="CM156" s="833">
        <v>0</v>
      </c>
      <c r="CN156" s="833">
        <v>0</v>
      </c>
      <c r="CO156" s="833">
        <v>0</v>
      </c>
      <c r="CP156" s="833">
        <v>0</v>
      </c>
      <c r="CQ156" s="833">
        <v>0</v>
      </c>
      <c r="CR156" s="828"/>
      <c r="CS156" s="828"/>
      <c r="CT156" s="828"/>
      <c r="CU156" s="834">
        <v>0</v>
      </c>
      <c r="CV156" s="834">
        <v>19888.826570491758</v>
      </c>
      <c r="CW156" s="834">
        <v>19888.826570491758</v>
      </c>
      <c r="CX156" s="834">
        <v>19888.826570491758</v>
      </c>
      <c r="CY156" s="834">
        <v>19888.826570491758</v>
      </c>
      <c r="CZ156" s="834">
        <v>19888.826570491758</v>
      </c>
      <c r="DA156" s="834">
        <v>19888.826570491758</v>
      </c>
      <c r="DB156" s="834">
        <v>18237.243800399894</v>
      </c>
      <c r="DC156" s="834">
        <v>18237.243800399894</v>
      </c>
      <c r="DD156" s="834">
        <v>18237.243800399894</v>
      </c>
      <c r="DE156" s="834">
        <v>12853.901608369546</v>
      </c>
      <c r="DF156" s="834">
        <v>0</v>
      </c>
      <c r="DG156" s="834">
        <v>0</v>
      </c>
      <c r="DH156" s="834">
        <v>0</v>
      </c>
      <c r="DI156" s="834">
        <v>0</v>
      </c>
      <c r="DJ156" s="834">
        <v>0</v>
      </c>
      <c r="DK156" s="834">
        <v>0</v>
      </c>
      <c r="DL156" s="834">
        <v>0</v>
      </c>
      <c r="DM156" s="834">
        <v>0</v>
      </c>
      <c r="DN156" s="834">
        <v>0</v>
      </c>
      <c r="DO156" s="834">
        <v>0</v>
      </c>
      <c r="DP156" s="834">
        <v>0</v>
      </c>
      <c r="DQ156" s="834">
        <v>0</v>
      </c>
      <c r="DR156" s="834">
        <v>0</v>
      </c>
      <c r="DS156" s="834">
        <v>0</v>
      </c>
      <c r="DT156" s="834">
        <v>0</v>
      </c>
      <c r="DU156" s="834">
        <v>0</v>
      </c>
      <c r="DV156" s="828"/>
      <c r="DW156" s="828"/>
      <c r="DX156" s="828"/>
      <c r="DY156" s="834">
        <v>0</v>
      </c>
      <c r="DZ156" s="834">
        <v>13832.039401218281</v>
      </c>
      <c r="EA156" s="834">
        <v>13832.039401218281</v>
      </c>
      <c r="EB156" s="834">
        <v>13832.039401218281</v>
      </c>
      <c r="EC156" s="834">
        <v>13832.039401218281</v>
      </c>
      <c r="ED156" s="834">
        <v>13832.039401218281</v>
      </c>
      <c r="EE156" s="834">
        <v>13832.039401218281</v>
      </c>
      <c r="EF156" s="834">
        <v>12683.41668738871</v>
      </c>
      <c r="EG156" s="834">
        <v>12683.41668738871</v>
      </c>
      <c r="EH156" s="834">
        <v>12683.41668738871</v>
      </c>
      <c r="EI156" s="834">
        <v>8939.4752815703469</v>
      </c>
      <c r="EJ156" s="834">
        <v>0</v>
      </c>
      <c r="EK156" s="834">
        <v>0</v>
      </c>
      <c r="EL156" s="834">
        <v>0</v>
      </c>
      <c r="EM156" s="834">
        <v>0</v>
      </c>
      <c r="EN156" s="834">
        <v>0</v>
      </c>
      <c r="EO156" s="834">
        <v>0</v>
      </c>
      <c r="EP156" s="834">
        <v>0</v>
      </c>
      <c r="EQ156" s="834">
        <v>0</v>
      </c>
      <c r="ER156" s="834">
        <v>0</v>
      </c>
      <c r="ES156" s="834">
        <v>0</v>
      </c>
      <c r="ET156" s="834">
        <v>0</v>
      </c>
      <c r="EU156" s="834">
        <v>0</v>
      </c>
      <c r="EV156" s="834">
        <v>0</v>
      </c>
      <c r="EW156" s="834">
        <v>0</v>
      </c>
      <c r="EX156" s="834">
        <v>0</v>
      </c>
      <c r="EY156" s="834">
        <v>0</v>
      </c>
      <c r="EZ156" s="764"/>
      <c r="FA156" s="764"/>
      <c r="FB156" s="764"/>
      <c r="FC156" s="764"/>
      <c r="FD156" s="764"/>
    </row>
    <row r="157" spans="1:16368" customFormat="1">
      <c r="A157" s="817">
        <v>150441</v>
      </c>
      <c r="B157" s="819" t="s">
        <v>1054</v>
      </c>
      <c r="C157" s="818" t="s">
        <v>1030</v>
      </c>
      <c r="D157" s="818"/>
      <c r="E157" s="819" t="s">
        <v>1028</v>
      </c>
      <c r="F157" s="820" t="s">
        <v>991</v>
      </c>
      <c r="G157" s="820">
        <v>2015</v>
      </c>
      <c r="H157" s="820" t="s">
        <v>996</v>
      </c>
      <c r="I157" s="821">
        <v>42348</v>
      </c>
      <c r="J157" s="822">
        <v>2015</v>
      </c>
      <c r="K157" s="823"/>
      <c r="L157" s="823" t="s">
        <v>993</v>
      </c>
      <c r="M157" s="823" t="s">
        <v>22</v>
      </c>
      <c r="N157" s="824">
        <v>24.011502638984911</v>
      </c>
      <c r="O157" s="824">
        <v>52950.382338911164</v>
      </c>
      <c r="P157" s="825">
        <v>715465.85726430279</v>
      </c>
      <c r="Q157" s="825">
        <v>497583.49960118136</v>
      </c>
      <c r="R157" s="825">
        <v>52950.382338911164</v>
      </c>
      <c r="S157" s="826">
        <v>24.011502638984911</v>
      </c>
      <c r="T157" s="827">
        <v>0.9650705827941457</v>
      </c>
      <c r="U157" s="827">
        <v>0.93592761282439296</v>
      </c>
      <c r="V157" s="828"/>
      <c r="W157" s="828"/>
      <c r="X157" s="828"/>
      <c r="Y157" s="829">
        <v>0.69546784734602263</v>
      </c>
      <c r="Z157" s="828"/>
      <c r="AA157" s="828"/>
      <c r="AB157" s="828"/>
      <c r="AC157" s="829">
        <v>0.69151749008254249</v>
      </c>
      <c r="AD157" s="828"/>
      <c r="AE157" s="830"/>
      <c r="AF157" s="828"/>
      <c r="AG157" s="831">
        <v>21644</v>
      </c>
      <c r="AH157" s="832">
        <v>21644</v>
      </c>
      <c r="AI157" s="828"/>
      <c r="AJ157" s="828"/>
      <c r="AK157" s="828"/>
      <c r="AL157" s="828"/>
      <c r="AM157" s="833">
        <v>0</v>
      </c>
      <c r="AN157" s="833">
        <v>34.722914435784979</v>
      </c>
      <c r="AO157" s="833">
        <v>34.722914435784979</v>
      </c>
      <c r="AP157" s="833">
        <v>34.722914435784979</v>
      </c>
      <c r="AQ157" s="833">
        <v>34.722914435784979</v>
      </c>
      <c r="AR157" s="833">
        <v>34.722914435784979</v>
      </c>
      <c r="AS157" s="833">
        <v>34.722914435784979</v>
      </c>
      <c r="AT157" s="833">
        <v>31.839498111234132</v>
      </c>
      <c r="AU157" s="833">
        <v>31.839498111234132</v>
      </c>
      <c r="AV157" s="833">
        <v>31.839498111234132</v>
      </c>
      <c r="AW157" s="833">
        <v>22.440988367589711</v>
      </c>
      <c r="AX157" s="833">
        <v>0</v>
      </c>
      <c r="AY157" s="833">
        <v>0</v>
      </c>
      <c r="AZ157" s="833">
        <v>0</v>
      </c>
      <c r="BA157" s="833">
        <v>0</v>
      </c>
      <c r="BB157" s="833">
        <v>0</v>
      </c>
      <c r="BC157" s="833">
        <v>0</v>
      </c>
      <c r="BD157" s="833">
        <v>0</v>
      </c>
      <c r="BE157" s="833">
        <v>0</v>
      </c>
      <c r="BF157" s="833">
        <v>0</v>
      </c>
      <c r="BG157" s="833">
        <v>0</v>
      </c>
      <c r="BH157" s="833">
        <v>0</v>
      </c>
      <c r="BI157" s="833">
        <v>0</v>
      </c>
      <c r="BJ157" s="833">
        <v>0</v>
      </c>
      <c r="BK157" s="833">
        <v>0</v>
      </c>
      <c r="BL157" s="833">
        <v>0</v>
      </c>
      <c r="BM157" s="833">
        <v>0</v>
      </c>
      <c r="BN157" s="828"/>
      <c r="BO157" s="828"/>
      <c r="BP157" s="828"/>
      <c r="BQ157" s="833">
        <v>0</v>
      </c>
      <c r="BR157" s="833">
        <v>24.011502638984911</v>
      </c>
      <c r="BS157" s="833">
        <v>24.011502638984911</v>
      </c>
      <c r="BT157" s="833">
        <v>24.011502638984911</v>
      </c>
      <c r="BU157" s="833">
        <v>24.011502638984911</v>
      </c>
      <c r="BV157" s="833">
        <v>24.011502638984911</v>
      </c>
      <c r="BW157" s="833">
        <v>24.011502638984911</v>
      </c>
      <c r="BX157" s="833">
        <v>22.017569819368479</v>
      </c>
      <c r="BY157" s="833">
        <v>22.017569819368479</v>
      </c>
      <c r="BZ157" s="833">
        <v>22.017569819368479</v>
      </c>
      <c r="CA157" s="833">
        <v>15.518335950927169</v>
      </c>
      <c r="CB157" s="833">
        <v>0</v>
      </c>
      <c r="CC157" s="833">
        <v>0</v>
      </c>
      <c r="CD157" s="833">
        <v>0</v>
      </c>
      <c r="CE157" s="833">
        <v>0</v>
      </c>
      <c r="CF157" s="833">
        <v>0</v>
      </c>
      <c r="CG157" s="833">
        <v>0</v>
      </c>
      <c r="CH157" s="833">
        <v>0</v>
      </c>
      <c r="CI157" s="833">
        <v>0</v>
      </c>
      <c r="CJ157" s="833">
        <v>0</v>
      </c>
      <c r="CK157" s="833">
        <v>0</v>
      </c>
      <c r="CL157" s="833">
        <v>0</v>
      </c>
      <c r="CM157" s="833">
        <v>0</v>
      </c>
      <c r="CN157" s="833">
        <v>0</v>
      </c>
      <c r="CO157" s="833">
        <v>0</v>
      </c>
      <c r="CP157" s="833">
        <v>0</v>
      </c>
      <c r="CQ157" s="833">
        <v>0</v>
      </c>
      <c r="CR157" s="828"/>
      <c r="CS157" s="828"/>
      <c r="CT157" s="828"/>
      <c r="CU157" s="834">
        <v>0</v>
      </c>
      <c r="CV157" s="834">
        <v>76136.348417795743</v>
      </c>
      <c r="CW157" s="834">
        <v>76136.348417795743</v>
      </c>
      <c r="CX157" s="834">
        <v>76136.348417795743</v>
      </c>
      <c r="CY157" s="834">
        <v>76136.348417795743</v>
      </c>
      <c r="CZ157" s="834">
        <v>76136.348417795743</v>
      </c>
      <c r="DA157" s="834">
        <v>76136.348417795743</v>
      </c>
      <c r="DB157" s="834">
        <v>69813.930110266941</v>
      </c>
      <c r="DC157" s="834">
        <v>69813.930110266941</v>
      </c>
      <c r="DD157" s="834">
        <v>69813.930110266941</v>
      </c>
      <c r="DE157" s="834">
        <v>49205.976426727495</v>
      </c>
      <c r="DF157" s="834">
        <v>0</v>
      </c>
      <c r="DG157" s="834">
        <v>0</v>
      </c>
      <c r="DH157" s="834">
        <v>0</v>
      </c>
      <c r="DI157" s="834">
        <v>0</v>
      </c>
      <c r="DJ157" s="834">
        <v>0</v>
      </c>
      <c r="DK157" s="834">
        <v>0</v>
      </c>
      <c r="DL157" s="834">
        <v>0</v>
      </c>
      <c r="DM157" s="834">
        <v>0</v>
      </c>
      <c r="DN157" s="834">
        <v>0</v>
      </c>
      <c r="DO157" s="834">
        <v>0</v>
      </c>
      <c r="DP157" s="834">
        <v>0</v>
      </c>
      <c r="DQ157" s="834">
        <v>0</v>
      </c>
      <c r="DR157" s="834">
        <v>0</v>
      </c>
      <c r="DS157" s="834">
        <v>0</v>
      </c>
      <c r="DT157" s="834">
        <v>0</v>
      </c>
      <c r="DU157" s="834">
        <v>0</v>
      </c>
      <c r="DV157" s="828"/>
      <c r="DW157" s="828"/>
      <c r="DX157" s="828"/>
      <c r="DY157" s="834">
        <v>0</v>
      </c>
      <c r="DZ157" s="834">
        <v>52950.382338911164</v>
      </c>
      <c r="EA157" s="834">
        <v>52950.382338911164</v>
      </c>
      <c r="EB157" s="834">
        <v>52950.382338911164</v>
      </c>
      <c r="EC157" s="834">
        <v>52950.382338911164</v>
      </c>
      <c r="ED157" s="834">
        <v>52950.382338911164</v>
      </c>
      <c r="EE157" s="834">
        <v>52950.382338911164</v>
      </c>
      <c r="EF157" s="834">
        <v>48553.343688553017</v>
      </c>
      <c r="EG157" s="834">
        <v>48553.343688553017</v>
      </c>
      <c r="EH157" s="834">
        <v>48553.343688553017</v>
      </c>
      <c r="EI157" s="834">
        <v>34221.174502055306</v>
      </c>
      <c r="EJ157" s="834">
        <v>0</v>
      </c>
      <c r="EK157" s="834">
        <v>0</v>
      </c>
      <c r="EL157" s="834">
        <v>0</v>
      </c>
      <c r="EM157" s="834">
        <v>0</v>
      </c>
      <c r="EN157" s="834">
        <v>0</v>
      </c>
      <c r="EO157" s="834">
        <v>0</v>
      </c>
      <c r="EP157" s="834">
        <v>0</v>
      </c>
      <c r="EQ157" s="834">
        <v>0</v>
      </c>
      <c r="ER157" s="834">
        <v>0</v>
      </c>
      <c r="ES157" s="834">
        <v>0</v>
      </c>
      <c r="ET157" s="834">
        <v>0</v>
      </c>
      <c r="EU157" s="834">
        <v>0</v>
      </c>
      <c r="EV157" s="834">
        <v>0</v>
      </c>
      <c r="EW157" s="834">
        <v>0</v>
      </c>
      <c r="EX157" s="834">
        <v>0</v>
      </c>
      <c r="EY157" s="834">
        <v>0</v>
      </c>
      <c r="EZ157" s="764"/>
      <c r="FA157" s="764"/>
      <c r="FB157" s="764"/>
      <c r="FC157" s="764"/>
      <c r="FD157" s="764"/>
    </row>
    <row r="158" spans="1:16368" customFormat="1">
      <c r="A158" s="817">
        <v>150655</v>
      </c>
      <c r="B158" s="817" t="s">
        <v>1055</v>
      </c>
      <c r="C158" s="818" t="s">
        <v>1056</v>
      </c>
      <c r="D158" s="818"/>
      <c r="E158" s="819" t="s">
        <v>1028</v>
      </c>
      <c r="F158" s="820" t="s">
        <v>991</v>
      </c>
      <c r="G158" s="820">
        <v>2015</v>
      </c>
      <c r="H158" s="820" t="s">
        <v>992</v>
      </c>
      <c r="I158" s="821">
        <v>42254</v>
      </c>
      <c r="J158" s="822">
        <v>2015</v>
      </c>
      <c r="K158" s="823"/>
      <c r="L158" s="823" t="s">
        <v>993</v>
      </c>
      <c r="M158" s="823" t="s">
        <v>22</v>
      </c>
      <c r="N158" s="824">
        <v>0.88769230509367103</v>
      </c>
      <c r="O158" s="824">
        <v>851.40954109018764</v>
      </c>
      <c r="P158" s="825">
        <v>16520.600871191225</v>
      </c>
      <c r="Q158" s="825">
        <v>13173.184552431301</v>
      </c>
      <c r="R158" s="825">
        <v>851.40954109018764</v>
      </c>
      <c r="S158" s="826">
        <v>0.88769230509367103</v>
      </c>
      <c r="T158" s="827">
        <v>1.1746532706458273</v>
      </c>
      <c r="U158" s="827">
        <v>1.2294561517680642</v>
      </c>
      <c r="V158" s="828"/>
      <c r="W158" s="828"/>
      <c r="X158" s="828"/>
      <c r="Y158" s="829">
        <v>0.79737926332950881</v>
      </c>
      <c r="Z158" s="828"/>
      <c r="AA158" s="828"/>
      <c r="AB158" s="828"/>
      <c r="AC158" s="829">
        <v>0.79342890606602867</v>
      </c>
      <c r="AD158" s="828"/>
      <c r="AE158" s="830"/>
      <c r="AF158" s="828"/>
      <c r="AG158" s="831">
        <v>10000</v>
      </c>
      <c r="AH158" s="832">
        <v>10000</v>
      </c>
      <c r="AI158" s="828"/>
      <c r="AJ158" s="828"/>
      <c r="AK158" s="828"/>
      <c r="AL158" s="828"/>
      <c r="AM158" s="833">
        <v>0</v>
      </c>
      <c r="AN158" s="833">
        <v>1.1188050981089386</v>
      </c>
      <c r="AO158" s="833">
        <v>1.1188050981089386</v>
      </c>
      <c r="AP158" s="833">
        <v>1.1188050981089386</v>
      </c>
      <c r="AQ158" s="833">
        <v>1.1188050981089386</v>
      </c>
      <c r="AR158" s="833">
        <v>1.1188050981089386</v>
      </c>
      <c r="AS158" s="833">
        <v>1.1188050981089386</v>
      </c>
      <c r="AT158" s="833">
        <v>1.1188050981089386</v>
      </c>
      <c r="AU158" s="833">
        <v>1.1188050981089386</v>
      </c>
      <c r="AV158" s="833">
        <v>1.1188050981089386</v>
      </c>
      <c r="AW158" s="833">
        <v>1.1188050981089386</v>
      </c>
      <c r="AX158" s="833">
        <v>1.1188050981089386</v>
      </c>
      <c r="AY158" s="833">
        <v>1.1188050981089386</v>
      </c>
      <c r="AZ158" s="833">
        <v>1.1188050981089386</v>
      </c>
      <c r="BA158" s="833">
        <v>1.1188050981089386</v>
      </c>
      <c r="BB158" s="833">
        <v>1.1188050981089386</v>
      </c>
      <c r="BC158" s="833">
        <v>0.52830745561025227</v>
      </c>
      <c r="BD158" s="833">
        <v>0</v>
      </c>
      <c r="BE158" s="833">
        <v>0</v>
      </c>
      <c r="BF158" s="833">
        <v>0</v>
      </c>
      <c r="BG158" s="833">
        <v>0</v>
      </c>
      <c r="BH158" s="833">
        <v>0</v>
      </c>
      <c r="BI158" s="833">
        <v>0</v>
      </c>
      <c r="BJ158" s="833">
        <v>0</v>
      </c>
      <c r="BK158" s="833">
        <v>0</v>
      </c>
      <c r="BL158" s="833">
        <v>0</v>
      </c>
      <c r="BM158" s="833">
        <v>0</v>
      </c>
      <c r="BN158" s="828"/>
      <c r="BO158" s="828"/>
      <c r="BP158" s="828"/>
      <c r="BQ158" s="833">
        <v>0</v>
      </c>
      <c r="BR158" s="833">
        <v>0.88769230509367103</v>
      </c>
      <c r="BS158" s="833">
        <v>0.88769230509367103</v>
      </c>
      <c r="BT158" s="833">
        <v>0.88769230509367103</v>
      </c>
      <c r="BU158" s="833">
        <v>0.88769230509367103</v>
      </c>
      <c r="BV158" s="833">
        <v>0.88769230509367103</v>
      </c>
      <c r="BW158" s="833">
        <v>0.88769230509367103</v>
      </c>
      <c r="BX158" s="833">
        <v>0.88769230509367103</v>
      </c>
      <c r="BY158" s="833">
        <v>0.88769230509367103</v>
      </c>
      <c r="BZ158" s="833">
        <v>0.88769230509367103</v>
      </c>
      <c r="CA158" s="833">
        <v>0.88769230509367103</v>
      </c>
      <c r="CB158" s="833">
        <v>0.88769230509367103</v>
      </c>
      <c r="CC158" s="833">
        <v>0.88769230509367103</v>
      </c>
      <c r="CD158" s="833">
        <v>0.88769230509367103</v>
      </c>
      <c r="CE158" s="833">
        <v>0.88769230509367103</v>
      </c>
      <c r="CF158" s="833">
        <v>0.88769230509367103</v>
      </c>
      <c r="CG158" s="833">
        <v>0.41917440657136951</v>
      </c>
      <c r="CH158" s="833">
        <v>0</v>
      </c>
      <c r="CI158" s="833">
        <v>0</v>
      </c>
      <c r="CJ158" s="833">
        <v>0</v>
      </c>
      <c r="CK158" s="833">
        <v>0</v>
      </c>
      <c r="CL158" s="833">
        <v>0</v>
      </c>
      <c r="CM158" s="833">
        <v>0</v>
      </c>
      <c r="CN158" s="833">
        <v>0</v>
      </c>
      <c r="CO158" s="833">
        <v>0</v>
      </c>
      <c r="CP158" s="833">
        <v>0</v>
      </c>
      <c r="CQ158" s="833">
        <v>0</v>
      </c>
      <c r="CR158" s="828"/>
      <c r="CS158" s="828"/>
      <c r="CT158" s="828"/>
      <c r="CU158" s="834">
        <v>0</v>
      </c>
      <c r="CV158" s="834">
        <v>1067.759823017057</v>
      </c>
      <c r="CW158" s="834">
        <v>1067.759823017057</v>
      </c>
      <c r="CX158" s="834">
        <v>1067.759823017057</v>
      </c>
      <c r="CY158" s="834">
        <v>1067.759823017057</v>
      </c>
      <c r="CZ158" s="834">
        <v>1067.759823017057</v>
      </c>
      <c r="DA158" s="834">
        <v>1067.759823017057</v>
      </c>
      <c r="DB158" s="834">
        <v>1067.759823017057</v>
      </c>
      <c r="DC158" s="834">
        <v>1067.759823017057</v>
      </c>
      <c r="DD158" s="834">
        <v>1067.759823017057</v>
      </c>
      <c r="DE158" s="834">
        <v>1067.759823017057</v>
      </c>
      <c r="DF158" s="834">
        <v>1067.759823017057</v>
      </c>
      <c r="DG158" s="834">
        <v>1067.759823017057</v>
      </c>
      <c r="DH158" s="834">
        <v>1067.759823017057</v>
      </c>
      <c r="DI158" s="834">
        <v>1067.759823017057</v>
      </c>
      <c r="DJ158" s="834">
        <v>1067.759823017057</v>
      </c>
      <c r="DK158" s="834">
        <v>504.20352593537029</v>
      </c>
      <c r="DL158" s="834">
        <v>0</v>
      </c>
      <c r="DM158" s="834">
        <v>0</v>
      </c>
      <c r="DN158" s="834">
        <v>0</v>
      </c>
      <c r="DO158" s="834">
        <v>0</v>
      </c>
      <c r="DP158" s="834">
        <v>0</v>
      </c>
      <c r="DQ158" s="834">
        <v>0</v>
      </c>
      <c r="DR158" s="834">
        <v>0</v>
      </c>
      <c r="DS158" s="834">
        <v>0</v>
      </c>
      <c r="DT158" s="834">
        <v>0</v>
      </c>
      <c r="DU158" s="834">
        <v>0</v>
      </c>
      <c r="DV158" s="828"/>
      <c r="DW158" s="828"/>
      <c r="DX158" s="828"/>
      <c r="DY158" s="834">
        <v>0</v>
      </c>
      <c r="DZ158" s="834">
        <v>851.40954109018764</v>
      </c>
      <c r="EA158" s="834">
        <v>851.40954109018764</v>
      </c>
      <c r="EB158" s="834">
        <v>851.40954109018764</v>
      </c>
      <c r="EC158" s="834">
        <v>851.40954109018764</v>
      </c>
      <c r="ED158" s="834">
        <v>851.40954109018764</v>
      </c>
      <c r="EE158" s="834">
        <v>851.40954109018764</v>
      </c>
      <c r="EF158" s="834">
        <v>851.40954109018764</v>
      </c>
      <c r="EG158" s="834">
        <v>851.40954109018764</v>
      </c>
      <c r="EH158" s="834">
        <v>851.40954109018764</v>
      </c>
      <c r="EI158" s="834">
        <v>851.40954109018764</v>
      </c>
      <c r="EJ158" s="834">
        <v>851.40954109018764</v>
      </c>
      <c r="EK158" s="834">
        <v>851.40954109018764</v>
      </c>
      <c r="EL158" s="834">
        <v>851.40954109018764</v>
      </c>
      <c r="EM158" s="834">
        <v>851.40954109018764</v>
      </c>
      <c r="EN158" s="834">
        <v>851.40954109018764</v>
      </c>
      <c r="EO158" s="834">
        <v>402.04143607848647</v>
      </c>
      <c r="EP158" s="834">
        <v>0</v>
      </c>
      <c r="EQ158" s="834">
        <v>0</v>
      </c>
      <c r="ER158" s="834">
        <v>0</v>
      </c>
      <c r="ES158" s="834">
        <v>0</v>
      </c>
      <c r="ET158" s="834">
        <v>0</v>
      </c>
      <c r="EU158" s="834">
        <v>0</v>
      </c>
      <c r="EV158" s="834">
        <v>0</v>
      </c>
      <c r="EW158" s="834">
        <v>0</v>
      </c>
      <c r="EX158" s="834">
        <v>0</v>
      </c>
      <c r="EY158" s="834">
        <v>0</v>
      </c>
      <c r="EZ158" s="764"/>
      <c r="FA158" s="764"/>
      <c r="FB158" s="764"/>
      <c r="FC158" s="764"/>
      <c r="FD158" s="764"/>
    </row>
    <row r="159" spans="1:16368" customFormat="1">
      <c r="A159" s="817">
        <v>150950</v>
      </c>
      <c r="B159" s="819" t="s">
        <v>1057</v>
      </c>
      <c r="C159" s="818" t="s">
        <v>1058</v>
      </c>
      <c r="D159" s="818"/>
      <c r="E159" s="819" t="s">
        <v>1028</v>
      </c>
      <c r="F159" s="820" t="s">
        <v>991</v>
      </c>
      <c r="G159" s="820">
        <v>2015</v>
      </c>
      <c r="H159" s="820" t="s">
        <v>992</v>
      </c>
      <c r="I159" s="821">
        <v>42338</v>
      </c>
      <c r="J159" s="822">
        <v>2015</v>
      </c>
      <c r="K159" s="823"/>
      <c r="L159" s="823" t="s">
        <v>993</v>
      </c>
      <c r="M159" s="823" t="s">
        <v>22</v>
      </c>
      <c r="N159" s="824">
        <v>0</v>
      </c>
      <c r="O159" s="824">
        <v>1683.8191144449613</v>
      </c>
      <c r="P159" s="825">
        <v>25340.299531955203</v>
      </c>
      <c r="Q159" s="825">
        <v>20205.829373339537</v>
      </c>
      <c r="R159" s="825">
        <v>1683.8191144449613</v>
      </c>
      <c r="S159" s="826">
        <v>0</v>
      </c>
      <c r="T159" s="827">
        <v>1.2891890278772489</v>
      </c>
      <c r="U159" s="827" t="s">
        <v>1014</v>
      </c>
      <c r="V159" s="828"/>
      <c r="W159" s="828"/>
      <c r="X159" s="828"/>
      <c r="Y159" s="829">
        <v>0.79737926332950881</v>
      </c>
      <c r="Z159" s="828"/>
      <c r="AA159" s="828"/>
      <c r="AB159" s="828"/>
      <c r="AC159" s="829">
        <v>0.79342890606602867</v>
      </c>
      <c r="AD159" s="828"/>
      <c r="AE159" s="830"/>
      <c r="AF159" s="828"/>
      <c r="AG159" s="831">
        <v>7.2230769230769241</v>
      </c>
      <c r="AH159" s="832">
        <v>43.338461538461544</v>
      </c>
      <c r="AI159" s="828"/>
      <c r="AJ159" s="828"/>
      <c r="AK159" s="828"/>
      <c r="AL159" s="828"/>
      <c r="AM159" s="833">
        <v>0</v>
      </c>
      <c r="AN159" s="833">
        <v>0</v>
      </c>
      <c r="AO159" s="833">
        <v>0</v>
      </c>
      <c r="AP159" s="833">
        <v>0</v>
      </c>
      <c r="AQ159" s="833">
        <v>0</v>
      </c>
      <c r="AR159" s="833">
        <v>0</v>
      </c>
      <c r="AS159" s="833">
        <v>0</v>
      </c>
      <c r="AT159" s="833">
        <v>0</v>
      </c>
      <c r="AU159" s="833">
        <v>0</v>
      </c>
      <c r="AV159" s="833">
        <v>0</v>
      </c>
      <c r="AW159" s="833">
        <v>0</v>
      </c>
      <c r="AX159" s="833">
        <v>0</v>
      </c>
      <c r="AY159" s="833">
        <v>0</v>
      </c>
      <c r="AZ159" s="833">
        <v>0</v>
      </c>
      <c r="BA159" s="833">
        <v>0</v>
      </c>
      <c r="BB159" s="833">
        <v>0</v>
      </c>
      <c r="BC159" s="833">
        <v>0</v>
      </c>
      <c r="BD159" s="833">
        <v>0</v>
      </c>
      <c r="BE159" s="833">
        <v>0</v>
      </c>
      <c r="BF159" s="833">
        <v>0</v>
      </c>
      <c r="BG159" s="833">
        <v>0</v>
      </c>
      <c r="BH159" s="833">
        <v>0</v>
      </c>
      <c r="BI159" s="833">
        <v>0</v>
      </c>
      <c r="BJ159" s="833">
        <v>0</v>
      </c>
      <c r="BK159" s="833">
        <v>0</v>
      </c>
      <c r="BL159" s="833">
        <v>0</v>
      </c>
      <c r="BM159" s="833">
        <v>0</v>
      </c>
      <c r="BN159" s="828"/>
      <c r="BO159" s="828"/>
      <c r="BP159" s="828"/>
      <c r="BQ159" s="833">
        <v>0</v>
      </c>
      <c r="BR159" s="833">
        <v>0</v>
      </c>
      <c r="BS159" s="833">
        <v>0</v>
      </c>
      <c r="BT159" s="833">
        <v>0</v>
      </c>
      <c r="BU159" s="833">
        <v>0</v>
      </c>
      <c r="BV159" s="833">
        <v>0</v>
      </c>
      <c r="BW159" s="833">
        <v>0</v>
      </c>
      <c r="BX159" s="833">
        <v>0</v>
      </c>
      <c r="BY159" s="833">
        <v>0</v>
      </c>
      <c r="BZ159" s="833">
        <v>0</v>
      </c>
      <c r="CA159" s="833">
        <v>0</v>
      </c>
      <c r="CB159" s="833">
        <v>0</v>
      </c>
      <c r="CC159" s="833">
        <v>0</v>
      </c>
      <c r="CD159" s="833">
        <v>0</v>
      </c>
      <c r="CE159" s="833">
        <v>0</v>
      </c>
      <c r="CF159" s="833">
        <v>0</v>
      </c>
      <c r="CG159" s="833">
        <v>0</v>
      </c>
      <c r="CH159" s="833">
        <v>0</v>
      </c>
      <c r="CI159" s="833">
        <v>0</v>
      </c>
      <c r="CJ159" s="833">
        <v>0</v>
      </c>
      <c r="CK159" s="833">
        <v>0</v>
      </c>
      <c r="CL159" s="833">
        <v>0</v>
      </c>
      <c r="CM159" s="833">
        <v>0</v>
      </c>
      <c r="CN159" s="833">
        <v>0</v>
      </c>
      <c r="CO159" s="833">
        <v>0</v>
      </c>
      <c r="CP159" s="833">
        <v>0</v>
      </c>
      <c r="CQ159" s="833">
        <v>0</v>
      </c>
      <c r="CR159" s="828"/>
      <c r="CS159" s="828"/>
      <c r="CT159" s="828"/>
      <c r="CU159" s="834">
        <v>0</v>
      </c>
      <c r="CV159" s="834">
        <v>2111.6916276629336</v>
      </c>
      <c r="CW159" s="834">
        <v>2111.6916276629336</v>
      </c>
      <c r="CX159" s="834">
        <v>2111.6916276629336</v>
      </c>
      <c r="CY159" s="834">
        <v>2111.6916276629336</v>
      </c>
      <c r="CZ159" s="834">
        <v>2111.6916276629336</v>
      </c>
      <c r="DA159" s="834">
        <v>2111.6916276629336</v>
      </c>
      <c r="DB159" s="834">
        <v>2111.6916276629336</v>
      </c>
      <c r="DC159" s="834">
        <v>2111.6916276629336</v>
      </c>
      <c r="DD159" s="834">
        <v>2111.6916276629336</v>
      </c>
      <c r="DE159" s="834">
        <v>2111.6916276629336</v>
      </c>
      <c r="DF159" s="834">
        <v>2111.6916276629336</v>
      </c>
      <c r="DG159" s="834">
        <v>2111.6916276629336</v>
      </c>
      <c r="DH159" s="834">
        <v>0</v>
      </c>
      <c r="DI159" s="834">
        <v>0</v>
      </c>
      <c r="DJ159" s="834">
        <v>0</v>
      </c>
      <c r="DK159" s="834">
        <v>0</v>
      </c>
      <c r="DL159" s="834">
        <v>0</v>
      </c>
      <c r="DM159" s="834">
        <v>0</v>
      </c>
      <c r="DN159" s="834">
        <v>0</v>
      </c>
      <c r="DO159" s="834">
        <v>0</v>
      </c>
      <c r="DP159" s="834">
        <v>0</v>
      </c>
      <c r="DQ159" s="834">
        <v>0</v>
      </c>
      <c r="DR159" s="834">
        <v>0</v>
      </c>
      <c r="DS159" s="834">
        <v>0</v>
      </c>
      <c r="DT159" s="834">
        <v>0</v>
      </c>
      <c r="DU159" s="834">
        <v>0</v>
      </c>
      <c r="DV159" s="828"/>
      <c r="DW159" s="828"/>
      <c r="DX159" s="828"/>
      <c r="DY159" s="834">
        <v>0</v>
      </c>
      <c r="DZ159" s="834">
        <v>1683.8191144449613</v>
      </c>
      <c r="EA159" s="834">
        <v>1683.8191144449613</v>
      </c>
      <c r="EB159" s="834">
        <v>1683.8191144449613</v>
      </c>
      <c r="EC159" s="834">
        <v>1683.8191144449613</v>
      </c>
      <c r="ED159" s="834">
        <v>1683.8191144449613</v>
      </c>
      <c r="EE159" s="834">
        <v>1683.8191144449613</v>
      </c>
      <c r="EF159" s="834">
        <v>1683.8191144449613</v>
      </c>
      <c r="EG159" s="834">
        <v>1683.8191144449613</v>
      </c>
      <c r="EH159" s="834">
        <v>1683.8191144449613</v>
      </c>
      <c r="EI159" s="834">
        <v>1683.8191144449613</v>
      </c>
      <c r="EJ159" s="834">
        <v>1683.8191144449613</v>
      </c>
      <c r="EK159" s="834">
        <v>1683.8191144449613</v>
      </c>
      <c r="EL159" s="834">
        <v>0</v>
      </c>
      <c r="EM159" s="834">
        <v>0</v>
      </c>
      <c r="EN159" s="834">
        <v>0</v>
      </c>
      <c r="EO159" s="834">
        <v>0</v>
      </c>
      <c r="EP159" s="834">
        <v>0</v>
      </c>
      <c r="EQ159" s="834">
        <v>0</v>
      </c>
      <c r="ER159" s="834">
        <v>0</v>
      </c>
      <c r="ES159" s="834">
        <v>0</v>
      </c>
      <c r="ET159" s="834">
        <v>0</v>
      </c>
      <c r="EU159" s="834">
        <v>0</v>
      </c>
      <c r="EV159" s="834">
        <v>0</v>
      </c>
      <c r="EW159" s="834">
        <v>0</v>
      </c>
      <c r="EX159" s="834">
        <v>0</v>
      </c>
      <c r="EY159" s="834">
        <v>0</v>
      </c>
      <c r="EZ159" s="764"/>
      <c r="FA159" s="764"/>
      <c r="FB159" s="764"/>
      <c r="FC159" s="764"/>
      <c r="FD159" s="764"/>
    </row>
    <row r="160" spans="1:16368" s="855" customFormat="1">
      <c r="A160" s="836">
        <v>134268</v>
      </c>
      <c r="B160" s="836" t="s">
        <v>1059</v>
      </c>
      <c r="C160" s="837" t="s">
        <v>1060</v>
      </c>
      <c r="D160" s="837"/>
      <c r="E160" s="838" t="s">
        <v>1061</v>
      </c>
      <c r="F160" s="839" t="s">
        <v>991</v>
      </c>
      <c r="G160" s="839">
        <v>2015</v>
      </c>
      <c r="H160" s="839" t="s">
        <v>996</v>
      </c>
      <c r="I160" s="840">
        <v>42236</v>
      </c>
      <c r="J160" s="841">
        <v>2015</v>
      </c>
      <c r="K160" s="842"/>
      <c r="L160" s="842" t="s">
        <v>993</v>
      </c>
      <c r="M160" s="842" t="s">
        <v>22</v>
      </c>
      <c r="N160" s="843">
        <v>0</v>
      </c>
      <c r="O160" s="843">
        <v>3620.5116627730322</v>
      </c>
      <c r="P160" s="844">
        <v>48920.373491576567</v>
      </c>
      <c r="Q160" s="844">
        <v>34022.546843550183</v>
      </c>
      <c r="R160" s="844">
        <v>3620.5116627730322</v>
      </c>
      <c r="S160" s="845">
        <v>0</v>
      </c>
      <c r="T160" s="846">
        <v>0.68824232024679077</v>
      </c>
      <c r="U160" s="846" t="s">
        <v>1014</v>
      </c>
      <c r="V160" s="847"/>
      <c r="W160" s="847"/>
      <c r="X160" s="847"/>
      <c r="Y160" s="848">
        <v>0.69546784734602263</v>
      </c>
      <c r="Z160" s="847"/>
      <c r="AA160" s="847"/>
      <c r="AB160" s="847"/>
      <c r="AC160" s="848">
        <v>0.69151749008254249</v>
      </c>
      <c r="AD160" s="847"/>
      <c r="AE160" s="849"/>
      <c r="AF160" s="847"/>
      <c r="AG160" s="850">
        <v>11056.11</v>
      </c>
      <c r="AH160" s="851">
        <v>11056.11</v>
      </c>
      <c r="AI160" s="847"/>
      <c r="AJ160" s="847"/>
      <c r="AK160" s="847"/>
      <c r="AL160" s="847"/>
      <c r="AM160" s="852">
        <v>0</v>
      </c>
      <c r="AN160" s="852">
        <v>0</v>
      </c>
      <c r="AO160" s="852">
        <v>0</v>
      </c>
      <c r="AP160" s="852">
        <v>0</v>
      </c>
      <c r="AQ160" s="852">
        <v>0</v>
      </c>
      <c r="AR160" s="852">
        <v>0</v>
      </c>
      <c r="AS160" s="852">
        <v>0</v>
      </c>
      <c r="AT160" s="852">
        <v>0</v>
      </c>
      <c r="AU160" s="852">
        <v>0</v>
      </c>
      <c r="AV160" s="852">
        <v>0</v>
      </c>
      <c r="AW160" s="852">
        <v>0</v>
      </c>
      <c r="AX160" s="852">
        <v>0</v>
      </c>
      <c r="AY160" s="852">
        <v>0</v>
      </c>
      <c r="AZ160" s="852">
        <v>0</v>
      </c>
      <c r="BA160" s="852">
        <v>0</v>
      </c>
      <c r="BB160" s="852">
        <v>0</v>
      </c>
      <c r="BC160" s="852">
        <v>0</v>
      </c>
      <c r="BD160" s="852">
        <v>0</v>
      </c>
      <c r="BE160" s="852">
        <v>0</v>
      </c>
      <c r="BF160" s="852">
        <v>0</v>
      </c>
      <c r="BG160" s="852">
        <v>0</v>
      </c>
      <c r="BH160" s="852">
        <v>0</v>
      </c>
      <c r="BI160" s="852">
        <v>0</v>
      </c>
      <c r="BJ160" s="852">
        <v>0</v>
      </c>
      <c r="BK160" s="852">
        <v>0</v>
      </c>
      <c r="BL160" s="852">
        <v>0</v>
      </c>
      <c r="BM160" s="852">
        <v>0</v>
      </c>
      <c r="BN160" s="847"/>
      <c r="BO160" s="847"/>
      <c r="BP160" s="847"/>
      <c r="BQ160" s="852">
        <v>0</v>
      </c>
      <c r="BR160" s="852">
        <v>0</v>
      </c>
      <c r="BS160" s="852">
        <v>0</v>
      </c>
      <c r="BT160" s="852">
        <v>0</v>
      </c>
      <c r="BU160" s="852">
        <v>0</v>
      </c>
      <c r="BV160" s="852">
        <v>0</v>
      </c>
      <c r="BW160" s="852">
        <v>0</v>
      </c>
      <c r="BX160" s="852">
        <v>0</v>
      </c>
      <c r="BY160" s="852">
        <v>0</v>
      </c>
      <c r="BZ160" s="852">
        <v>0</v>
      </c>
      <c r="CA160" s="852">
        <v>0</v>
      </c>
      <c r="CB160" s="852">
        <v>0</v>
      </c>
      <c r="CC160" s="852">
        <v>0</v>
      </c>
      <c r="CD160" s="852">
        <v>0</v>
      </c>
      <c r="CE160" s="852">
        <v>0</v>
      </c>
      <c r="CF160" s="852">
        <v>0</v>
      </c>
      <c r="CG160" s="852">
        <v>0</v>
      </c>
      <c r="CH160" s="852">
        <v>0</v>
      </c>
      <c r="CI160" s="852">
        <v>0</v>
      </c>
      <c r="CJ160" s="852">
        <v>0</v>
      </c>
      <c r="CK160" s="852">
        <v>0</v>
      </c>
      <c r="CL160" s="852">
        <v>0</v>
      </c>
      <c r="CM160" s="852">
        <v>0</v>
      </c>
      <c r="CN160" s="852">
        <v>0</v>
      </c>
      <c r="CO160" s="852">
        <v>0</v>
      </c>
      <c r="CP160" s="852">
        <v>0</v>
      </c>
      <c r="CQ160" s="852">
        <v>0</v>
      </c>
      <c r="CR160" s="847"/>
      <c r="CS160" s="847"/>
      <c r="CT160" s="847"/>
      <c r="CU160" s="853">
        <v>0</v>
      </c>
      <c r="CV160" s="853">
        <v>5205.8649103467251</v>
      </c>
      <c r="CW160" s="853">
        <v>5205.8649103467251</v>
      </c>
      <c r="CX160" s="853">
        <v>5205.8649103467251</v>
      </c>
      <c r="CY160" s="853">
        <v>5205.8649103467251</v>
      </c>
      <c r="CZ160" s="853">
        <v>5205.8649103467251</v>
      </c>
      <c r="DA160" s="853">
        <v>5205.8649103467251</v>
      </c>
      <c r="DB160" s="853">
        <v>4773.5660636107959</v>
      </c>
      <c r="DC160" s="853">
        <v>4773.5660636107959</v>
      </c>
      <c r="DD160" s="853">
        <v>4773.5660636107959</v>
      </c>
      <c r="DE160" s="853">
        <v>3364.4858386638261</v>
      </c>
      <c r="DF160" s="853">
        <v>0</v>
      </c>
      <c r="DG160" s="853">
        <v>0</v>
      </c>
      <c r="DH160" s="853">
        <v>0</v>
      </c>
      <c r="DI160" s="853">
        <v>0</v>
      </c>
      <c r="DJ160" s="853">
        <v>0</v>
      </c>
      <c r="DK160" s="853">
        <v>0</v>
      </c>
      <c r="DL160" s="853">
        <v>0</v>
      </c>
      <c r="DM160" s="853">
        <v>0</v>
      </c>
      <c r="DN160" s="853">
        <v>0</v>
      </c>
      <c r="DO160" s="853">
        <v>0</v>
      </c>
      <c r="DP160" s="853">
        <v>0</v>
      </c>
      <c r="DQ160" s="853">
        <v>0</v>
      </c>
      <c r="DR160" s="853">
        <v>0</v>
      </c>
      <c r="DS160" s="853">
        <v>0</v>
      </c>
      <c r="DT160" s="853">
        <v>0</v>
      </c>
      <c r="DU160" s="853">
        <v>0</v>
      </c>
      <c r="DV160" s="847"/>
      <c r="DW160" s="847"/>
      <c r="DX160" s="847"/>
      <c r="DY160" s="853">
        <v>0</v>
      </c>
      <c r="DZ160" s="853">
        <v>3620.5116627730322</v>
      </c>
      <c r="EA160" s="853">
        <v>3620.5116627730322</v>
      </c>
      <c r="EB160" s="853">
        <v>3620.5116627730322</v>
      </c>
      <c r="EC160" s="853">
        <v>3620.5116627730322</v>
      </c>
      <c r="ED160" s="853">
        <v>3620.5116627730322</v>
      </c>
      <c r="EE160" s="853">
        <v>3620.5116627730322</v>
      </c>
      <c r="EF160" s="853">
        <v>3319.8617144234277</v>
      </c>
      <c r="EG160" s="853">
        <v>3319.8617144234277</v>
      </c>
      <c r="EH160" s="853">
        <v>3319.8617144234277</v>
      </c>
      <c r="EI160" s="853">
        <v>2339.8917236417087</v>
      </c>
      <c r="EJ160" s="853">
        <v>0</v>
      </c>
      <c r="EK160" s="853">
        <v>0</v>
      </c>
      <c r="EL160" s="853">
        <v>0</v>
      </c>
      <c r="EM160" s="853">
        <v>0</v>
      </c>
      <c r="EN160" s="853">
        <v>0</v>
      </c>
      <c r="EO160" s="853">
        <v>0</v>
      </c>
      <c r="EP160" s="853">
        <v>0</v>
      </c>
      <c r="EQ160" s="853">
        <v>0</v>
      </c>
      <c r="ER160" s="853">
        <v>0</v>
      </c>
      <c r="ES160" s="853">
        <v>0</v>
      </c>
      <c r="ET160" s="853">
        <v>0</v>
      </c>
      <c r="EU160" s="853">
        <v>0</v>
      </c>
      <c r="EV160" s="853">
        <v>0</v>
      </c>
      <c r="EW160" s="853">
        <v>0</v>
      </c>
      <c r="EX160" s="853">
        <v>0</v>
      </c>
      <c r="EY160" s="853">
        <v>0</v>
      </c>
      <c r="EZ160" s="854"/>
      <c r="FA160" s="854"/>
      <c r="FB160" s="854"/>
      <c r="FC160" s="854"/>
      <c r="FD160" s="854"/>
    </row>
    <row r="161" spans="1:160" s="875" customFormat="1">
      <c r="A161" s="856">
        <v>150648</v>
      </c>
      <c r="B161" s="856"/>
      <c r="C161" s="857" t="s">
        <v>1062</v>
      </c>
      <c r="D161" s="857"/>
      <c r="E161" s="858" t="s">
        <v>1063</v>
      </c>
      <c r="F161" s="859" t="s">
        <v>991</v>
      </c>
      <c r="G161" s="859">
        <v>2015</v>
      </c>
      <c r="H161" s="859" t="s">
        <v>996</v>
      </c>
      <c r="I161" s="860">
        <v>42352</v>
      </c>
      <c r="J161" s="861">
        <v>2015</v>
      </c>
      <c r="K161" s="862"/>
      <c r="L161" s="862" t="s">
        <v>993</v>
      </c>
      <c r="M161" s="862" t="s">
        <v>22</v>
      </c>
      <c r="N161" s="863">
        <v>0</v>
      </c>
      <c r="O161" s="863">
        <v>3489.3614518264681</v>
      </c>
      <c r="P161" s="864">
        <v>47148.271120252932</v>
      </c>
      <c r="Q161" s="864">
        <v>32790.106622088955</v>
      </c>
      <c r="R161" s="864">
        <v>3489.3614518264681</v>
      </c>
      <c r="S161" s="865">
        <v>0</v>
      </c>
      <c r="T161" s="866">
        <v>0.68824232024679077</v>
      </c>
      <c r="U161" s="866" t="s">
        <v>1014</v>
      </c>
      <c r="V161" s="867"/>
      <c r="W161" s="867"/>
      <c r="X161" s="867"/>
      <c r="Y161" s="868">
        <v>0.69546784734602263</v>
      </c>
      <c r="Z161" s="867"/>
      <c r="AA161" s="867"/>
      <c r="AB161" s="867"/>
      <c r="AC161" s="868">
        <v>0.69151749008254249</v>
      </c>
      <c r="AD161" s="867"/>
      <c r="AE161" s="869"/>
      <c r="AF161" s="867"/>
      <c r="AG161" s="870">
        <v>2600</v>
      </c>
      <c r="AH161" s="871">
        <v>2600</v>
      </c>
      <c r="AI161" s="867"/>
      <c r="AJ161" s="867"/>
      <c r="AK161" s="867"/>
      <c r="AL161" s="867"/>
      <c r="AM161" s="872">
        <v>0</v>
      </c>
      <c r="AN161" s="872">
        <v>0</v>
      </c>
      <c r="AO161" s="872">
        <v>0</v>
      </c>
      <c r="AP161" s="872">
        <v>0</v>
      </c>
      <c r="AQ161" s="872">
        <v>0</v>
      </c>
      <c r="AR161" s="872">
        <v>0</v>
      </c>
      <c r="AS161" s="872">
        <v>0</v>
      </c>
      <c r="AT161" s="872">
        <v>0</v>
      </c>
      <c r="AU161" s="872">
        <v>0</v>
      </c>
      <c r="AV161" s="872">
        <v>0</v>
      </c>
      <c r="AW161" s="872">
        <v>0</v>
      </c>
      <c r="AX161" s="872">
        <v>0</v>
      </c>
      <c r="AY161" s="872">
        <v>0</v>
      </c>
      <c r="AZ161" s="872">
        <v>0</v>
      </c>
      <c r="BA161" s="872">
        <v>0</v>
      </c>
      <c r="BB161" s="872">
        <v>0</v>
      </c>
      <c r="BC161" s="872">
        <v>0</v>
      </c>
      <c r="BD161" s="872">
        <v>0</v>
      </c>
      <c r="BE161" s="872">
        <v>0</v>
      </c>
      <c r="BF161" s="872">
        <v>0</v>
      </c>
      <c r="BG161" s="872">
        <v>0</v>
      </c>
      <c r="BH161" s="872">
        <v>0</v>
      </c>
      <c r="BI161" s="872">
        <v>0</v>
      </c>
      <c r="BJ161" s="872">
        <v>0</v>
      </c>
      <c r="BK161" s="872">
        <v>0</v>
      </c>
      <c r="BL161" s="872">
        <v>0</v>
      </c>
      <c r="BM161" s="872">
        <v>0</v>
      </c>
      <c r="BN161" s="867"/>
      <c r="BO161" s="867"/>
      <c r="BP161" s="867"/>
      <c r="BQ161" s="872">
        <v>0</v>
      </c>
      <c r="BR161" s="872">
        <v>0</v>
      </c>
      <c r="BS161" s="872">
        <v>0</v>
      </c>
      <c r="BT161" s="872">
        <v>0</v>
      </c>
      <c r="BU161" s="872">
        <v>0</v>
      </c>
      <c r="BV161" s="872">
        <v>0</v>
      </c>
      <c r="BW161" s="872">
        <v>0</v>
      </c>
      <c r="BX161" s="872">
        <v>0</v>
      </c>
      <c r="BY161" s="872">
        <v>0</v>
      </c>
      <c r="BZ161" s="872">
        <v>0</v>
      </c>
      <c r="CA161" s="872">
        <v>0</v>
      </c>
      <c r="CB161" s="872">
        <v>0</v>
      </c>
      <c r="CC161" s="872">
        <v>0</v>
      </c>
      <c r="CD161" s="872">
        <v>0</v>
      </c>
      <c r="CE161" s="872">
        <v>0</v>
      </c>
      <c r="CF161" s="872">
        <v>0</v>
      </c>
      <c r="CG161" s="872">
        <v>0</v>
      </c>
      <c r="CH161" s="872">
        <v>0</v>
      </c>
      <c r="CI161" s="872">
        <v>0</v>
      </c>
      <c r="CJ161" s="872">
        <v>0</v>
      </c>
      <c r="CK161" s="872">
        <v>0</v>
      </c>
      <c r="CL161" s="872">
        <v>0</v>
      </c>
      <c r="CM161" s="872">
        <v>0</v>
      </c>
      <c r="CN161" s="872">
        <v>0</v>
      </c>
      <c r="CO161" s="872">
        <v>0</v>
      </c>
      <c r="CP161" s="872">
        <v>0</v>
      </c>
      <c r="CQ161" s="872">
        <v>0</v>
      </c>
      <c r="CR161" s="867"/>
      <c r="CS161" s="867"/>
      <c r="CT161" s="867"/>
      <c r="CU161" s="873">
        <v>0</v>
      </c>
      <c r="CV161" s="873">
        <v>5017.2865145991045</v>
      </c>
      <c r="CW161" s="873">
        <v>5017.2865145991045</v>
      </c>
      <c r="CX161" s="873">
        <v>5017.2865145991045</v>
      </c>
      <c r="CY161" s="873">
        <v>5017.2865145991045</v>
      </c>
      <c r="CZ161" s="873">
        <v>5017.2865145991045</v>
      </c>
      <c r="DA161" s="873">
        <v>5017.2865145991045</v>
      </c>
      <c r="DB161" s="873">
        <v>4600.647356388512</v>
      </c>
      <c r="DC161" s="873">
        <v>4600.647356388512</v>
      </c>
      <c r="DD161" s="873">
        <v>4600.647356388512</v>
      </c>
      <c r="DE161" s="873">
        <v>3242.6099634927677</v>
      </c>
      <c r="DF161" s="873">
        <v>0</v>
      </c>
      <c r="DG161" s="873">
        <v>0</v>
      </c>
      <c r="DH161" s="873">
        <v>0</v>
      </c>
      <c r="DI161" s="873">
        <v>0</v>
      </c>
      <c r="DJ161" s="873">
        <v>0</v>
      </c>
      <c r="DK161" s="873">
        <v>0</v>
      </c>
      <c r="DL161" s="873">
        <v>0</v>
      </c>
      <c r="DM161" s="873">
        <v>0</v>
      </c>
      <c r="DN161" s="873">
        <v>0</v>
      </c>
      <c r="DO161" s="873">
        <v>0</v>
      </c>
      <c r="DP161" s="873">
        <v>0</v>
      </c>
      <c r="DQ161" s="873">
        <v>0</v>
      </c>
      <c r="DR161" s="873">
        <v>0</v>
      </c>
      <c r="DS161" s="873">
        <v>0</v>
      </c>
      <c r="DT161" s="873">
        <v>0</v>
      </c>
      <c r="DU161" s="873">
        <v>0</v>
      </c>
      <c r="DV161" s="867"/>
      <c r="DW161" s="867"/>
      <c r="DX161" s="867"/>
      <c r="DY161" s="873">
        <v>0</v>
      </c>
      <c r="DZ161" s="873">
        <v>3489.3614518264681</v>
      </c>
      <c r="EA161" s="873">
        <v>3489.3614518264681</v>
      </c>
      <c r="EB161" s="873">
        <v>3489.3614518264681</v>
      </c>
      <c r="EC161" s="873">
        <v>3489.3614518264681</v>
      </c>
      <c r="ED161" s="873">
        <v>3489.3614518264681</v>
      </c>
      <c r="EE161" s="873">
        <v>3489.3614518264681</v>
      </c>
      <c r="EF161" s="873">
        <v>3199.6023133456883</v>
      </c>
      <c r="EG161" s="873">
        <v>3199.6023133456883</v>
      </c>
      <c r="EH161" s="873">
        <v>3199.6023133456883</v>
      </c>
      <c r="EI161" s="873">
        <v>2255.13097109308</v>
      </c>
      <c r="EJ161" s="873">
        <v>0</v>
      </c>
      <c r="EK161" s="873">
        <v>0</v>
      </c>
      <c r="EL161" s="873">
        <v>0</v>
      </c>
      <c r="EM161" s="873">
        <v>0</v>
      </c>
      <c r="EN161" s="873">
        <v>0</v>
      </c>
      <c r="EO161" s="873">
        <v>0</v>
      </c>
      <c r="EP161" s="873">
        <v>0</v>
      </c>
      <c r="EQ161" s="873">
        <v>0</v>
      </c>
      <c r="ER161" s="873">
        <v>0</v>
      </c>
      <c r="ES161" s="873">
        <v>0</v>
      </c>
      <c r="ET161" s="873">
        <v>0</v>
      </c>
      <c r="EU161" s="873">
        <v>0</v>
      </c>
      <c r="EV161" s="873">
        <v>0</v>
      </c>
      <c r="EW161" s="873">
        <v>0</v>
      </c>
      <c r="EX161" s="873">
        <v>0</v>
      </c>
      <c r="EY161" s="873">
        <v>0</v>
      </c>
      <c r="EZ161" s="874"/>
      <c r="FA161" s="874"/>
      <c r="FB161" s="874"/>
      <c r="FC161" s="874"/>
      <c r="FD161" s="874"/>
    </row>
    <row r="162" spans="1:160" customFormat="1">
      <c r="A162" s="876"/>
      <c r="B162" s="876"/>
      <c r="C162" s="876"/>
      <c r="D162" s="876"/>
      <c r="E162" s="876"/>
    </row>
    <row r="163" spans="1:160" customFormat="1">
      <c r="A163" s="876"/>
      <c r="B163" s="876"/>
      <c r="C163" s="876"/>
      <c r="D163" s="876"/>
      <c r="E163" s="877" t="s">
        <v>990</v>
      </c>
      <c r="F163" s="878">
        <f>21/43</f>
        <v>0.48837209302325579</v>
      </c>
    </row>
    <row r="164" spans="1:160" customFormat="1">
      <c r="A164" s="876"/>
      <c r="B164" s="876"/>
      <c r="C164" s="876"/>
      <c r="D164" s="876"/>
      <c r="E164" s="879" t="s">
        <v>1028</v>
      </c>
      <c r="F164" s="880">
        <f>20/43</f>
        <v>0.46511627906976744</v>
      </c>
    </row>
    <row r="165" spans="1:160" customFormat="1">
      <c r="A165" s="876"/>
      <c r="B165" s="876"/>
      <c r="C165" s="876"/>
      <c r="D165" s="876"/>
      <c r="E165" s="881" t="s">
        <v>1061</v>
      </c>
      <c r="F165" s="882">
        <f>1/43</f>
        <v>2.3255813953488372E-2</v>
      </c>
    </row>
    <row r="166" spans="1:160" customFormat="1">
      <c r="A166" s="876"/>
      <c r="B166" s="876"/>
      <c r="C166" s="876"/>
      <c r="D166" s="876"/>
      <c r="E166" s="883" t="s">
        <v>1063</v>
      </c>
      <c r="F166" s="884">
        <f>1/43</f>
        <v>2.3255813953488372E-2</v>
      </c>
    </row>
    <row r="167" spans="1:160" customFormat="1">
      <c r="A167" s="885" t="s">
        <v>1064</v>
      </c>
      <c r="B167" s="876"/>
      <c r="C167" s="876"/>
      <c r="D167" s="876"/>
      <c r="E167" s="876"/>
    </row>
    <row r="168" spans="1:160" s="816" customFormat="1">
      <c r="A168" s="877"/>
      <c r="B168" s="877"/>
      <c r="C168" s="877" t="s">
        <v>1065</v>
      </c>
      <c r="D168" s="877"/>
      <c r="E168" s="877" t="s">
        <v>990</v>
      </c>
    </row>
    <row r="169" spans="1:160" s="835" customFormat="1">
      <c r="A169" s="879"/>
      <c r="B169" s="879"/>
      <c r="C169" s="879" t="s">
        <v>1066</v>
      </c>
      <c r="D169" s="879"/>
      <c r="E169" s="879" t="s">
        <v>1028</v>
      </c>
    </row>
    <row r="170" spans="1:160" s="835" customFormat="1">
      <c r="A170" s="879"/>
      <c r="B170" s="879"/>
      <c r="C170" s="879" t="s">
        <v>1067</v>
      </c>
      <c r="D170" s="879"/>
      <c r="E170" s="879" t="s">
        <v>1028</v>
      </c>
    </row>
    <row r="171" spans="1:160" customFormat="1">
      <c r="A171" s="876"/>
      <c r="B171" s="876"/>
      <c r="C171" s="876"/>
      <c r="D171" s="876"/>
      <c r="E171" s="876"/>
    </row>
    <row r="172" spans="1:160" s="816" customFormat="1">
      <c r="A172" s="877"/>
      <c r="B172" s="877"/>
      <c r="C172" s="877"/>
      <c r="D172" s="877"/>
      <c r="E172" s="877" t="s">
        <v>990</v>
      </c>
      <c r="F172" s="878">
        <f>1/3</f>
        <v>0.33333333333333331</v>
      </c>
    </row>
    <row r="173" spans="1:160" s="835" customFormat="1">
      <c r="A173" s="879"/>
      <c r="B173" s="879"/>
      <c r="C173" s="879"/>
      <c r="D173" s="879"/>
      <c r="E173" s="879" t="s">
        <v>1028</v>
      </c>
      <c r="F173" s="880">
        <f>2/3</f>
        <v>0.66666666666666663</v>
      </c>
    </row>
    <row r="174" spans="1:160" customFormat="1">
      <c r="A174" s="876"/>
      <c r="B174" s="876"/>
      <c r="C174" s="876"/>
      <c r="D174" s="876"/>
      <c r="E174" s="876"/>
    </row>
    <row r="175" spans="1:160" customFormat="1">
      <c r="B175" s="761"/>
    </row>
    <row r="184" spans="2:16">
      <c r="B184" s="886" t="s">
        <v>1068</v>
      </c>
    </row>
    <row r="185" spans="2:16" ht="45">
      <c r="B185" s="887" t="s">
        <v>1069</v>
      </c>
      <c r="C185" s="887" t="s">
        <v>1070</v>
      </c>
      <c r="D185" s="887" t="s">
        <v>843</v>
      </c>
      <c r="E185" s="887" t="s">
        <v>1071</v>
      </c>
      <c r="F185" s="887" t="s">
        <v>1072</v>
      </c>
      <c r="G185" s="887" t="s">
        <v>1073</v>
      </c>
      <c r="H185" s="887" t="s">
        <v>1074</v>
      </c>
      <c r="I185" s="887" t="s">
        <v>1075</v>
      </c>
      <c r="J185" s="887" t="s">
        <v>506</v>
      </c>
      <c r="K185" s="887" t="s">
        <v>772</v>
      </c>
      <c r="L185" s="887" t="s">
        <v>1076</v>
      </c>
      <c r="M185" s="887" t="s">
        <v>1077</v>
      </c>
      <c r="N185" s="887" t="s">
        <v>1078</v>
      </c>
      <c r="O185" s="887" t="s">
        <v>1079</v>
      </c>
      <c r="P185" s="887" t="s">
        <v>1080</v>
      </c>
    </row>
    <row r="186" spans="2:16">
      <c r="B186" s="888">
        <v>79024</v>
      </c>
      <c r="C186" s="888" t="s">
        <v>991</v>
      </c>
      <c r="D186" s="888" t="s">
        <v>991</v>
      </c>
      <c r="E186" s="888" t="s">
        <v>1081</v>
      </c>
      <c r="F186" s="888" t="s">
        <v>1082</v>
      </c>
      <c r="G186" s="888" t="s">
        <v>1083</v>
      </c>
      <c r="H186" s="888">
        <v>2016</v>
      </c>
      <c r="I186" s="888"/>
      <c r="J186" s="888" t="s">
        <v>1084</v>
      </c>
      <c r="K186" s="888"/>
      <c r="L186" s="888"/>
      <c r="M186" s="888"/>
      <c r="N186" s="888"/>
      <c r="O186" s="888"/>
      <c r="P186" s="888" t="s">
        <v>1085</v>
      </c>
    </row>
    <row r="187" spans="2:16">
      <c r="B187" s="888">
        <v>79025</v>
      </c>
      <c r="C187" s="888" t="s">
        <v>991</v>
      </c>
      <c r="D187" s="888" t="s">
        <v>991</v>
      </c>
      <c r="E187" s="888" t="s">
        <v>1081</v>
      </c>
      <c r="F187" s="888" t="s">
        <v>1082</v>
      </c>
      <c r="G187" s="888" t="s">
        <v>1083</v>
      </c>
      <c r="H187" s="888">
        <v>2016</v>
      </c>
      <c r="I187" s="888"/>
      <c r="J187" s="888" t="s">
        <v>1084</v>
      </c>
      <c r="K187" s="888"/>
      <c r="L187" s="888"/>
      <c r="M187" s="888"/>
      <c r="N187" s="888"/>
      <c r="O187" s="888"/>
      <c r="P187" s="888" t="s">
        <v>1086</v>
      </c>
    </row>
    <row r="188" spans="2:16">
      <c r="B188" s="888">
        <v>79026</v>
      </c>
      <c r="C188" s="888" t="s">
        <v>991</v>
      </c>
      <c r="D188" s="888" t="s">
        <v>991</v>
      </c>
      <c r="E188" s="888" t="s">
        <v>1081</v>
      </c>
      <c r="F188" s="888" t="s">
        <v>1082</v>
      </c>
      <c r="G188" s="888" t="s">
        <v>1083</v>
      </c>
      <c r="H188" s="888">
        <v>2016</v>
      </c>
      <c r="I188" s="888"/>
      <c r="J188" s="888" t="s">
        <v>1084</v>
      </c>
      <c r="K188" s="888"/>
      <c r="L188" s="888"/>
      <c r="M188" s="888"/>
      <c r="N188" s="888"/>
      <c r="O188" s="888"/>
      <c r="P188" s="888" t="s">
        <v>1086</v>
      </c>
    </row>
    <row r="189" spans="2:16">
      <c r="B189" s="888"/>
      <c r="C189" s="888"/>
      <c r="D189" s="888"/>
      <c r="E189" s="888"/>
      <c r="F189" s="888"/>
      <c r="G189" s="888"/>
      <c r="H189" s="888"/>
      <c r="I189" s="888"/>
      <c r="J189" s="889">
        <v>1</v>
      </c>
      <c r="K189" s="890" t="s">
        <v>1087</v>
      </c>
      <c r="L189" s="888"/>
      <c r="M189" s="888"/>
      <c r="N189" s="888"/>
      <c r="O189" s="888"/>
      <c r="P189" s="888"/>
    </row>
    <row r="190" spans="2:16">
      <c r="B190" s="888"/>
      <c r="C190" s="888"/>
      <c r="D190" s="888"/>
      <c r="E190" s="888"/>
      <c r="F190" s="888"/>
      <c r="G190" s="888"/>
      <c r="H190" s="888"/>
      <c r="I190" s="888"/>
      <c r="J190" s="888"/>
      <c r="K190" s="888"/>
      <c r="L190" s="888"/>
      <c r="M190" s="888"/>
      <c r="N190" s="888"/>
      <c r="O190" s="888"/>
      <c r="P190" s="888"/>
    </row>
    <row r="191" spans="2:16">
      <c r="B191" s="888">
        <v>78905</v>
      </c>
      <c r="C191" s="888" t="s">
        <v>991</v>
      </c>
      <c r="D191" s="888" t="s">
        <v>1088</v>
      </c>
      <c r="E191" s="888" t="s">
        <v>117</v>
      </c>
      <c r="F191" s="888" t="s">
        <v>1089</v>
      </c>
      <c r="G191" s="888" t="s">
        <v>1083</v>
      </c>
      <c r="H191" s="888">
        <v>2016</v>
      </c>
      <c r="I191" s="891" t="s">
        <v>1090</v>
      </c>
      <c r="J191" s="891" t="s">
        <v>1091</v>
      </c>
      <c r="K191" s="888" t="s">
        <v>1092</v>
      </c>
      <c r="L191" s="888" t="s">
        <v>1093</v>
      </c>
      <c r="M191" s="888" t="s">
        <v>1094</v>
      </c>
      <c r="N191" s="888"/>
      <c r="O191" s="888"/>
      <c r="P191" s="888" t="s">
        <v>1095</v>
      </c>
    </row>
    <row r="192" spans="2:16">
      <c r="B192" s="888"/>
      <c r="C192" s="888"/>
      <c r="D192" s="888"/>
      <c r="E192" s="888"/>
      <c r="F192" s="888"/>
      <c r="G192" s="888"/>
      <c r="H192" s="888"/>
      <c r="I192" s="891"/>
      <c r="J192" s="889">
        <v>1</v>
      </c>
      <c r="K192" s="890" t="s">
        <v>1028</v>
      </c>
      <c r="L192" s="888"/>
      <c r="M192" s="888"/>
      <c r="N192" s="888"/>
      <c r="O192" s="888"/>
      <c r="P192" s="888"/>
    </row>
    <row r="193" spans="2:16">
      <c r="B193" s="888"/>
      <c r="C193" s="888"/>
      <c r="D193" s="888"/>
      <c r="E193" s="888"/>
      <c r="F193" s="888"/>
      <c r="G193" s="888"/>
      <c r="H193" s="888"/>
      <c r="I193" s="891"/>
      <c r="J193" s="891"/>
      <c r="K193" s="888"/>
      <c r="L193" s="888"/>
      <c r="M193" s="888"/>
      <c r="N193" s="888"/>
      <c r="O193" s="888"/>
      <c r="P193" s="888"/>
    </row>
    <row r="194" spans="2:16">
      <c r="B194" s="888">
        <v>78909</v>
      </c>
      <c r="C194" s="888" t="s">
        <v>991</v>
      </c>
      <c r="D194" s="888" t="s">
        <v>1096</v>
      </c>
      <c r="E194" s="888" t="s">
        <v>113</v>
      </c>
      <c r="F194" s="888" t="s">
        <v>1089</v>
      </c>
      <c r="G194" s="888" t="s">
        <v>1083</v>
      </c>
      <c r="H194" s="888">
        <v>2016</v>
      </c>
      <c r="I194" s="888"/>
      <c r="J194" s="888" t="s">
        <v>1084</v>
      </c>
      <c r="K194" s="888"/>
      <c r="L194" s="888"/>
      <c r="M194" s="888"/>
      <c r="N194" s="888"/>
      <c r="O194" s="888"/>
      <c r="P194" s="888" t="s">
        <v>1085</v>
      </c>
    </row>
    <row r="195" spans="2:16">
      <c r="B195" s="888">
        <v>78910</v>
      </c>
      <c r="C195" s="888" t="s">
        <v>991</v>
      </c>
      <c r="D195" s="888" t="s">
        <v>1096</v>
      </c>
      <c r="E195" s="888" t="s">
        <v>113</v>
      </c>
      <c r="F195" s="888" t="s">
        <v>1089</v>
      </c>
      <c r="G195" s="888" t="s">
        <v>1083</v>
      </c>
      <c r="H195" s="888">
        <v>2016</v>
      </c>
      <c r="I195" s="888"/>
      <c r="J195" s="888" t="s">
        <v>1084</v>
      </c>
      <c r="K195" s="888"/>
      <c r="L195" s="888"/>
      <c r="M195" s="888"/>
      <c r="N195" s="888"/>
      <c r="O195" s="888"/>
      <c r="P195" s="888" t="s">
        <v>1085</v>
      </c>
    </row>
    <row r="196" spans="2:16">
      <c r="B196" s="888">
        <v>78906</v>
      </c>
      <c r="C196" s="888" t="s">
        <v>991</v>
      </c>
      <c r="D196" s="888" t="s">
        <v>1096</v>
      </c>
      <c r="E196" s="888" t="s">
        <v>113</v>
      </c>
      <c r="F196" s="888" t="s">
        <v>1089</v>
      </c>
      <c r="G196" s="888" t="s">
        <v>1083</v>
      </c>
      <c r="H196" s="888">
        <v>2015</v>
      </c>
      <c r="I196" s="888"/>
      <c r="J196" s="888" t="s">
        <v>1084</v>
      </c>
      <c r="K196" s="888"/>
      <c r="L196" s="888"/>
      <c r="M196" s="888"/>
      <c r="N196" s="888"/>
      <c r="O196" s="888"/>
      <c r="P196" s="888"/>
    </row>
    <row r="197" spans="2:16">
      <c r="B197" s="888">
        <v>78907</v>
      </c>
      <c r="C197" s="888" t="s">
        <v>991</v>
      </c>
      <c r="D197" s="888" t="s">
        <v>1096</v>
      </c>
      <c r="E197" s="888" t="s">
        <v>113</v>
      </c>
      <c r="F197" s="888" t="s">
        <v>1089</v>
      </c>
      <c r="G197" s="888" t="s">
        <v>1083</v>
      </c>
      <c r="H197" s="888">
        <v>2015</v>
      </c>
      <c r="I197" s="888"/>
      <c r="J197" s="888" t="s">
        <v>1084</v>
      </c>
      <c r="K197" s="888"/>
      <c r="L197" s="888"/>
      <c r="M197" s="888"/>
      <c r="N197" s="888"/>
      <c r="O197" s="888"/>
      <c r="P197" s="888"/>
    </row>
    <row r="198" spans="2:16">
      <c r="B198" s="888">
        <v>78908</v>
      </c>
      <c r="C198" s="888" t="s">
        <v>991</v>
      </c>
      <c r="D198" s="888" t="s">
        <v>1096</v>
      </c>
      <c r="E198" s="888" t="s">
        <v>113</v>
      </c>
      <c r="F198" s="888" t="s">
        <v>1089</v>
      </c>
      <c r="G198" s="888" t="s">
        <v>1083</v>
      </c>
      <c r="H198" s="888">
        <v>2016</v>
      </c>
      <c r="I198" s="888"/>
      <c r="J198" s="888" t="s">
        <v>1084</v>
      </c>
      <c r="K198" s="888"/>
      <c r="L198" s="888"/>
      <c r="M198" s="888"/>
      <c r="N198" s="888"/>
      <c r="O198" s="888"/>
      <c r="P198" s="888"/>
    </row>
    <row r="199" spans="2:16">
      <c r="B199" s="888"/>
      <c r="C199" s="888"/>
      <c r="D199" s="888"/>
      <c r="E199" s="888"/>
      <c r="F199" s="888"/>
      <c r="G199" s="888"/>
      <c r="H199" s="888"/>
      <c r="I199" s="888"/>
      <c r="J199" s="889">
        <v>1</v>
      </c>
      <c r="K199" s="890" t="s">
        <v>1087</v>
      </c>
      <c r="L199" s="888"/>
      <c r="M199" s="888"/>
      <c r="N199" s="888"/>
      <c r="O199" s="888"/>
      <c r="P199" s="888"/>
    </row>
    <row r="200" spans="2:16">
      <c r="B200" s="888"/>
      <c r="C200" s="888"/>
      <c r="D200" s="888"/>
      <c r="E200" s="888"/>
      <c r="F200" s="888"/>
      <c r="G200" s="888"/>
      <c r="H200" s="888"/>
      <c r="I200" s="888"/>
      <c r="J200" s="888"/>
      <c r="K200" s="888"/>
      <c r="L200" s="888"/>
      <c r="M200" s="888"/>
      <c r="N200" s="888"/>
      <c r="O200" s="888"/>
      <c r="P200" s="888"/>
    </row>
    <row r="201" spans="2:16">
      <c r="B201" s="888">
        <v>78911</v>
      </c>
      <c r="C201" s="888" t="s">
        <v>991</v>
      </c>
      <c r="D201" s="888" t="s">
        <v>1096</v>
      </c>
      <c r="E201" s="888" t="s">
        <v>1097</v>
      </c>
      <c r="F201" s="888" t="s">
        <v>1089</v>
      </c>
      <c r="G201" s="888" t="s">
        <v>1083</v>
      </c>
      <c r="H201" s="888">
        <v>2016</v>
      </c>
      <c r="I201" s="888">
        <v>733844</v>
      </c>
      <c r="J201" s="888" t="s">
        <v>1084</v>
      </c>
      <c r="K201" s="888" t="s">
        <v>1014</v>
      </c>
      <c r="L201" s="888" t="s">
        <v>1098</v>
      </c>
      <c r="M201" s="888" t="s">
        <v>1099</v>
      </c>
      <c r="N201" s="888" t="s">
        <v>1014</v>
      </c>
      <c r="O201" s="888"/>
      <c r="P201" s="888" t="s">
        <v>1085</v>
      </c>
    </row>
    <row r="202" spans="2:16">
      <c r="B202" s="888">
        <v>78912</v>
      </c>
      <c r="C202" s="888" t="s">
        <v>991</v>
      </c>
      <c r="D202" s="888" t="s">
        <v>1096</v>
      </c>
      <c r="E202" s="888" t="s">
        <v>1097</v>
      </c>
      <c r="F202" s="888" t="s">
        <v>1089</v>
      </c>
      <c r="G202" s="888" t="s">
        <v>1083</v>
      </c>
      <c r="H202" s="888">
        <v>2016</v>
      </c>
      <c r="I202" s="888">
        <v>727048</v>
      </c>
      <c r="J202" s="888" t="s">
        <v>1084</v>
      </c>
      <c r="K202" s="888" t="s">
        <v>1014</v>
      </c>
      <c r="L202" s="888" t="s">
        <v>1100</v>
      </c>
      <c r="M202" s="888" t="s">
        <v>1101</v>
      </c>
      <c r="N202" s="888" t="s">
        <v>1014</v>
      </c>
      <c r="O202" s="888"/>
      <c r="P202" s="888" t="s">
        <v>1085</v>
      </c>
    </row>
    <row r="203" spans="2:16">
      <c r="B203" s="888">
        <v>78913</v>
      </c>
      <c r="C203" s="888" t="s">
        <v>991</v>
      </c>
      <c r="D203" s="888" t="s">
        <v>1096</v>
      </c>
      <c r="E203" s="888" t="s">
        <v>1097</v>
      </c>
      <c r="F203" s="888" t="s">
        <v>1089</v>
      </c>
      <c r="G203" s="888" t="s">
        <v>1083</v>
      </c>
      <c r="H203" s="888">
        <v>2016</v>
      </c>
      <c r="I203" s="888">
        <v>766804</v>
      </c>
      <c r="J203" s="888" t="s">
        <v>1084</v>
      </c>
      <c r="K203" s="888" t="s">
        <v>1014</v>
      </c>
      <c r="L203" s="888" t="s">
        <v>1102</v>
      </c>
      <c r="M203" s="888" t="s">
        <v>1103</v>
      </c>
      <c r="N203" s="888" t="s">
        <v>1014</v>
      </c>
      <c r="O203" s="888"/>
      <c r="P203" s="888" t="s">
        <v>1086</v>
      </c>
    </row>
    <row r="204" spans="2:16">
      <c r="B204" s="888">
        <v>78916</v>
      </c>
      <c r="C204" s="888" t="s">
        <v>991</v>
      </c>
      <c r="D204" s="888" t="s">
        <v>1096</v>
      </c>
      <c r="E204" s="888" t="s">
        <v>1097</v>
      </c>
      <c r="F204" s="888" t="s">
        <v>1089</v>
      </c>
      <c r="G204" s="888" t="s">
        <v>1083</v>
      </c>
      <c r="H204" s="888">
        <v>2016</v>
      </c>
      <c r="I204" s="888">
        <v>838171</v>
      </c>
      <c r="J204" s="888" t="s">
        <v>1084</v>
      </c>
      <c r="K204" s="888" t="s">
        <v>1014</v>
      </c>
      <c r="L204" s="888" t="s">
        <v>1104</v>
      </c>
      <c r="M204" s="888" t="s">
        <v>1105</v>
      </c>
      <c r="N204" s="888" t="s">
        <v>1014</v>
      </c>
      <c r="O204" s="888"/>
      <c r="P204" s="888" t="s">
        <v>1085</v>
      </c>
    </row>
    <row r="205" spans="2:16">
      <c r="B205" s="888">
        <v>78918</v>
      </c>
      <c r="C205" s="888" t="s">
        <v>991</v>
      </c>
      <c r="D205" s="888" t="s">
        <v>1096</v>
      </c>
      <c r="E205" s="888" t="s">
        <v>1097</v>
      </c>
      <c r="F205" s="888" t="s">
        <v>1089</v>
      </c>
      <c r="G205" s="888" t="s">
        <v>1083</v>
      </c>
      <c r="H205" s="888">
        <v>2016</v>
      </c>
      <c r="I205" s="888">
        <v>844684</v>
      </c>
      <c r="J205" s="888" t="s">
        <v>1084</v>
      </c>
      <c r="K205" s="888" t="s">
        <v>1014</v>
      </c>
      <c r="L205" s="888" t="s">
        <v>1106</v>
      </c>
      <c r="M205" s="888" t="s">
        <v>1107</v>
      </c>
      <c r="N205" s="888" t="s">
        <v>1014</v>
      </c>
      <c r="O205" s="888"/>
      <c r="P205" s="888" t="s">
        <v>1086</v>
      </c>
    </row>
    <row r="206" spans="2:16">
      <c r="B206" s="888">
        <v>78919</v>
      </c>
      <c r="C206" s="888" t="s">
        <v>991</v>
      </c>
      <c r="D206" s="888" t="s">
        <v>1096</v>
      </c>
      <c r="E206" s="888" t="s">
        <v>1097</v>
      </c>
      <c r="F206" s="888" t="s">
        <v>1089</v>
      </c>
      <c r="G206" s="888" t="s">
        <v>1083</v>
      </c>
      <c r="H206" s="888">
        <v>2016</v>
      </c>
      <c r="I206" s="888">
        <v>740279</v>
      </c>
      <c r="J206" s="888" t="s">
        <v>1084</v>
      </c>
      <c r="K206" s="888" t="s">
        <v>1014</v>
      </c>
      <c r="L206" s="888" t="s">
        <v>1108</v>
      </c>
      <c r="M206" s="888" t="s">
        <v>1109</v>
      </c>
      <c r="N206" s="888" t="s">
        <v>1014</v>
      </c>
      <c r="O206" s="888"/>
      <c r="P206" s="888" t="s">
        <v>1086</v>
      </c>
    </row>
    <row r="207" spans="2:16">
      <c r="B207" s="888">
        <v>78920</v>
      </c>
      <c r="C207" s="888" t="s">
        <v>991</v>
      </c>
      <c r="D207" s="888" t="s">
        <v>1096</v>
      </c>
      <c r="E207" s="888" t="s">
        <v>1097</v>
      </c>
      <c r="F207" s="888" t="s">
        <v>1089</v>
      </c>
      <c r="G207" s="888" t="s">
        <v>1083</v>
      </c>
      <c r="H207" s="888">
        <v>2016</v>
      </c>
      <c r="I207" s="888">
        <v>725345</v>
      </c>
      <c r="J207" s="888" t="s">
        <v>1084</v>
      </c>
      <c r="K207" s="888" t="s">
        <v>1014</v>
      </c>
      <c r="L207" s="888" t="s">
        <v>1110</v>
      </c>
      <c r="M207" s="888" t="s">
        <v>1111</v>
      </c>
      <c r="N207" s="888" t="s">
        <v>1014</v>
      </c>
      <c r="O207" s="888"/>
      <c r="P207" s="888" t="s">
        <v>1086</v>
      </c>
    </row>
    <row r="208" spans="2:16">
      <c r="B208" s="888">
        <v>78922</v>
      </c>
      <c r="C208" s="888" t="s">
        <v>991</v>
      </c>
      <c r="D208" s="888" t="s">
        <v>1096</v>
      </c>
      <c r="E208" s="888" t="s">
        <v>1097</v>
      </c>
      <c r="F208" s="888" t="s">
        <v>1089</v>
      </c>
      <c r="G208" s="888" t="s">
        <v>1083</v>
      </c>
      <c r="H208" s="888">
        <v>2016</v>
      </c>
      <c r="I208" s="888">
        <v>767750</v>
      </c>
      <c r="J208" s="888" t="s">
        <v>1084</v>
      </c>
      <c r="K208" s="888" t="s">
        <v>1014</v>
      </c>
      <c r="L208" s="888" t="s">
        <v>1106</v>
      </c>
      <c r="M208" s="888" t="s">
        <v>1112</v>
      </c>
      <c r="N208" s="888" t="s">
        <v>1014</v>
      </c>
      <c r="O208" s="888"/>
      <c r="P208" s="888" t="s">
        <v>1085</v>
      </c>
    </row>
    <row r="209" spans="2:16">
      <c r="B209" s="888">
        <v>78924</v>
      </c>
      <c r="C209" s="888" t="s">
        <v>991</v>
      </c>
      <c r="D209" s="888" t="s">
        <v>1096</v>
      </c>
      <c r="E209" s="888" t="s">
        <v>1097</v>
      </c>
      <c r="F209" s="888" t="s">
        <v>1089</v>
      </c>
      <c r="G209" s="888" t="s">
        <v>1083</v>
      </c>
      <c r="H209" s="888">
        <v>2016</v>
      </c>
      <c r="I209" s="888">
        <v>776417</v>
      </c>
      <c r="J209" s="888" t="s">
        <v>1084</v>
      </c>
      <c r="K209" s="888" t="s">
        <v>1014</v>
      </c>
      <c r="L209" s="888" t="s">
        <v>1113</v>
      </c>
      <c r="M209" s="888" t="s">
        <v>1114</v>
      </c>
      <c r="N209" s="888" t="s">
        <v>1115</v>
      </c>
      <c r="O209" s="888"/>
      <c r="P209" s="888" t="s">
        <v>1086</v>
      </c>
    </row>
    <row r="210" spans="2:16">
      <c r="B210" s="888">
        <v>78925</v>
      </c>
      <c r="C210" s="888" t="s">
        <v>991</v>
      </c>
      <c r="D210" s="888" t="s">
        <v>1096</v>
      </c>
      <c r="E210" s="888" t="s">
        <v>1097</v>
      </c>
      <c r="F210" s="888" t="s">
        <v>1089</v>
      </c>
      <c r="G210" s="888" t="s">
        <v>1083</v>
      </c>
      <c r="H210" s="888">
        <v>2016</v>
      </c>
      <c r="I210" s="888">
        <v>777558</v>
      </c>
      <c r="J210" s="888" t="s">
        <v>1084</v>
      </c>
      <c r="K210" s="888" t="s">
        <v>1014</v>
      </c>
      <c r="L210" s="888" t="s">
        <v>1116</v>
      </c>
      <c r="M210" s="888" t="s">
        <v>1117</v>
      </c>
      <c r="N210" s="888" t="s">
        <v>1014</v>
      </c>
      <c r="O210" s="888"/>
      <c r="P210" s="888" t="s">
        <v>1085</v>
      </c>
    </row>
    <row r="211" spans="2:16">
      <c r="B211" s="888">
        <v>78926</v>
      </c>
      <c r="C211" s="888" t="s">
        <v>991</v>
      </c>
      <c r="D211" s="888" t="s">
        <v>1096</v>
      </c>
      <c r="E211" s="888" t="s">
        <v>1097</v>
      </c>
      <c r="F211" s="888" t="s">
        <v>1089</v>
      </c>
      <c r="G211" s="888" t="s">
        <v>1083</v>
      </c>
      <c r="H211" s="888">
        <v>2016</v>
      </c>
      <c r="I211" s="888">
        <v>738178</v>
      </c>
      <c r="J211" s="888" t="s">
        <v>1084</v>
      </c>
      <c r="K211" s="888" t="s">
        <v>1014</v>
      </c>
      <c r="L211" s="888" t="s">
        <v>1108</v>
      </c>
      <c r="M211" s="888" t="s">
        <v>1118</v>
      </c>
      <c r="N211" s="888" t="s">
        <v>1014</v>
      </c>
      <c r="O211" s="888"/>
      <c r="P211" s="888" t="s">
        <v>1085</v>
      </c>
    </row>
    <row r="212" spans="2:16">
      <c r="B212" s="888">
        <v>78928</v>
      </c>
      <c r="C212" s="888" t="s">
        <v>991</v>
      </c>
      <c r="D212" s="888" t="s">
        <v>1096</v>
      </c>
      <c r="E212" s="888" t="s">
        <v>1097</v>
      </c>
      <c r="F212" s="888" t="s">
        <v>1089</v>
      </c>
      <c r="G212" s="888" t="s">
        <v>1083</v>
      </c>
      <c r="H212" s="888">
        <v>2016</v>
      </c>
      <c r="I212" s="888">
        <v>765165</v>
      </c>
      <c r="J212" s="888" t="s">
        <v>1084</v>
      </c>
      <c r="K212" s="888" t="s">
        <v>1014</v>
      </c>
      <c r="L212" s="888" t="s">
        <v>1119</v>
      </c>
      <c r="M212" s="888" t="s">
        <v>1120</v>
      </c>
      <c r="N212" s="888" t="s">
        <v>1014</v>
      </c>
      <c r="O212" s="888"/>
      <c r="P212" s="888" t="s">
        <v>1085</v>
      </c>
    </row>
    <row r="213" spans="2:16">
      <c r="B213" s="888">
        <v>78929</v>
      </c>
      <c r="C213" s="888" t="s">
        <v>991</v>
      </c>
      <c r="D213" s="888" t="s">
        <v>1096</v>
      </c>
      <c r="E213" s="888" t="s">
        <v>1097</v>
      </c>
      <c r="F213" s="888" t="s">
        <v>1089</v>
      </c>
      <c r="G213" s="888" t="s">
        <v>1083</v>
      </c>
      <c r="H213" s="888">
        <v>2016</v>
      </c>
      <c r="I213" s="888">
        <v>765694</v>
      </c>
      <c r="J213" s="888" t="s">
        <v>1084</v>
      </c>
      <c r="K213" s="888" t="s">
        <v>1014</v>
      </c>
      <c r="L213" s="888" t="s">
        <v>1121</v>
      </c>
      <c r="M213" s="888" t="s">
        <v>1122</v>
      </c>
      <c r="N213" s="888" t="s">
        <v>1014</v>
      </c>
      <c r="O213" s="888"/>
      <c r="P213" s="888" t="s">
        <v>1085</v>
      </c>
    </row>
    <row r="214" spans="2:16">
      <c r="B214" s="888">
        <v>78931</v>
      </c>
      <c r="C214" s="888" t="s">
        <v>991</v>
      </c>
      <c r="D214" s="888" t="s">
        <v>1096</v>
      </c>
      <c r="E214" s="888" t="s">
        <v>1097</v>
      </c>
      <c r="F214" s="888" t="s">
        <v>1089</v>
      </c>
      <c r="G214" s="888" t="s">
        <v>1083</v>
      </c>
      <c r="H214" s="888">
        <v>2016</v>
      </c>
      <c r="I214" s="888">
        <v>763868</v>
      </c>
      <c r="J214" s="888" t="s">
        <v>1084</v>
      </c>
      <c r="K214" s="888" t="s">
        <v>1123</v>
      </c>
      <c r="L214" s="888" t="s">
        <v>1124</v>
      </c>
      <c r="M214" s="888" t="s">
        <v>1125</v>
      </c>
      <c r="N214" s="888" t="s">
        <v>1014</v>
      </c>
      <c r="O214" s="888"/>
      <c r="P214" s="888" t="s">
        <v>1086</v>
      </c>
    </row>
    <row r="215" spans="2:16">
      <c r="B215" s="888">
        <v>78932</v>
      </c>
      <c r="C215" s="888" t="s">
        <v>991</v>
      </c>
      <c r="D215" s="888" t="s">
        <v>1096</v>
      </c>
      <c r="E215" s="888" t="s">
        <v>1097</v>
      </c>
      <c r="F215" s="888" t="s">
        <v>1089</v>
      </c>
      <c r="G215" s="888" t="s">
        <v>1083</v>
      </c>
      <c r="H215" s="888">
        <v>2016</v>
      </c>
      <c r="I215" s="888">
        <v>749482</v>
      </c>
      <c r="J215" s="888" t="s">
        <v>1084</v>
      </c>
      <c r="K215" s="888" t="s">
        <v>1014</v>
      </c>
      <c r="L215" s="888" t="s">
        <v>1126</v>
      </c>
      <c r="M215" s="888" t="s">
        <v>1127</v>
      </c>
      <c r="N215" s="888" t="s">
        <v>1014</v>
      </c>
      <c r="O215" s="888"/>
      <c r="P215" s="888" t="s">
        <v>1086</v>
      </c>
    </row>
    <row r="216" spans="2:16">
      <c r="B216" s="888">
        <v>78933</v>
      </c>
      <c r="C216" s="888" t="s">
        <v>991</v>
      </c>
      <c r="D216" s="888" t="s">
        <v>1096</v>
      </c>
      <c r="E216" s="888" t="s">
        <v>1097</v>
      </c>
      <c r="F216" s="888" t="s">
        <v>1089</v>
      </c>
      <c r="G216" s="888" t="s">
        <v>1083</v>
      </c>
      <c r="H216" s="888">
        <v>2016</v>
      </c>
      <c r="I216" s="888">
        <v>747194</v>
      </c>
      <c r="J216" s="888" t="s">
        <v>1084</v>
      </c>
      <c r="K216" s="888" t="s">
        <v>1014</v>
      </c>
      <c r="L216" s="888" t="s">
        <v>1128</v>
      </c>
      <c r="M216" s="888" t="s">
        <v>1129</v>
      </c>
      <c r="N216" s="888" t="s">
        <v>1014</v>
      </c>
      <c r="O216" s="888"/>
      <c r="P216" s="888" t="s">
        <v>1086</v>
      </c>
    </row>
    <row r="217" spans="2:16">
      <c r="B217" s="888">
        <v>78935</v>
      </c>
      <c r="C217" s="888" t="s">
        <v>991</v>
      </c>
      <c r="D217" s="888" t="s">
        <v>1096</v>
      </c>
      <c r="E217" s="888" t="s">
        <v>1097</v>
      </c>
      <c r="F217" s="888" t="s">
        <v>1089</v>
      </c>
      <c r="G217" s="888" t="s">
        <v>1083</v>
      </c>
      <c r="H217" s="888">
        <v>2016</v>
      </c>
      <c r="I217" s="888">
        <v>761136</v>
      </c>
      <c r="J217" s="888" t="s">
        <v>1084</v>
      </c>
      <c r="K217" s="888" t="s">
        <v>1014</v>
      </c>
      <c r="L217" s="888" t="s">
        <v>1130</v>
      </c>
      <c r="M217" s="888" t="s">
        <v>1131</v>
      </c>
      <c r="N217" s="888" t="s">
        <v>1014</v>
      </c>
      <c r="O217" s="888"/>
      <c r="P217" s="888" t="s">
        <v>1085</v>
      </c>
    </row>
    <row r="218" spans="2:16">
      <c r="B218" s="888">
        <v>78938</v>
      </c>
      <c r="C218" s="888" t="s">
        <v>991</v>
      </c>
      <c r="D218" s="888" t="s">
        <v>1096</v>
      </c>
      <c r="E218" s="888" t="s">
        <v>1097</v>
      </c>
      <c r="F218" s="888" t="s">
        <v>1089</v>
      </c>
      <c r="G218" s="888" t="s">
        <v>1083</v>
      </c>
      <c r="H218" s="888">
        <v>2016</v>
      </c>
      <c r="I218" s="888">
        <v>796219</v>
      </c>
      <c r="J218" s="888" t="s">
        <v>1084</v>
      </c>
      <c r="K218" s="888" t="s">
        <v>1014</v>
      </c>
      <c r="L218" s="888" t="s">
        <v>1104</v>
      </c>
      <c r="M218" s="888" t="s">
        <v>1132</v>
      </c>
      <c r="N218" s="888" t="s">
        <v>1014</v>
      </c>
      <c r="O218" s="888"/>
      <c r="P218" s="888" t="s">
        <v>1085</v>
      </c>
    </row>
    <row r="219" spans="2:16">
      <c r="B219" s="888">
        <v>78939</v>
      </c>
      <c r="C219" s="888" t="s">
        <v>991</v>
      </c>
      <c r="D219" s="888" t="s">
        <v>1096</v>
      </c>
      <c r="E219" s="888" t="s">
        <v>1097</v>
      </c>
      <c r="F219" s="888" t="s">
        <v>1089</v>
      </c>
      <c r="G219" s="888" t="s">
        <v>1083</v>
      </c>
      <c r="H219" s="888">
        <v>2016</v>
      </c>
      <c r="I219" s="888">
        <v>792055</v>
      </c>
      <c r="J219" s="888" t="s">
        <v>1084</v>
      </c>
      <c r="K219" s="888" t="s">
        <v>1014</v>
      </c>
      <c r="L219" s="888" t="s">
        <v>1133</v>
      </c>
      <c r="M219" s="888" t="s">
        <v>1134</v>
      </c>
      <c r="N219" s="888" t="s">
        <v>1014</v>
      </c>
      <c r="O219" s="888"/>
      <c r="P219" s="888" t="s">
        <v>1085</v>
      </c>
    </row>
    <row r="220" spans="2:16">
      <c r="B220" s="888">
        <v>78940</v>
      </c>
      <c r="C220" s="888" t="s">
        <v>991</v>
      </c>
      <c r="D220" s="888" t="s">
        <v>1096</v>
      </c>
      <c r="E220" s="888" t="s">
        <v>1097</v>
      </c>
      <c r="F220" s="888" t="s">
        <v>1089</v>
      </c>
      <c r="G220" s="888" t="s">
        <v>1083</v>
      </c>
      <c r="H220" s="888">
        <v>2016</v>
      </c>
      <c r="I220" s="888">
        <v>792810</v>
      </c>
      <c r="J220" s="888" t="s">
        <v>1084</v>
      </c>
      <c r="K220" s="888" t="s">
        <v>1014</v>
      </c>
      <c r="L220" s="888" t="s">
        <v>1135</v>
      </c>
      <c r="M220" s="888" t="s">
        <v>1136</v>
      </c>
      <c r="N220" s="888" t="s">
        <v>1014</v>
      </c>
      <c r="O220" s="888"/>
      <c r="P220" s="888" t="s">
        <v>1085</v>
      </c>
    </row>
    <row r="221" spans="2:16">
      <c r="B221" s="888">
        <v>78941</v>
      </c>
      <c r="C221" s="888" t="s">
        <v>991</v>
      </c>
      <c r="D221" s="888" t="s">
        <v>1096</v>
      </c>
      <c r="E221" s="888" t="s">
        <v>1097</v>
      </c>
      <c r="F221" s="888" t="s">
        <v>1089</v>
      </c>
      <c r="G221" s="888" t="s">
        <v>1083</v>
      </c>
      <c r="H221" s="888">
        <v>2016</v>
      </c>
      <c r="I221" s="888">
        <v>794702</v>
      </c>
      <c r="J221" s="888" t="s">
        <v>1084</v>
      </c>
      <c r="K221" s="888" t="s">
        <v>1014</v>
      </c>
      <c r="L221" s="888" t="s">
        <v>1137</v>
      </c>
      <c r="M221" s="888" t="s">
        <v>1138</v>
      </c>
      <c r="N221" s="888" t="s">
        <v>1014</v>
      </c>
      <c r="O221" s="888"/>
      <c r="P221" s="888" t="s">
        <v>1085</v>
      </c>
    </row>
    <row r="222" spans="2:16">
      <c r="B222" s="888">
        <v>78942</v>
      </c>
      <c r="C222" s="888" t="s">
        <v>991</v>
      </c>
      <c r="D222" s="888" t="s">
        <v>1096</v>
      </c>
      <c r="E222" s="888" t="s">
        <v>1097</v>
      </c>
      <c r="F222" s="888" t="s">
        <v>1089</v>
      </c>
      <c r="G222" s="888" t="s">
        <v>1083</v>
      </c>
      <c r="H222" s="888">
        <v>2016</v>
      </c>
      <c r="I222" s="888">
        <v>793729</v>
      </c>
      <c r="J222" s="888" t="s">
        <v>1084</v>
      </c>
      <c r="K222" s="888" t="s">
        <v>1014</v>
      </c>
      <c r="L222" s="888" t="s">
        <v>1139</v>
      </c>
      <c r="M222" s="888" t="s">
        <v>1140</v>
      </c>
      <c r="N222" s="888" t="s">
        <v>1014</v>
      </c>
      <c r="O222" s="888"/>
      <c r="P222" s="888" t="s">
        <v>1085</v>
      </c>
    </row>
    <row r="223" spans="2:16">
      <c r="B223" s="888">
        <v>78946</v>
      </c>
      <c r="C223" s="888" t="s">
        <v>991</v>
      </c>
      <c r="D223" s="888" t="s">
        <v>1096</v>
      </c>
      <c r="E223" s="888" t="s">
        <v>1097</v>
      </c>
      <c r="F223" s="888" t="s">
        <v>1089</v>
      </c>
      <c r="G223" s="888" t="s">
        <v>1083</v>
      </c>
      <c r="H223" s="888">
        <v>2016</v>
      </c>
      <c r="I223" s="888">
        <v>798118</v>
      </c>
      <c r="J223" s="888" t="s">
        <v>1084</v>
      </c>
      <c r="K223" s="888" t="s">
        <v>1014</v>
      </c>
      <c r="L223" s="888" t="s">
        <v>1141</v>
      </c>
      <c r="M223" s="888" t="s">
        <v>1142</v>
      </c>
      <c r="N223" s="888" t="s">
        <v>1014</v>
      </c>
      <c r="O223" s="888"/>
      <c r="P223" s="888" t="s">
        <v>1085</v>
      </c>
    </row>
    <row r="224" spans="2:16">
      <c r="B224" s="888">
        <v>78947</v>
      </c>
      <c r="C224" s="888" t="s">
        <v>991</v>
      </c>
      <c r="D224" s="888" t="s">
        <v>1096</v>
      </c>
      <c r="E224" s="888" t="s">
        <v>1097</v>
      </c>
      <c r="F224" s="888" t="s">
        <v>1089</v>
      </c>
      <c r="G224" s="888" t="s">
        <v>1083</v>
      </c>
      <c r="H224" s="888">
        <v>2016</v>
      </c>
      <c r="I224" s="888">
        <v>800260</v>
      </c>
      <c r="J224" s="888" t="s">
        <v>1084</v>
      </c>
      <c r="K224" s="888" t="s">
        <v>1014</v>
      </c>
      <c r="L224" s="888" t="s">
        <v>1143</v>
      </c>
      <c r="M224" s="888" t="s">
        <v>1144</v>
      </c>
      <c r="N224" s="888" t="s">
        <v>1014</v>
      </c>
      <c r="O224" s="888"/>
      <c r="P224" s="888" t="s">
        <v>1085</v>
      </c>
    </row>
    <row r="225" spans="2:16">
      <c r="B225" s="888">
        <v>78948</v>
      </c>
      <c r="C225" s="888" t="s">
        <v>991</v>
      </c>
      <c r="D225" s="888" t="s">
        <v>1096</v>
      </c>
      <c r="E225" s="888" t="s">
        <v>1097</v>
      </c>
      <c r="F225" s="888" t="s">
        <v>1089</v>
      </c>
      <c r="G225" s="888" t="s">
        <v>1083</v>
      </c>
      <c r="H225" s="888">
        <v>2016</v>
      </c>
      <c r="I225" s="888">
        <v>796249</v>
      </c>
      <c r="J225" s="888" t="s">
        <v>1084</v>
      </c>
      <c r="K225" s="888" t="s">
        <v>1014</v>
      </c>
      <c r="L225" s="888" t="s">
        <v>1145</v>
      </c>
      <c r="M225" s="888" t="s">
        <v>1146</v>
      </c>
      <c r="N225" s="888" t="s">
        <v>1014</v>
      </c>
      <c r="O225" s="888"/>
      <c r="P225" s="888" t="s">
        <v>1085</v>
      </c>
    </row>
    <row r="226" spans="2:16">
      <c r="B226" s="888">
        <v>78950</v>
      </c>
      <c r="C226" s="888" t="s">
        <v>991</v>
      </c>
      <c r="D226" s="888" t="s">
        <v>1096</v>
      </c>
      <c r="E226" s="888" t="s">
        <v>1097</v>
      </c>
      <c r="F226" s="888" t="s">
        <v>1089</v>
      </c>
      <c r="G226" s="888" t="s">
        <v>1083</v>
      </c>
      <c r="H226" s="888">
        <v>2016</v>
      </c>
      <c r="I226" s="888">
        <v>796354</v>
      </c>
      <c r="J226" s="888" t="s">
        <v>1084</v>
      </c>
      <c r="K226" s="888" t="s">
        <v>1014</v>
      </c>
      <c r="L226" s="888" t="s">
        <v>1147</v>
      </c>
      <c r="M226" s="888" t="s">
        <v>1148</v>
      </c>
      <c r="N226" s="888" t="s">
        <v>1014</v>
      </c>
      <c r="O226" s="888"/>
      <c r="P226" s="888" t="s">
        <v>1085</v>
      </c>
    </row>
    <row r="227" spans="2:16">
      <c r="B227" s="888">
        <v>78952</v>
      </c>
      <c r="C227" s="888" t="s">
        <v>991</v>
      </c>
      <c r="D227" s="888" t="s">
        <v>1096</v>
      </c>
      <c r="E227" s="888" t="s">
        <v>1097</v>
      </c>
      <c r="F227" s="888" t="s">
        <v>1089</v>
      </c>
      <c r="G227" s="888" t="s">
        <v>1083</v>
      </c>
      <c r="H227" s="888">
        <v>2016</v>
      </c>
      <c r="I227" s="888">
        <v>803710</v>
      </c>
      <c r="J227" s="888" t="s">
        <v>1084</v>
      </c>
      <c r="K227" s="888" t="s">
        <v>1014</v>
      </c>
      <c r="L227" s="888" t="s">
        <v>1149</v>
      </c>
      <c r="M227" s="888" t="s">
        <v>1150</v>
      </c>
      <c r="N227" s="888" t="s">
        <v>1014</v>
      </c>
      <c r="O227" s="888"/>
      <c r="P227" s="888" t="s">
        <v>1085</v>
      </c>
    </row>
    <row r="228" spans="2:16">
      <c r="B228" s="888">
        <v>78953</v>
      </c>
      <c r="C228" s="888" t="s">
        <v>991</v>
      </c>
      <c r="D228" s="888" t="s">
        <v>1096</v>
      </c>
      <c r="E228" s="888" t="s">
        <v>1097</v>
      </c>
      <c r="F228" s="888" t="s">
        <v>1089</v>
      </c>
      <c r="G228" s="888" t="s">
        <v>1083</v>
      </c>
      <c r="H228" s="888">
        <v>2016</v>
      </c>
      <c r="I228" s="888">
        <v>805088</v>
      </c>
      <c r="J228" s="888" t="s">
        <v>1084</v>
      </c>
      <c r="K228" s="888" t="s">
        <v>1014</v>
      </c>
      <c r="L228" s="888" t="s">
        <v>1151</v>
      </c>
      <c r="M228" s="888" t="s">
        <v>1152</v>
      </c>
      <c r="N228" s="888" t="s">
        <v>1014</v>
      </c>
      <c r="O228" s="888"/>
      <c r="P228" s="888" t="s">
        <v>1085</v>
      </c>
    </row>
    <row r="229" spans="2:16">
      <c r="B229" s="888">
        <v>78955</v>
      </c>
      <c r="C229" s="888" t="s">
        <v>991</v>
      </c>
      <c r="D229" s="888" t="s">
        <v>1096</v>
      </c>
      <c r="E229" s="888" t="s">
        <v>1097</v>
      </c>
      <c r="F229" s="888" t="s">
        <v>1089</v>
      </c>
      <c r="G229" s="888" t="s">
        <v>1083</v>
      </c>
      <c r="H229" s="888">
        <v>2016</v>
      </c>
      <c r="I229" s="888">
        <v>819484</v>
      </c>
      <c r="J229" s="888" t="s">
        <v>1084</v>
      </c>
      <c r="K229" s="888" t="s">
        <v>1014</v>
      </c>
      <c r="L229" s="888" t="s">
        <v>1119</v>
      </c>
      <c r="M229" s="888" t="s">
        <v>1153</v>
      </c>
      <c r="N229" s="888" t="s">
        <v>1014</v>
      </c>
      <c r="O229" s="888"/>
      <c r="P229" s="888" t="s">
        <v>1085</v>
      </c>
    </row>
    <row r="230" spans="2:16">
      <c r="B230" s="888">
        <v>78956</v>
      </c>
      <c r="C230" s="888" t="s">
        <v>991</v>
      </c>
      <c r="D230" s="888" t="s">
        <v>1096</v>
      </c>
      <c r="E230" s="888" t="s">
        <v>1097</v>
      </c>
      <c r="F230" s="888" t="s">
        <v>1089</v>
      </c>
      <c r="G230" s="888" t="s">
        <v>1083</v>
      </c>
      <c r="H230" s="888">
        <v>2016</v>
      </c>
      <c r="I230" s="888">
        <v>821385</v>
      </c>
      <c r="J230" s="888" t="s">
        <v>1084</v>
      </c>
      <c r="K230" s="888" t="s">
        <v>1014</v>
      </c>
      <c r="L230" s="888" t="s">
        <v>1154</v>
      </c>
      <c r="M230" s="888" t="s">
        <v>1155</v>
      </c>
      <c r="N230" s="888" t="s">
        <v>1014</v>
      </c>
      <c r="O230" s="888"/>
      <c r="P230" s="888" t="s">
        <v>1085</v>
      </c>
    </row>
    <row r="231" spans="2:16">
      <c r="B231" s="888">
        <v>78958</v>
      </c>
      <c r="C231" s="888" t="s">
        <v>991</v>
      </c>
      <c r="D231" s="888" t="s">
        <v>1096</v>
      </c>
      <c r="E231" s="888" t="s">
        <v>1097</v>
      </c>
      <c r="F231" s="888" t="s">
        <v>1089</v>
      </c>
      <c r="G231" s="888" t="s">
        <v>1083</v>
      </c>
      <c r="H231" s="888">
        <v>2016</v>
      </c>
      <c r="I231" s="888">
        <v>824620</v>
      </c>
      <c r="J231" s="888" t="s">
        <v>1084</v>
      </c>
      <c r="K231" s="888" t="s">
        <v>1014</v>
      </c>
      <c r="L231" s="888" t="s">
        <v>1113</v>
      </c>
      <c r="M231" s="888" t="s">
        <v>1156</v>
      </c>
      <c r="N231" s="888" t="s">
        <v>1014</v>
      </c>
      <c r="O231" s="888"/>
      <c r="P231" s="888" t="s">
        <v>1085</v>
      </c>
    </row>
    <row r="232" spans="2:16">
      <c r="B232" s="888">
        <v>78959</v>
      </c>
      <c r="C232" s="888" t="s">
        <v>991</v>
      </c>
      <c r="D232" s="888" t="s">
        <v>1096</v>
      </c>
      <c r="E232" s="888" t="s">
        <v>1097</v>
      </c>
      <c r="F232" s="888" t="s">
        <v>1089</v>
      </c>
      <c r="G232" s="888" t="s">
        <v>1083</v>
      </c>
      <c r="H232" s="888">
        <v>2016</v>
      </c>
      <c r="I232" s="888">
        <v>827093</v>
      </c>
      <c r="J232" s="888" t="s">
        <v>1084</v>
      </c>
      <c r="K232" s="888" t="s">
        <v>1014</v>
      </c>
      <c r="L232" s="888" t="s">
        <v>1154</v>
      </c>
      <c r="M232" s="888" t="s">
        <v>1157</v>
      </c>
      <c r="N232" s="888" t="s">
        <v>1014</v>
      </c>
      <c r="O232" s="888"/>
      <c r="P232" s="888" t="s">
        <v>1085</v>
      </c>
    </row>
    <row r="233" spans="2:16">
      <c r="B233" s="888">
        <v>78960</v>
      </c>
      <c r="C233" s="888" t="s">
        <v>991</v>
      </c>
      <c r="D233" s="888" t="s">
        <v>1096</v>
      </c>
      <c r="E233" s="888" t="s">
        <v>1097</v>
      </c>
      <c r="F233" s="888" t="s">
        <v>1089</v>
      </c>
      <c r="G233" s="888" t="s">
        <v>1083</v>
      </c>
      <c r="H233" s="888">
        <v>2016</v>
      </c>
      <c r="I233" s="888">
        <v>821421</v>
      </c>
      <c r="J233" s="888" t="s">
        <v>1084</v>
      </c>
      <c r="K233" s="888" t="s">
        <v>1014</v>
      </c>
      <c r="L233" s="888" t="s">
        <v>1104</v>
      </c>
      <c r="M233" s="888" t="s">
        <v>1158</v>
      </c>
      <c r="N233" s="888" t="s">
        <v>1014</v>
      </c>
      <c r="O233" s="888"/>
      <c r="P233" s="888" t="s">
        <v>1085</v>
      </c>
    </row>
    <row r="234" spans="2:16">
      <c r="B234" s="888">
        <v>78961</v>
      </c>
      <c r="C234" s="888" t="s">
        <v>991</v>
      </c>
      <c r="D234" s="888" t="s">
        <v>1096</v>
      </c>
      <c r="E234" s="888" t="s">
        <v>1097</v>
      </c>
      <c r="F234" s="888" t="s">
        <v>1089</v>
      </c>
      <c r="G234" s="888" t="s">
        <v>1083</v>
      </c>
      <c r="H234" s="888">
        <v>2016</v>
      </c>
      <c r="I234" s="888">
        <v>832915</v>
      </c>
      <c r="J234" s="888" t="s">
        <v>1084</v>
      </c>
      <c r="K234" s="888" t="s">
        <v>1014</v>
      </c>
      <c r="L234" s="888" t="s">
        <v>1159</v>
      </c>
      <c r="M234" s="888" t="s">
        <v>1160</v>
      </c>
      <c r="N234" s="888" t="s">
        <v>1014</v>
      </c>
      <c r="O234" s="888"/>
      <c r="P234" s="888" t="s">
        <v>1086</v>
      </c>
    </row>
    <row r="235" spans="2:16">
      <c r="B235" s="888">
        <v>78962</v>
      </c>
      <c r="C235" s="888" t="s">
        <v>991</v>
      </c>
      <c r="D235" s="888" t="s">
        <v>1096</v>
      </c>
      <c r="E235" s="888" t="s">
        <v>1097</v>
      </c>
      <c r="F235" s="888" t="s">
        <v>1089</v>
      </c>
      <c r="G235" s="888" t="s">
        <v>1083</v>
      </c>
      <c r="H235" s="888">
        <v>2016</v>
      </c>
      <c r="I235" s="888">
        <v>824111</v>
      </c>
      <c r="J235" s="888" t="s">
        <v>1084</v>
      </c>
      <c r="K235" s="888" t="s">
        <v>1014</v>
      </c>
      <c r="L235" s="888" t="s">
        <v>1161</v>
      </c>
      <c r="M235" s="888" t="s">
        <v>1162</v>
      </c>
      <c r="N235" s="888" t="s">
        <v>1014</v>
      </c>
      <c r="O235" s="888"/>
      <c r="P235" s="888" t="s">
        <v>1085</v>
      </c>
    </row>
    <row r="236" spans="2:16">
      <c r="B236" s="888">
        <v>78963</v>
      </c>
      <c r="C236" s="888" t="s">
        <v>991</v>
      </c>
      <c r="D236" s="888" t="s">
        <v>1096</v>
      </c>
      <c r="E236" s="888" t="s">
        <v>1097</v>
      </c>
      <c r="F236" s="888" t="s">
        <v>1089</v>
      </c>
      <c r="G236" s="888" t="s">
        <v>1083</v>
      </c>
      <c r="H236" s="888">
        <v>2016</v>
      </c>
      <c r="I236" s="888">
        <v>821395</v>
      </c>
      <c r="J236" s="888" t="s">
        <v>1084</v>
      </c>
      <c r="K236" s="888" t="s">
        <v>1014</v>
      </c>
      <c r="L236" s="888" t="s">
        <v>1163</v>
      </c>
      <c r="M236" s="888" t="s">
        <v>1164</v>
      </c>
      <c r="N236" s="888" t="s">
        <v>1014</v>
      </c>
      <c r="O236" s="888"/>
      <c r="P236" s="888" t="s">
        <v>1085</v>
      </c>
    </row>
    <row r="237" spans="2:16">
      <c r="B237" s="888">
        <v>78964</v>
      </c>
      <c r="C237" s="888" t="s">
        <v>991</v>
      </c>
      <c r="D237" s="888" t="s">
        <v>1096</v>
      </c>
      <c r="E237" s="888" t="s">
        <v>1097</v>
      </c>
      <c r="F237" s="888" t="s">
        <v>1089</v>
      </c>
      <c r="G237" s="888" t="s">
        <v>1083</v>
      </c>
      <c r="H237" s="888">
        <v>2016</v>
      </c>
      <c r="I237" s="888">
        <v>822431</v>
      </c>
      <c r="J237" s="888" t="s">
        <v>1084</v>
      </c>
      <c r="K237" s="888" t="s">
        <v>1014</v>
      </c>
      <c r="L237" s="888" t="s">
        <v>1119</v>
      </c>
      <c r="M237" s="888" t="s">
        <v>1165</v>
      </c>
      <c r="N237" s="888" t="s">
        <v>1014</v>
      </c>
      <c r="O237" s="888"/>
      <c r="P237" s="888" t="s">
        <v>1086</v>
      </c>
    </row>
    <row r="238" spans="2:16">
      <c r="B238" s="888">
        <v>78966</v>
      </c>
      <c r="C238" s="888" t="s">
        <v>991</v>
      </c>
      <c r="D238" s="888" t="s">
        <v>1096</v>
      </c>
      <c r="E238" s="888" t="s">
        <v>1097</v>
      </c>
      <c r="F238" s="888" t="s">
        <v>1089</v>
      </c>
      <c r="G238" s="888" t="s">
        <v>1083</v>
      </c>
      <c r="H238" s="888">
        <v>2016</v>
      </c>
      <c r="I238" s="888">
        <v>832176</v>
      </c>
      <c r="J238" s="888" t="s">
        <v>1084</v>
      </c>
      <c r="K238" s="888" t="s">
        <v>1014</v>
      </c>
      <c r="L238" s="888" t="s">
        <v>1166</v>
      </c>
      <c r="M238" s="888" t="s">
        <v>1167</v>
      </c>
      <c r="N238" s="888" t="s">
        <v>1014</v>
      </c>
      <c r="O238" s="888"/>
      <c r="P238" s="888" t="s">
        <v>1086</v>
      </c>
    </row>
    <row r="239" spans="2:16">
      <c r="B239" s="888">
        <v>78967</v>
      </c>
      <c r="C239" s="888" t="s">
        <v>991</v>
      </c>
      <c r="D239" s="888" t="s">
        <v>1096</v>
      </c>
      <c r="E239" s="888" t="s">
        <v>1097</v>
      </c>
      <c r="F239" s="888" t="s">
        <v>1089</v>
      </c>
      <c r="G239" s="888" t="s">
        <v>1083</v>
      </c>
      <c r="H239" s="888">
        <v>2016</v>
      </c>
      <c r="I239" s="888">
        <v>777706</v>
      </c>
      <c r="J239" s="888" t="s">
        <v>1084</v>
      </c>
      <c r="K239" s="888" t="s">
        <v>1014</v>
      </c>
      <c r="L239" s="888" t="s">
        <v>1168</v>
      </c>
      <c r="M239" s="888" t="s">
        <v>1169</v>
      </c>
      <c r="N239" s="888" t="s">
        <v>1014</v>
      </c>
      <c r="O239" s="888"/>
      <c r="P239" s="888" t="s">
        <v>1085</v>
      </c>
    </row>
    <row r="240" spans="2:16">
      <c r="B240" s="888">
        <v>78968</v>
      </c>
      <c r="C240" s="888" t="s">
        <v>991</v>
      </c>
      <c r="D240" s="888" t="s">
        <v>1096</v>
      </c>
      <c r="E240" s="888" t="s">
        <v>1097</v>
      </c>
      <c r="F240" s="888" t="s">
        <v>1089</v>
      </c>
      <c r="G240" s="888" t="s">
        <v>1083</v>
      </c>
      <c r="H240" s="888">
        <v>2016</v>
      </c>
      <c r="I240" s="888">
        <v>823666</v>
      </c>
      <c r="J240" s="888" t="s">
        <v>1084</v>
      </c>
      <c r="K240" s="888" t="s">
        <v>1014</v>
      </c>
      <c r="L240" s="888" t="s">
        <v>1154</v>
      </c>
      <c r="M240" s="888" t="s">
        <v>1170</v>
      </c>
      <c r="N240" s="888" t="s">
        <v>1014</v>
      </c>
      <c r="O240" s="888"/>
      <c r="P240" s="888" t="s">
        <v>1085</v>
      </c>
    </row>
    <row r="241" spans="2:16">
      <c r="B241" s="888">
        <v>78969</v>
      </c>
      <c r="C241" s="888" t="s">
        <v>991</v>
      </c>
      <c r="D241" s="888" t="s">
        <v>1096</v>
      </c>
      <c r="E241" s="888" t="s">
        <v>1097</v>
      </c>
      <c r="F241" s="888" t="s">
        <v>1089</v>
      </c>
      <c r="G241" s="888" t="s">
        <v>1083</v>
      </c>
      <c r="H241" s="888">
        <v>2016</v>
      </c>
      <c r="I241" s="888">
        <v>824653</v>
      </c>
      <c r="J241" s="888" t="s">
        <v>1084</v>
      </c>
      <c r="K241" s="888" t="s">
        <v>1014</v>
      </c>
      <c r="L241" s="888" t="s">
        <v>1171</v>
      </c>
      <c r="M241" s="888" t="s">
        <v>1172</v>
      </c>
      <c r="N241" s="888" t="s">
        <v>1014</v>
      </c>
      <c r="O241" s="888"/>
      <c r="P241" s="888" t="s">
        <v>1085</v>
      </c>
    </row>
    <row r="242" spans="2:16">
      <c r="B242" s="888">
        <v>78971</v>
      </c>
      <c r="C242" s="888" t="s">
        <v>991</v>
      </c>
      <c r="D242" s="888" t="s">
        <v>1096</v>
      </c>
      <c r="E242" s="888" t="s">
        <v>1097</v>
      </c>
      <c r="F242" s="888" t="s">
        <v>1089</v>
      </c>
      <c r="G242" s="888" t="s">
        <v>1083</v>
      </c>
      <c r="H242" s="888">
        <v>2016</v>
      </c>
      <c r="I242" s="888">
        <v>831097</v>
      </c>
      <c r="J242" s="888" t="s">
        <v>1084</v>
      </c>
      <c r="K242" s="888" t="s">
        <v>1014</v>
      </c>
      <c r="L242" s="888" t="s">
        <v>1173</v>
      </c>
      <c r="M242" s="888" t="s">
        <v>1174</v>
      </c>
      <c r="N242" s="888" t="s">
        <v>1014</v>
      </c>
      <c r="O242" s="888"/>
      <c r="P242" s="888" t="s">
        <v>1085</v>
      </c>
    </row>
    <row r="243" spans="2:16">
      <c r="B243" s="888">
        <v>78973</v>
      </c>
      <c r="C243" s="888" t="s">
        <v>991</v>
      </c>
      <c r="D243" s="888" t="s">
        <v>1096</v>
      </c>
      <c r="E243" s="888" t="s">
        <v>1097</v>
      </c>
      <c r="F243" s="888" t="s">
        <v>1089</v>
      </c>
      <c r="G243" s="888" t="s">
        <v>1083</v>
      </c>
      <c r="H243" s="888">
        <v>2016</v>
      </c>
      <c r="I243" s="888">
        <v>842081</v>
      </c>
      <c r="J243" s="888" t="s">
        <v>1084</v>
      </c>
      <c r="K243" s="888" t="s">
        <v>1014</v>
      </c>
      <c r="L243" s="888" t="s">
        <v>1163</v>
      </c>
      <c r="M243" s="888" t="s">
        <v>1175</v>
      </c>
      <c r="N243" s="888" t="s">
        <v>1014</v>
      </c>
      <c r="O243" s="888"/>
      <c r="P243" s="888" t="s">
        <v>1085</v>
      </c>
    </row>
    <row r="244" spans="2:16">
      <c r="B244" s="888">
        <v>78974</v>
      </c>
      <c r="C244" s="888" t="s">
        <v>991</v>
      </c>
      <c r="D244" s="888" t="s">
        <v>1096</v>
      </c>
      <c r="E244" s="888" t="s">
        <v>1097</v>
      </c>
      <c r="F244" s="888" t="s">
        <v>1089</v>
      </c>
      <c r="G244" s="888" t="s">
        <v>1083</v>
      </c>
      <c r="H244" s="888">
        <v>2016</v>
      </c>
      <c r="I244" s="888">
        <v>843852</v>
      </c>
      <c r="J244" s="888" t="s">
        <v>1084</v>
      </c>
      <c r="K244" s="888" t="s">
        <v>1014</v>
      </c>
      <c r="L244" s="888" t="s">
        <v>1151</v>
      </c>
      <c r="M244" s="888" t="s">
        <v>1176</v>
      </c>
      <c r="N244" s="888" t="s">
        <v>1014</v>
      </c>
      <c r="O244" s="888"/>
      <c r="P244" s="888" t="s">
        <v>1085</v>
      </c>
    </row>
    <row r="245" spans="2:16">
      <c r="B245" s="888">
        <v>78957</v>
      </c>
      <c r="C245" s="888" t="s">
        <v>991</v>
      </c>
      <c r="D245" s="888" t="s">
        <v>1096</v>
      </c>
      <c r="E245" s="888" t="s">
        <v>1097</v>
      </c>
      <c r="F245" s="888" t="s">
        <v>1089</v>
      </c>
      <c r="G245" s="888" t="s">
        <v>1083</v>
      </c>
      <c r="H245" s="888">
        <v>2016</v>
      </c>
      <c r="I245" s="888">
        <v>806418</v>
      </c>
      <c r="J245" s="888" t="s">
        <v>1084</v>
      </c>
      <c r="K245" s="888" t="s">
        <v>1014</v>
      </c>
      <c r="L245" s="888" t="s">
        <v>1177</v>
      </c>
      <c r="M245" s="888" t="s">
        <v>1178</v>
      </c>
      <c r="N245" s="888" t="s">
        <v>1014</v>
      </c>
      <c r="O245" s="888"/>
      <c r="P245" s="888" t="s">
        <v>1095</v>
      </c>
    </row>
    <row r="246" spans="2:16">
      <c r="B246" s="888">
        <v>78927</v>
      </c>
      <c r="C246" s="888" t="s">
        <v>991</v>
      </c>
      <c r="D246" s="888" t="s">
        <v>1096</v>
      </c>
      <c r="E246" s="888" t="s">
        <v>1097</v>
      </c>
      <c r="F246" s="888" t="s">
        <v>1089</v>
      </c>
      <c r="G246" s="888" t="s">
        <v>1083</v>
      </c>
      <c r="H246" s="888">
        <v>2016</v>
      </c>
      <c r="I246" s="888">
        <v>771857</v>
      </c>
      <c r="J246" s="888" t="s">
        <v>1084</v>
      </c>
      <c r="K246" s="888" t="s">
        <v>1014</v>
      </c>
      <c r="L246" s="888" t="s">
        <v>1177</v>
      </c>
      <c r="M246" s="888" t="s">
        <v>1179</v>
      </c>
      <c r="N246" s="888" t="s">
        <v>1014</v>
      </c>
      <c r="O246" s="888"/>
      <c r="P246" s="888" t="s">
        <v>1180</v>
      </c>
    </row>
    <row r="247" spans="2:16">
      <c r="B247" s="888">
        <v>78914</v>
      </c>
      <c r="C247" s="888" t="s">
        <v>991</v>
      </c>
      <c r="D247" s="888" t="s">
        <v>1096</v>
      </c>
      <c r="E247" s="888" t="s">
        <v>1097</v>
      </c>
      <c r="F247" s="888" t="s">
        <v>1089</v>
      </c>
      <c r="G247" s="888" t="s">
        <v>1083</v>
      </c>
      <c r="H247" s="888">
        <v>2016</v>
      </c>
      <c r="I247" s="888">
        <v>836007</v>
      </c>
      <c r="J247" s="888" t="s">
        <v>1084</v>
      </c>
      <c r="K247" s="888" t="s">
        <v>1014</v>
      </c>
      <c r="L247" s="888" t="s">
        <v>1181</v>
      </c>
      <c r="M247" s="888" t="s">
        <v>1182</v>
      </c>
      <c r="N247" s="888" t="s">
        <v>1014</v>
      </c>
      <c r="O247" s="888"/>
      <c r="P247" s="888" t="s">
        <v>1183</v>
      </c>
    </row>
    <row r="248" spans="2:16">
      <c r="B248" s="888">
        <v>78917</v>
      </c>
      <c r="C248" s="888" t="s">
        <v>991</v>
      </c>
      <c r="D248" s="888" t="s">
        <v>1096</v>
      </c>
      <c r="E248" s="888" t="s">
        <v>1097</v>
      </c>
      <c r="F248" s="888" t="s">
        <v>1089</v>
      </c>
      <c r="G248" s="888" t="s">
        <v>1083</v>
      </c>
      <c r="H248" s="888">
        <v>2016</v>
      </c>
      <c r="I248" s="888">
        <v>843982</v>
      </c>
      <c r="J248" s="888" t="s">
        <v>1084</v>
      </c>
      <c r="K248" s="888" t="s">
        <v>1184</v>
      </c>
      <c r="L248" s="888" t="s">
        <v>1185</v>
      </c>
      <c r="M248" s="888" t="s">
        <v>1186</v>
      </c>
      <c r="N248" s="888" t="s">
        <v>1014</v>
      </c>
      <c r="O248" s="888"/>
      <c r="P248" s="888" t="s">
        <v>1183</v>
      </c>
    </row>
    <row r="249" spans="2:16">
      <c r="B249" s="888">
        <v>78921</v>
      </c>
      <c r="C249" s="888" t="s">
        <v>991</v>
      </c>
      <c r="D249" s="888" t="s">
        <v>1096</v>
      </c>
      <c r="E249" s="888" t="s">
        <v>1097</v>
      </c>
      <c r="F249" s="888" t="s">
        <v>1089</v>
      </c>
      <c r="G249" s="888" t="s">
        <v>1083</v>
      </c>
      <c r="H249" s="888">
        <v>2016</v>
      </c>
      <c r="I249" s="888">
        <v>750876</v>
      </c>
      <c r="J249" s="888" t="s">
        <v>1084</v>
      </c>
      <c r="K249" s="888" t="s">
        <v>1014</v>
      </c>
      <c r="L249" s="888" t="s">
        <v>1187</v>
      </c>
      <c r="M249" s="888" t="s">
        <v>1188</v>
      </c>
      <c r="N249" s="888" t="s">
        <v>1189</v>
      </c>
      <c r="O249" s="888"/>
      <c r="P249" s="888" t="s">
        <v>1183</v>
      </c>
    </row>
    <row r="250" spans="2:16">
      <c r="B250" s="888">
        <v>78923</v>
      </c>
      <c r="C250" s="888" t="s">
        <v>991</v>
      </c>
      <c r="D250" s="888" t="s">
        <v>1096</v>
      </c>
      <c r="E250" s="888" t="s">
        <v>1097</v>
      </c>
      <c r="F250" s="888" t="s">
        <v>1089</v>
      </c>
      <c r="G250" s="888" t="s">
        <v>1083</v>
      </c>
      <c r="H250" s="888">
        <v>2016</v>
      </c>
      <c r="I250" s="888">
        <v>744565</v>
      </c>
      <c r="J250" s="888" t="s">
        <v>1084</v>
      </c>
      <c r="K250" s="888" t="s">
        <v>1014</v>
      </c>
      <c r="L250" s="888" t="s">
        <v>1190</v>
      </c>
      <c r="M250" s="888" t="s">
        <v>1191</v>
      </c>
      <c r="N250" s="888" t="s">
        <v>1014</v>
      </c>
      <c r="O250" s="888"/>
      <c r="P250" s="888" t="s">
        <v>1183</v>
      </c>
    </row>
    <row r="251" spans="2:16">
      <c r="B251" s="888">
        <v>78936</v>
      </c>
      <c r="C251" s="888" t="s">
        <v>991</v>
      </c>
      <c r="D251" s="888" t="s">
        <v>1096</v>
      </c>
      <c r="E251" s="888" t="s">
        <v>1097</v>
      </c>
      <c r="F251" s="888" t="s">
        <v>1089</v>
      </c>
      <c r="G251" s="888" t="s">
        <v>1083</v>
      </c>
      <c r="H251" s="888">
        <v>2016</v>
      </c>
      <c r="I251" s="888">
        <v>790451</v>
      </c>
      <c r="J251" s="888" t="s">
        <v>1084</v>
      </c>
      <c r="K251" s="888" t="s">
        <v>1014</v>
      </c>
      <c r="L251" s="888" t="s">
        <v>1185</v>
      </c>
      <c r="M251" s="888" t="s">
        <v>1192</v>
      </c>
      <c r="N251" s="888" t="s">
        <v>1014</v>
      </c>
      <c r="O251" s="888"/>
      <c r="P251" s="888" t="s">
        <v>1193</v>
      </c>
    </row>
    <row r="252" spans="2:16">
      <c r="B252" s="888">
        <v>78937</v>
      </c>
      <c r="C252" s="888" t="s">
        <v>991</v>
      </c>
      <c r="D252" s="888" t="s">
        <v>1096</v>
      </c>
      <c r="E252" s="888" t="s">
        <v>1097</v>
      </c>
      <c r="F252" s="888" t="s">
        <v>1089</v>
      </c>
      <c r="G252" s="888" t="s">
        <v>1083</v>
      </c>
      <c r="H252" s="888">
        <v>2016</v>
      </c>
      <c r="I252" s="888">
        <v>750896</v>
      </c>
      <c r="J252" s="888" t="s">
        <v>1084</v>
      </c>
      <c r="K252" s="888" t="s">
        <v>1014</v>
      </c>
      <c r="L252" s="888" t="s">
        <v>1187</v>
      </c>
      <c r="M252" s="888" t="s">
        <v>1188</v>
      </c>
      <c r="N252" s="888" t="s">
        <v>1189</v>
      </c>
      <c r="O252" s="888"/>
      <c r="P252" s="888" t="s">
        <v>1183</v>
      </c>
    </row>
    <row r="253" spans="2:16">
      <c r="B253" s="888">
        <v>78943</v>
      </c>
      <c r="C253" s="888" t="s">
        <v>991</v>
      </c>
      <c r="D253" s="888" t="s">
        <v>1096</v>
      </c>
      <c r="E253" s="888" t="s">
        <v>1097</v>
      </c>
      <c r="F253" s="888" t="s">
        <v>1089</v>
      </c>
      <c r="G253" s="888" t="s">
        <v>1083</v>
      </c>
      <c r="H253" s="888">
        <v>2016</v>
      </c>
      <c r="I253" s="888">
        <v>791076</v>
      </c>
      <c r="J253" s="888" t="s">
        <v>1084</v>
      </c>
      <c r="K253" s="888" t="s">
        <v>1014</v>
      </c>
      <c r="L253" s="888" t="s">
        <v>1194</v>
      </c>
      <c r="M253" s="888" t="s">
        <v>1195</v>
      </c>
      <c r="N253" s="888" t="s">
        <v>1014</v>
      </c>
      <c r="O253" s="888"/>
      <c r="P253" s="888" t="s">
        <v>1193</v>
      </c>
    </row>
    <row r="254" spans="2:16">
      <c r="B254" s="888">
        <v>78944</v>
      </c>
      <c r="C254" s="888" t="s">
        <v>991</v>
      </c>
      <c r="D254" s="888" t="s">
        <v>1096</v>
      </c>
      <c r="E254" s="888" t="s">
        <v>1097</v>
      </c>
      <c r="F254" s="888" t="s">
        <v>1089</v>
      </c>
      <c r="G254" s="888" t="s">
        <v>1083</v>
      </c>
      <c r="H254" s="888">
        <v>2016</v>
      </c>
      <c r="I254" s="888">
        <v>784863</v>
      </c>
      <c r="J254" s="888" t="s">
        <v>1084</v>
      </c>
      <c r="K254" s="888" t="s">
        <v>1014</v>
      </c>
      <c r="L254" s="888" t="s">
        <v>1196</v>
      </c>
      <c r="M254" s="888" t="s">
        <v>1197</v>
      </c>
      <c r="N254" s="888" t="s">
        <v>1198</v>
      </c>
      <c r="O254" s="888"/>
      <c r="P254" s="888" t="s">
        <v>1193</v>
      </c>
    </row>
    <row r="255" spans="2:16">
      <c r="B255" s="888">
        <v>78965</v>
      </c>
      <c r="C255" s="888" t="s">
        <v>991</v>
      </c>
      <c r="D255" s="888" t="s">
        <v>1096</v>
      </c>
      <c r="E255" s="888" t="s">
        <v>1097</v>
      </c>
      <c r="F255" s="888" t="s">
        <v>1089</v>
      </c>
      <c r="G255" s="888" t="s">
        <v>1083</v>
      </c>
      <c r="H255" s="888">
        <v>2016</v>
      </c>
      <c r="I255" s="888">
        <v>828342</v>
      </c>
      <c r="J255" s="888" t="s">
        <v>1084</v>
      </c>
      <c r="K255" s="888" t="s">
        <v>1014</v>
      </c>
      <c r="L255" s="888" t="s">
        <v>1199</v>
      </c>
      <c r="M255" s="888" t="s">
        <v>1200</v>
      </c>
      <c r="N255" s="888" t="s">
        <v>1014</v>
      </c>
      <c r="O255" s="888"/>
      <c r="P255" s="888" t="s">
        <v>1183</v>
      </c>
    </row>
    <row r="256" spans="2:16">
      <c r="B256" s="888">
        <v>78970</v>
      </c>
      <c r="C256" s="888" t="s">
        <v>991</v>
      </c>
      <c r="D256" s="888" t="s">
        <v>1096</v>
      </c>
      <c r="E256" s="888" t="s">
        <v>1097</v>
      </c>
      <c r="F256" s="888" t="s">
        <v>1089</v>
      </c>
      <c r="G256" s="888" t="s">
        <v>1083</v>
      </c>
      <c r="H256" s="888">
        <v>2016</v>
      </c>
      <c r="I256" s="888">
        <v>824706</v>
      </c>
      <c r="J256" s="888" t="s">
        <v>1084</v>
      </c>
      <c r="K256" s="888" t="s">
        <v>1014</v>
      </c>
      <c r="L256" s="888" t="s">
        <v>1201</v>
      </c>
      <c r="M256" s="888" t="s">
        <v>1202</v>
      </c>
      <c r="N256" s="888" t="s">
        <v>1014</v>
      </c>
      <c r="O256" s="888"/>
      <c r="P256" s="888" t="s">
        <v>1183</v>
      </c>
    </row>
    <row r="257" spans="2:16">
      <c r="B257" s="888">
        <v>78915</v>
      </c>
      <c r="C257" s="888" t="s">
        <v>991</v>
      </c>
      <c r="D257" s="888" t="s">
        <v>1096</v>
      </c>
      <c r="E257" s="888" t="s">
        <v>1097</v>
      </c>
      <c r="F257" s="888" t="s">
        <v>1089</v>
      </c>
      <c r="G257" s="888" t="s">
        <v>1083</v>
      </c>
      <c r="H257" s="888">
        <v>2016</v>
      </c>
      <c r="I257" s="888">
        <v>840828</v>
      </c>
      <c r="J257" s="888" t="s">
        <v>1084</v>
      </c>
      <c r="K257" s="888" t="s">
        <v>1014</v>
      </c>
      <c r="L257" s="888" t="s">
        <v>1203</v>
      </c>
      <c r="M257" s="888" t="s">
        <v>1204</v>
      </c>
      <c r="N257" s="888" t="s">
        <v>1014</v>
      </c>
      <c r="O257" s="888"/>
      <c r="P257" s="888" t="s">
        <v>1205</v>
      </c>
    </row>
    <row r="258" spans="2:16">
      <c r="B258" s="888">
        <v>78930</v>
      </c>
      <c r="C258" s="888" t="s">
        <v>991</v>
      </c>
      <c r="D258" s="888" t="s">
        <v>1096</v>
      </c>
      <c r="E258" s="888" t="s">
        <v>1097</v>
      </c>
      <c r="F258" s="888" t="s">
        <v>1089</v>
      </c>
      <c r="G258" s="888" t="s">
        <v>1083</v>
      </c>
      <c r="H258" s="888">
        <v>2016</v>
      </c>
      <c r="I258" s="888">
        <v>771145</v>
      </c>
      <c r="J258" s="888" t="s">
        <v>1084</v>
      </c>
      <c r="K258" s="888" t="s">
        <v>1014</v>
      </c>
      <c r="L258" s="888" t="s">
        <v>1206</v>
      </c>
      <c r="M258" s="888" t="s">
        <v>1207</v>
      </c>
      <c r="N258" s="888" t="s">
        <v>1014</v>
      </c>
      <c r="O258" s="888"/>
      <c r="P258" s="888" t="s">
        <v>1208</v>
      </c>
    </row>
    <row r="259" spans="2:16">
      <c r="B259" s="888">
        <v>78934</v>
      </c>
      <c r="C259" s="888" t="s">
        <v>991</v>
      </c>
      <c r="D259" s="888" t="s">
        <v>1096</v>
      </c>
      <c r="E259" s="888" t="s">
        <v>1097</v>
      </c>
      <c r="F259" s="888" t="s">
        <v>1089</v>
      </c>
      <c r="G259" s="888" t="s">
        <v>1083</v>
      </c>
      <c r="H259" s="888">
        <v>2016</v>
      </c>
      <c r="I259" s="888">
        <v>785104</v>
      </c>
      <c r="J259" s="888" t="s">
        <v>1084</v>
      </c>
      <c r="K259" s="888" t="s">
        <v>1014</v>
      </c>
      <c r="L259" s="888" t="s">
        <v>1206</v>
      </c>
      <c r="M259" s="888" t="s">
        <v>1209</v>
      </c>
      <c r="N259" s="888" t="s">
        <v>1014</v>
      </c>
      <c r="O259" s="888"/>
      <c r="P259" s="888" t="s">
        <v>1210</v>
      </c>
    </row>
    <row r="260" spans="2:16">
      <c r="B260" s="888">
        <v>78951</v>
      </c>
      <c r="C260" s="888" t="s">
        <v>991</v>
      </c>
      <c r="D260" s="888" t="s">
        <v>1096</v>
      </c>
      <c r="E260" s="888" t="s">
        <v>1097</v>
      </c>
      <c r="F260" s="888" t="s">
        <v>1089</v>
      </c>
      <c r="G260" s="888" t="s">
        <v>1083</v>
      </c>
      <c r="H260" s="888">
        <v>2016</v>
      </c>
      <c r="I260" s="888">
        <v>800255</v>
      </c>
      <c r="J260" s="888" t="s">
        <v>1084</v>
      </c>
      <c r="K260" s="888" t="s">
        <v>1014</v>
      </c>
      <c r="L260" s="888" t="s">
        <v>1206</v>
      </c>
      <c r="M260" s="888" t="s">
        <v>1211</v>
      </c>
      <c r="N260" s="888" t="s">
        <v>1212</v>
      </c>
      <c r="O260" s="888"/>
      <c r="P260" s="888" t="s">
        <v>1210</v>
      </c>
    </row>
    <row r="261" spans="2:16">
      <c r="B261" s="888">
        <v>78954</v>
      </c>
      <c r="C261" s="888" t="s">
        <v>991</v>
      </c>
      <c r="D261" s="888" t="s">
        <v>1096</v>
      </c>
      <c r="E261" s="888" t="s">
        <v>1097</v>
      </c>
      <c r="F261" s="888" t="s">
        <v>1089</v>
      </c>
      <c r="G261" s="888" t="s">
        <v>1083</v>
      </c>
      <c r="H261" s="888">
        <v>2016</v>
      </c>
      <c r="I261" s="888">
        <v>807670</v>
      </c>
      <c r="J261" s="888" t="s">
        <v>1084</v>
      </c>
      <c r="K261" s="888" t="s">
        <v>1014</v>
      </c>
      <c r="L261" s="888" t="s">
        <v>1206</v>
      </c>
      <c r="M261" s="888" t="s">
        <v>1213</v>
      </c>
      <c r="N261" s="888" t="s">
        <v>1014</v>
      </c>
      <c r="O261" s="888"/>
      <c r="P261" s="888" t="s">
        <v>1210</v>
      </c>
    </row>
    <row r="262" spans="2:16">
      <c r="B262" s="888">
        <v>78945</v>
      </c>
      <c r="C262" s="888" t="s">
        <v>991</v>
      </c>
      <c r="D262" s="888" t="s">
        <v>1096</v>
      </c>
      <c r="E262" s="888" t="s">
        <v>1097</v>
      </c>
      <c r="F262" s="888" t="s">
        <v>1089</v>
      </c>
      <c r="G262" s="888" t="s">
        <v>1083</v>
      </c>
      <c r="H262" s="888">
        <v>2016</v>
      </c>
      <c r="I262" s="888">
        <v>806454</v>
      </c>
      <c r="J262" s="888" t="s">
        <v>1084</v>
      </c>
      <c r="K262" s="888" t="s">
        <v>1014</v>
      </c>
      <c r="L262" s="888" t="s">
        <v>1214</v>
      </c>
      <c r="M262" s="888" t="s">
        <v>1215</v>
      </c>
      <c r="N262" s="888" t="s">
        <v>1014</v>
      </c>
      <c r="O262" s="888"/>
      <c r="P262" s="888" t="s">
        <v>1216</v>
      </c>
    </row>
    <row r="263" spans="2:16">
      <c r="B263" s="888">
        <v>78949</v>
      </c>
      <c r="C263" s="888" t="s">
        <v>991</v>
      </c>
      <c r="D263" s="888" t="s">
        <v>1096</v>
      </c>
      <c r="E263" s="888" t="s">
        <v>1097</v>
      </c>
      <c r="F263" s="888" t="s">
        <v>1089</v>
      </c>
      <c r="G263" s="888" t="s">
        <v>1083</v>
      </c>
      <c r="H263" s="888">
        <v>2016</v>
      </c>
      <c r="I263" s="888">
        <v>804966</v>
      </c>
      <c r="J263" s="888" t="s">
        <v>1084</v>
      </c>
      <c r="K263" s="888" t="s">
        <v>1014</v>
      </c>
      <c r="L263" s="888" t="s">
        <v>1214</v>
      </c>
      <c r="M263" s="888" t="s">
        <v>1217</v>
      </c>
      <c r="N263" s="888" t="s">
        <v>1014</v>
      </c>
      <c r="O263" s="888"/>
      <c r="P263" s="888" t="s">
        <v>1218</v>
      </c>
    </row>
    <row r="264" spans="2:16">
      <c r="B264" s="888">
        <v>78972</v>
      </c>
      <c r="C264" s="888" t="s">
        <v>991</v>
      </c>
      <c r="D264" s="888" t="s">
        <v>1096</v>
      </c>
      <c r="E264" s="888" t="s">
        <v>1097</v>
      </c>
      <c r="F264" s="888" t="s">
        <v>1089</v>
      </c>
      <c r="G264" s="888" t="s">
        <v>1083</v>
      </c>
      <c r="H264" s="888">
        <v>2016</v>
      </c>
      <c r="I264" s="888">
        <v>840431</v>
      </c>
      <c r="J264" s="888" t="s">
        <v>1084</v>
      </c>
      <c r="K264" s="888" t="s">
        <v>1014</v>
      </c>
      <c r="L264" s="888" t="s">
        <v>1214</v>
      </c>
      <c r="M264" s="888" t="s">
        <v>1219</v>
      </c>
      <c r="N264" s="888" t="s">
        <v>1014</v>
      </c>
      <c r="O264" s="888"/>
      <c r="P264" s="888" t="s">
        <v>1220</v>
      </c>
    </row>
    <row r="265" spans="2:16">
      <c r="B265" s="888"/>
      <c r="C265" s="888"/>
      <c r="D265" s="888"/>
      <c r="E265" s="888"/>
      <c r="F265" s="888"/>
      <c r="G265" s="888"/>
      <c r="H265" s="888"/>
      <c r="I265" s="888"/>
      <c r="J265" s="889">
        <v>1</v>
      </c>
      <c r="K265" s="890" t="s">
        <v>1087</v>
      </c>
      <c r="L265" s="888"/>
      <c r="M265" s="888"/>
      <c r="N265" s="888"/>
      <c r="O265" s="888"/>
      <c r="P265" s="888"/>
    </row>
    <row r="266" spans="2:16">
      <c r="B266" s="888"/>
      <c r="C266" s="888"/>
      <c r="D266" s="888"/>
      <c r="E266" s="888"/>
      <c r="F266" s="888"/>
      <c r="G266" s="888"/>
      <c r="H266" s="888"/>
      <c r="I266" s="888"/>
      <c r="J266" s="888"/>
      <c r="K266" s="888"/>
      <c r="L266" s="888"/>
      <c r="M266" s="888"/>
      <c r="N266" s="888"/>
      <c r="O266" s="888"/>
      <c r="P266" s="888"/>
    </row>
    <row r="267" spans="2:16">
      <c r="B267" s="888">
        <v>78975</v>
      </c>
      <c r="C267" s="888" t="s">
        <v>991</v>
      </c>
      <c r="D267" s="888" t="s">
        <v>1088</v>
      </c>
      <c r="E267" s="888" t="s">
        <v>120</v>
      </c>
      <c r="F267" s="888" t="s">
        <v>1089</v>
      </c>
      <c r="G267" s="892" t="s">
        <v>1083</v>
      </c>
      <c r="H267" s="892">
        <v>2016</v>
      </c>
      <c r="I267" s="893" t="s">
        <v>1221</v>
      </c>
      <c r="J267" s="893" t="s">
        <v>1091</v>
      </c>
      <c r="K267" s="888" t="s">
        <v>1088</v>
      </c>
      <c r="L267" s="891" t="s">
        <v>1093</v>
      </c>
      <c r="M267" s="891" t="s">
        <v>1222</v>
      </c>
      <c r="N267" s="888"/>
      <c r="O267" s="888"/>
      <c r="P267" s="888" t="s">
        <v>1223</v>
      </c>
    </row>
    <row r="268" spans="2:16">
      <c r="B268" s="888"/>
      <c r="C268" s="888"/>
      <c r="D268" s="888"/>
      <c r="E268" s="888"/>
      <c r="F268" s="888"/>
      <c r="G268" s="892"/>
      <c r="H268" s="892"/>
      <c r="I268" s="893"/>
      <c r="J268" s="889">
        <v>1</v>
      </c>
      <c r="K268" s="890" t="s">
        <v>1028</v>
      </c>
      <c r="L268" s="891"/>
      <c r="M268" s="891"/>
      <c r="N268" s="888"/>
      <c r="O268" s="888"/>
      <c r="P268" s="888"/>
    </row>
    <row r="269" spans="2:16">
      <c r="B269" s="888"/>
      <c r="C269" s="888"/>
      <c r="D269" s="888"/>
      <c r="E269" s="888"/>
      <c r="F269" s="888"/>
      <c r="G269" s="892"/>
      <c r="H269" s="892"/>
      <c r="I269" s="893"/>
      <c r="J269" s="893"/>
      <c r="K269" s="888"/>
      <c r="L269" s="891"/>
      <c r="M269" s="891"/>
      <c r="N269" s="888"/>
      <c r="O269" s="888"/>
      <c r="P269" s="888"/>
    </row>
    <row r="270" spans="2:16">
      <c r="B270" s="888">
        <v>78976</v>
      </c>
      <c r="C270" s="894" t="s">
        <v>991</v>
      </c>
      <c r="D270" s="894" t="s">
        <v>1096</v>
      </c>
      <c r="E270" s="895" t="s">
        <v>115</v>
      </c>
      <c r="F270" s="895" t="s">
        <v>1089</v>
      </c>
      <c r="G270" s="895" t="s">
        <v>1083</v>
      </c>
      <c r="H270" s="895"/>
      <c r="I270" s="895" t="s">
        <v>1224</v>
      </c>
      <c r="J270" s="895" t="s">
        <v>1084</v>
      </c>
      <c r="K270" s="895"/>
      <c r="L270" s="894"/>
      <c r="M270" s="895" t="s">
        <v>1224</v>
      </c>
      <c r="N270" s="895"/>
      <c r="O270" s="895"/>
      <c r="P270" s="895" t="s">
        <v>1085</v>
      </c>
    </row>
    <row r="271" spans="2:16">
      <c r="B271" s="888"/>
      <c r="C271" s="894"/>
      <c r="D271" s="894"/>
      <c r="E271" s="895"/>
      <c r="F271" s="895"/>
      <c r="G271" s="895"/>
      <c r="H271" s="895"/>
      <c r="I271" s="895"/>
      <c r="J271" s="889">
        <v>1</v>
      </c>
      <c r="K271" s="890" t="s">
        <v>1087</v>
      </c>
      <c r="L271" s="894"/>
      <c r="M271" s="895"/>
      <c r="N271" s="895"/>
      <c r="O271" s="895"/>
      <c r="P271" s="895"/>
    </row>
    <row r="272" spans="2:16">
      <c r="B272" s="888"/>
      <c r="C272" s="894"/>
      <c r="D272" s="894"/>
      <c r="E272" s="895"/>
      <c r="F272" s="895"/>
      <c r="G272" s="895"/>
      <c r="H272" s="895"/>
      <c r="I272" s="895"/>
      <c r="J272" s="895"/>
      <c r="K272" s="895"/>
      <c r="L272" s="894"/>
      <c r="M272" s="895"/>
      <c r="N272" s="895"/>
      <c r="O272" s="895"/>
      <c r="P272" s="895"/>
    </row>
    <row r="273" spans="2:16">
      <c r="B273" s="896"/>
      <c r="C273" s="896"/>
      <c r="D273" s="896"/>
      <c r="E273" s="896"/>
      <c r="F273" s="896"/>
      <c r="G273" s="896"/>
      <c r="H273" s="896"/>
      <c r="I273" s="896"/>
      <c r="J273" s="896" t="s">
        <v>1225</v>
      </c>
      <c r="K273" s="896"/>
      <c r="L273" s="896"/>
      <c r="M273" s="896"/>
      <c r="N273" s="896"/>
      <c r="O273" s="896"/>
      <c r="P273" s="896"/>
    </row>
    <row r="274" spans="2:16">
      <c r="B274" s="888">
        <v>79003</v>
      </c>
      <c r="C274" s="888" t="s">
        <v>991</v>
      </c>
      <c r="D274" s="888" t="s">
        <v>1226</v>
      </c>
      <c r="E274" s="888" t="s">
        <v>119</v>
      </c>
      <c r="F274" s="888" t="s">
        <v>1089</v>
      </c>
      <c r="G274" s="892" t="s">
        <v>1083</v>
      </c>
      <c r="H274" s="892">
        <v>2016</v>
      </c>
      <c r="I274" s="896" t="s">
        <v>1227</v>
      </c>
      <c r="J274" s="896">
        <v>1117.8425033241961</v>
      </c>
      <c r="K274" s="896" t="s">
        <v>990</v>
      </c>
      <c r="L274" s="892" t="s">
        <v>1092</v>
      </c>
      <c r="M274" s="888" t="s">
        <v>1228</v>
      </c>
      <c r="N274" s="888" t="s">
        <v>1229</v>
      </c>
      <c r="O274" s="888">
        <v>0</v>
      </c>
      <c r="P274" s="888" t="s">
        <v>1085</v>
      </c>
    </row>
    <row r="275" spans="2:16">
      <c r="B275" s="888">
        <v>79004</v>
      </c>
      <c r="C275" s="888" t="s">
        <v>991</v>
      </c>
      <c r="D275" s="888" t="s">
        <v>1226</v>
      </c>
      <c r="E275" s="888" t="s">
        <v>119</v>
      </c>
      <c r="F275" s="888" t="s">
        <v>1089</v>
      </c>
      <c r="G275" s="892" t="s">
        <v>1083</v>
      </c>
      <c r="H275" s="892">
        <v>2016</v>
      </c>
      <c r="I275" s="896" t="s">
        <v>1230</v>
      </c>
      <c r="J275" s="896">
        <v>6523.0091510617895</v>
      </c>
      <c r="K275" s="896" t="s">
        <v>990</v>
      </c>
      <c r="L275" s="892" t="s">
        <v>1092</v>
      </c>
      <c r="M275" s="888" t="s">
        <v>1231</v>
      </c>
      <c r="N275" s="888">
        <v>0</v>
      </c>
      <c r="O275" s="888">
        <v>0</v>
      </c>
      <c r="P275" s="888" t="s">
        <v>1085</v>
      </c>
    </row>
    <row r="276" spans="2:16">
      <c r="B276" s="888">
        <v>79006</v>
      </c>
      <c r="C276" s="888" t="s">
        <v>991</v>
      </c>
      <c r="D276" s="888" t="s">
        <v>1226</v>
      </c>
      <c r="E276" s="888" t="s">
        <v>119</v>
      </c>
      <c r="F276" s="888" t="s">
        <v>1089</v>
      </c>
      <c r="G276" s="892" t="s">
        <v>1083</v>
      </c>
      <c r="H276" s="892">
        <v>2016</v>
      </c>
      <c r="I276" s="896" t="s">
        <v>1232</v>
      </c>
      <c r="J276" s="896">
        <v>10870.826076941701</v>
      </c>
      <c r="K276" s="896" t="s">
        <v>990</v>
      </c>
      <c r="L276" s="892" t="s">
        <v>1092</v>
      </c>
      <c r="M276" s="888" t="s">
        <v>1233</v>
      </c>
      <c r="N276" s="888" t="s">
        <v>1234</v>
      </c>
      <c r="O276" s="888">
        <v>0</v>
      </c>
      <c r="P276" s="888" t="s">
        <v>1085</v>
      </c>
    </row>
    <row r="277" spans="2:16">
      <c r="B277" s="888">
        <v>79007</v>
      </c>
      <c r="C277" s="888" t="s">
        <v>991</v>
      </c>
      <c r="D277" s="888" t="s">
        <v>1226</v>
      </c>
      <c r="E277" s="888" t="s">
        <v>119</v>
      </c>
      <c r="F277" s="888" t="s">
        <v>1089</v>
      </c>
      <c r="G277" s="892" t="s">
        <v>1083</v>
      </c>
      <c r="H277" s="892">
        <v>2016</v>
      </c>
      <c r="I277" s="896" t="s">
        <v>1235</v>
      </c>
      <c r="J277" s="896">
        <v>2831.5467796597445</v>
      </c>
      <c r="K277" s="896" t="s">
        <v>990</v>
      </c>
      <c r="L277" s="892" t="s">
        <v>1092</v>
      </c>
      <c r="M277" s="888" t="s">
        <v>1236</v>
      </c>
      <c r="N277" s="888" t="s">
        <v>1237</v>
      </c>
      <c r="O277" s="888">
        <v>0</v>
      </c>
      <c r="P277" s="888" t="s">
        <v>1085</v>
      </c>
    </row>
    <row r="278" spans="2:16">
      <c r="B278" s="888">
        <v>79008</v>
      </c>
      <c r="C278" s="888" t="s">
        <v>991</v>
      </c>
      <c r="D278" s="888" t="s">
        <v>1226</v>
      </c>
      <c r="E278" s="888" t="s">
        <v>119</v>
      </c>
      <c r="F278" s="888" t="s">
        <v>1089</v>
      </c>
      <c r="G278" s="892" t="s">
        <v>1083</v>
      </c>
      <c r="H278" s="892">
        <v>2016</v>
      </c>
      <c r="I278" s="896" t="s">
        <v>1238</v>
      </c>
      <c r="J278" s="896">
        <v>7154.2999950929079</v>
      </c>
      <c r="K278" s="896" t="s">
        <v>990</v>
      </c>
      <c r="L278" s="892" t="s">
        <v>1092</v>
      </c>
      <c r="M278" s="888" t="s">
        <v>1239</v>
      </c>
      <c r="N278" s="888" t="s">
        <v>1240</v>
      </c>
      <c r="O278" s="888">
        <v>0</v>
      </c>
      <c r="P278" s="888" t="s">
        <v>1085</v>
      </c>
    </row>
    <row r="279" spans="2:16">
      <c r="B279" s="888">
        <v>79009</v>
      </c>
      <c r="C279" s="888" t="s">
        <v>991</v>
      </c>
      <c r="D279" s="888" t="s">
        <v>1226</v>
      </c>
      <c r="E279" s="888" t="s">
        <v>119</v>
      </c>
      <c r="F279" s="888" t="s">
        <v>1089</v>
      </c>
      <c r="G279" s="892" t="s">
        <v>1083</v>
      </c>
      <c r="H279" s="892">
        <v>2016</v>
      </c>
      <c r="I279" s="896" t="s">
        <v>1241</v>
      </c>
      <c r="J279" s="896">
        <v>6111.2216094046307</v>
      </c>
      <c r="K279" s="896" t="s">
        <v>990</v>
      </c>
      <c r="L279" s="892" t="s">
        <v>1092</v>
      </c>
      <c r="M279" s="888" t="s">
        <v>1239</v>
      </c>
      <c r="N279" s="888" t="s">
        <v>1242</v>
      </c>
      <c r="O279" s="888">
        <v>0</v>
      </c>
      <c r="P279" s="888" t="s">
        <v>1085</v>
      </c>
    </row>
    <row r="280" spans="2:16">
      <c r="B280" s="888">
        <v>79010</v>
      </c>
      <c r="C280" s="888" t="s">
        <v>991</v>
      </c>
      <c r="D280" s="888" t="s">
        <v>1226</v>
      </c>
      <c r="E280" s="888" t="s">
        <v>119</v>
      </c>
      <c r="F280" s="888" t="s">
        <v>1089</v>
      </c>
      <c r="G280" s="892" t="s">
        <v>1083</v>
      </c>
      <c r="H280" s="892">
        <v>2016</v>
      </c>
      <c r="I280" s="896" t="s">
        <v>1243</v>
      </c>
      <c r="J280" s="896">
        <v>6340.9467890329088</v>
      </c>
      <c r="K280" s="896" t="s">
        <v>990</v>
      </c>
      <c r="L280" s="892" t="s">
        <v>1092</v>
      </c>
      <c r="M280" s="888" t="s">
        <v>1244</v>
      </c>
      <c r="N280" s="888" t="s">
        <v>1245</v>
      </c>
      <c r="O280" s="888">
        <v>0</v>
      </c>
      <c r="P280" s="888" t="s">
        <v>1085</v>
      </c>
    </row>
    <row r="281" spans="2:16">
      <c r="B281" s="888">
        <v>79011</v>
      </c>
      <c r="C281" s="888" t="s">
        <v>991</v>
      </c>
      <c r="D281" s="888" t="s">
        <v>1226</v>
      </c>
      <c r="E281" s="888" t="s">
        <v>119</v>
      </c>
      <c r="F281" s="888" t="s">
        <v>1089</v>
      </c>
      <c r="G281" s="892" t="s">
        <v>1083</v>
      </c>
      <c r="H281" s="892">
        <v>2016</v>
      </c>
      <c r="I281" s="896" t="s">
        <v>1246</v>
      </c>
      <c r="J281" s="896">
        <v>6621.8270574582393</v>
      </c>
      <c r="K281" s="896" t="s">
        <v>990</v>
      </c>
      <c r="L281" s="892" t="s">
        <v>1092</v>
      </c>
      <c r="M281" s="888" t="s">
        <v>1239</v>
      </c>
      <c r="N281" s="888" t="s">
        <v>1247</v>
      </c>
      <c r="O281" s="888">
        <v>0</v>
      </c>
      <c r="P281" s="888" t="s">
        <v>1085</v>
      </c>
    </row>
    <row r="282" spans="2:16">
      <c r="B282" s="888">
        <v>79012</v>
      </c>
      <c r="C282" s="888" t="s">
        <v>991</v>
      </c>
      <c r="D282" s="888" t="s">
        <v>1226</v>
      </c>
      <c r="E282" s="888" t="s">
        <v>119</v>
      </c>
      <c r="F282" s="888" t="s">
        <v>1089</v>
      </c>
      <c r="G282" s="892" t="s">
        <v>1083</v>
      </c>
      <c r="H282" s="892">
        <v>2016</v>
      </c>
      <c r="I282" s="896" t="s">
        <v>1248</v>
      </c>
      <c r="J282" s="896">
        <v>10284.576319637741</v>
      </c>
      <c r="K282" s="896" t="s">
        <v>990</v>
      </c>
      <c r="L282" s="892" t="s">
        <v>1092</v>
      </c>
      <c r="M282" s="888" t="s">
        <v>1249</v>
      </c>
      <c r="N282" s="888">
        <v>0</v>
      </c>
      <c r="O282" s="888">
        <v>0</v>
      </c>
      <c r="P282" s="888" t="s">
        <v>1085</v>
      </c>
    </row>
    <row r="283" spans="2:16">
      <c r="B283" s="888">
        <v>79013</v>
      </c>
      <c r="C283" s="888" t="s">
        <v>991</v>
      </c>
      <c r="D283" s="888" t="s">
        <v>1226</v>
      </c>
      <c r="E283" s="888" t="s">
        <v>119</v>
      </c>
      <c r="F283" s="888" t="s">
        <v>1089</v>
      </c>
      <c r="G283" s="892" t="s">
        <v>1083</v>
      </c>
      <c r="H283" s="892">
        <v>2016</v>
      </c>
      <c r="I283" s="896" t="s">
        <v>1250</v>
      </c>
      <c r="J283" s="896">
        <v>13095.067153543805</v>
      </c>
      <c r="K283" s="896" t="s">
        <v>990</v>
      </c>
      <c r="L283" s="892" t="s">
        <v>1092</v>
      </c>
      <c r="M283" s="888" t="s">
        <v>1251</v>
      </c>
      <c r="N283" s="888" t="s">
        <v>1252</v>
      </c>
      <c r="O283" s="888">
        <v>0</v>
      </c>
      <c r="P283" s="888" t="s">
        <v>1085</v>
      </c>
    </row>
    <row r="284" spans="2:16">
      <c r="B284" s="888">
        <v>79014</v>
      </c>
      <c r="C284" s="888" t="s">
        <v>991</v>
      </c>
      <c r="D284" s="888" t="s">
        <v>1226</v>
      </c>
      <c r="E284" s="888" t="s">
        <v>119</v>
      </c>
      <c r="F284" s="888" t="s">
        <v>1089</v>
      </c>
      <c r="G284" s="892" t="s">
        <v>1083</v>
      </c>
      <c r="H284" s="892">
        <v>2016</v>
      </c>
      <c r="I284" s="896" t="s">
        <v>1253</v>
      </c>
      <c r="J284" s="896">
        <v>3081.9467747031458</v>
      </c>
      <c r="K284" s="896" t="s">
        <v>990</v>
      </c>
      <c r="L284" s="892" t="s">
        <v>1092</v>
      </c>
      <c r="M284" s="888" t="s">
        <v>1254</v>
      </c>
      <c r="N284" s="888" t="s">
        <v>1255</v>
      </c>
      <c r="O284" s="888">
        <v>0</v>
      </c>
      <c r="P284" s="888" t="s">
        <v>1183</v>
      </c>
    </row>
    <row r="285" spans="2:16">
      <c r="B285" s="888">
        <v>79015</v>
      </c>
      <c r="C285" s="888" t="s">
        <v>991</v>
      </c>
      <c r="D285" s="888" t="s">
        <v>1226</v>
      </c>
      <c r="E285" s="888" t="s">
        <v>119</v>
      </c>
      <c r="F285" s="888" t="s">
        <v>1089</v>
      </c>
      <c r="G285" s="892" t="s">
        <v>1083</v>
      </c>
      <c r="H285" s="892">
        <v>2016</v>
      </c>
      <c r="I285" s="896" t="s">
        <v>1256</v>
      </c>
      <c r="J285" s="896">
        <v>2291.9211055140408</v>
      </c>
      <c r="K285" s="896" t="s">
        <v>990</v>
      </c>
      <c r="L285" s="892" t="s">
        <v>1092</v>
      </c>
      <c r="M285" s="888" t="s">
        <v>1257</v>
      </c>
      <c r="N285" s="888">
        <v>1</v>
      </c>
      <c r="O285" s="888">
        <v>0</v>
      </c>
      <c r="P285" s="888" t="s">
        <v>1216</v>
      </c>
    </row>
    <row r="286" spans="2:16">
      <c r="B286" s="888">
        <v>79016</v>
      </c>
      <c r="C286" s="888" t="s">
        <v>991</v>
      </c>
      <c r="D286" s="888" t="s">
        <v>1226</v>
      </c>
      <c r="E286" s="888" t="s">
        <v>119</v>
      </c>
      <c r="F286" s="888" t="s">
        <v>1089</v>
      </c>
      <c r="G286" s="892" t="s">
        <v>1083</v>
      </c>
      <c r="H286" s="892">
        <v>2016</v>
      </c>
      <c r="I286" s="896" t="s">
        <v>1258</v>
      </c>
      <c r="J286" s="896">
        <v>3111.8429575291311</v>
      </c>
      <c r="K286" s="896" t="s">
        <v>990</v>
      </c>
      <c r="L286" s="892" t="s">
        <v>1092</v>
      </c>
      <c r="M286" s="888" t="s">
        <v>1259</v>
      </c>
      <c r="N286" s="888">
        <v>0</v>
      </c>
      <c r="O286" s="888">
        <v>0</v>
      </c>
      <c r="P286" s="888" t="s">
        <v>1216</v>
      </c>
    </row>
    <row r="287" spans="2:16">
      <c r="B287" s="888">
        <v>79017</v>
      </c>
      <c r="C287" s="888" t="s">
        <v>991</v>
      </c>
      <c r="D287" s="888" t="s">
        <v>1226</v>
      </c>
      <c r="E287" s="888" t="s">
        <v>119</v>
      </c>
      <c r="F287" s="888" t="s">
        <v>1089</v>
      </c>
      <c r="G287" s="892" t="s">
        <v>1083</v>
      </c>
      <c r="H287" s="892">
        <v>2016</v>
      </c>
      <c r="I287" s="896" t="s">
        <v>1260</v>
      </c>
      <c r="J287" s="896">
        <v>8549.7585055837844</v>
      </c>
      <c r="K287" s="896" t="s">
        <v>990</v>
      </c>
      <c r="L287" s="892" t="s">
        <v>1092</v>
      </c>
      <c r="M287" s="888" t="s">
        <v>1261</v>
      </c>
      <c r="N287" s="888">
        <v>0</v>
      </c>
      <c r="O287" s="888">
        <v>0</v>
      </c>
      <c r="P287" s="888" t="s">
        <v>1183</v>
      </c>
    </row>
    <row r="288" spans="2:16">
      <c r="B288" s="888">
        <v>79018</v>
      </c>
      <c r="C288" s="888" t="s">
        <v>991</v>
      </c>
      <c r="D288" s="888" t="s">
        <v>1226</v>
      </c>
      <c r="E288" s="888" t="s">
        <v>119</v>
      </c>
      <c r="F288" s="888" t="s">
        <v>1089</v>
      </c>
      <c r="G288" s="892" t="s">
        <v>1083</v>
      </c>
      <c r="H288" s="892">
        <v>2016</v>
      </c>
      <c r="I288" s="896" t="s">
        <v>1262</v>
      </c>
      <c r="J288" s="896">
        <v>1668.7619138749858</v>
      </c>
      <c r="K288" s="896" t="s">
        <v>990</v>
      </c>
      <c r="L288" s="892" t="s">
        <v>1092</v>
      </c>
      <c r="M288" s="888" t="s">
        <v>1263</v>
      </c>
      <c r="N288" s="888">
        <v>0</v>
      </c>
      <c r="O288" s="888">
        <v>0</v>
      </c>
      <c r="P288" s="888" t="s">
        <v>1183</v>
      </c>
    </row>
    <row r="289" spans="2:17">
      <c r="B289" s="888">
        <v>79019</v>
      </c>
      <c r="C289" s="888" t="s">
        <v>991</v>
      </c>
      <c r="D289" s="888" t="s">
        <v>1226</v>
      </c>
      <c r="E289" s="888" t="s">
        <v>119</v>
      </c>
      <c r="F289" s="888" t="s">
        <v>1089</v>
      </c>
      <c r="G289" s="892" t="s">
        <v>1083</v>
      </c>
      <c r="H289" s="892">
        <v>2016</v>
      </c>
      <c r="I289" s="896" t="s">
        <v>1264</v>
      </c>
      <c r="J289" s="896">
        <v>4352.2514151140031</v>
      </c>
      <c r="K289" s="896" t="s">
        <v>990</v>
      </c>
      <c r="L289" s="892" t="s">
        <v>1092</v>
      </c>
      <c r="M289" s="888" t="s">
        <v>1265</v>
      </c>
      <c r="N289" s="888">
        <v>0</v>
      </c>
      <c r="O289" s="888">
        <v>0</v>
      </c>
      <c r="P289" s="888" t="s">
        <v>1183</v>
      </c>
    </row>
    <row r="290" spans="2:17">
      <c r="B290" s="888">
        <v>79020</v>
      </c>
      <c r="C290" s="888" t="s">
        <v>991</v>
      </c>
      <c r="D290" s="888" t="s">
        <v>1226</v>
      </c>
      <c r="E290" s="888" t="s">
        <v>119</v>
      </c>
      <c r="F290" s="888" t="s">
        <v>1089</v>
      </c>
      <c r="G290" s="892" t="s">
        <v>1083</v>
      </c>
      <c r="H290" s="892">
        <v>2016</v>
      </c>
      <c r="I290" s="896" t="s">
        <v>1266</v>
      </c>
      <c r="J290" s="896">
        <v>795.77058454156804</v>
      </c>
      <c r="K290" s="896" t="s">
        <v>990</v>
      </c>
      <c r="L290" s="892" t="s">
        <v>1092</v>
      </c>
      <c r="M290" s="888" t="s">
        <v>1254</v>
      </c>
      <c r="N290" s="888">
        <v>201</v>
      </c>
      <c r="O290" s="888">
        <v>0</v>
      </c>
      <c r="P290" s="888" t="s">
        <v>1183</v>
      </c>
    </row>
    <row r="291" spans="2:17">
      <c r="B291" s="888">
        <v>79021</v>
      </c>
      <c r="C291" s="888" t="s">
        <v>991</v>
      </c>
      <c r="D291" s="888" t="s">
        <v>1226</v>
      </c>
      <c r="E291" s="888" t="s">
        <v>119</v>
      </c>
      <c r="F291" s="888" t="s">
        <v>1089</v>
      </c>
      <c r="G291" s="892" t="s">
        <v>1083</v>
      </c>
      <c r="H291" s="892">
        <v>2016</v>
      </c>
      <c r="I291" s="896" t="s">
        <v>1267</v>
      </c>
      <c r="J291" s="896">
        <v>4218.6965438370135</v>
      </c>
      <c r="K291" s="896" t="s">
        <v>990</v>
      </c>
      <c r="L291" s="892" t="s">
        <v>1092</v>
      </c>
      <c r="M291" s="888" t="s">
        <v>1268</v>
      </c>
      <c r="N291" s="888" t="s">
        <v>1269</v>
      </c>
      <c r="O291" s="888">
        <v>0</v>
      </c>
      <c r="P291" s="888" t="s">
        <v>1085</v>
      </c>
    </row>
    <row r="292" spans="2:17">
      <c r="B292" s="888">
        <v>79023</v>
      </c>
      <c r="C292" s="888" t="s">
        <v>991</v>
      </c>
      <c r="D292" s="888" t="s">
        <v>1226</v>
      </c>
      <c r="E292" s="888" t="s">
        <v>119</v>
      </c>
      <c r="F292" s="888" t="s">
        <v>1089</v>
      </c>
      <c r="G292" s="892" t="s">
        <v>1083</v>
      </c>
      <c r="H292" s="892">
        <v>2016</v>
      </c>
      <c r="I292" s="896" t="s">
        <v>1270</v>
      </c>
      <c r="J292" s="896">
        <v>8579.0286196303059</v>
      </c>
      <c r="K292" s="896" t="s">
        <v>990</v>
      </c>
      <c r="L292" s="892" t="s">
        <v>1092</v>
      </c>
      <c r="M292" s="888" t="s">
        <v>1271</v>
      </c>
      <c r="N292" s="888">
        <v>0</v>
      </c>
      <c r="O292" s="888">
        <v>0</v>
      </c>
      <c r="P292" s="888" t="s">
        <v>1183</v>
      </c>
    </row>
    <row r="293" spans="2:17">
      <c r="B293" s="888">
        <v>79005</v>
      </c>
      <c r="C293" s="888" t="s">
        <v>991</v>
      </c>
      <c r="D293" s="888" t="s">
        <v>1226</v>
      </c>
      <c r="E293" s="888" t="s">
        <v>119</v>
      </c>
      <c r="F293" s="888" t="s">
        <v>1089</v>
      </c>
      <c r="G293" s="892" t="s">
        <v>1083</v>
      </c>
      <c r="H293" s="892">
        <v>2016</v>
      </c>
      <c r="I293" s="896" t="s">
        <v>1272</v>
      </c>
      <c r="J293" s="897">
        <v>8182.4014928119195</v>
      </c>
      <c r="K293" s="896" t="s">
        <v>1028</v>
      </c>
      <c r="L293" s="892" t="s">
        <v>1092</v>
      </c>
      <c r="M293" s="888" t="s">
        <v>1273</v>
      </c>
      <c r="N293" s="888" t="s">
        <v>1274</v>
      </c>
      <c r="O293" s="888">
        <v>0</v>
      </c>
      <c r="P293" s="888" t="s">
        <v>1085</v>
      </c>
    </row>
    <row r="294" spans="2:17">
      <c r="B294" s="888"/>
      <c r="C294" s="888"/>
      <c r="D294" s="888"/>
      <c r="E294" s="888"/>
      <c r="F294" s="888"/>
      <c r="G294" s="892"/>
      <c r="H294" s="892"/>
      <c r="I294" s="896"/>
      <c r="J294" s="896">
        <f>SUM(J274:J293)</f>
        <v>115783.54334829756</v>
      </c>
      <c r="K294" s="896"/>
      <c r="L294" s="892"/>
      <c r="M294" s="888"/>
      <c r="N294" s="888"/>
      <c r="O294" s="888"/>
      <c r="P294" s="888"/>
      <c r="Q294" s="888"/>
    </row>
    <row r="295" spans="2:17">
      <c r="B295" s="888"/>
      <c r="C295" s="888"/>
      <c r="D295" s="888"/>
      <c r="E295" s="888"/>
      <c r="F295" s="888"/>
      <c r="G295" s="892"/>
      <c r="H295" s="892"/>
      <c r="I295" s="896"/>
      <c r="J295" s="896"/>
      <c r="K295" s="896"/>
      <c r="L295" s="892"/>
      <c r="M295" s="888"/>
      <c r="N295" s="888"/>
      <c r="O295" s="888"/>
      <c r="P295" s="888"/>
      <c r="Q295" s="888"/>
    </row>
    <row r="296" spans="2:17">
      <c r="J296" s="898">
        <f>SUM(J274:J292)/J294</f>
        <v>0.92933018582616889</v>
      </c>
      <c r="K296" s="890" t="s">
        <v>990</v>
      </c>
    </row>
    <row r="297" spans="2:17">
      <c r="J297" s="898">
        <f>J293/J294</f>
        <v>7.0669814173831211E-2</v>
      </c>
      <c r="K297" s="890" t="s">
        <v>1028</v>
      </c>
    </row>
    <row r="298" spans="2:17">
      <c r="J298" s="898"/>
      <c r="K298" s="890"/>
    </row>
    <row r="299" spans="2:17">
      <c r="J299" s="896" t="s">
        <v>1225</v>
      </c>
    </row>
    <row r="300" spans="2:17">
      <c r="B300" s="896">
        <v>78985</v>
      </c>
      <c r="C300" s="896" t="s">
        <v>991</v>
      </c>
      <c r="D300" s="896" t="s">
        <v>1275</v>
      </c>
      <c r="E300" s="896" t="s">
        <v>118</v>
      </c>
      <c r="F300" s="896" t="s">
        <v>1089</v>
      </c>
      <c r="G300" s="896" t="s">
        <v>1083</v>
      </c>
      <c r="H300" s="896">
        <v>2016</v>
      </c>
      <c r="I300" s="896">
        <v>152791</v>
      </c>
      <c r="J300" s="896">
        <v>35133.153143187752</v>
      </c>
      <c r="K300" s="896" t="s">
        <v>990</v>
      </c>
      <c r="L300" s="896">
        <v>0</v>
      </c>
      <c r="M300" s="896" t="s">
        <v>1276</v>
      </c>
      <c r="N300" s="896">
        <v>0</v>
      </c>
      <c r="O300" s="896">
        <v>0</v>
      </c>
      <c r="P300" s="896" t="s">
        <v>1183</v>
      </c>
    </row>
    <row r="301" spans="2:17">
      <c r="B301" s="896">
        <v>78998</v>
      </c>
      <c r="C301" s="896" t="s">
        <v>991</v>
      </c>
      <c r="D301" s="896" t="s">
        <v>1275</v>
      </c>
      <c r="E301" s="896" t="s">
        <v>118</v>
      </c>
      <c r="F301" s="896" t="s">
        <v>1089</v>
      </c>
      <c r="G301" s="896" t="s">
        <v>1083</v>
      </c>
      <c r="H301" s="896">
        <v>2016</v>
      </c>
      <c r="I301" s="896">
        <v>160820</v>
      </c>
      <c r="J301" s="896">
        <v>1173.2544546276745</v>
      </c>
      <c r="K301" s="896" t="s">
        <v>990</v>
      </c>
      <c r="L301" s="896">
        <v>0</v>
      </c>
      <c r="M301" s="896" t="s">
        <v>1277</v>
      </c>
      <c r="N301" s="896" t="s">
        <v>1014</v>
      </c>
      <c r="O301" s="896" t="s">
        <v>1014</v>
      </c>
      <c r="P301" s="896" t="s">
        <v>1278</v>
      </c>
    </row>
    <row r="302" spans="2:17">
      <c r="B302" s="896">
        <v>78977</v>
      </c>
      <c r="C302" s="896" t="s">
        <v>991</v>
      </c>
      <c r="D302" s="896" t="s">
        <v>1279</v>
      </c>
      <c r="E302" s="896" t="s">
        <v>118</v>
      </c>
      <c r="F302" s="896" t="s">
        <v>1089</v>
      </c>
      <c r="G302" s="896" t="s">
        <v>1083</v>
      </c>
      <c r="H302" s="896">
        <v>2015</v>
      </c>
      <c r="I302" s="896">
        <v>150950</v>
      </c>
      <c r="J302" s="896">
        <v>0</v>
      </c>
      <c r="K302" s="896" t="s">
        <v>1028</v>
      </c>
      <c r="L302" s="896"/>
      <c r="M302" s="896" t="s">
        <v>1280</v>
      </c>
      <c r="N302" s="896"/>
      <c r="O302" s="896"/>
      <c r="P302" s="896" t="s">
        <v>1281</v>
      </c>
    </row>
    <row r="303" spans="2:17">
      <c r="B303" s="896">
        <v>78978</v>
      </c>
      <c r="C303" s="896" t="s">
        <v>991</v>
      </c>
      <c r="D303" s="896" t="s">
        <v>1275</v>
      </c>
      <c r="E303" s="896" t="s">
        <v>118</v>
      </c>
      <c r="F303" s="896" t="s">
        <v>1089</v>
      </c>
      <c r="G303" s="896" t="s">
        <v>1083</v>
      </c>
      <c r="H303" s="896">
        <v>2016</v>
      </c>
      <c r="I303" s="896">
        <v>126343</v>
      </c>
      <c r="J303" s="896">
        <v>13978.368189922114</v>
      </c>
      <c r="K303" s="896" t="s">
        <v>1028</v>
      </c>
      <c r="L303" s="896">
        <v>0</v>
      </c>
      <c r="M303" s="896" t="s">
        <v>1282</v>
      </c>
      <c r="N303" s="896">
        <v>0</v>
      </c>
      <c r="O303" s="896">
        <v>0</v>
      </c>
      <c r="P303" s="896" t="s">
        <v>1085</v>
      </c>
    </row>
    <row r="304" spans="2:17">
      <c r="B304" s="896">
        <v>78979</v>
      </c>
      <c r="C304" s="896" t="s">
        <v>991</v>
      </c>
      <c r="D304" s="896" t="s">
        <v>1275</v>
      </c>
      <c r="E304" s="896" t="s">
        <v>118</v>
      </c>
      <c r="F304" s="896" t="s">
        <v>1089</v>
      </c>
      <c r="G304" s="896" t="s">
        <v>1083</v>
      </c>
      <c r="H304" s="896">
        <v>2016</v>
      </c>
      <c r="I304" s="896">
        <v>146142</v>
      </c>
      <c r="J304" s="896">
        <v>19545.591633927434</v>
      </c>
      <c r="K304" s="896" t="s">
        <v>1028</v>
      </c>
      <c r="L304" s="896">
        <v>0</v>
      </c>
      <c r="M304" s="896" t="s">
        <v>1283</v>
      </c>
      <c r="N304" s="896">
        <v>0</v>
      </c>
      <c r="O304" s="896">
        <v>0</v>
      </c>
      <c r="P304" s="896" t="s">
        <v>1086</v>
      </c>
    </row>
    <row r="305" spans="2:16">
      <c r="B305" s="896">
        <v>78980</v>
      </c>
      <c r="C305" s="896" t="s">
        <v>991</v>
      </c>
      <c r="D305" s="896" t="s">
        <v>1275</v>
      </c>
      <c r="E305" s="896" t="s">
        <v>118</v>
      </c>
      <c r="F305" s="896" t="s">
        <v>1089</v>
      </c>
      <c r="G305" s="896" t="s">
        <v>1083</v>
      </c>
      <c r="H305" s="896">
        <v>2016</v>
      </c>
      <c r="I305" s="896">
        <v>146142</v>
      </c>
      <c r="J305" s="896">
        <v>36802.340222833409</v>
      </c>
      <c r="K305" s="896" t="s">
        <v>1028</v>
      </c>
      <c r="L305" s="896">
        <v>0</v>
      </c>
      <c r="M305" s="896" t="s">
        <v>1283</v>
      </c>
      <c r="N305" s="896">
        <v>0</v>
      </c>
      <c r="O305" s="896">
        <v>0</v>
      </c>
      <c r="P305" s="896" t="s">
        <v>1086</v>
      </c>
    </row>
    <row r="306" spans="2:16">
      <c r="B306" s="896">
        <v>78981</v>
      </c>
      <c r="C306" s="896" t="s">
        <v>991</v>
      </c>
      <c r="D306" s="896" t="s">
        <v>1275</v>
      </c>
      <c r="E306" s="896" t="s">
        <v>118</v>
      </c>
      <c r="F306" s="896" t="s">
        <v>1089</v>
      </c>
      <c r="G306" s="896" t="s">
        <v>1083</v>
      </c>
      <c r="H306" s="896">
        <v>2016</v>
      </c>
      <c r="I306" s="896">
        <v>150270</v>
      </c>
      <c r="J306" s="896">
        <v>120825.6123982405</v>
      </c>
      <c r="K306" s="896" t="s">
        <v>1028</v>
      </c>
      <c r="L306" s="896">
        <v>0</v>
      </c>
      <c r="M306" s="896" t="s">
        <v>1277</v>
      </c>
      <c r="N306" s="896" t="s">
        <v>1014</v>
      </c>
      <c r="O306" s="896" t="s">
        <v>1014</v>
      </c>
      <c r="P306" s="896" t="s">
        <v>1085</v>
      </c>
    </row>
    <row r="307" spans="2:16">
      <c r="B307" s="896">
        <v>78982</v>
      </c>
      <c r="C307" s="896" t="s">
        <v>991</v>
      </c>
      <c r="D307" s="896" t="s">
        <v>1275</v>
      </c>
      <c r="E307" s="896" t="s">
        <v>118</v>
      </c>
      <c r="F307" s="896" t="s">
        <v>1089</v>
      </c>
      <c r="G307" s="896" t="s">
        <v>1083</v>
      </c>
      <c r="H307" s="896">
        <v>2016</v>
      </c>
      <c r="I307" s="896">
        <v>151476</v>
      </c>
      <c r="J307" s="896">
        <v>2244.0678218038461</v>
      </c>
      <c r="K307" s="896" t="s">
        <v>1028</v>
      </c>
      <c r="L307" s="896">
        <v>0</v>
      </c>
      <c r="M307" s="896" t="s">
        <v>1284</v>
      </c>
      <c r="N307" s="896">
        <v>0</v>
      </c>
      <c r="O307" s="896">
        <v>0</v>
      </c>
      <c r="P307" s="896" t="s">
        <v>1085</v>
      </c>
    </row>
    <row r="308" spans="2:16">
      <c r="B308" s="896">
        <v>78983</v>
      </c>
      <c r="C308" s="896" t="s">
        <v>991</v>
      </c>
      <c r="D308" s="896" t="s">
        <v>1275</v>
      </c>
      <c r="E308" s="896" t="s">
        <v>118</v>
      </c>
      <c r="F308" s="896" t="s">
        <v>1089</v>
      </c>
      <c r="G308" s="896" t="s">
        <v>1083</v>
      </c>
      <c r="H308" s="896">
        <v>2016</v>
      </c>
      <c r="I308" s="896">
        <v>151476</v>
      </c>
      <c r="J308" s="896">
        <v>3127.4850460962566</v>
      </c>
      <c r="K308" s="896" t="s">
        <v>1028</v>
      </c>
      <c r="L308" s="896">
        <v>0</v>
      </c>
      <c r="M308" s="896" t="s">
        <v>1284</v>
      </c>
      <c r="N308" s="896">
        <v>0</v>
      </c>
      <c r="O308" s="896">
        <v>0</v>
      </c>
      <c r="P308" s="896" t="s">
        <v>1085</v>
      </c>
    </row>
    <row r="309" spans="2:16">
      <c r="B309" s="896">
        <v>78986</v>
      </c>
      <c r="C309" s="896" t="s">
        <v>991</v>
      </c>
      <c r="D309" s="896" t="s">
        <v>1275</v>
      </c>
      <c r="E309" s="896" t="s">
        <v>118</v>
      </c>
      <c r="F309" s="896" t="s">
        <v>1089</v>
      </c>
      <c r="G309" s="896" t="s">
        <v>1083</v>
      </c>
      <c r="H309" s="896">
        <v>2016</v>
      </c>
      <c r="I309" s="896">
        <v>155048</v>
      </c>
      <c r="J309" s="896">
        <v>37763.734868072825</v>
      </c>
      <c r="K309" s="896" t="s">
        <v>1028</v>
      </c>
      <c r="L309" s="896">
        <v>0</v>
      </c>
      <c r="M309" s="896" t="s">
        <v>1285</v>
      </c>
      <c r="N309" s="896">
        <v>0</v>
      </c>
      <c r="O309" s="896">
        <v>0</v>
      </c>
      <c r="P309" s="896" t="s">
        <v>1085</v>
      </c>
    </row>
    <row r="310" spans="2:16">
      <c r="B310" s="896">
        <v>78990</v>
      </c>
      <c r="C310" s="896" t="s">
        <v>991</v>
      </c>
      <c r="D310" s="896" t="s">
        <v>1275</v>
      </c>
      <c r="E310" s="896" t="s">
        <v>118</v>
      </c>
      <c r="F310" s="896" t="s">
        <v>1089</v>
      </c>
      <c r="G310" s="896" t="s">
        <v>1083</v>
      </c>
      <c r="H310" s="896">
        <v>2016</v>
      </c>
      <c r="I310" s="896">
        <v>156101</v>
      </c>
      <c r="J310" s="896">
        <v>61366.069160618332</v>
      </c>
      <c r="K310" s="896" t="s">
        <v>1028</v>
      </c>
      <c r="L310" s="896">
        <v>0</v>
      </c>
      <c r="M310" s="896" t="s">
        <v>1285</v>
      </c>
      <c r="N310" s="896">
        <v>0</v>
      </c>
      <c r="O310" s="896">
        <v>0</v>
      </c>
      <c r="P310" s="896" t="s">
        <v>1085</v>
      </c>
    </row>
    <row r="311" spans="2:16">
      <c r="B311" s="896">
        <v>78991</v>
      </c>
      <c r="C311" s="896" t="s">
        <v>991</v>
      </c>
      <c r="D311" s="896" t="s">
        <v>1275</v>
      </c>
      <c r="E311" s="896" t="s">
        <v>118</v>
      </c>
      <c r="F311" s="896" t="s">
        <v>1089</v>
      </c>
      <c r="G311" s="896" t="s">
        <v>1083</v>
      </c>
      <c r="H311" s="896">
        <v>2016</v>
      </c>
      <c r="I311" s="896">
        <v>156170</v>
      </c>
      <c r="J311" s="896">
        <v>3214.7893970803339</v>
      </c>
      <c r="K311" s="896" t="s">
        <v>1028</v>
      </c>
      <c r="L311" s="896">
        <v>0</v>
      </c>
      <c r="M311" s="896" t="s">
        <v>1286</v>
      </c>
      <c r="N311" s="896">
        <v>0</v>
      </c>
      <c r="O311" s="896">
        <v>0</v>
      </c>
      <c r="P311" s="896" t="s">
        <v>1085</v>
      </c>
    </row>
    <row r="312" spans="2:16">
      <c r="B312" s="896">
        <v>78992</v>
      </c>
      <c r="C312" s="896" t="s">
        <v>991</v>
      </c>
      <c r="D312" s="896" t="s">
        <v>1275</v>
      </c>
      <c r="E312" s="896" t="s">
        <v>118</v>
      </c>
      <c r="F312" s="896" t="s">
        <v>1089</v>
      </c>
      <c r="G312" s="896" t="s">
        <v>1083</v>
      </c>
      <c r="H312" s="896">
        <v>2016</v>
      </c>
      <c r="I312" s="896">
        <v>156170</v>
      </c>
      <c r="J312" s="896">
        <v>5163.5707319060448</v>
      </c>
      <c r="K312" s="896" t="s">
        <v>1028</v>
      </c>
      <c r="L312" s="896">
        <v>0</v>
      </c>
      <c r="M312" s="896" t="s">
        <v>1286</v>
      </c>
      <c r="N312" s="896">
        <v>0</v>
      </c>
      <c r="O312" s="896">
        <v>0</v>
      </c>
      <c r="P312" s="896" t="s">
        <v>1085</v>
      </c>
    </row>
    <row r="313" spans="2:16">
      <c r="B313" s="896">
        <v>78995</v>
      </c>
      <c r="C313" s="896" t="s">
        <v>991</v>
      </c>
      <c r="D313" s="896" t="s">
        <v>1275</v>
      </c>
      <c r="E313" s="896" t="s">
        <v>118</v>
      </c>
      <c r="F313" s="896" t="s">
        <v>1089</v>
      </c>
      <c r="G313" s="896" t="s">
        <v>1083</v>
      </c>
      <c r="H313" s="896">
        <v>2016</v>
      </c>
      <c r="I313" s="896">
        <v>158613</v>
      </c>
      <c r="J313" s="896">
        <v>37763.734868072825</v>
      </c>
      <c r="K313" s="896" t="s">
        <v>1028</v>
      </c>
      <c r="L313" s="896">
        <v>0</v>
      </c>
      <c r="M313" s="896" t="s">
        <v>1287</v>
      </c>
      <c r="N313" s="896">
        <v>0</v>
      </c>
      <c r="O313" s="896">
        <v>0</v>
      </c>
      <c r="P313" s="896" t="s">
        <v>1183</v>
      </c>
    </row>
    <row r="314" spans="2:16">
      <c r="B314" s="896">
        <v>78996</v>
      </c>
      <c r="C314" s="896" t="s">
        <v>991</v>
      </c>
      <c r="D314" s="896" t="s">
        <v>1275</v>
      </c>
      <c r="E314" s="896" t="s">
        <v>118</v>
      </c>
      <c r="F314" s="896" t="s">
        <v>1089</v>
      </c>
      <c r="G314" s="896" t="s">
        <v>1083</v>
      </c>
      <c r="H314" s="896">
        <v>2016</v>
      </c>
      <c r="I314" s="896">
        <v>159310</v>
      </c>
      <c r="J314" s="896">
        <v>68475.641892088737</v>
      </c>
      <c r="K314" s="896" t="s">
        <v>1028</v>
      </c>
      <c r="L314" s="896">
        <v>0</v>
      </c>
      <c r="M314" s="896" t="s">
        <v>1288</v>
      </c>
      <c r="N314" s="896">
        <v>0</v>
      </c>
      <c r="O314" s="896">
        <v>0</v>
      </c>
      <c r="P314" s="896" t="s">
        <v>1085</v>
      </c>
    </row>
    <row r="315" spans="2:16">
      <c r="B315" s="896">
        <v>78997</v>
      </c>
      <c r="C315" s="896" t="s">
        <v>991</v>
      </c>
      <c r="D315" s="896" t="s">
        <v>1275</v>
      </c>
      <c r="E315" s="896" t="s">
        <v>118</v>
      </c>
      <c r="F315" s="896" t="s">
        <v>1089</v>
      </c>
      <c r="G315" s="896" t="s">
        <v>1083</v>
      </c>
      <c r="H315" s="896">
        <v>2016</v>
      </c>
      <c r="I315" s="896">
        <v>159843</v>
      </c>
      <c r="J315" s="896">
        <v>541717.38857434515</v>
      </c>
      <c r="K315" s="896" t="s">
        <v>1028</v>
      </c>
      <c r="L315" s="896">
        <v>0</v>
      </c>
      <c r="M315" s="896" t="s">
        <v>1289</v>
      </c>
      <c r="N315" s="896">
        <v>0</v>
      </c>
      <c r="O315" s="896">
        <v>0</v>
      </c>
      <c r="P315" s="896" t="s">
        <v>1183</v>
      </c>
    </row>
    <row r="316" spans="2:16">
      <c r="B316" s="896">
        <v>79001</v>
      </c>
      <c r="C316" s="896" t="s">
        <v>991</v>
      </c>
      <c r="D316" s="896" t="s">
        <v>1275</v>
      </c>
      <c r="E316" s="896" t="s">
        <v>118</v>
      </c>
      <c r="F316" s="896" t="s">
        <v>1089</v>
      </c>
      <c r="G316" s="896" t="s">
        <v>1083</v>
      </c>
      <c r="H316" s="896">
        <v>2016</v>
      </c>
      <c r="I316" s="896">
        <v>164884</v>
      </c>
      <c r="J316" s="896">
        <v>40525.176326048444</v>
      </c>
      <c r="K316" s="896" t="s">
        <v>1028</v>
      </c>
      <c r="L316" s="896" t="s">
        <v>797</v>
      </c>
      <c r="M316" s="896" t="s">
        <v>1290</v>
      </c>
      <c r="N316" s="896">
        <v>0</v>
      </c>
      <c r="O316" s="896">
        <v>0</v>
      </c>
      <c r="P316" s="896" t="s">
        <v>1085</v>
      </c>
    </row>
    <row r="317" spans="2:16">
      <c r="B317" s="896">
        <v>79002</v>
      </c>
      <c r="C317" s="896" t="s">
        <v>991</v>
      </c>
      <c r="D317" s="896" t="s">
        <v>1275</v>
      </c>
      <c r="E317" s="896" t="s">
        <v>118</v>
      </c>
      <c r="F317" s="896" t="s">
        <v>1089</v>
      </c>
      <c r="G317" s="896" t="s">
        <v>1083</v>
      </c>
      <c r="H317" s="896">
        <v>2016</v>
      </c>
      <c r="I317" s="896">
        <v>165406</v>
      </c>
      <c r="J317" s="896">
        <v>2762.923055068798</v>
      </c>
      <c r="K317" s="896" t="s">
        <v>1028</v>
      </c>
      <c r="L317" s="896">
        <v>0</v>
      </c>
      <c r="M317" s="896" t="s">
        <v>1291</v>
      </c>
      <c r="N317" s="896">
        <v>0</v>
      </c>
      <c r="O317" s="896">
        <v>0</v>
      </c>
      <c r="P317" s="896" t="s">
        <v>1216</v>
      </c>
    </row>
    <row r="318" spans="2:16">
      <c r="B318" s="896">
        <v>78993</v>
      </c>
      <c r="C318" s="896" t="s">
        <v>991</v>
      </c>
      <c r="D318" s="896" t="s">
        <v>1275</v>
      </c>
      <c r="E318" s="896" t="s">
        <v>118</v>
      </c>
      <c r="F318" s="896" t="s">
        <v>1089</v>
      </c>
      <c r="G318" s="896" t="s">
        <v>1083</v>
      </c>
      <c r="H318" s="896">
        <v>2016</v>
      </c>
      <c r="I318" s="896">
        <v>156182</v>
      </c>
      <c r="J318" s="896">
        <v>14034.816864219178</v>
      </c>
      <c r="K318" s="896" t="s">
        <v>1084</v>
      </c>
      <c r="L318" s="896">
        <v>0</v>
      </c>
      <c r="M318" s="896" t="s">
        <v>1292</v>
      </c>
      <c r="N318" s="896">
        <v>0</v>
      </c>
      <c r="O318" s="896">
        <v>0</v>
      </c>
      <c r="P318" s="896" t="s">
        <v>1085</v>
      </c>
    </row>
    <row r="319" spans="2:16">
      <c r="B319" s="896">
        <v>78994</v>
      </c>
      <c r="C319" s="896" t="s">
        <v>991</v>
      </c>
      <c r="D319" s="896" t="s">
        <v>1275</v>
      </c>
      <c r="E319" s="896" t="s">
        <v>118</v>
      </c>
      <c r="F319" s="896" t="s">
        <v>1089</v>
      </c>
      <c r="G319" s="896" t="s">
        <v>1083</v>
      </c>
      <c r="H319" s="896">
        <v>2016</v>
      </c>
      <c r="I319" s="896">
        <v>156182</v>
      </c>
      <c r="J319" s="896">
        <v>2306.5234037152059</v>
      </c>
      <c r="K319" s="896" t="s">
        <v>1084</v>
      </c>
      <c r="L319" s="896">
        <v>0</v>
      </c>
      <c r="M319" s="896" t="s">
        <v>1292</v>
      </c>
      <c r="N319" s="896">
        <v>0</v>
      </c>
      <c r="O319" s="896">
        <v>0</v>
      </c>
      <c r="P319" s="896" t="s">
        <v>1085</v>
      </c>
    </row>
    <row r="320" spans="2:16">
      <c r="B320" s="896">
        <v>78984</v>
      </c>
      <c r="C320" s="896" t="s">
        <v>991</v>
      </c>
      <c r="D320" s="896" t="s">
        <v>1275</v>
      </c>
      <c r="E320" s="896" t="s">
        <v>118</v>
      </c>
      <c r="F320" s="896" t="s">
        <v>1089</v>
      </c>
      <c r="G320" s="896" t="s">
        <v>1083</v>
      </c>
      <c r="H320" s="896">
        <v>2016</v>
      </c>
      <c r="I320" s="896">
        <v>151788</v>
      </c>
      <c r="J320" s="897">
        <v>56535.796125813809</v>
      </c>
      <c r="K320" s="896" t="s">
        <v>1293</v>
      </c>
      <c r="L320" s="896">
        <v>0</v>
      </c>
      <c r="M320" s="896" t="s">
        <v>1290</v>
      </c>
      <c r="N320" s="896">
        <v>0</v>
      </c>
      <c r="O320" s="896">
        <v>0</v>
      </c>
      <c r="P320" s="896" t="s">
        <v>1085</v>
      </c>
    </row>
    <row r="321" spans="2:17">
      <c r="B321" s="896"/>
      <c r="C321" s="896"/>
      <c r="D321" s="896"/>
      <c r="E321" s="896"/>
      <c r="F321" s="896"/>
      <c r="G321" s="896"/>
      <c r="H321" s="896"/>
      <c r="I321" s="896"/>
      <c r="J321" s="896">
        <f>SUM(J300:J320)</f>
        <v>1104460.0381776886</v>
      </c>
      <c r="K321" s="896"/>
      <c r="L321" s="896"/>
      <c r="M321" s="896"/>
      <c r="N321" s="896"/>
      <c r="O321" s="896"/>
      <c r="P321" s="896"/>
      <c r="Q321" s="896"/>
    </row>
    <row r="322" spans="2:17">
      <c r="B322" s="896"/>
      <c r="C322" s="896"/>
      <c r="D322" s="896"/>
      <c r="E322" s="896"/>
      <c r="F322" s="896"/>
      <c r="G322" s="896"/>
      <c r="H322" s="896"/>
      <c r="I322" s="896"/>
      <c r="J322" s="896"/>
      <c r="K322" s="896"/>
      <c r="L322" s="896"/>
      <c r="M322" s="896"/>
      <c r="N322" s="896"/>
      <c r="O322" s="896"/>
      <c r="P322" s="896"/>
      <c r="Q322" s="896"/>
    </row>
    <row r="323" spans="2:17">
      <c r="B323" s="896"/>
      <c r="C323" s="896"/>
      <c r="D323" s="896"/>
      <c r="E323" s="896"/>
      <c r="F323" s="896"/>
      <c r="G323" s="896"/>
      <c r="H323" s="896"/>
      <c r="I323" s="896"/>
      <c r="J323" s="898">
        <f>SUM(J300:J301)/J321</f>
        <v>3.2872540737390044E-2</v>
      </c>
      <c r="K323" s="890" t="s">
        <v>990</v>
      </c>
      <c r="L323" s="896"/>
      <c r="M323" s="896"/>
      <c r="N323" s="896"/>
      <c r="O323" s="896"/>
      <c r="P323" s="896"/>
    </row>
    <row r="324" spans="2:17">
      <c r="B324" s="896"/>
      <c r="C324" s="896"/>
      <c r="D324" s="896"/>
      <c r="E324" s="896"/>
      <c r="F324" s="896"/>
      <c r="G324" s="896"/>
      <c r="H324" s="896"/>
      <c r="I324" s="896"/>
      <c r="J324" s="898">
        <f>SUM(J302:J317)/J321</f>
        <v>0.90114305613835366</v>
      </c>
      <c r="K324" s="890" t="s">
        <v>1028</v>
      </c>
      <c r="L324" s="896"/>
      <c r="M324" s="896"/>
      <c r="N324" s="896"/>
      <c r="O324" s="896"/>
      <c r="P324" s="896"/>
    </row>
    <row r="325" spans="2:17">
      <c r="B325" s="896"/>
      <c r="C325" s="896"/>
      <c r="D325" s="896"/>
      <c r="E325" s="896"/>
      <c r="F325" s="896"/>
      <c r="G325" s="896"/>
      <c r="H325" s="896"/>
      <c r="I325" s="896"/>
      <c r="J325" s="898">
        <f>SUM(J318:J319)/J321</f>
        <v>1.4795773231322059E-2</v>
      </c>
      <c r="K325" s="890" t="s">
        <v>1294</v>
      </c>
      <c r="L325" s="896"/>
      <c r="M325" s="896"/>
      <c r="N325" s="896"/>
      <c r="O325" s="896"/>
      <c r="P325" s="896"/>
    </row>
    <row r="326" spans="2:17">
      <c r="B326" s="896"/>
      <c r="C326" s="896"/>
      <c r="D326" s="896"/>
      <c r="E326" s="896"/>
      <c r="F326" s="896"/>
      <c r="G326" s="896"/>
      <c r="H326" s="896"/>
      <c r="I326" s="896"/>
      <c r="J326" s="898">
        <f>J320/J321</f>
        <v>5.1188629892934316E-2</v>
      </c>
      <c r="K326" s="899" t="s">
        <v>1293</v>
      </c>
      <c r="L326" s="896"/>
      <c r="M326" s="896"/>
      <c r="N326" s="896"/>
      <c r="O326" s="896"/>
      <c r="P326" s="896"/>
    </row>
    <row r="331" spans="2:17">
      <c r="B331" s="900" t="s">
        <v>1295</v>
      </c>
    </row>
    <row r="332" spans="2:17" ht="45">
      <c r="B332" s="887" t="s">
        <v>1069</v>
      </c>
      <c r="C332" s="887" t="s">
        <v>1070</v>
      </c>
      <c r="D332" s="887" t="s">
        <v>843</v>
      </c>
      <c r="E332" s="887" t="s">
        <v>1071</v>
      </c>
      <c r="F332" s="887" t="s">
        <v>1072</v>
      </c>
      <c r="G332" s="887" t="s">
        <v>1073</v>
      </c>
      <c r="H332" s="887" t="s">
        <v>1074</v>
      </c>
      <c r="I332" s="887" t="s">
        <v>1075</v>
      </c>
      <c r="J332" s="887" t="s">
        <v>506</v>
      </c>
      <c r="K332" s="887" t="s">
        <v>772</v>
      </c>
      <c r="L332" s="887" t="s">
        <v>1076</v>
      </c>
      <c r="M332" s="887" t="s">
        <v>1077</v>
      </c>
      <c r="N332" s="887" t="s">
        <v>1078</v>
      </c>
      <c r="O332" s="887" t="s">
        <v>1079</v>
      </c>
      <c r="P332" s="887" t="s">
        <v>1080</v>
      </c>
    </row>
    <row r="333" spans="2:17">
      <c r="B333" s="901">
        <v>96598</v>
      </c>
      <c r="C333" s="902" t="s">
        <v>991</v>
      </c>
      <c r="D333" s="903" t="s">
        <v>1296</v>
      </c>
      <c r="E333" s="902" t="s">
        <v>113</v>
      </c>
      <c r="F333" s="903" t="s">
        <v>1297</v>
      </c>
      <c r="G333" s="902" t="s">
        <v>1083</v>
      </c>
      <c r="H333" s="904">
        <v>2017</v>
      </c>
      <c r="I333" s="905"/>
      <c r="J333" s="906" t="s">
        <v>1298</v>
      </c>
      <c r="K333" s="903"/>
      <c r="L333" s="902"/>
      <c r="M333" s="903"/>
      <c r="N333" s="902"/>
      <c r="O333" s="903"/>
      <c r="P333" s="902" t="s">
        <v>1085</v>
      </c>
    </row>
    <row r="334" spans="2:17">
      <c r="B334" s="907">
        <v>96599</v>
      </c>
      <c r="C334" s="908" t="s">
        <v>991</v>
      </c>
      <c r="D334" s="909" t="s">
        <v>1296</v>
      </c>
      <c r="E334" s="908" t="s">
        <v>113</v>
      </c>
      <c r="F334" s="909" t="s">
        <v>1297</v>
      </c>
      <c r="G334" s="908" t="s">
        <v>1083</v>
      </c>
      <c r="H334" s="910">
        <v>2017</v>
      </c>
      <c r="I334" s="911"/>
      <c r="J334" s="906" t="s">
        <v>1298</v>
      </c>
      <c r="K334" s="909"/>
      <c r="L334" s="908"/>
      <c r="M334" s="909"/>
      <c r="N334" s="908"/>
      <c r="O334" s="909"/>
      <c r="P334" s="908" t="s">
        <v>1085</v>
      </c>
    </row>
    <row r="335" spans="2:17">
      <c r="B335" s="901">
        <v>96600</v>
      </c>
      <c r="C335" s="902" t="s">
        <v>991</v>
      </c>
      <c r="D335" s="903" t="s">
        <v>1296</v>
      </c>
      <c r="E335" s="902" t="s">
        <v>113</v>
      </c>
      <c r="F335" s="903" t="s">
        <v>1297</v>
      </c>
      <c r="G335" s="902" t="s">
        <v>1083</v>
      </c>
      <c r="H335" s="904">
        <v>2017</v>
      </c>
      <c r="I335" s="905"/>
      <c r="J335" s="912" t="s">
        <v>1298</v>
      </c>
      <c r="K335" s="903"/>
      <c r="L335" s="902"/>
      <c r="M335" s="903"/>
      <c r="N335" s="902"/>
      <c r="O335" s="903"/>
      <c r="P335" s="902" t="s">
        <v>1085</v>
      </c>
    </row>
    <row r="336" spans="2:17">
      <c r="B336" s="901"/>
      <c r="C336" s="902"/>
      <c r="D336" s="903"/>
      <c r="E336" s="902"/>
      <c r="F336" s="903"/>
      <c r="G336" s="902"/>
      <c r="H336" s="904"/>
      <c r="I336" s="905"/>
      <c r="J336" s="913">
        <v>1</v>
      </c>
      <c r="K336" s="909" t="s">
        <v>1087</v>
      </c>
      <c r="L336" s="902"/>
      <c r="M336" s="903"/>
      <c r="N336" s="902"/>
      <c r="O336" s="903"/>
      <c r="P336" s="902"/>
    </row>
    <row r="337" spans="2:16">
      <c r="B337" s="901"/>
      <c r="C337" s="902"/>
      <c r="D337" s="903"/>
      <c r="E337" s="902"/>
      <c r="F337" s="903"/>
      <c r="G337" s="902"/>
      <c r="H337" s="904"/>
      <c r="I337" s="905"/>
      <c r="J337" s="906"/>
      <c r="K337" s="903"/>
      <c r="L337" s="902"/>
      <c r="M337" s="903"/>
      <c r="N337" s="902"/>
      <c r="O337" s="903"/>
      <c r="P337" s="902"/>
    </row>
    <row r="338" spans="2:16">
      <c r="B338" s="907">
        <v>96602</v>
      </c>
      <c r="C338" s="908" t="s">
        <v>991</v>
      </c>
      <c r="D338" s="909"/>
      <c r="E338" s="908" t="s">
        <v>124</v>
      </c>
      <c r="F338" s="909" t="s">
        <v>1297</v>
      </c>
      <c r="G338" s="908" t="s">
        <v>1083</v>
      </c>
      <c r="H338" s="910">
        <v>2017</v>
      </c>
      <c r="I338" s="911" t="s">
        <v>1299</v>
      </c>
      <c r="J338" s="912" t="s">
        <v>1300</v>
      </c>
      <c r="K338" s="909" t="s">
        <v>1301</v>
      </c>
      <c r="L338" s="908"/>
      <c r="M338" s="909"/>
      <c r="N338" s="908"/>
      <c r="O338" s="909"/>
      <c r="P338" s="908" t="s">
        <v>1085</v>
      </c>
    </row>
    <row r="339" spans="2:16">
      <c r="B339" s="907"/>
      <c r="C339" s="908"/>
      <c r="D339" s="909"/>
      <c r="E339" s="908"/>
      <c r="F339" s="909"/>
      <c r="G339" s="908"/>
      <c r="H339" s="910"/>
      <c r="I339" s="911"/>
      <c r="J339" s="914">
        <v>1</v>
      </c>
      <c r="K339" s="909" t="s">
        <v>1028</v>
      </c>
      <c r="L339" s="908"/>
      <c r="M339" s="909"/>
      <c r="N339" s="908"/>
      <c r="O339" s="909"/>
      <c r="P339" s="908"/>
    </row>
    <row r="340" spans="2:16">
      <c r="B340" s="907"/>
      <c r="C340" s="908"/>
      <c r="D340" s="909"/>
      <c r="E340" s="908"/>
      <c r="F340" s="909"/>
      <c r="G340" s="908"/>
      <c r="H340" s="910"/>
      <c r="I340" s="911"/>
      <c r="J340" s="906"/>
      <c r="K340" s="909"/>
      <c r="L340" s="908"/>
      <c r="M340" s="909"/>
      <c r="N340" s="908"/>
      <c r="O340" s="909"/>
      <c r="P340" s="908"/>
    </row>
    <row r="341" spans="2:16">
      <c r="B341" s="901">
        <v>96667</v>
      </c>
      <c r="C341" s="902" t="s">
        <v>991</v>
      </c>
      <c r="D341" s="903" t="s">
        <v>1302</v>
      </c>
      <c r="E341" s="902" t="s">
        <v>1097</v>
      </c>
      <c r="F341" s="903" t="s">
        <v>1297</v>
      </c>
      <c r="G341" s="902" t="s">
        <v>1083</v>
      </c>
      <c r="H341" s="904">
        <v>2017</v>
      </c>
      <c r="I341" s="905" t="s">
        <v>1303</v>
      </c>
      <c r="J341" s="906" t="s">
        <v>1298</v>
      </c>
      <c r="K341" s="903"/>
      <c r="L341" s="902"/>
      <c r="M341" s="903"/>
      <c r="N341" s="902"/>
      <c r="O341" s="903"/>
      <c r="P341" s="902" t="s">
        <v>1304</v>
      </c>
    </row>
    <row r="342" spans="2:16">
      <c r="B342" s="907">
        <v>96638</v>
      </c>
      <c r="C342" s="908" t="s">
        <v>991</v>
      </c>
      <c r="D342" s="909" t="s">
        <v>1302</v>
      </c>
      <c r="E342" s="908" t="s">
        <v>1097</v>
      </c>
      <c r="F342" s="909" t="s">
        <v>1297</v>
      </c>
      <c r="G342" s="908" t="s">
        <v>1083</v>
      </c>
      <c r="H342" s="910">
        <v>2017</v>
      </c>
      <c r="I342" s="911" t="s">
        <v>1305</v>
      </c>
      <c r="J342" s="906" t="s">
        <v>1298</v>
      </c>
      <c r="K342" s="909"/>
      <c r="L342" s="908"/>
      <c r="M342" s="909"/>
      <c r="N342" s="908"/>
      <c r="O342" s="909"/>
      <c r="P342" s="908" t="s">
        <v>1306</v>
      </c>
    </row>
    <row r="343" spans="2:16">
      <c r="B343" s="907">
        <v>96606</v>
      </c>
      <c r="C343" s="908" t="s">
        <v>991</v>
      </c>
      <c r="D343" s="909" t="s">
        <v>1302</v>
      </c>
      <c r="E343" s="908" t="s">
        <v>1097</v>
      </c>
      <c r="F343" s="909" t="s">
        <v>1297</v>
      </c>
      <c r="G343" s="908" t="s">
        <v>1083</v>
      </c>
      <c r="H343" s="910">
        <v>2017</v>
      </c>
      <c r="I343" s="911" t="s">
        <v>1307</v>
      </c>
      <c r="J343" s="906" t="s">
        <v>1298</v>
      </c>
      <c r="K343" s="909"/>
      <c r="L343" s="908"/>
      <c r="M343" s="909"/>
      <c r="N343" s="908"/>
      <c r="O343" s="909"/>
      <c r="P343" s="908" t="s">
        <v>1085</v>
      </c>
    </row>
    <row r="344" spans="2:16">
      <c r="B344" s="901">
        <v>96607</v>
      </c>
      <c r="C344" s="902" t="s">
        <v>991</v>
      </c>
      <c r="D344" s="903" t="s">
        <v>1302</v>
      </c>
      <c r="E344" s="902" t="s">
        <v>1097</v>
      </c>
      <c r="F344" s="903" t="s">
        <v>1297</v>
      </c>
      <c r="G344" s="902" t="s">
        <v>1083</v>
      </c>
      <c r="H344" s="904">
        <v>2017</v>
      </c>
      <c r="I344" s="905" t="s">
        <v>1308</v>
      </c>
      <c r="J344" s="906" t="s">
        <v>1298</v>
      </c>
      <c r="K344" s="903"/>
      <c r="L344" s="902"/>
      <c r="M344" s="903"/>
      <c r="N344" s="902"/>
      <c r="O344" s="903"/>
      <c r="P344" s="902" t="s">
        <v>1085</v>
      </c>
    </row>
    <row r="345" spans="2:16">
      <c r="B345" s="901">
        <v>96609</v>
      </c>
      <c r="C345" s="902" t="s">
        <v>991</v>
      </c>
      <c r="D345" s="903" t="s">
        <v>1302</v>
      </c>
      <c r="E345" s="902" t="s">
        <v>1097</v>
      </c>
      <c r="F345" s="903" t="s">
        <v>1297</v>
      </c>
      <c r="G345" s="902" t="s">
        <v>1083</v>
      </c>
      <c r="H345" s="904">
        <v>2017</v>
      </c>
      <c r="I345" s="905" t="s">
        <v>1309</v>
      </c>
      <c r="J345" s="906" t="s">
        <v>1298</v>
      </c>
      <c r="K345" s="903"/>
      <c r="L345" s="902"/>
      <c r="M345" s="903"/>
      <c r="N345" s="902"/>
      <c r="O345" s="903"/>
      <c r="P345" s="902" t="s">
        <v>1086</v>
      </c>
    </row>
    <row r="346" spans="2:16">
      <c r="B346" s="907">
        <v>96610</v>
      </c>
      <c r="C346" s="908" t="s">
        <v>991</v>
      </c>
      <c r="D346" s="909" t="s">
        <v>1302</v>
      </c>
      <c r="E346" s="908" t="s">
        <v>1097</v>
      </c>
      <c r="F346" s="909" t="s">
        <v>1297</v>
      </c>
      <c r="G346" s="908" t="s">
        <v>1083</v>
      </c>
      <c r="H346" s="910">
        <v>2017</v>
      </c>
      <c r="I346" s="911" t="s">
        <v>1310</v>
      </c>
      <c r="J346" s="906" t="s">
        <v>1298</v>
      </c>
      <c r="K346" s="909"/>
      <c r="L346" s="908"/>
      <c r="M346" s="909"/>
      <c r="N346" s="908"/>
      <c r="O346" s="909"/>
      <c r="P346" s="908" t="s">
        <v>1085</v>
      </c>
    </row>
    <row r="347" spans="2:16">
      <c r="B347" s="907">
        <v>96614</v>
      </c>
      <c r="C347" s="908" t="s">
        <v>991</v>
      </c>
      <c r="D347" s="909" t="s">
        <v>1302</v>
      </c>
      <c r="E347" s="908" t="s">
        <v>1097</v>
      </c>
      <c r="F347" s="909" t="s">
        <v>1297</v>
      </c>
      <c r="G347" s="908" t="s">
        <v>1083</v>
      </c>
      <c r="H347" s="910">
        <v>2017</v>
      </c>
      <c r="I347" s="911" t="s">
        <v>1311</v>
      </c>
      <c r="J347" s="906" t="s">
        <v>1298</v>
      </c>
      <c r="K347" s="909"/>
      <c r="L347" s="908"/>
      <c r="M347" s="909"/>
      <c r="N347" s="908"/>
      <c r="O347" s="909"/>
      <c r="P347" s="908" t="s">
        <v>1085</v>
      </c>
    </row>
    <row r="348" spans="2:16">
      <c r="B348" s="901">
        <v>96615</v>
      </c>
      <c r="C348" s="902" t="s">
        <v>991</v>
      </c>
      <c r="D348" s="903" t="s">
        <v>1302</v>
      </c>
      <c r="E348" s="902" t="s">
        <v>1097</v>
      </c>
      <c r="F348" s="903" t="s">
        <v>1297</v>
      </c>
      <c r="G348" s="902" t="s">
        <v>1083</v>
      </c>
      <c r="H348" s="904">
        <v>2017</v>
      </c>
      <c r="I348" s="905" t="s">
        <v>1312</v>
      </c>
      <c r="J348" s="906" t="s">
        <v>1298</v>
      </c>
      <c r="K348" s="903"/>
      <c r="L348" s="902"/>
      <c r="M348" s="903"/>
      <c r="N348" s="902"/>
      <c r="O348" s="903"/>
      <c r="P348" s="902" t="s">
        <v>1086</v>
      </c>
    </row>
    <row r="349" spans="2:16">
      <c r="B349" s="907">
        <v>96616</v>
      </c>
      <c r="C349" s="908" t="s">
        <v>991</v>
      </c>
      <c r="D349" s="909" t="s">
        <v>1302</v>
      </c>
      <c r="E349" s="908" t="s">
        <v>1097</v>
      </c>
      <c r="F349" s="909" t="s">
        <v>1297</v>
      </c>
      <c r="G349" s="908" t="s">
        <v>1083</v>
      </c>
      <c r="H349" s="910">
        <v>2017</v>
      </c>
      <c r="I349" s="911" t="s">
        <v>1313</v>
      </c>
      <c r="J349" s="906" t="s">
        <v>1298</v>
      </c>
      <c r="K349" s="909"/>
      <c r="L349" s="908"/>
      <c r="M349" s="909"/>
      <c r="N349" s="908"/>
      <c r="O349" s="909"/>
      <c r="P349" s="908" t="s">
        <v>1085</v>
      </c>
    </row>
    <row r="350" spans="2:16">
      <c r="B350" s="901">
        <v>96617</v>
      </c>
      <c r="C350" s="902" t="s">
        <v>991</v>
      </c>
      <c r="D350" s="903" t="s">
        <v>1302</v>
      </c>
      <c r="E350" s="902" t="s">
        <v>1097</v>
      </c>
      <c r="F350" s="903" t="s">
        <v>1297</v>
      </c>
      <c r="G350" s="902" t="s">
        <v>1083</v>
      </c>
      <c r="H350" s="904">
        <v>2017</v>
      </c>
      <c r="I350" s="905" t="s">
        <v>1314</v>
      </c>
      <c r="J350" s="906" t="s">
        <v>1298</v>
      </c>
      <c r="K350" s="903"/>
      <c r="L350" s="902"/>
      <c r="M350" s="903"/>
      <c r="N350" s="902"/>
      <c r="O350" s="903"/>
      <c r="P350" s="902" t="s">
        <v>1085</v>
      </c>
    </row>
    <row r="351" spans="2:16">
      <c r="B351" s="907">
        <v>96618</v>
      </c>
      <c r="C351" s="908" t="s">
        <v>991</v>
      </c>
      <c r="D351" s="909" t="s">
        <v>1302</v>
      </c>
      <c r="E351" s="908" t="s">
        <v>1097</v>
      </c>
      <c r="F351" s="909" t="s">
        <v>1297</v>
      </c>
      <c r="G351" s="908" t="s">
        <v>1083</v>
      </c>
      <c r="H351" s="910">
        <v>2017</v>
      </c>
      <c r="I351" s="911" t="s">
        <v>1315</v>
      </c>
      <c r="J351" s="906" t="s">
        <v>1298</v>
      </c>
      <c r="K351" s="909"/>
      <c r="L351" s="908"/>
      <c r="M351" s="909"/>
      <c r="N351" s="908"/>
      <c r="O351" s="909"/>
      <c r="P351" s="908" t="s">
        <v>1085</v>
      </c>
    </row>
    <row r="352" spans="2:16">
      <c r="B352" s="901">
        <v>96619</v>
      </c>
      <c r="C352" s="902" t="s">
        <v>991</v>
      </c>
      <c r="D352" s="903" t="s">
        <v>1302</v>
      </c>
      <c r="E352" s="902" t="s">
        <v>1097</v>
      </c>
      <c r="F352" s="903" t="s">
        <v>1297</v>
      </c>
      <c r="G352" s="902" t="s">
        <v>1083</v>
      </c>
      <c r="H352" s="904">
        <v>2017</v>
      </c>
      <c r="I352" s="905" t="s">
        <v>1316</v>
      </c>
      <c r="J352" s="906" t="s">
        <v>1298</v>
      </c>
      <c r="K352" s="903"/>
      <c r="L352" s="902"/>
      <c r="M352" s="903"/>
      <c r="N352" s="902"/>
      <c r="O352" s="903"/>
      <c r="P352" s="902" t="s">
        <v>1086</v>
      </c>
    </row>
    <row r="353" spans="2:16">
      <c r="B353" s="907">
        <v>96620</v>
      </c>
      <c r="C353" s="908" t="s">
        <v>991</v>
      </c>
      <c r="D353" s="909" t="s">
        <v>1302</v>
      </c>
      <c r="E353" s="908" t="s">
        <v>1097</v>
      </c>
      <c r="F353" s="909" t="s">
        <v>1297</v>
      </c>
      <c r="G353" s="908" t="s">
        <v>1083</v>
      </c>
      <c r="H353" s="910">
        <v>2017</v>
      </c>
      <c r="I353" s="911" t="s">
        <v>1317</v>
      </c>
      <c r="J353" s="906" t="s">
        <v>1298</v>
      </c>
      <c r="K353" s="909"/>
      <c r="L353" s="908"/>
      <c r="M353" s="909"/>
      <c r="N353" s="908"/>
      <c r="O353" s="909"/>
      <c r="P353" s="908" t="s">
        <v>1086</v>
      </c>
    </row>
    <row r="354" spans="2:16">
      <c r="B354" s="901">
        <v>96621</v>
      </c>
      <c r="C354" s="902" t="s">
        <v>991</v>
      </c>
      <c r="D354" s="903" t="s">
        <v>1302</v>
      </c>
      <c r="E354" s="902" t="s">
        <v>1097</v>
      </c>
      <c r="F354" s="903" t="s">
        <v>1297</v>
      </c>
      <c r="G354" s="902" t="s">
        <v>1083</v>
      </c>
      <c r="H354" s="904">
        <v>2017</v>
      </c>
      <c r="I354" s="905" t="s">
        <v>1318</v>
      </c>
      <c r="J354" s="906" t="s">
        <v>1298</v>
      </c>
      <c r="K354" s="903"/>
      <c r="L354" s="902"/>
      <c r="M354" s="903"/>
      <c r="N354" s="902"/>
      <c r="O354" s="903"/>
      <c r="P354" s="902" t="s">
        <v>1085</v>
      </c>
    </row>
    <row r="355" spans="2:16">
      <c r="B355" s="907">
        <v>96622</v>
      </c>
      <c r="C355" s="908" t="s">
        <v>991</v>
      </c>
      <c r="D355" s="909" t="s">
        <v>1302</v>
      </c>
      <c r="E355" s="908" t="s">
        <v>1097</v>
      </c>
      <c r="F355" s="909" t="s">
        <v>1297</v>
      </c>
      <c r="G355" s="908" t="s">
        <v>1083</v>
      </c>
      <c r="H355" s="910">
        <v>2017</v>
      </c>
      <c r="I355" s="911" t="s">
        <v>1319</v>
      </c>
      <c r="J355" s="906" t="s">
        <v>1298</v>
      </c>
      <c r="K355" s="909"/>
      <c r="L355" s="908"/>
      <c r="M355" s="909"/>
      <c r="N355" s="908"/>
      <c r="O355" s="909"/>
      <c r="P355" s="908" t="s">
        <v>1086</v>
      </c>
    </row>
    <row r="356" spans="2:16">
      <c r="B356" s="901">
        <v>96623</v>
      </c>
      <c r="C356" s="902" t="s">
        <v>991</v>
      </c>
      <c r="D356" s="903" t="s">
        <v>1302</v>
      </c>
      <c r="E356" s="902" t="s">
        <v>1097</v>
      </c>
      <c r="F356" s="903" t="s">
        <v>1297</v>
      </c>
      <c r="G356" s="902" t="s">
        <v>1083</v>
      </c>
      <c r="H356" s="904">
        <v>2017</v>
      </c>
      <c r="I356" s="905" t="s">
        <v>1320</v>
      </c>
      <c r="J356" s="906" t="s">
        <v>1298</v>
      </c>
      <c r="K356" s="903"/>
      <c r="L356" s="902"/>
      <c r="M356" s="903"/>
      <c r="N356" s="902"/>
      <c r="O356" s="903"/>
      <c r="P356" s="902" t="s">
        <v>1085</v>
      </c>
    </row>
    <row r="357" spans="2:16">
      <c r="B357" s="901">
        <v>96627</v>
      </c>
      <c r="C357" s="902" t="s">
        <v>991</v>
      </c>
      <c r="D357" s="903" t="s">
        <v>1302</v>
      </c>
      <c r="E357" s="902" t="s">
        <v>1097</v>
      </c>
      <c r="F357" s="903" t="s">
        <v>1297</v>
      </c>
      <c r="G357" s="902" t="s">
        <v>1083</v>
      </c>
      <c r="H357" s="904">
        <v>2017</v>
      </c>
      <c r="I357" s="905" t="s">
        <v>1321</v>
      </c>
      <c r="J357" s="906" t="s">
        <v>1298</v>
      </c>
      <c r="K357" s="903"/>
      <c r="L357" s="902"/>
      <c r="M357" s="903"/>
      <c r="N357" s="902"/>
      <c r="O357" s="903"/>
      <c r="P357" s="902" t="s">
        <v>1085</v>
      </c>
    </row>
    <row r="358" spans="2:16">
      <c r="B358" s="901">
        <v>96629</v>
      </c>
      <c r="C358" s="902" t="s">
        <v>991</v>
      </c>
      <c r="D358" s="903" t="s">
        <v>1302</v>
      </c>
      <c r="E358" s="902" t="s">
        <v>1097</v>
      </c>
      <c r="F358" s="903" t="s">
        <v>1297</v>
      </c>
      <c r="G358" s="902" t="s">
        <v>1083</v>
      </c>
      <c r="H358" s="904">
        <v>2017</v>
      </c>
      <c r="I358" s="905" t="s">
        <v>1322</v>
      </c>
      <c r="J358" s="906" t="s">
        <v>1298</v>
      </c>
      <c r="K358" s="903"/>
      <c r="L358" s="902"/>
      <c r="M358" s="903"/>
      <c r="N358" s="902"/>
      <c r="O358" s="903"/>
      <c r="P358" s="902" t="s">
        <v>1086</v>
      </c>
    </row>
    <row r="359" spans="2:16">
      <c r="B359" s="907">
        <v>96630</v>
      </c>
      <c r="C359" s="908" t="s">
        <v>991</v>
      </c>
      <c r="D359" s="909" t="s">
        <v>1302</v>
      </c>
      <c r="E359" s="908" t="s">
        <v>1097</v>
      </c>
      <c r="F359" s="909" t="s">
        <v>1297</v>
      </c>
      <c r="G359" s="908" t="s">
        <v>1083</v>
      </c>
      <c r="H359" s="910">
        <v>2017</v>
      </c>
      <c r="I359" s="911" t="s">
        <v>1323</v>
      </c>
      <c r="J359" s="906" t="s">
        <v>1298</v>
      </c>
      <c r="K359" s="909"/>
      <c r="L359" s="908"/>
      <c r="M359" s="909"/>
      <c r="N359" s="908"/>
      <c r="O359" s="909"/>
      <c r="P359" s="908" t="s">
        <v>1085</v>
      </c>
    </row>
    <row r="360" spans="2:16">
      <c r="B360" s="901">
        <v>96631</v>
      </c>
      <c r="C360" s="902" t="s">
        <v>991</v>
      </c>
      <c r="D360" s="903" t="s">
        <v>1302</v>
      </c>
      <c r="E360" s="902" t="s">
        <v>1097</v>
      </c>
      <c r="F360" s="903" t="s">
        <v>1297</v>
      </c>
      <c r="G360" s="902" t="s">
        <v>1083</v>
      </c>
      <c r="H360" s="904">
        <v>2017</v>
      </c>
      <c r="I360" s="905" t="s">
        <v>1324</v>
      </c>
      <c r="J360" s="906" t="s">
        <v>1298</v>
      </c>
      <c r="K360" s="903"/>
      <c r="L360" s="902"/>
      <c r="M360" s="903"/>
      <c r="N360" s="902"/>
      <c r="O360" s="903"/>
      <c r="P360" s="902" t="s">
        <v>1085</v>
      </c>
    </row>
    <row r="361" spans="2:16">
      <c r="B361" s="901">
        <v>96633</v>
      </c>
      <c r="C361" s="902" t="s">
        <v>991</v>
      </c>
      <c r="D361" s="903" t="s">
        <v>1302</v>
      </c>
      <c r="E361" s="902" t="s">
        <v>1097</v>
      </c>
      <c r="F361" s="903" t="s">
        <v>1297</v>
      </c>
      <c r="G361" s="902" t="s">
        <v>1083</v>
      </c>
      <c r="H361" s="904">
        <v>2017</v>
      </c>
      <c r="I361" s="905" t="s">
        <v>1325</v>
      </c>
      <c r="J361" s="906" t="s">
        <v>1298</v>
      </c>
      <c r="K361" s="903"/>
      <c r="L361" s="902"/>
      <c r="M361" s="903"/>
      <c r="N361" s="902"/>
      <c r="O361" s="903"/>
      <c r="P361" s="902" t="s">
        <v>1085</v>
      </c>
    </row>
    <row r="362" spans="2:16">
      <c r="B362" s="907">
        <v>96634</v>
      </c>
      <c r="C362" s="908" t="s">
        <v>991</v>
      </c>
      <c r="D362" s="909" t="s">
        <v>1302</v>
      </c>
      <c r="E362" s="908" t="s">
        <v>1097</v>
      </c>
      <c r="F362" s="909" t="s">
        <v>1297</v>
      </c>
      <c r="G362" s="908" t="s">
        <v>1083</v>
      </c>
      <c r="H362" s="910">
        <v>2017</v>
      </c>
      <c r="I362" s="911" t="s">
        <v>1326</v>
      </c>
      <c r="J362" s="906" t="s">
        <v>1298</v>
      </c>
      <c r="K362" s="909"/>
      <c r="L362" s="908"/>
      <c r="M362" s="909"/>
      <c r="N362" s="908"/>
      <c r="O362" s="909"/>
      <c r="P362" s="908" t="s">
        <v>1085</v>
      </c>
    </row>
    <row r="363" spans="2:16">
      <c r="B363" s="901">
        <v>96635</v>
      </c>
      <c r="C363" s="902" t="s">
        <v>991</v>
      </c>
      <c r="D363" s="903" t="s">
        <v>1302</v>
      </c>
      <c r="E363" s="902" t="s">
        <v>1097</v>
      </c>
      <c r="F363" s="903" t="s">
        <v>1297</v>
      </c>
      <c r="G363" s="902" t="s">
        <v>1083</v>
      </c>
      <c r="H363" s="904">
        <v>2017</v>
      </c>
      <c r="I363" s="905" t="s">
        <v>1327</v>
      </c>
      <c r="J363" s="906" t="s">
        <v>1298</v>
      </c>
      <c r="K363" s="903"/>
      <c r="L363" s="902"/>
      <c r="M363" s="903"/>
      <c r="N363" s="902"/>
      <c r="O363" s="903"/>
      <c r="P363" s="902" t="s">
        <v>1085</v>
      </c>
    </row>
    <row r="364" spans="2:16">
      <c r="B364" s="907">
        <v>96636</v>
      </c>
      <c r="C364" s="908" t="s">
        <v>991</v>
      </c>
      <c r="D364" s="909" t="s">
        <v>1302</v>
      </c>
      <c r="E364" s="908" t="s">
        <v>1097</v>
      </c>
      <c r="F364" s="909" t="s">
        <v>1297</v>
      </c>
      <c r="G364" s="908" t="s">
        <v>1083</v>
      </c>
      <c r="H364" s="910">
        <v>2017</v>
      </c>
      <c r="I364" s="911" t="s">
        <v>1328</v>
      </c>
      <c r="J364" s="906" t="s">
        <v>1298</v>
      </c>
      <c r="K364" s="909"/>
      <c r="L364" s="908"/>
      <c r="M364" s="909"/>
      <c r="N364" s="908"/>
      <c r="O364" s="909"/>
      <c r="P364" s="908" t="s">
        <v>1085</v>
      </c>
    </row>
    <row r="365" spans="2:16">
      <c r="B365" s="901">
        <v>96637</v>
      </c>
      <c r="C365" s="902" t="s">
        <v>991</v>
      </c>
      <c r="D365" s="903" t="s">
        <v>1302</v>
      </c>
      <c r="E365" s="902" t="s">
        <v>1097</v>
      </c>
      <c r="F365" s="903" t="s">
        <v>1297</v>
      </c>
      <c r="G365" s="902" t="s">
        <v>1083</v>
      </c>
      <c r="H365" s="904">
        <v>2017</v>
      </c>
      <c r="I365" s="905" t="s">
        <v>1329</v>
      </c>
      <c r="J365" s="906" t="s">
        <v>1298</v>
      </c>
      <c r="K365" s="903"/>
      <c r="L365" s="902"/>
      <c r="M365" s="903"/>
      <c r="N365" s="902"/>
      <c r="O365" s="903"/>
      <c r="P365" s="902" t="s">
        <v>1086</v>
      </c>
    </row>
    <row r="366" spans="2:16">
      <c r="B366" s="901">
        <v>96639</v>
      </c>
      <c r="C366" s="902" t="s">
        <v>991</v>
      </c>
      <c r="D366" s="903" t="s">
        <v>1302</v>
      </c>
      <c r="E366" s="902" t="s">
        <v>1097</v>
      </c>
      <c r="F366" s="903" t="s">
        <v>1297</v>
      </c>
      <c r="G366" s="902" t="s">
        <v>1083</v>
      </c>
      <c r="H366" s="904">
        <v>2017</v>
      </c>
      <c r="I366" s="905" t="s">
        <v>1330</v>
      </c>
      <c r="J366" s="906" t="s">
        <v>1298</v>
      </c>
      <c r="K366" s="903"/>
      <c r="L366" s="902"/>
      <c r="M366" s="903"/>
      <c r="N366" s="902"/>
      <c r="O366" s="903"/>
      <c r="P366" s="902" t="s">
        <v>1085</v>
      </c>
    </row>
    <row r="367" spans="2:16">
      <c r="B367" s="907">
        <v>96640</v>
      </c>
      <c r="C367" s="908" t="s">
        <v>991</v>
      </c>
      <c r="D367" s="909" t="s">
        <v>1302</v>
      </c>
      <c r="E367" s="908" t="s">
        <v>1097</v>
      </c>
      <c r="F367" s="909" t="s">
        <v>1297</v>
      </c>
      <c r="G367" s="908" t="s">
        <v>1083</v>
      </c>
      <c r="H367" s="910">
        <v>2017</v>
      </c>
      <c r="I367" s="911" t="s">
        <v>1331</v>
      </c>
      <c r="J367" s="906" t="s">
        <v>1298</v>
      </c>
      <c r="K367" s="909"/>
      <c r="L367" s="908"/>
      <c r="M367" s="909"/>
      <c r="N367" s="908"/>
      <c r="O367" s="909"/>
      <c r="P367" s="908" t="s">
        <v>1085</v>
      </c>
    </row>
    <row r="368" spans="2:16">
      <c r="B368" s="901">
        <v>96641</v>
      </c>
      <c r="C368" s="902" t="s">
        <v>991</v>
      </c>
      <c r="D368" s="903" t="s">
        <v>1302</v>
      </c>
      <c r="E368" s="902" t="s">
        <v>1097</v>
      </c>
      <c r="F368" s="903" t="s">
        <v>1297</v>
      </c>
      <c r="G368" s="902" t="s">
        <v>1083</v>
      </c>
      <c r="H368" s="904">
        <v>2017</v>
      </c>
      <c r="I368" s="905" t="s">
        <v>1332</v>
      </c>
      <c r="J368" s="906" t="s">
        <v>1298</v>
      </c>
      <c r="K368" s="903"/>
      <c r="L368" s="902"/>
      <c r="M368" s="903"/>
      <c r="N368" s="902"/>
      <c r="O368" s="903"/>
      <c r="P368" s="902" t="s">
        <v>1085</v>
      </c>
    </row>
    <row r="369" spans="2:16">
      <c r="B369" s="907">
        <v>96642</v>
      </c>
      <c r="C369" s="908" t="s">
        <v>991</v>
      </c>
      <c r="D369" s="909" t="s">
        <v>1302</v>
      </c>
      <c r="E369" s="908" t="s">
        <v>1097</v>
      </c>
      <c r="F369" s="909" t="s">
        <v>1297</v>
      </c>
      <c r="G369" s="908" t="s">
        <v>1083</v>
      </c>
      <c r="H369" s="910">
        <v>2017</v>
      </c>
      <c r="I369" s="911" t="s">
        <v>1333</v>
      </c>
      <c r="J369" s="906" t="s">
        <v>1298</v>
      </c>
      <c r="K369" s="909"/>
      <c r="L369" s="908"/>
      <c r="M369" s="909"/>
      <c r="N369" s="908"/>
      <c r="O369" s="909"/>
      <c r="P369" s="908" t="s">
        <v>1086</v>
      </c>
    </row>
    <row r="370" spans="2:16">
      <c r="B370" s="901">
        <v>96643</v>
      </c>
      <c r="C370" s="902" t="s">
        <v>991</v>
      </c>
      <c r="D370" s="903" t="s">
        <v>1302</v>
      </c>
      <c r="E370" s="902" t="s">
        <v>1097</v>
      </c>
      <c r="F370" s="903" t="s">
        <v>1297</v>
      </c>
      <c r="G370" s="902" t="s">
        <v>1083</v>
      </c>
      <c r="H370" s="904">
        <v>2017</v>
      </c>
      <c r="I370" s="905" t="s">
        <v>1334</v>
      </c>
      <c r="J370" s="906" t="s">
        <v>1298</v>
      </c>
      <c r="K370" s="903"/>
      <c r="L370" s="902"/>
      <c r="M370" s="903"/>
      <c r="N370" s="902"/>
      <c r="O370" s="903"/>
      <c r="P370" s="902" t="s">
        <v>1086</v>
      </c>
    </row>
    <row r="371" spans="2:16">
      <c r="B371" s="907">
        <v>96644</v>
      </c>
      <c r="C371" s="908" t="s">
        <v>991</v>
      </c>
      <c r="D371" s="909" t="s">
        <v>1302</v>
      </c>
      <c r="E371" s="908" t="s">
        <v>1097</v>
      </c>
      <c r="F371" s="909" t="s">
        <v>1297</v>
      </c>
      <c r="G371" s="908" t="s">
        <v>1083</v>
      </c>
      <c r="H371" s="910">
        <v>2017</v>
      </c>
      <c r="I371" s="911" t="s">
        <v>1335</v>
      </c>
      <c r="J371" s="906" t="s">
        <v>1298</v>
      </c>
      <c r="K371" s="909"/>
      <c r="L371" s="908"/>
      <c r="M371" s="909"/>
      <c r="N371" s="908"/>
      <c r="O371" s="909"/>
      <c r="P371" s="908" t="s">
        <v>1086</v>
      </c>
    </row>
    <row r="372" spans="2:16">
      <c r="B372" s="901">
        <v>96645</v>
      </c>
      <c r="C372" s="902" t="s">
        <v>991</v>
      </c>
      <c r="D372" s="903" t="s">
        <v>1302</v>
      </c>
      <c r="E372" s="902" t="s">
        <v>1097</v>
      </c>
      <c r="F372" s="903" t="s">
        <v>1297</v>
      </c>
      <c r="G372" s="902" t="s">
        <v>1083</v>
      </c>
      <c r="H372" s="904">
        <v>2017</v>
      </c>
      <c r="I372" s="905" t="s">
        <v>1336</v>
      </c>
      <c r="J372" s="906" t="s">
        <v>1298</v>
      </c>
      <c r="K372" s="903"/>
      <c r="L372" s="902"/>
      <c r="M372" s="903"/>
      <c r="N372" s="902"/>
      <c r="O372" s="903"/>
      <c r="P372" s="902" t="s">
        <v>1086</v>
      </c>
    </row>
    <row r="373" spans="2:16">
      <c r="B373" s="907">
        <v>96646</v>
      </c>
      <c r="C373" s="908" t="s">
        <v>991</v>
      </c>
      <c r="D373" s="909" t="s">
        <v>1302</v>
      </c>
      <c r="E373" s="908" t="s">
        <v>1097</v>
      </c>
      <c r="F373" s="909" t="s">
        <v>1297</v>
      </c>
      <c r="G373" s="908" t="s">
        <v>1083</v>
      </c>
      <c r="H373" s="910">
        <v>2017</v>
      </c>
      <c r="I373" s="911" t="s">
        <v>1337</v>
      </c>
      <c r="J373" s="906" t="s">
        <v>1298</v>
      </c>
      <c r="K373" s="909"/>
      <c r="L373" s="908"/>
      <c r="M373" s="909"/>
      <c r="N373" s="908"/>
      <c r="O373" s="909"/>
      <c r="P373" s="908" t="s">
        <v>1085</v>
      </c>
    </row>
    <row r="374" spans="2:16">
      <c r="B374" s="907">
        <v>96648</v>
      </c>
      <c r="C374" s="908" t="s">
        <v>991</v>
      </c>
      <c r="D374" s="909" t="s">
        <v>1302</v>
      </c>
      <c r="E374" s="908" t="s">
        <v>1097</v>
      </c>
      <c r="F374" s="909" t="s">
        <v>1297</v>
      </c>
      <c r="G374" s="908" t="s">
        <v>1083</v>
      </c>
      <c r="H374" s="910">
        <v>2017</v>
      </c>
      <c r="I374" s="911" t="s">
        <v>1338</v>
      </c>
      <c r="J374" s="906" t="s">
        <v>1298</v>
      </c>
      <c r="K374" s="909"/>
      <c r="L374" s="908"/>
      <c r="M374" s="909"/>
      <c r="N374" s="908"/>
      <c r="O374" s="909"/>
      <c r="P374" s="908" t="s">
        <v>1085</v>
      </c>
    </row>
    <row r="375" spans="2:16">
      <c r="B375" s="901">
        <v>96653</v>
      </c>
      <c r="C375" s="902" t="s">
        <v>991</v>
      </c>
      <c r="D375" s="903" t="s">
        <v>1302</v>
      </c>
      <c r="E375" s="902" t="s">
        <v>1097</v>
      </c>
      <c r="F375" s="903" t="s">
        <v>1297</v>
      </c>
      <c r="G375" s="902" t="s">
        <v>1083</v>
      </c>
      <c r="H375" s="904">
        <v>2017</v>
      </c>
      <c r="I375" s="905" t="s">
        <v>1339</v>
      </c>
      <c r="J375" s="906" t="s">
        <v>1298</v>
      </c>
      <c r="K375" s="903"/>
      <c r="L375" s="902"/>
      <c r="M375" s="903"/>
      <c r="N375" s="902"/>
      <c r="O375" s="903"/>
      <c r="P375" s="902" t="s">
        <v>1085</v>
      </c>
    </row>
    <row r="376" spans="2:16">
      <c r="B376" s="901">
        <v>96657</v>
      </c>
      <c r="C376" s="902" t="s">
        <v>991</v>
      </c>
      <c r="D376" s="903" t="s">
        <v>1302</v>
      </c>
      <c r="E376" s="902" t="s">
        <v>1097</v>
      </c>
      <c r="F376" s="903" t="s">
        <v>1297</v>
      </c>
      <c r="G376" s="902" t="s">
        <v>1083</v>
      </c>
      <c r="H376" s="904">
        <v>2017</v>
      </c>
      <c r="I376" s="905" t="s">
        <v>1340</v>
      </c>
      <c r="J376" s="906" t="s">
        <v>1298</v>
      </c>
      <c r="K376" s="903"/>
      <c r="L376" s="902"/>
      <c r="M376" s="903"/>
      <c r="N376" s="902"/>
      <c r="O376" s="903"/>
      <c r="P376" s="902" t="s">
        <v>1085</v>
      </c>
    </row>
    <row r="377" spans="2:16">
      <c r="B377" s="907">
        <v>96658</v>
      </c>
      <c r="C377" s="908" t="s">
        <v>991</v>
      </c>
      <c r="D377" s="909" t="s">
        <v>1302</v>
      </c>
      <c r="E377" s="908" t="s">
        <v>1097</v>
      </c>
      <c r="F377" s="909" t="s">
        <v>1297</v>
      </c>
      <c r="G377" s="908" t="s">
        <v>1083</v>
      </c>
      <c r="H377" s="910">
        <v>2017</v>
      </c>
      <c r="I377" s="911" t="s">
        <v>1341</v>
      </c>
      <c r="J377" s="906" t="s">
        <v>1298</v>
      </c>
      <c r="K377" s="909"/>
      <c r="L377" s="908"/>
      <c r="M377" s="909"/>
      <c r="N377" s="908"/>
      <c r="O377" s="909"/>
      <c r="P377" s="908" t="s">
        <v>1086</v>
      </c>
    </row>
    <row r="378" spans="2:16">
      <c r="B378" s="901">
        <v>96659</v>
      </c>
      <c r="C378" s="902" t="s">
        <v>991</v>
      </c>
      <c r="D378" s="903" t="s">
        <v>1302</v>
      </c>
      <c r="E378" s="902" t="s">
        <v>1097</v>
      </c>
      <c r="F378" s="903" t="s">
        <v>1297</v>
      </c>
      <c r="G378" s="902" t="s">
        <v>1083</v>
      </c>
      <c r="H378" s="904">
        <v>2017</v>
      </c>
      <c r="I378" s="905" t="s">
        <v>1342</v>
      </c>
      <c r="J378" s="906" t="s">
        <v>1298</v>
      </c>
      <c r="K378" s="903"/>
      <c r="L378" s="902"/>
      <c r="M378" s="903"/>
      <c r="N378" s="902"/>
      <c r="O378" s="903"/>
      <c r="P378" s="902" t="s">
        <v>1085</v>
      </c>
    </row>
    <row r="379" spans="2:16">
      <c r="B379" s="907">
        <v>96660</v>
      </c>
      <c r="C379" s="908" t="s">
        <v>991</v>
      </c>
      <c r="D379" s="909" t="s">
        <v>1302</v>
      </c>
      <c r="E379" s="908" t="s">
        <v>1097</v>
      </c>
      <c r="F379" s="909" t="s">
        <v>1297</v>
      </c>
      <c r="G379" s="908" t="s">
        <v>1083</v>
      </c>
      <c r="H379" s="910">
        <v>2017</v>
      </c>
      <c r="I379" s="911" t="s">
        <v>1343</v>
      </c>
      <c r="J379" s="906" t="s">
        <v>1298</v>
      </c>
      <c r="K379" s="909"/>
      <c r="L379" s="908"/>
      <c r="M379" s="909"/>
      <c r="N379" s="908"/>
      <c r="O379" s="909"/>
      <c r="P379" s="908" t="s">
        <v>1085</v>
      </c>
    </row>
    <row r="380" spans="2:16">
      <c r="B380" s="901">
        <v>96661</v>
      </c>
      <c r="C380" s="902" t="s">
        <v>991</v>
      </c>
      <c r="D380" s="903" t="s">
        <v>1302</v>
      </c>
      <c r="E380" s="902" t="s">
        <v>1097</v>
      </c>
      <c r="F380" s="903" t="s">
        <v>1297</v>
      </c>
      <c r="G380" s="902" t="s">
        <v>1083</v>
      </c>
      <c r="H380" s="904">
        <v>2017</v>
      </c>
      <c r="I380" s="905" t="s">
        <v>1344</v>
      </c>
      <c r="J380" s="906" t="s">
        <v>1298</v>
      </c>
      <c r="K380" s="903"/>
      <c r="L380" s="902"/>
      <c r="M380" s="903"/>
      <c r="N380" s="902"/>
      <c r="O380" s="903"/>
      <c r="P380" s="902" t="s">
        <v>1086</v>
      </c>
    </row>
    <row r="381" spans="2:16">
      <c r="B381" s="907">
        <v>96662</v>
      </c>
      <c r="C381" s="908" t="s">
        <v>991</v>
      </c>
      <c r="D381" s="909" t="s">
        <v>1302</v>
      </c>
      <c r="E381" s="908" t="s">
        <v>1097</v>
      </c>
      <c r="F381" s="909" t="s">
        <v>1297</v>
      </c>
      <c r="G381" s="908" t="s">
        <v>1083</v>
      </c>
      <c r="H381" s="910">
        <v>2017</v>
      </c>
      <c r="I381" s="911" t="s">
        <v>1345</v>
      </c>
      <c r="J381" s="906" t="s">
        <v>1298</v>
      </c>
      <c r="K381" s="909"/>
      <c r="L381" s="908"/>
      <c r="M381" s="909"/>
      <c r="N381" s="908"/>
      <c r="O381" s="909"/>
      <c r="P381" s="908" t="s">
        <v>1085</v>
      </c>
    </row>
    <row r="382" spans="2:16">
      <c r="B382" s="901">
        <v>96663</v>
      </c>
      <c r="C382" s="902" t="s">
        <v>991</v>
      </c>
      <c r="D382" s="903" t="s">
        <v>1302</v>
      </c>
      <c r="E382" s="902" t="s">
        <v>1097</v>
      </c>
      <c r="F382" s="903" t="s">
        <v>1297</v>
      </c>
      <c r="G382" s="902" t="s">
        <v>1083</v>
      </c>
      <c r="H382" s="904">
        <v>2017</v>
      </c>
      <c r="I382" s="905" t="s">
        <v>1346</v>
      </c>
      <c r="J382" s="906" t="s">
        <v>1298</v>
      </c>
      <c r="K382" s="903"/>
      <c r="L382" s="902"/>
      <c r="M382" s="903"/>
      <c r="N382" s="902"/>
      <c r="O382" s="903"/>
      <c r="P382" s="902" t="s">
        <v>1085</v>
      </c>
    </row>
    <row r="383" spans="2:16">
      <c r="B383" s="907">
        <v>96664</v>
      </c>
      <c r="C383" s="908" t="s">
        <v>991</v>
      </c>
      <c r="D383" s="909" t="s">
        <v>1302</v>
      </c>
      <c r="E383" s="908" t="s">
        <v>1097</v>
      </c>
      <c r="F383" s="909" t="s">
        <v>1297</v>
      </c>
      <c r="G383" s="908" t="s">
        <v>1083</v>
      </c>
      <c r="H383" s="910">
        <v>2017</v>
      </c>
      <c r="I383" s="911" t="s">
        <v>1347</v>
      </c>
      <c r="J383" s="906" t="s">
        <v>1298</v>
      </c>
      <c r="K383" s="909"/>
      <c r="L383" s="908"/>
      <c r="M383" s="909"/>
      <c r="N383" s="908"/>
      <c r="O383" s="909"/>
      <c r="P383" s="908" t="s">
        <v>1085</v>
      </c>
    </row>
    <row r="384" spans="2:16">
      <c r="B384" s="901">
        <v>96665</v>
      </c>
      <c r="C384" s="902" t="s">
        <v>991</v>
      </c>
      <c r="D384" s="903" t="s">
        <v>1302</v>
      </c>
      <c r="E384" s="902" t="s">
        <v>1097</v>
      </c>
      <c r="F384" s="903" t="s">
        <v>1297</v>
      </c>
      <c r="G384" s="902" t="s">
        <v>1083</v>
      </c>
      <c r="H384" s="904">
        <v>2017</v>
      </c>
      <c r="I384" s="905" t="s">
        <v>1348</v>
      </c>
      <c r="J384" s="906" t="s">
        <v>1298</v>
      </c>
      <c r="K384" s="903"/>
      <c r="L384" s="902"/>
      <c r="M384" s="903"/>
      <c r="N384" s="902"/>
      <c r="O384" s="903"/>
      <c r="P384" s="902" t="s">
        <v>1085</v>
      </c>
    </row>
    <row r="385" spans="2:16">
      <c r="B385" s="907">
        <v>96666</v>
      </c>
      <c r="C385" s="908" t="s">
        <v>991</v>
      </c>
      <c r="D385" s="909" t="s">
        <v>1302</v>
      </c>
      <c r="E385" s="908" t="s">
        <v>1097</v>
      </c>
      <c r="F385" s="909" t="s">
        <v>1297</v>
      </c>
      <c r="G385" s="908" t="s">
        <v>1083</v>
      </c>
      <c r="H385" s="910">
        <v>2017</v>
      </c>
      <c r="I385" s="911" t="s">
        <v>1349</v>
      </c>
      <c r="J385" s="906" t="s">
        <v>1298</v>
      </c>
      <c r="K385" s="909"/>
      <c r="L385" s="908"/>
      <c r="M385" s="909"/>
      <c r="N385" s="908"/>
      <c r="O385" s="909"/>
      <c r="P385" s="908" t="s">
        <v>1085</v>
      </c>
    </row>
    <row r="386" spans="2:16">
      <c r="B386" s="907">
        <v>96668</v>
      </c>
      <c r="C386" s="908" t="s">
        <v>991</v>
      </c>
      <c r="D386" s="909" t="s">
        <v>1302</v>
      </c>
      <c r="E386" s="908" t="s">
        <v>1097</v>
      </c>
      <c r="F386" s="909" t="s">
        <v>1297</v>
      </c>
      <c r="G386" s="908" t="s">
        <v>1083</v>
      </c>
      <c r="H386" s="910">
        <v>2017</v>
      </c>
      <c r="I386" s="911" t="s">
        <v>1350</v>
      </c>
      <c r="J386" s="906" t="s">
        <v>1298</v>
      </c>
      <c r="K386" s="909"/>
      <c r="L386" s="908"/>
      <c r="M386" s="909"/>
      <c r="N386" s="908"/>
      <c r="O386" s="909"/>
      <c r="P386" s="908" t="s">
        <v>1086</v>
      </c>
    </row>
    <row r="387" spans="2:16">
      <c r="B387" s="901">
        <v>96669</v>
      </c>
      <c r="C387" s="902" t="s">
        <v>991</v>
      </c>
      <c r="D387" s="903" t="s">
        <v>1302</v>
      </c>
      <c r="E387" s="902" t="s">
        <v>1097</v>
      </c>
      <c r="F387" s="903" t="s">
        <v>1297</v>
      </c>
      <c r="G387" s="902" t="s">
        <v>1083</v>
      </c>
      <c r="H387" s="904">
        <v>2017</v>
      </c>
      <c r="I387" s="905" t="s">
        <v>1351</v>
      </c>
      <c r="J387" s="906" t="s">
        <v>1298</v>
      </c>
      <c r="K387" s="903"/>
      <c r="L387" s="902"/>
      <c r="M387" s="903"/>
      <c r="N387" s="902"/>
      <c r="O387" s="903"/>
      <c r="P387" s="902" t="s">
        <v>1085</v>
      </c>
    </row>
    <row r="388" spans="2:16">
      <c r="B388" s="901">
        <v>96671</v>
      </c>
      <c r="C388" s="902" t="s">
        <v>991</v>
      </c>
      <c r="D388" s="903" t="s">
        <v>1302</v>
      </c>
      <c r="E388" s="902" t="s">
        <v>1097</v>
      </c>
      <c r="F388" s="903" t="s">
        <v>1297</v>
      </c>
      <c r="G388" s="902" t="s">
        <v>1083</v>
      </c>
      <c r="H388" s="904">
        <v>2017</v>
      </c>
      <c r="I388" s="905" t="s">
        <v>1352</v>
      </c>
      <c r="J388" s="906" t="s">
        <v>1298</v>
      </c>
      <c r="K388" s="903"/>
      <c r="L388" s="902"/>
      <c r="M388" s="903"/>
      <c r="N388" s="902"/>
      <c r="O388" s="903"/>
      <c r="P388" s="902" t="s">
        <v>1086</v>
      </c>
    </row>
    <row r="389" spans="2:16">
      <c r="B389" s="907">
        <v>96672</v>
      </c>
      <c r="C389" s="908" t="s">
        <v>991</v>
      </c>
      <c r="D389" s="909" t="s">
        <v>1302</v>
      </c>
      <c r="E389" s="908" t="s">
        <v>1097</v>
      </c>
      <c r="F389" s="909" t="s">
        <v>1297</v>
      </c>
      <c r="G389" s="908" t="s">
        <v>1083</v>
      </c>
      <c r="H389" s="910">
        <v>2017</v>
      </c>
      <c r="I389" s="911" t="s">
        <v>1353</v>
      </c>
      <c r="J389" s="906" t="s">
        <v>1298</v>
      </c>
      <c r="K389" s="909"/>
      <c r="L389" s="908"/>
      <c r="M389" s="909"/>
      <c r="N389" s="908"/>
      <c r="O389" s="909"/>
      <c r="P389" s="908" t="s">
        <v>1085</v>
      </c>
    </row>
    <row r="390" spans="2:16">
      <c r="B390" s="901">
        <v>96673</v>
      </c>
      <c r="C390" s="902" t="s">
        <v>991</v>
      </c>
      <c r="D390" s="903" t="s">
        <v>1302</v>
      </c>
      <c r="E390" s="902" t="s">
        <v>1097</v>
      </c>
      <c r="F390" s="903" t="s">
        <v>1297</v>
      </c>
      <c r="G390" s="902" t="s">
        <v>1083</v>
      </c>
      <c r="H390" s="904">
        <v>2017</v>
      </c>
      <c r="I390" s="905" t="s">
        <v>1354</v>
      </c>
      <c r="J390" s="906" t="s">
        <v>1298</v>
      </c>
      <c r="K390" s="903"/>
      <c r="L390" s="902"/>
      <c r="M390" s="903"/>
      <c r="N390" s="902"/>
      <c r="O390" s="903"/>
      <c r="P390" s="902" t="s">
        <v>1086</v>
      </c>
    </row>
    <row r="391" spans="2:16">
      <c r="B391" s="907">
        <v>96608</v>
      </c>
      <c r="C391" s="908" t="s">
        <v>991</v>
      </c>
      <c r="D391" s="909" t="s">
        <v>1302</v>
      </c>
      <c r="E391" s="908" t="s">
        <v>1097</v>
      </c>
      <c r="F391" s="909" t="s">
        <v>1297</v>
      </c>
      <c r="G391" s="908" t="s">
        <v>1083</v>
      </c>
      <c r="H391" s="910">
        <v>2017</v>
      </c>
      <c r="I391" s="911" t="s">
        <v>1355</v>
      </c>
      <c r="J391" s="906" t="s">
        <v>1298</v>
      </c>
      <c r="K391" s="909" t="s">
        <v>1356</v>
      </c>
      <c r="L391" s="908"/>
      <c r="M391" s="909"/>
      <c r="N391" s="908"/>
      <c r="O391" s="909"/>
      <c r="P391" s="908" t="s">
        <v>1095</v>
      </c>
    </row>
    <row r="392" spans="2:16">
      <c r="B392" s="907">
        <v>96626</v>
      </c>
      <c r="C392" s="908" t="s">
        <v>991</v>
      </c>
      <c r="D392" s="909" t="s">
        <v>1302</v>
      </c>
      <c r="E392" s="908" t="s">
        <v>1097</v>
      </c>
      <c r="F392" s="909" t="s">
        <v>1297</v>
      </c>
      <c r="G392" s="908" t="s">
        <v>1083</v>
      </c>
      <c r="H392" s="910">
        <v>2017</v>
      </c>
      <c r="I392" s="911" t="s">
        <v>1357</v>
      </c>
      <c r="J392" s="906" t="s">
        <v>1298</v>
      </c>
      <c r="K392" s="909"/>
      <c r="L392" s="908"/>
      <c r="M392" s="909"/>
      <c r="N392" s="908"/>
      <c r="O392" s="909"/>
      <c r="P392" s="908" t="s">
        <v>1358</v>
      </c>
    </row>
    <row r="393" spans="2:16">
      <c r="B393" s="907">
        <v>96604</v>
      </c>
      <c r="C393" s="908" t="s">
        <v>991</v>
      </c>
      <c r="D393" s="909" t="s">
        <v>1302</v>
      </c>
      <c r="E393" s="908" t="s">
        <v>1097</v>
      </c>
      <c r="F393" s="909" t="s">
        <v>1297</v>
      </c>
      <c r="G393" s="908" t="s">
        <v>1083</v>
      </c>
      <c r="H393" s="910">
        <v>2017</v>
      </c>
      <c r="I393" s="911" t="s">
        <v>1359</v>
      </c>
      <c r="J393" s="906" t="s">
        <v>1298</v>
      </c>
      <c r="K393" s="909"/>
      <c r="L393" s="908"/>
      <c r="M393" s="909"/>
      <c r="N393" s="908"/>
      <c r="O393" s="909"/>
      <c r="P393" s="908" t="s">
        <v>1360</v>
      </c>
    </row>
    <row r="394" spans="2:16">
      <c r="B394" s="907">
        <v>96612</v>
      </c>
      <c r="C394" s="908" t="s">
        <v>991</v>
      </c>
      <c r="D394" s="909" t="s">
        <v>1302</v>
      </c>
      <c r="E394" s="908" t="s">
        <v>1097</v>
      </c>
      <c r="F394" s="909" t="s">
        <v>1297</v>
      </c>
      <c r="G394" s="908" t="s">
        <v>1083</v>
      </c>
      <c r="H394" s="910">
        <v>2017</v>
      </c>
      <c r="I394" s="911" t="s">
        <v>1361</v>
      </c>
      <c r="J394" s="906" t="s">
        <v>1298</v>
      </c>
      <c r="K394" s="909" t="s">
        <v>1362</v>
      </c>
      <c r="L394" s="908"/>
      <c r="M394" s="909"/>
      <c r="N394" s="908"/>
      <c r="O394" s="909"/>
      <c r="P394" s="908" t="s">
        <v>1183</v>
      </c>
    </row>
    <row r="395" spans="2:16">
      <c r="B395" s="901">
        <v>96613</v>
      </c>
      <c r="C395" s="902" t="s">
        <v>991</v>
      </c>
      <c r="D395" s="903" t="s">
        <v>1302</v>
      </c>
      <c r="E395" s="902" t="s">
        <v>1097</v>
      </c>
      <c r="F395" s="903" t="s">
        <v>1297</v>
      </c>
      <c r="G395" s="902" t="s">
        <v>1083</v>
      </c>
      <c r="H395" s="904">
        <v>2017</v>
      </c>
      <c r="I395" s="905" t="s">
        <v>1363</v>
      </c>
      <c r="J395" s="906" t="s">
        <v>1298</v>
      </c>
      <c r="K395" s="903"/>
      <c r="L395" s="902"/>
      <c r="M395" s="903"/>
      <c r="N395" s="902"/>
      <c r="O395" s="903"/>
      <c r="P395" s="902" t="s">
        <v>1183</v>
      </c>
    </row>
    <row r="396" spans="2:16">
      <c r="B396" s="907">
        <v>96624</v>
      </c>
      <c r="C396" s="908" t="s">
        <v>991</v>
      </c>
      <c r="D396" s="909" t="s">
        <v>1302</v>
      </c>
      <c r="E396" s="908" t="s">
        <v>1097</v>
      </c>
      <c r="F396" s="909" t="s">
        <v>1297</v>
      </c>
      <c r="G396" s="908" t="s">
        <v>1083</v>
      </c>
      <c r="H396" s="910">
        <v>2017</v>
      </c>
      <c r="I396" s="911" t="s">
        <v>1364</v>
      </c>
      <c r="J396" s="906" t="s">
        <v>1298</v>
      </c>
      <c r="K396" s="909"/>
      <c r="L396" s="908"/>
      <c r="M396" s="909"/>
      <c r="N396" s="908"/>
      <c r="O396" s="909"/>
      <c r="P396" s="908" t="s">
        <v>1183</v>
      </c>
    </row>
    <row r="397" spans="2:16">
      <c r="B397" s="907">
        <v>96628</v>
      </c>
      <c r="C397" s="908" t="s">
        <v>991</v>
      </c>
      <c r="D397" s="909" t="s">
        <v>1302</v>
      </c>
      <c r="E397" s="908" t="s">
        <v>1097</v>
      </c>
      <c r="F397" s="909" t="s">
        <v>1297</v>
      </c>
      <c r="G397" s="908" t="s">
        <v>1083</v>
      </c>
      <c r="H397" s="910">
        <v>2017</v>
      </c>
      <c r="I397" s="911" t="s">
        <v>1365</v>
      </c>
      <c r="J397" s="906" t="s">
        <v>1298</v>
      </c>
      <c r="K397" s="909"/>
      <c r="L397" s="908"/>
      <c r="M397" s="909"/>
      <c r="N397" s="908"/>
      <c r="O397" s="909"/>
      <c r="P397" s="908" t="s">
        <v>1193</v>
      </c>
    </row>
    <row r="398" spans="2:16">
      <c r="B398" s="901">
        <v>96649</v>
      </c>
      <c r="C398" s="902" t="s">
        <v>991</v>
      </c>
      <c r="D398" s="903" t="s">
        <v>1302</v>
      </c>
      <c r="E398" s="902" t="s">
        <v>1097</v>
      </c>
      <c r="F398" s="903" t="s">
        <v>1297</v>
      </c>
      <c r="G398" s="902" t="s">
        <v>1083</v>
      </c>
      <c r="H398" s="904">
        <v>2017</v>
      </c>
      <c r="I398" s="905" t="s">
        <v>1366</v>
      </c>
      <c r="J398" s="906" t="s">
        <v>1298</v>
      </c>
      <c r="K398" s="903"/>
      <c r="L398" s="902"/>
      <c r="M398" s="903"/>
      <c r="N398" s="902"/>
      <c r="O398" s="903"/>
      <c r="P398" s="902" t="s">
        <v>1183</v>
      </c>
    </row>
    <row r="399" spans="2:16">
      <c r="B399" s="907">
        <v>96654</v>
      </c>
      <c r="C399" s="908" t="s">
        <v>991</v>
      </c>
      <c r="D399" s="909" t="s">
        <v>1302</v>
      </c>
      <c r="E399" s="908" t="s">
        <v>1097</v>
      </c>
      <c r="F399" s="909" t="s">
        <v>1297</v>
      </c>
      <c r="G399" s="908" t="s">
        <v>1083</v>
      </c>
      <c r="H399" s="910">
        <v>2017</v>
      </c>
      <c r="I399" s="911" t="s">
        <v>1367</v>
      </c>
      <c r="J399" s="906" t="s">
        <v>1298</v>
      </c>
      <c r="K399" s="909"/>
      <c r="L399" s="908"/>
      <c r="M399" s="909"/>
      <c r="N399" s="908"/>
      <c r="O399" s="909"/>
      <c r="P399" s="908" t="s">
        <v>1193</v>
      </c>
    </row>
    <row r="400" spans="2:16">
      <c r="B400" s="907">
        <v>96656</v>
      </c>
      <c r="C400" s="908" t="s">
        <v>991</v>
      </c>
      <c r="D400" s="909" t="s">
        <v>1302</v>
      </c>
      <c r="E400" s="908" t="s">
        <v>1097</v>
      </c>
      <c r="F400" s="909" t="s">
        <v>1297</v>
      </c>
      <c r="G400" s="908" t="s">
        <v>1083</v>
      </c>
      <c r="H400" s="910">
        <v>2017</v>
      </c>
      <c r="I400" s="911" t="s">
        <v>1368</v>
      </c>
      <c r="J400" s="906" t="s">
        <v>1298</v>
      </c>
      <c r="K400" s="909"/>
      <c r="L400" s="908"/>
      <c r="M400" s="909"/>
      <c r="N400" s="908"/>
      <c r="O400" s="909"/>
      <c r="P400" s="908" t="s">
        <v>1183</v>
      </c>
    </row>
    <row r="401" spans="2:16">
      <c r="B401" s="907">
        <v>96650</v>
      </c>
      <c r="C401" s="908" t="s">
        <v>991</v>
      </c>
      <c r="D401" s="909" t="s">
        <v>1302</v>
      </c>
      <c r="E401" s="908" t="s">
        <v>1097</v>
      </c>
      <c r="F401" s="909" t="s">
        <v>1297</v>
      </c>
      <c r="G401" s="908" t="s">
        <v>1083</v>
      </c>
      <c r="H401" s="910">
        <v>2017</v>
      </c>
      <c r="I401" s="911" t="s">
        <v>1369</v>
      </c>
      <c r="J401" s="906" t="s">
        <v>1298</v>
      </c>
      <c r="K401" s="909"/>
      <c r="L401" s="908"/>
      <c r="M401" s="909"/>
      <c r="N401" s="908"/>
      <c r="O401" s="909"/>
      <c r="P401" s="908" t="s">
        <v>1278</v>
      </c>
    </row>
    <row r="402" spans="2:16">
      <c r="B402" s="907">
        <v>96632</v>
      </c>
      <c r="C402" s="908" t="s">
        <v>991</v>
      </c>
      <c r="D402" s="909" t="s">
        <v>1302</v>
      </c>
      <c r="E402" s="908" t="s">
        <v>1097</v>
      </c>
      <c r="F402" s="909" t="s">
        <v>1297</v>
      </c>
      <c r="G402" s="908" t="s">
        <v>1083</v>
      </c>
      <c r="H402" s="910">
        <v>2017</v>
      </c>
      <c r="I402" s="911" t="s">
        <v>1370</v>
      </c>
      <c r="J402" s="906" t="s">
        <v>1298</v>
      </c>
      <c r="K402" s="909"/>
      <c r="L402" s="908"/>
      <c r="M402" s="909"/>
      <c r="N402" s="908"/>
      <c r="O402" s="909"/>
      <c r="P402" s="908" t="s">
        <v>1210</v>
      </c>
    </row>
    <row r="403" spans="2:16">
      <c r="B403" s="907">
        <v>96670</v>
      </c>
      <c r="C403" s="908" t="s">
        <v>991</v>
      </c>
      <c r="D403" s="909" t="s">
        <v>1302</v>
      </c>
      <c r="E403" s="908" t="s">
        <v>1097</v>
      </c>
      <c r="F403" s="909" t="s">
        <v>1297</v>
      </c>
      <c r="G403" s="908" t="s">
        <v>1083</v>
      </c>
      <c r="H403" s="910">
        <v>2017</v>
      </c>
      <c r="I403" s="911" t="s">
        <v>1371</v>
      </c>
      <c r="J403" s="906" t="s">
        <v>1298</v>
      </c>
      <c r="K403" s="909"/>
      <c r="L403" s="908"/>
      <c r="M403" s="909"/>
      <c r="N403" s="908"/>
      <c r="O403" s="909"/>
      <c r="P403" s="908" t="s">
        <v>1208</v>
      </c>
    </row>
    <row r="404" spans="2:16">
      <c r="B404" s="907">
        <v>96674</v>
      </c>
      <c r="C404" s="908" t="s">
        <v>991</v>
      </c>
      <c r="D404" s="909" t="s">
        <v>1302</v>
      </c>
      <c r="E404" s="908" t="s">
        <v>1097</v>
      </c>
      <c r="F404" s="909" t="s">
        <v>1297</v>
      </c>
      <c r="G404" s="908" t="s">
        <v>1083</v>
      </c>
      <c r="H404" s="910">
        <v>2017</v>
      </c>
      <c r="I404" s="911" t="s">
        <v>1372</v>
      </c>
      <c r="J404" s="906" t="s">
        <v>1298</v>
      </c>
      <c r="K404" s="909" t="s">
        <v>1373</v>
      </c>
      <c r="L404" s="908"/>
      <c r="M404" s="909"/>
      <c r="N404" s="908"/>
      <c r="O404" s="909"/>
      <c r="P404" s="908" t="s">
        <v>1210</v>
      </c>
    </row>
    <row r="405" spans="2:16">
      <c r="B405" s="901">
        <v>96605</v>
      </c>
      <c r="C405" s="902" t="s">
        <v>991</v>
      </c>
      <c r="D405" s="903" t="s">
        <v>1302</v>
      </c>
      <c r="E405" s="902" t="s">
        <v>1097</v>
      </c>
      <c r="F405" s="903" t="s">
        <v>1297</v>
      </c>
      <c r="G405" s="902" t="s">
        <v>1083</v>
      </c>
      <c r="H405" s="904">
        <v>2017</v>
      </c>
      <c r="I405" s="905" t="s">
        <v>1374</v>
      </c>
      <c r="J405" s="906" t="s">
        <v>1298</v>
      </c>
      <c r="K405" s="903"/>
      <c r="L405" s="902"/>
      <c r="M405" s="903"/>
      <c r="N405" s="902"/>
      <c r="O405" s="903"/>
      <c r="P405" s="902" t="s">
        <v>1216</v>
      </c>
    </row>
    <row r="406" spans="2:16">
      <c r="B406" s="901">
        <v>96611</v>
      </c>
      <c r="C406" s="902" t="s">
        <v>991</v>
      </c>
      <c r="D406" s="903" t="s">
        <v>1302</v>
      </c>
      <c r="E406" s="902" t="s">
        <v>1097</v>
      </c>
      <c r="F406" s="903" t="s">
        <v>1297</v>
      </c>
      <c r="G406" s="902" t="s">
        <v>1083</v>
      </c>
      <c r="H406" s="904">
        <v>2017</v>
      </c>
      <c r="I406" s="905" t="s">
        <v>1375</v>
      </c>
      <c r="J406" s="906" t="s">
        <v>1298</v>
      </c>
      <c r="K406" s="903"/>
      <c r="L406" s="902"/>
      <c r="M406" s="903"/>
      <c r="N406" s="902"/>
      <c r="O406" s="903"/>
      <c r="P406" s="902" t="s">
        <v>1216</v>
      </c>
    </row>
    <row r="407" spans="2:16">
      <c r="B407" s="901">
        <v>96651</v>
      </c>
      <c r="C407" s="902" t="s">
        <v>991</v>
      </c>
      <c r="D407" s="903" t="s">
        <v>1302</v>
      </c>
      <c r="E407" s="902" t="s">
        <v>1097</v>
      </c>
      <c r="F407" s="903" t="s">
        <v>1297</v>
      </c>
      <c r="G407" s="902" t="s">
        <v>1083</v>
      </c>
      <c r="H407" s="904">
        <v>2017</v>
      </c>
      <c r="I407" s="905" t="s">
        <v>1376</v>
      </c>
      <c r="J407" s="906" t="s">
        <v>1298</v>
      </c>
      <c r="K407" s="903"/>
      <c r="L407" s="902"/>
      <c r="M407" s="903"/>
      <c r="N407" s="902"/>
      <c r="O407" s="903"/>
      <c r="P407" s="902" t="s">
        <v>1377</v>
      </c>
    </row>
    <row r="408" spans="2:16">
      <c r="B408" s="907">
        <v>96652</v>
      </c>
      <c r="C408" s="908" t="s">
        <v>991</v>
      </c>
      <c r="D408" s="909" t="s">
        <v>1302</v>
      </c>
      <c r="E408" s="908" t="s">
        <v>1097</v>
      </c>
      <c r="F408" s="909" t="s">
        <v>1297</v>
      </c>
      <c r="G408" s="908" t="s">
        <v>1083</v>
      </c>
      <c r="H408" s="910">
        <v>2017</v>
      </c>
      <c r="I408" s="911" t="s">
        <v>1378</v>
      </c>
      <c r="J408" s="906" t="s">
        <v>1298</v>
      </c>
      <c r="K408" s="909" t="s">
        <v>1379</v>
      </c>
      <c r="L408" s="908"/>
      <c r="M408" s="909"/>
      <c r="N408" s="908"/>
      <c r="O408" s="909"/>
      <c r="P408" s="908" t="s">
        <v>1216</v>
      </c>
    </row>
    <row r="409" spans="2:16">
      <c r="B409" s="901">
        <v>96655</v>
      </c>
      <c r="C409" s="902" t="s">
        <v>991</v>
      </c>
      <c r="D409" s="903" t="s">
        <v>1302</v>
      </c>
      <c r="E409" s="902" t="s">
        <v>1097</v>
      </c>
      <c r="F409" s="903" t="s">
        <v>1297</v>
      </c>
      <c r="G409" s="902" t="s">
        <v>1083</v>
      </c>
      <c r="H409" s="904">
        <v>2017</v>
      </c>
      <c r="I409" s="905" t="s">
        <v>1380</v>
      </c>
      <c r="J409" s="906" t="s">
        <v>1298</v>
      </c>
      <c r="K409" s="903"/>
      <c r="L409" s="902"/>
      <c r="M409" s="903"/>
      <c r="N409" s="902"/>
      <c r="O409" s="903"/>
      <c r="P409" s="902" t="s">
        <v>1216</v>
      </c>
    </row>
    <row r="410" spans="2:16">
      <c r="B410" s="901">
        <v>96625</v>
      </c>
      <c r="C410" s="902" t="s">
        <v>991</v>
      </c>
      <c r="D410" s="903" t="s">
        <v>1302</v>
      </c>
      <c r="E410" s="902" t="s">
        <v>1097</v>
      </c>
      <c r="F410" s="903" t="s">
        <v>1297</v>
      </c>
      <c r="G410" s="902" t="s">
        <v>1083</v>
      </c>
      <c r="H410" s="904">
        <v>2017</v>
      </c>
      <c r="I410" s="905" t="s">
        <v>1381</v>
      </c>
      <c r="J410" s="912" t="s">
        <v>1298</v>
      </c>
      <c r="K410" s="903"/>
      <c r="L410" s="902"/>
      <c r="M410" s="903"/>
      <c r="N410" s="902"/>
      <c r="O410" s="903"/>
      <c r="P410" s="902" t="s">
        <v>1220</v>
      </c>
    </row>
    <row r="411" spans="2:16">
      <c r="B411" s="901"/>
      <c r="C411" s="902"/>
      <c r="D411" s="903"/>
      <c r="E411" s="902"/>
      <c r="F411" s="903"/>
      <c r="G411" s="902"/>
      <c r="H411" s="904"/>
      <c r="I411" s="905"/>
      <c r="J411" s="914">
        <v>1</v>
      </c>
      <c r="K411" s="903" t="s">
        <v>1087</v>
      </c>
      <c r="L411" s="902"/>
      <c r="M411" s="903"/>
      <c r="N411" s="902"/>
      <c r="O411" s="903"/>
      <c r="P411" s="902"/>
    </row>
    <row r="412" spans="2:16">
      <c r="B412" s="901"/>
      <c r="C412" s="902"/>
      <c r="D412" s="903"/>
      <c r="E412" s="902"/>
      <c r="F412" s="903"/>
      <c r="G412" s="902"/>
      <c r="H412" s="904"/>
      <c r="I412" s="905"/>
      <c r="J412" s="906"/>
      <c r="K412" s="903"/>
      <c r="L412" s="902"/>
      <c r="M412" s="903"/>
      <c r="N412" s="902"/>
      <c r="O412" s="903"/>
      <c r="P412" s="902"/>
    </row>
    <row r="413" spans="2:16">
      <c r="B413" s="901">
        <v>96681</v>
      </c>
      <c r="C413" s="902" t="s">
        <v>991</v>
      </c>
      <c r="D413" s="903"/>
      <c r="E413" s="902" t="s">
        <v>116</v>
      </c>
      <c r="F413" s="903" t="s">
        <v>1297</v>
      </c>
      <c r="G413" s="902" t="s">
        <v>1083</v>
      </c>
      <c r="H413" s="904">
        <v>2017</v>
      </c>
      <c r="I413" s="905" t="s">
        <v>1382</v>
      </c>
      <c r="J413" s="906" t="s">
        <v>1298</v>
      </c>
      <c r="K413" s="903"/>
      <c r="L413" s="902"/>
      <c r="M413" s="903"/>
      <c r="N413" s="902">
        <v>406</v>
      </c>
      <c r="O413" s="903"/>
      <c r="P413" s="902" t="s">
        <v>1086</v>
      </c>
    </row>
    <row r="414" spans="2:16">
      <c r="B414" s="907">
        <v>96684</v>
      </c>
      <c r="C414" s="908" t="s">
        <v>991</v>
      </c>
      <c r="D414" s="909"/>
      <c r="E414" s="908" t="s">
        <v>116</v>
      </c>
      <c r="F414" s="909" t="s">
        <v>1297</v>
      </c>
      <c r="G414" s="908" t="s">
        <v>1083</v>
      </c>
      <c r="H414" s="910">
        <v>2017</v>
      </c>
      <c r="I414" s="911" t="s">
        <v>1383</v>
      </c>
      <c r="J414" s="906" t="s">
        <v>1298</v>
      </c>
      <c r="K414" s="909"/>
      <c r="L414" s="908"/>
      <c r="M414" s="909"/>
      <c r="N414" s="908"/>
      <c r="O414" s="909"/>
      <c r="P414" s="908" t="s">
        <v>1085</v>
      </c>
    </row>
    <row r="415" spans="2:16">
      <c r="B415" s="901">
        <v>96689</v>
      </c>
      <c r="C415" s="902" t="s">
        <v>991</v>
      </c>
      <c r="D415" s="903"/>
      <c r="E415" s="902" t="s">
        <v>116</v>
      </c>
      <c r="F415" s="903" t="s">
        <v>1297</v>
      </c>
      <c r="G415" s="902" t="s">
        <v>1083</v>
      </c>
      <c r="H415" s="904">
        <v>2017</v>
      </c>
      <c r="I415" s="905" t="s">
        <v>1384</v>
      </c>
      <c r="J415" s="906" t="s">
        <v>1298</v>
      </c>
      <c r="K415" s="903"/>
      <c r="L415" s="902"/>
      <c r="M415" s="903"/>
      <c r="N415" s="902">
        <v>36</v>
      </c>
      <c r="O415" s="903"/>
      <c r="P415" s="902" t="s">
        <v>1085</v>
      </c>
    </row>
    <row r="416" spans="2:16">
      <c r="B416" s="907">
        <v>96694</v>
      </c>
      <c r="C416" s="908" t="s">
        <v>991</v>
      </c>
      <c r="D416" s="909"/>
      <c r="E416" s="908" t="s">
        <v>116</v>
      </c>
      <c r="F416" s="909" t="s">
        <v>1297</v>
      </c>
      <c r="G416" s="908" t="s">
        <v>1083</v>
      </c>
      <c r="H416" s="910">
        <v>2017</v>
      </c>
      <c r="I416" s="911" t="s">
        <v>1385</v>
      </c>
      <c r="J416" s="906" t="s">
        <v>1298</v>
      </c>
      <c r="K416" s="909"/>
      <c r="L416" s="908"/>
      <c r="M416" s="909"/>
      <c r="N416" s="908"/>
      <c r="O416" s="909"/>
      <c r="P416" s="908" t="s">
        <v>1085</v>
      </c>
    </row>
    <row r="417" spans="2:16">
      <c r="B417" s="907">
        <v>96696</v>
      </c>
      <c r="C417" s="908" t="s">
        <v>991</v>
      </c>
      <c r="D417" s="909"/>
      <c r="E417" s="908" t="s">
        <v>116</v>
      </c>
      <c r="F417" s="909" t="s">
        <v>1297</v>
      </c>
      <c r="G417" s="908" t="s">
        <v>1083</v>
      </c>
      <c r="H417" s="910">
        <v>2017</v>
      </c>
      <c r="I417" s="911" t="s">
        <v>1386</v>
      </c>
      <c r="J417" s="906" t="s">
        <v>1298</v>
      </c>
      <c r="K417" s="909"/>
      <c r="L417" s="908"/>
      <c r="M417" s="909"/>
      <c r="N417" s="908"/>
      <c r="O417" s="909"/>
      <c r="P417" s="908" t="s">
        <v>1086</v>
      </c>
    </row>
    <row r="418" spans="2:16">
      <c r="B418" s="907">
        <v>96698</v>
      </c>
      <c r="C418" s="908" t="s">
        <v>991</v>
      </c>
      <c r="D418" s="909"/>
      <c r="E418" s="908" t="s">
        <v>116</v>
      </c>
      <c r="F418" s="909" t="s">
        <v>1297</v>
      </c>
      <c r="G418" s="908" t="s">
        <v>1083</v>
      </c>
      <c r="H418" s="910">
        <v>2017</v>
      </c>
      <c r="I418" s="911" t="s">
        <v>1387</v>
      </c>
      <c r="J418" s="906" t="s">
        <v>1298</v>
      </c>
      <c r="K418" s="909"/>
      <c r="L418" s="908"/>
      <c r="M418" s="909"/>
      <c r="N418" s="908">
        <v>3</v>
      </c>
      <c r="O418" s="909"/>
      <c r="P418" s="908" t="s">
        <v>1085</v>
      </c>
    </row>
    <row r="419" spans="2:16">
      <c r="B419" s="901">
        <v>96699</v>
      </c>
      <c r="C419" s="902" t="s">
        <v>991</v>
      </c>
      <c r="D419" s="903"/>
      <c r="E419" s="902" t="s">
        <v>116</v>
      </c>
      <c r="F419" s="903" t="s">
        <v>1297</v>
      </c>
      <c r="G419" s="902" t="s">
        <v>1083</v>
      </c>
      <c r="H419" s="904">
        <v>2017</v>
      </c>
      <c r="I419" s="905" t="s">
        <v>1388</v>
      </c>
      <c r="J419" s="906" t="s">
        <v>1298</v>
      </c>
      <c r="K419" s="903"/>
      <c r="L419" s="902"/>
      <c r="M419" s="903"/>
      <c r="N419" s="902"/>
      <c r="O419" s="903"/>
      <c r="P419" s="902" t="s">
        <v>1086</v>
      </c>
    </row>
    <row r="420" spans="2:16">
      <c r="B420" s="907">
        <v>96700</v>
      </c>
      <c r="C420" s="908" t="s">
        <v>991</v>
      </c>
      <c r="D420" s="909"/>
      <c r="E420" s="908" t="s">
        <v>116</v>
      </c>
      <c r="F420" s="909" t="s">
        <v>1297</v>
      </c>
      <c r="G420" s="908" t="s">
        <v>1083</v>
      </c>
      <c r="H420" s="910">
        <v>2017</v>
      </c>
      <c r="I420" s="911" t="s">
        <v>1389</v>
      </c>
      <c r="J420" s="906" t="s">
        <v>1298</v>
      </c>
      <c r="K420" s="909"/>
      <c r="L420" s="908"/>
      <c r="M420" s="909"/>
      <c r="N420" s="908"/>
      <c r="O420" s="909"/>
      <c r="P420" s="908" t="s">
        <v>1085</v>
      </c>
    </row>
    <row r="421" spans="2:16">
      <c r="B421" s="901">
        <v>96687</v>
      </c>
      <c r="C421" s="902" t="s">
        <v>991</v>
      </c>
      <c r="D421" s="903"/>
      <c r="E421" s="902" t="s">
        <v>116</v>
      </c>
      <c r="F421" s="903" t="s">
        <v>1297</v>
      </c>
      <c r="G421" s="902" t="s">
        <v>1083</v>
      </c>
      <c r="H421" s="904">
        <v>2017</v>
      </c>
      <c r="I421" s="905" t="s">
        <v>1390</v>
      </c>
      <c r="J421" s="906" t="s">
        <v>1298</v>
      </c>
      <c r="K421" s="903"/>
      <c r="L421" s="902"/>
      <c r="M421" s="903"/>
      <c r="N421" s="902"/>
      <c r="O421" s="903"/>
      <c r="P421" s="902" t="s">
        <v>1391</v>
      </c>
    </row>
    <row r="422" spans="2:16">
      <c r="B422" s="901">
        <v>96705</v>
      </c>
      <c r="C422" s="902" t="s">
        <v>991</v>
      </c>
      <c r="D422" s="903"/>
      <c r="E422" s="902" t="s">
        <v>116</v>
      </c>
      <c r="F422" s="903" t="s">
        <v>1297</v>
      </c>
      <c r="G422" s="902" t="s">
        <v>1083</v>
      </c>
      <c r="H422" s="904">
        <v>2017</v>
      </c>
      <c r="I422" s="905" t="s">
        <v>1392</v>
      </c>
      <c r="J422" s="906" t="s">
        <v>1298</v>
      </c>
      <c r="K422" s="903"/>
      <c r="L422" s="902"/>
      <c r="M422" s="903"/>
      <c r="N422" s="902">
        <v>101</v>
      </c>
      <c r="O422" s="903"/>
      <c r="P422" s="902" t="s">
        <v>1391</v>
      </c>
    </row>
    <row r="423" spans="2:16">
      <c r="B423" s="907">
        <v>96706</v>
      </c>
      <c r="C423" s="908" t="s">
        <v>991</v>
      </c>
      <c r="D423" s="909"/>
      <c r="E423" s="908" t="s">
        <v>116</v>
      </c>
      <c r="F423" s="909" t="s">
        <v>1297</v>
      </c>
      <c r="G423" s="908" t="s">
        <v>1083</v>
      </c>
      <c r="H423" s="910">
        <v>2017</v>
      </c>
      <c r="I423" s="911" t="s">
        <v>1393</v>
      </c>
      <c r="J423" s="906" t="s">
        <v>1298</v>
      </c>
      <c r="K423" s="909"/>
      <c r="L423" s="908"/>
      <c r="M423" s="909"/>
      <c r="N423" s="908">
        <v>103</v>
      </c>
      <c r="O423" s="909"/>
      <c r="P423" s="908" t="s">
        <v>1391</v>
      </c>
    </row>
    <row r="424" spans="2:16">
      <c r="B424" s="901">
        <v>96707</v>
      </c>
      <c r="C424" s="902" t="s">
        <v>991</v>
      </c>
      <c r="D424" s="903"/>
      <c r="E424" s="902" t="s">
        <v>116</v>
      </c>
      <c r="F424" s="903" t="s">
        <v>1297</v>
      </c>
      <c r="G424" s="902" t="s">
        <v>1083</v>
      </c>
      <c r="H424" s="904">
        <v>2017</v>
      </c>
      <c r="I424" s="905" t="s">
        <v>1394</v>
      </c>
      <c r="J424" s="906" t="s">
        <v>1298</v>
      </c>
      <c r="K424" s="903"/>
      <c r="L424" s="902"/>
      <c r="M424" s="903"/>
      <c r="N424" s="902">
        <v>104</v>
      </c>
      <c r="O424" s="903"/>
      <c r="P424" s="902" t="s">
        <v>1391</v>
      </c>
    </row>
    <row r="425" spans="2:16">
      <c r="B425" s="907">
        <v>96708</v>
      </c>
      <c r="C425" s="908" t="s">
        <v>991</v>
      </c>
      <c r="D425" s="909"/>
      <c r="E425" s="908" t="s">
        <v>116</v>
      </c>
      <c r="F425" s="909" t="s">
        <v>1297</v>
      </c>
      <c r="G425" s="908" t="s">
        <v>1083</v>
      </c>
      <c r="H425" s="910">
        <v>2017</v>
      </c>
      <c r="I425" s="911" t="s">
        <v>1395</v>
      </c>
      <c r="J425" s="906" t="s">
        <v>1298</v>
      </c>
      <c r="K425" s="909"/>
      <c r="L425" s="908"/>
      <c r="M425" s="909"/>
      <c r="N425" s="908">
        <v>105</v>
      </c>
      <c r="O425" s="909"/>
      <c r="P425" s="908" t="s">
        <v>1391</v>
      </c>
    </row>
    <row r="426" spans="2:16">
      <c r="B426" s="901">
        <v>96709</v>
      </c>
      <c r="C426" s="902" t="s">
        <v>991</v>
      </c>
      <c r="D426" s="903"/>
      <c r="E426" s="902" t="s">
        <v>116</v>
      </c>
      <c r="F426" s="903" t="s">
        <v>1297</v>
      </c>
      <c r="G426" s="902" t="s">
        <v>1083</v>
      </c>
      <c r="H426" s="904">
        <v>2017</v>
      </c>
      <c r="I426" s="905" t="s">
        <v>1396</v>
      </c>
      <c r="J426" s="906" t="s">
        <v>1298</v>
      </c>
      <c r="K426" s="903"/>
      <c r="L426" s="902"/>
      <c r="M426" s="903"/>
      <c r="N426" s="902">
        <v>107</v>
      </c>
      <c r="O426" s="903"/>
      <c r="P426" s="902" t="s">
        <v>1391</v>
      </c>
    </row>
    <row r="427" spans="2:16">
      <c r="B427" s="907">
        <v>96710</v>
      </c>
      <c r="C427" s="908" t="s">
        <v>991</v>
      </c>
      <c r="D427" s="909"/>
      <c r="E427" s="908" t="s">
        <v>116</v>
      </c>
      <c r="F427" s="909" t="s">
        <v>1297</v>
      </c>
      <c r="G427" s="908" t="s">
        <v>1083</v>
      </c>
      <c r="H427" s="910">
        <v>2017</v>
      </c>
      <c r="I427" s="911" t="s">
        <v>1397</v>
      </c>
      <c r="J427" s="906" t="s">
        <v>1298</v>
      </c>
      <c r="K427" s="909"/>
      <c r="L427" s="908"/>
      <c r="M427" s="909"/>
      <c r="N427" s="908">
        <v>111</v>
      </c>
      <c r="O427" s="909"/>
      <c r="P427" s="908" t="s">
        <v>1391</v>
      </c>
    </row>
    <row r="428" spans="2:16">
      <c r="B428" s="901">
        <v>96711</v>
      </c>
      <c r="C428" s="902" t="s">
        <v>991</v>
      </c>
      <c r="D428" s="903"/>
      <c r="E428" s="902" t="s">
        <v>116</v>
      </c>
      <c r="F428" s="903" t="s">
        <v>1297</v>
      </c>
      <c r="G428" s="902" t="s">
        <v>1083</v>
      </c>
      <c r="H428" s="904">
        <v>2017</v>
      </c>
      <c r="I428" s="905" t="s">
        <v>1398</v>
      </c>
      <c r="J428" s="906" t="s">
        <v>1298</v>
      </c>
      <c r="K428" s="903"/>
      <c r="L428" s="902"/>
      <c r="M428" s="903"/>
      <c r="N428" s="902">
        <v>201</v>
      </c>
      <c r="O428" s="903"/>
      <c r="P428" s="902" t="s">
        <v>1391</v>
      </c>
    </row>
    <row r="429" spans="2:16">
      <c r="B429" s="907">
        <v>96712</v>
      </c>
      <c r="C429" s="908" t="s">
        <v>991</v>
      </c>
      <c r="D429" s="909"/>
      <c r="E429" s="908" t="s">
        <v>116</v>
      </c>
      <c r="F429" s="909" t="s">
        <v>1297</v>
      </c>
      <c r="G429" s="908" t="s">
        <v>1083</v>
      </c>
      <c r="H429" s="910">
        <v>2017</v>
      </c>
      <c r="I429" s="911" t="s">
        <v>1399</v>
      </c>
      <c r="J429" s="906" t="s">
        <v>1298</v>
      </c>
      <c r="K429" s="909"/>
      <c r="L429" s="908"/>
      <c r="M429" s="909"/>
      <c r="N429" s="908">
        <v>202</v>
      </c>
      <c r="O429" s="909"/>
      <c r="P429" s="908" t="s">
        <v>1391</v>
      </c>
    </row>
    <row r="430" spans="2:16">
      <c r="B430" s="901">
        <v>96713</v>
      </c>
      <c r="C430" s="902" t="s">
        <v>991</v>
      </c>
      <c r="D430" s="903"/>
      <c r="E430" s="902" t="s">
        <v>116</v>
      </c>
      <c r="F430" s="903" t="s">
        <v>1297</v>
      </c>
      <c r="G430" s="902" t="s">
        <v>1083</v>
      </c>
      <c r="H430" s="904">
        <v>2017</v>
      </c>
      <c r="I430" s="905" t="s">
        <v>1400</v>
      </c>
      <c r="J430" s="906" t="s">
        <v>1298</v>
      </c>
      <c r="K430" s="903"/>
      <c r="L430" s="902"/>
      <c r="M430" s="903"/>
      <c r="N430" s="902">
        <v>205</v>
      </c>
      <c r="O430" s="903"/>
      <c r="P430" s="902" t="s">
        <v>1391</v>
      </c>
    </row>
    <row r="431" spans="2:16">
      <c r="B431" s="907">
        <v>96714</v>
      </c>
      <c r="C431" s="908" t="s">
        <v>991</v>
      </c>
      <c r="D431" s="909"/>
      <c r="E431" s="908" t="s">
        <v>116</v>
      </c>
      <c r="F431" s="909" t="s">
        <v>1297</v>
      </c>
      <c r="G431" s="908" t="s">
        <v>1083</v>
      </c>
      <c r="H431" s="910">
        <v>2017</v>
      </c>
      <c r="I431" s="911" t="s">
        <v>1401</v>
      </c>
      <c r="J431" s="906" t="s">
        <v>1298</v>
      </c>
      <c r="K431" s="909"/>
      <c r="L431" s="908"/>
      <c r="M431" s="909"/>
      <c r="N431" s="908">
        <v>206</v>
      </c>
      <c r="O431" s="909"/>
      <c r="P431" s="908" t="s">
        <v>1391</v>
      </c>
    </row>
    <row r="432" spans="2:16">
      <c r="B432" s="901">
        <v>96715</v>
      </c>
      <c r="C432" s="902" t="s">
        <v>991</v>
      </c>
      <c r="D432" s="903"/>
      <c r="E432" s="902" t="s">
        <v>116</v>
      </c>
      <c r="F432" s="903" t="s">
        <v>1297</v>
      </c>
      <c r="G432" s="902" t="s">
        <v>1083</v>
      </c>
      <c r="H432" s="904">
        <v>2017</v>
      </c>
      <c r="I432" s="905" t="s">
        <v>1402</v>
      </c>
      <c r="J432" s="906" t="s">
        <v>1298</v>
      </c>
      <c r="K432" s="903"/>
      <c r="L432" s="902"/>
      <c r="M432" s="903"/>
      <c r="N432" s="902">
        <v>207</v>
      </c>
      <c r="O432" s="903"/>
      <c r="P432" s="902" t="s">
        <v>1391</v>
      </c>
    </row>
    <row r="433" spans="2:16">
      <c r="B433" s="907">
        <v>96716</v>
      </c>
      <c r="C433" s="908" t="s">
        <v>991</v>
      </c>
      <c r="D433" s="909"/>
      <c r="E433" s="908" t="s">
        <v>116</v>
      </c>
      <c r="F433" s="909" t="s">
        <v>1297</v>
      </c>
      <c r="G433" s="908" t="s">
        <v>1083</v>
      </c>
      <c r="H433" s="910">
        <v>2017</v>
      </c>
      <c r="I433" s="911" t="s">
        <v>1403</v>
      </c>
      <c r="J433" s="906" t="s">
        <v>1298</v>
      </c>
      <c r="K433" s="909"/>
      <c r="L433" s="908"/>
      <c r="M433" s="909"/>
      <c r="N433" s="908">
        <v>208</v>
      </c>
      <c r="O433" s="909"/>
      <c r="P433" s="908" t="s">
        <v>1391</v>
      </c>
    </row>
    <row r="434" spans="2:16">
      <c r="B434" s="901">
        <v>96717</v>
      </c>
      <c r="C434" s="902" t="s">
        <v>991</v>
      </c>
      <c r="D434" s="903"/>
      <c r="E434" s="902" t="s">
        <v>116</v>
      </c>
      <c r="F434" s="903" t="s">
        <v>1297</v>
      </c>
      <c r="G434" s="902" t="s">
        <v>1083</v>
      </c>
      <c r="H434" s="904">
        <v>2017</v>
      </c>
      <c r="I434" s="905" t="s">
        <v>1404</v>
      </c>
      <c r="J434" s="906" t="s">
        <v>1298</v>
      </c>
      <c r="K434" s="903"/>
      <c r="L434" s="902"/>
      <c r="M434" s="903"/>
      <c r="N434" s="902">
        <v>210</v>
      </c>
      <c r="O434" s="903"/>
      <c r="P434" s="902" t="s">
        <v>1391</v>
      </c>
    </row>
    <row r="435" spans="2:16">
      <c r="B435" s="907">
        <v>96692</v>
      </c>
      <c r="C435" s="908" t="s">
        <v>991</v>
      </c>
      <c r="D435" s="909"/>
      <c r="E435" s="908" t="s">
        <v>116</v>
      </c>
      <c r="F435" s="909" t="s">
        <v>1297</v>
      </c>
      <c r="G435" s="908" t="s">
        <v>1083</v>
      </c>
      <c r="H435" s="910">
        <v>2017</v>
      </c>
      <c r="I435" s="911" t="s">
        <v>1405</v>
      </c>
      <c r="J435" s="906" t="s">
        <v>1298</v>
      </c>
      <c r="K435" s="909"/>
      <c r="L435" s="908"/>
      <c r="M435" s="909"/>
      <c r="N435" s="908">
        <v>13</v>
      </c>
      <c r="O435" s="909"/>
      <c r="P435" s="908" t="s">
        <v>1193</v>
      </c>
    </row>
    <row r="436" spans="2:16">
      <c r="B436" s="901">
        <v>96693</v>
      </c>
      <c r="C436" s="902" t="s">
        <v>991</v>
      </c>
      <c r="D436" s="903"/>
      <c r="E436" s="902" t="s">
        <v>116</v>
      </c>
      <c r="F436" s="903" t="s">
        <v>1297</v>
      </c>
      <c r="G436" s="902" t="s">
        <v>1083</v>
      </c>
      <c r="H436" s="904">
        <v>2017</v>
      </c>
      <c r="I436" s="905" t="s">
        <v>1406</v>
      </c>
      <c r="J436" s="906" t="s">
        <v>1298</v>
      </c>
      <c r="K436" s="903"/>
      <c r="L436" s="902"/>
      <c r="M436" s="903"/>
      <c r="N436" s="902"/>
      <c r="O436" s="903"/>
      <c r="P436" s="902" t="s">
        <v>1193</v>
      </c>
    </row>
    <row r="437" spans="2:16">
      <c r="B437" s="901">
        <v>96695</v>
      </c>
      <c r="C437" s="902" t="s">
        <v>991</v>
      </c>
      <c r="D437" s="903"/>
      <c r="E437" s="902" t="s">
        <v>116</v>
      </c>
      <c r="F437" s="903" t="s">
        <v>1297</v>
      </c>
      <c r="G437" s="902" t="s">
        <v>1083</v>
      </c>
      <c r="H437" s="904">
        <v>2017</v>
      </c>
      <c r="I437" s="905" t="s">
        <v>1407</v>
      </c>
      <c r="J437" s="906" t="s">
        <v>1298</v>
      </c>
      <c r="K437" s="903"/>
      <c r="L437" s="902"/>
      <c r="M437" s="903"/>
      <c r="N437" s="902">
        <v>8</v>
      </c>
      <c r="O437" s="903"/>
      <c r="P437" s="902" t="s">
        <v>1193</v>
      </c>
    </row>
    <row r="438" spans="2:16">
      <c r="B438" s="901">
        <v>96697</v>
      </c>
      <c r="C438" s="902" t="s">
        <v>991</v>
      </c>
      <c r="D438" s="903"/>
      <c r="E438" s="902" t="s">
        <v>116</v>
      </c>
      <c r="F438" s="903" t="s">
        <v>1297</v>
      </c>
      <c r="G438" s="902" t="s">
        <v>1083</v>
      </c>
      <c r="H438" s="904">
        <v>2017</v>
      </c>
      <c r="I438" s="905" t="s">
        <v>1408</v>
      </c>
      <c r="J438" s="906" t="s">
        <v>1298</v>
      </c>
      <c r="K438" s="903"/>
      <c r="L438" s="902"/>
      <c r="M438" s="903"/>
      <c r="N438" s="902"/>
      <c r="O438" s="903"/>
      <c r="P438" s="902" t="s">
        <v>1193</v>
      </c>
    </row>
    <row r="439" spans="2:16">
      <c r="B439" s="901">
        <v>96677</v>
      </c>
      <c r="C439" s="902" t="s">
        <v>991</v>
      </c>
      <c r="D439" s="903"/>
      <c r="E439" s="902" t="s">
        <v>116</v>
      </c>
      <c r="F439" s="903" t="s">
        <v>1297</v>
      </c>
      <c r="G439" s="902" t="s">
        <v>1083</v>
      </c>
      <c r="H439" s="904">
        <v>2017</v>
      </c>
      <c r="I439" s="905" t="s">
        <v>1409</v>
      </c>
      <c r="J439" s="906" t="s">
        <v>1298</v>
      </c>
      <c r="K439" s="903"/>
      <c r="L439" s="902"/>
      <c r="M439" s="903"/>
      <c r="N439" s="902"/>
      <c r="O439" s="903"/>
      <c r="P439" s="902" t="s">
        <v>1377</v>
      </c>
    </row>
    <row r="440" spans="2:16">
      <c r="B440" s="907">
        <v>96678</v>
      </c>
      <c r="C440" s="908" t="s">
        <v>991</v>
      </c>
      <c r="D440" s="909"/>
      <c r="E440" s="908" t="s">
        <v>116</v>
      </c>
      <c r="F440" s="909" t="s">
        <v>1297</v>
      </c>
      <c r="G440" s="908" t="s">
        <v>1083</v>
      </c>
      <c r="H440" s="910">
        <v>2017</v>
      </c>
      <c r="I440" s="911" t="s">
        <v>1410</v>
      </c>
      <c r="J440" s="906" t="s">
        <v>1298</v>
      </c>
      <c r="K440" s="909"/>
      <c r="L440" s="908"/>
      <c r="M440" s="909"/>
      <c r="N440" s="908"/>
      <c r="O440" s="909"/>
      <c r="P440" s="908" t="s">
        <v>1377</v>
      </c>
    </row>
    <row r="441" spans="2:16">
      <c r="B441" s="907">
        <v>96686</v>
      </c>
      <c r="C441" s="908" t="s">
        <v>991</v>
      </c>
      <c r="D441" s="909"/>
      <c r="E441" s="908" t="s">
        <v>116</v>
      </c>
      <c r="F441" s="909" t="s">
        <v>1297</v>
      </c>
      <c r="G441" s="908" t="s">
        <v>1083</v>
      </c>
      <c r="H441" s="910">
        <v>2017</v>
      </c>
      <c r="I441" s="911" t="s">
        <v>1411</v>
      </c>
      <c r="J441" s="906" t="s">
        <v>1298</v>
      </c>
      <c r="K441" s="909"/>
      <c r="L441" s="908"/>
      <c r="M441" s="909"/>
      <c r="N441" s="908"/>
      <c r="O441" s="909"/>
      <c r="P441" s="908" t="s">
        <v>1377</v>
      </c>
    </row>
    <row r="442" spans="2:16">
      <c r="B442" s="901">
        <v>96691</v>
      </c>
      <c r="C442" s="902" t="s">
        <v>991</v>
      </c>
      <c r="D442" s="903"/>
      <c r="E442" s="902" t="s">
        <v>116</v>
      </c>
      <c r="F442" s="903" t="s">
        <v>1297</v>
      </c>
      <c r="G442" s="902" t="s">
        <v>1083</v>
      </c>
      <c r="H442" s="904">
        <v>2017</v>
      </c>
      <c r="I442" s="905" t="s">
        <v>1412</v>
      </c>
      <c r="J442" s="912" t="s">
        <v>1298</v>
      </c>
      <c r="K442" s="903"/>
      <c r="L442" s="902"/>
      <c r="M442" s="903"/>
      <c r="N442" s="902"/>
      <c r="O442" s="903"/>
      <c r="P442" s="902" t="s">
        <v>1377</v>
      </c>
    </row>
    <row r="443" spans="2:16">
      <c r="B443" s="901"/>
      <c r="C443" s="902"/>
      <c r="D443" s="903"/>
      <c r="E443" s="902"/>
      <c r="F443" s="903"/>
      <c r="G443" s="902"/>
      <c r="H443" s="904"/>
      <c r="I443" s="905"/>
      <c r="J443" s="914">
        <v>1</v>
      </c>
      <c r="K443" s="903" t="s">
        <v>29</v>
      </c>
      <c r="L443" s="902"/>
      <c r="M443" s="903"/>
      <c r="N443" s="902"/>
      <c r="O443" s="903"/>
      <c r="P443" s="902"/>
    </row>
    <row r="444" spans="2:16">
      <c r="B444" s="901"/>
      <c r="C444" s="902"/>
      <c r="D444" s="903"/>
      <c r="E444" s="902"/>
      <c r="F444" s="903"/>
      <c r="G444" s="902"/>
      <c r="H444" s="904"/>
      <c r="I444" s="905"/>
      <c r="J444" s="906"/>
      <c r="K444" s="903"/>
      <c r="L444" s="902"/>
      <c r="M444" s="903"/>
      <c r="N444" s="902"/>
      <c r="O444" s="903"/>
      <c r="P444" s="902"/>
    </row>
    <row r="445" spans="2:16">
      <c r="B445" s="907">
        <v>96718</v>
      </c>
      <c r="C445" s="908" t="s">
        <v>991</v>
      </c>
      <c r="D445" s="909" t="s">
        <v>1302</v>
      </c>
      <c r="E445" s="908" t="s">
        <v>1413</v>
      </c>
      <c r="F445" s="909" t="s">
        <v>1297</v>
      </c>
      <c r="G445" s="908" t="s">
        <v>1083</v>
      </c>
      <c r="H445" s="910">
        <v>2017</v>
      </c>
      <c r="I445" s="911"/>
      <c r="J445" s="912" t="s">
        <v>1298</v>
      </c>
      <c r="K445" s="909"/>
      <c r="L445" s="908"/>
      <c r="M445" s="909"/>
      <c r="N445" s="908"/>
      <c r="O445" s="909"/>
      <c r="P445" s="908" t="s">
        <v>1085</v>
      </c>
    </row>
    <row r="446" spans="2:16">
      <c r="B446" s="907"/>
      <c r="C446" s="908"/>
      <c r="D446" s="909"/>
      <c r="E446" s="908"/>
      <c r="F446" s="909"/>
      <c r="G446" s="908"/>
      <c r="H446" s="910"/>
      <c r="I446" s="911"/>
      <c r="J446" s="914">
        <v>1</v>
      </c>
      <c r="K446" s="909" t="s">
        <v>29</v>
      </c>
      <c r="L446" s="908"/>
      <c r="M446" s="909"/>
      <c r="N446" s="908"/>
      <c r="O446" s="909"/>
      <c r="P446" s="908"/>
    </row>
    <row r="447" spans="2:16">
      <c r="B447" s="907"/>
      <c r="C447" s="908"/>
      <c r="D447" s="909"/>
      <c r="E447" s="908"/>
      <c r="F447" s="909"/>
      <c r="G447" s="908"/>
      <c r="H447" s="910"/>
      <c r="I447" s="911"/>
      <c r="J447" s="906"/>
      <c r="K447" s="909"/>
      <c r="L447" s="908"/>
      <c r="M447" s="909"/>
      <c r="N447" s="908"/>
      <c r="O447" s="909"/>
      <c r="P447" s="908"/>
    </row>
    <row r="448" spans="2:16">
      <c r="B448" s="907"/>
      <c r="C448" s="908"/>
      <c r="D448" s="909"/>
      <c r="E448" s="908"/>
      <c r="F448" s="909"/>
      <c r="G448" s="908"/>
      <c r="H448" s="910"/>
      <c r="I448" s="911"/>
      <c r="J448" s="906" t="s">
        <v>1225</v>
      </c>
      <c r="K448" s="915"/>
      <c r="L448" s="908"/>
      <c r="M448" s="909"/>
      <c r="N448" s="908"/>
      <c r="O448" s="909"/>
      <c r="P448" s="908"/>
    </row>
    <row r="449" spans="2:17">
      <c r="B449" s="907">
        <v>96726</v>
      </c>
      <c r="C449" s="908" t="s">
        <v>991</v>
      </c>
      <c r="D449" s="909" t="s">
        <v>1279</v>
      </c>
      <c r="E449" s="908" t="s">
        <v>118</v>
      </c>
      <c r="F449" s="909" t="s">
        <v>1297</v>
      </c>
      <c r="G449" s="908" t="s">
        <v>1083</v>
      </c>
      <c r="H449" s="910">
        <v>2017</v>
      </c>
      <c r="I449" s="911" t="s">
        <v>1414</v>
      </c>
      <c r="J449" s="916">
        <v>3100.656837174095</v>
      </c>
      <c r="K449" s="917" t="s">
        <v>1415</v>
      </c>
      <c r="L449" s="909"/>
      <c r="M449" s="908"/>
      <c r="N449" s="909" t="s">
        <v>1416</v>
      </c>
      <c r="O449" s="908">
        <v>0</v>
      </c>
      <c r="P449" s="909">
        <v>0</v>
      </c>
      <c r="Q449" s="908" t="s">
        <v>1183</v>
      </c>
    </row>
    <row r="450" spans="2:17">
      <c r="B450" s="901">
        <v>96727</v>
      </c>
      <c r="C450" s="902" t="s">
        <v>991</v>
      </c>
      <c r="D450" s="903" t="s">
        <v>1279</v>
      </c>
      <c r="E450" s="902" t="s">
        <v>118</v>
      </c>
      <c r="F450" s="903" t="s">
        <v>1297</v>
      </c>
      <c r="G450" s="902" t="s">
        <v>1083</v>
      </c>
      <c r="H450" s="904">
        <v>2017</v>
      </c>
      <c r="I450" s="905" t="s">
        <v>1417</v>
      </c>
      <c r="J450" s="918">
        <v>13199.766766244833</v>
      </c>
      <c r="K450" s="906" t="s">
        <v>1415</v>
      </c>
      <c r="L450" s="903"/>
      <c r="M450" s="902"/>
      <c r="N450" s="903" t="s">
        <v>1418</v>
      </c>
      <c r="O450" s="902">
        <v>0</v>
      </c>
      <c r="P450" s="903">
        <v>0</v>
      </c>
      <c r="Q450" s="902" t="s">
        <v>1419</v>
      </c>
    </row>
    <row r="451" spans="2:17">
      <c r="B451" s="907">
        <v>96732</v>
      </c>
      <c r="C451" s="908" t="s">
        <v>991</v>
      </c>
      <c r="D451" s="909" t="s">
        <v>1279</v>
      </c>
      <c r="E451" s="908" t="s">
        <v>118</v>
      </c>
      <c r="F451" s="909" t="s">
        <v>1297</v>
      </c>
      <c r="G451" s="908" t="s">
        <v>1083</v>
      </c>
      <c r="H451" s="910">
        <v>2017</v>
      </c>
      <c r="I451" s="911" t="s">
        <v>1420</v>
      </c>
      <c r="J451" s="916">
        <v>21080.817319602913</v>
      </c>
      <c r="K451" s="917" t="s">
        <v>1415</v>
      </c>
      <c r="L451" s="909"/>
      <c r="M451" s="908"/>
      <c r="N451" s="909" t="s">
        <v>1421</v>
      </c>
      <c r="O451" s="908">
        <v>0</v>
      </c>
      <c r="P451" s="909">
        <v>0</v>
      </c>
      <c r="Q451" s="908" t="s">
        <v>1205</v>
      </c>
    </row>
    <row r="452" spans="2:17">
      <c r="B452" s="907">
        <v>96736</v>
      </c>
      <c r="C452" s="908" t="s">
        <v>991</v>
      </c>
      <c r="D452" s="909" t="s">
        <v>1279</v>
      </c>
      <c r="E452" s="908" t="s">
        <v>118</v>
      </c>
      <c r="F452" s="909" t="s">
        <v>1297</v>
      </c>
      <c r="G452" s="908" t="s">
        <v>1083</v>
      </c>
      <c r="H452" s="910">
        <v>2017</v>
      </c>
      <c r="I452" s="911" t="s">
        <v>1422</v>
      </c>
      <c r="J452" s="916">
        <v>31748.323010342883</v>
      </c>
      <c r="K452" s="917" t="s">
        <v>1415</v>
      </c>
      <c r="L452" s="909"/>
      <c r="M452" s="908"/>
      <c r="N452" s="909" t="s">
        <v>1423</v>
      </c>
      <c r="O452" s="908">
        <v>0</v>
      </c>
      <c r="P452" s="909">
        <v>0</v>
      </c>
      <c r="Q452" s="908" t="s">
        <v>1085</v>
      </c>
    </row>
    <row r="453" spans="2:17">
      <c r="B453" s="901">
        <v>96737</v>
      </c>
      <c r="C453" s="902" t="s">
        <v>991</v>
      </c>
      <c r="D453" s="903" t="s">
        <v>1279</v>
      </c>
      <c r="E453" s="902" t="s">
        <v>118</v>
      </c>
      <c r="F453" s="903" t="s">
        <v>1297</v>
      </c>
      <c r="G453" s="902" t="s">
        <v>1083</v>
      </c>
      <c r="H453" s="904">
        <v>2017</v>
      </c>
      <c r="I453" s="905" t="s">
        <v>1424</v>
      </c>
      <c r="J453" s="918">
        <v>68719.015768575686</v>
      </c>
      <c r="K453" s="917" t="s">
        <v>1415</v>
      </c>
      <c r="L453" s="903"/>
      <c r="M453" s="902"/>
      <c r="N453" s="903" t="s">
        <v>1425</v>
      </c>
      <c r="O453" s="902">
        <v>0</v>
      </c>
      <c r="P453" s="903">
        <v>0</v>
      </c>
      <c r="Q453" s="902" t="s">
        <v>1183</v>
      </c>
    </row>
    <row r="454" spans="2:17">
      <c r="B454" s="907">
        <v>96740</v>
      </c>
      <c r="C454" s="908" t="s">
        <v>991</v>
      </c>
      <c r="D454" s="909" t="s">
        <v>1279</v>
      </c>
      <c r="E454" s="908" t="s">
        <v>118</v>
      </c>
      <c r="F454" s="909" t="s">
        <v>1297</v>
      </c>
      <c r="G454" s="908" t="s">
        <v>1083</v>
      </c>
      <c r="H454" s="910">
        <v>2017</v>
      </c>
      <c r="I454" s="911" t="s">
        <v>1426</v>
      </c>
      <c r="J454" s="916">
        <v>5565.6002885618618</v>
      </c>
      <c r="K454" s="917" t="s">
        <v>1415</v>
      </c>
      <c r="L454" s="909"/>
      <c r="M454" s="908"/>
      <c r="N454" s="909" t="s">
        <v>1427</v>
      </c>
      <c r="O454" s="908">
        <v>0</v>
      </c>
      <c r="P454" s="909">
        <v>0</v>
      </c>
      <c r="Q454" s="908" t="s">
        <v>1085</v>
      </c>
    </row>
    <row r="455" spans="2:17">
      <c r="B455" s="901">
        <v>96747</v>
      </c>
      <c r="C455" s="902" t="s">
        <v>991</v>
      </c>
      <c r="D455" s="903" t="s">
        <v>1279</v>
      </c>
      <c r="E455" s="902" t="s">
        <v>118</v>
      </c>
      <c r="F455" s="903" t="s">
        <v>1297</v>
      </c>
      <c r="G455" s="902" t="s">
        <v>1083</v>
      </c>
      <c r="H455" s="904">
        <v>2017</v>
      </c>
      <c r="I455" s="905" t="s">
        <v>1428</v>
      </c>
      <c r="J455" s="918">
        <v>9615.1745927795982</v>
      </c>
      <c r="K455" s="917" t="s">
        <v>1415</v>
      </c>
      <c r="L455" s="903"/>
      <c r="M455" s="902"/>
      <c r="N455" s="903" t="s">
        <v>1429</v>
      </c>
      <c r="O455" s="902">
        <v>0</v>
      </c>
      <c r="P455" s="903">
        <v>0</v>
      </c>
      <c r="Q455" s="902" t="s">
        <v>1183</v>
      </c>
    </row>
    <row r="456" spans="2:17">
      <c r="B456" s="901">
        <v>96753</v>
      </c>
      <c r="C456" s="902" t="s">
        <v>991</v>
      </c>
      <c r="D456" s="903" t="s">
        <v>1279</v>
      </c>
      <c r="E456" s="902" t="s">
        <v>118</v>
      </c>
      <c r="F456" s="903" t="s">
        <v>1297</v>
      </c>
      <c r="G456" s="902" t="s">
        <v>1083</v>
      </c>
      <c r="H456" s="904">
        <v>2017</v>
      </c>
      <c r="I456" s="905" t="s">
        <v>1430</v>
      </c>
      <c r="J456" s="918">
        <v>148990.29882581311</v>
      </c>
      <c r="K456" s="917" t="s">
        <v>1415</v>
      </c>
      <c r="L456" s="903"/>
      <c r="M456" s="902"/>
      <c r="N456" s="903" t="s">
        <v>1431</v>
      </c>
      <c r="O456" s="902">
        <v>0</v>
      </c>
      <c r="P456" s="903">
        <v>0</v>
      </c>
      <c r="Q456" s="902" t="s">
        <v>1085</v>
      </c>
    </row>
    <row r="457" spans="2:17">
      <c r="B457" s="901">
        <v>96729</v>
      </c>
      <c r="C457" s="902" t="s">
        <v>991</v>
      </c>
      <c r="D457" s="903" t="s">
        <v>1279</v>
      </c>
      <c r="E457" s="902" t="s">
        <v>118</v>
      </c>
      <c r="F457" s="903" t="s">
        <v>1297</v>
      </c>
      <c r="G457" s="902" t="s">
        <v>1083</v>
      </c>
      <c r="H457" s="904">
        <v>2017</v>
      </c>
      <c r="I457" s="905" t="s">
        <v>1432</v>
      </c>
      <c r="J457" s="918">
        <v>61508.201414453128</v>
      </c>
      <c r="K457" s="906" t="s">
        <v>1028</v>
      </c>
      <c r="L457" s="903"/>
      <c r="M457" s="902"/>
      <c r="N457" s="903" t="s">
        <v>1433</v>
      </c>
      <c r="O457" s="902">
        <v>0</v>
      </c>
      <c r="P457" s="903">
        <v>0</v>
      </c>
      <c r="Q457" s="902" t="s">
        <v>1085</v>
      </c>
    </row>
    <row r="458" spans="2:17">
      <c r="B458" s="907">
        <v>96730</v>
      </c>
      <c r="C458" s="908" t="s">
        <v>991</v>
      </c>
      <c r="D458" s="909" t="s">
        <v>1279</v>
      </c>
      <c r="E458" s="908" t="s">
        <v>118</v>
      </c>
      <c r="F458" s="909" t="s">
        <v>1297</v>
      </c>
      <c r="G458" s="908" t="s">
        <v>1083</v>
      </c>
      <c r="H458" s="910">
        <v>2017</v>
      </c>
      <c r="I458" s="911" t="s">
        <v>1434</v>
      </c>
      <c r="J458" s="916">
        <v>35439.597636337909</v>
      </c>
      <c r="K458" s="917" t="s">
        <v>1028</v>
      </c>
      <c r="L458" s="909"/>
      <c r="M458" s="908"/>
      <c r="N458" s="909" t="s">
        <v>1435</v>
      </c>
      <c r="O458" s="908">
        <v>0</v>
      </c>
      <c r="P458" s="909">
        <v>0</v>
      </c>
      <c r="Q458" s="908" t="s">
        <v>1095</v>
      </c>
    </row>
    <row r="459" spans="2:17">
      <c r="B459" s="901">
        <v>96739</v>
      </c>
      <c r="C459" s="902" t="s">
        <v>991</v>
      </c>
      <c r="D459" s="903" t="s">
        <v>1279</v>
      </c>
      <c r="E459" s="902" t="s">
        <v>118</v>
      </c>
      <c r="F459" s="903" t="s">
        <v>1297</v>
      </c>
      <c r="G459" s="902" t="s">
        <v>1083</v>
      </c>
      <c r="H459" s="904">
        <v>2017</v>
      </c>
      <c r="I459" s="905" t="s">
        <v>1436</v>
      </c>
      <c r="J459" s="918">
        <v>81877.18288056743</v>
      </c>
      <c r="K459" s="906" t="s">
        <v>1028</v>
      </c>
      <c r="L459" s="903"/>
      <c r="M459" s="902"/>
      <c r="N459" s="903" t="s">
        <v>1437</v>
      </c>
      <c r="O459" s="902">
        <v>0</v>
      </c>
      <c r="P459" s="903">
        <v>0</v>
      </c>
      <c r="Q459" s="902" t="s">
        <v>1085</v>
      </c>
    </row>
    <row r="460" spans="2:17">
      <c r="B460" s="901">
        <v>96741</v>
      </c>
      <c r="C460" s="902" t="s">
        <v>991</v>
      </c>
      <c r="D460" s="903" t="s">
        <v>1279</v>
      </c>
      <c r="E460" s="902" t="s">
        <v>118</v>
      </c>
      <c r="F460" s="903" t="s">
        <v>1297</v>
      </c>
      <c r="G460" s="902" t="s">
        <v>1083</v>
      </c>
      <c r="H460" s="904">
        <v>2017</v>
      </c>
      <c r="I460" s="905" t="s">
        <v>1438</v>
      </c>
      <c r="J460" s="918">
        <v>79099.279148649002</v>
      </c>
      <c r="K460" s="906" t="s">
        <v>1028</v>
      </c>
      <c r="L460" s="903"/>
      <c r="M460" s="902"/>
      <c r="N460" s="903" t="s">
        <v>1439</v>
      </c>
      <c r="O460" s="902">
        <v>0</v>
      </c>
      <c r="P460" s="903">
        <v>0</v>
      </c>
      <c r="Q460" s="902" t="s">
        <v>1183</v>
      </c>
    </row>
    <row r="461" spans="2:17">
      <c r="B461" s="907">
        <v>96744</v>
      </c>
      <c r="C461" s="908" t="s">
        <v>991</v>
      </c>
      <c r="D461" s="909" t="s">
        <v>1279</v>
      </c>
      <c r="E461" s="908" t="s">
        <v>118</v>
      </c>
      <c r="F461" s="909" t="s">
        <v>1297</v>
      </c>
      <c r="G461" s="908" t="s">
        <v>1083</v>
      </c>
      <c r="H461" s="910">
        <v>2017</v>
      </c>
      <c r="I461" s="911" t="s">
        <v>1440</v>
      </c>
      <c r="J461" s="916">
        <v>23281.021481416497</v>
      </c>
      <c r="K461" s="906" t="s">
        <v>1028</v>
      </c>
      <c r="L461" s="909"/>
      <c r="M461" s="908"/>
      <c r="N461" s="909" t="s">
        <v>1441</v>
      </c>
      <c r="O461" s="908">
        <v>0</v>
      </c>
      <c r="P461" s="909">
        <v>0</v>
      </c>
      <c r="Q461" s="908" t="s">
        <v>1442</v>
      </c>
    </row>
    <row r="462" spans="2:17">
      <c r="B462" s="901">
        <v>96745</v>
      </c>
      <c r="C462" s="902" t="s">
        <v>991</v>
      </c>
      <c r="D462" s="903" t="s">
        <v>1279</v>
      </c>
      <c r="E462" s="902" t="s">
        <v>118</v>
      </c>
      <c r="F462" s="903" t="s">
        <v>1297</v>
      </c>
      <c r="G462" s="902" t="s">
        <v>1083</v>
      </c>
      <c r="H462" s="904">
        <v>2017</v>
      </c>
      <c r="I462" s="905" t="s">
        <v>1443</v>
      </c>
      <c r="J462" s="918">
        <v>27537.684067690279</v>
      </c>
      <c r="K462" s="906" t="s">
        <v>1028</v>
      </c>
      <c r="L462" s="903"/>
      <c r="M462" s="902"/>
      <c r="N462" s="903" t="s">
        <v>1444</v>
      </c>
      <c r="O462" s="902">
        <v>0</v>
      </c>
      <c r="P462" s="903">
        <v>0</v>
      </c>
      <c r="Q462" s="902" t="s">
        <v>1095</v>
      </c>
    </row>
    <row r="463" spans="2:17">
      <c r="B463" s="907">
        <v>96746</v>
      </c>
      <c r="C463" s="908" t="s">
        <v>991</v>
      </c>
      <c r="D463" s="909" t="s">
        <v>1279</v>
      </c>
      <c r="E463" s="908" t="s">
        <v>118</v>
      </c>
      <c r="F463" s="909" t="s">
        <v>1297</v>
      </c>
      <c r="G463" s="908" t="s">
        <v>1083</v>
      </c>
      <c r="H463" s="910">
        <v>2017</v>
      </c>
      <c r="I463" s="911" t="s">
        <v>1445</v>
      </c>
      <c r="J463" s="916">
        <v>8279.6996506676369</v>
      </c>
      <c r="K463" s="917" t="s">
        <v>1028</v>
      </c>
      <c r="L463" s="909"/>
      <c r="M463" s="908"/>
      <c r="N463" s="909" t="s">
        <v>1446</v>
      </c>
      <c r="O463" s="908">
        <v>0</v>
      </c>
      <c r="P463" s="909">
        <v>0</v>
      </c>
      <c r="Q463" s="908" t="s">
        <v>1216</v>
      </c>
    </row>
    <row r="464" spans="2:17">
      <c r="B464" s="907">
        <v>96748</v>
      </c>
      <c r="C464" s="908" t="s">
        <v>991</v>
      </c>
      <c r="D464" s="909" t="s">
        <v>1279</v>
      </c>
      <c r="E464" s="908" t="s">
        <v>118</v>
      </c>
      <c r="F464" s="909" t="s">
        <v>1297</v>
      </c>
      <c r="G464" s="908" t="s">
        <v>1083</v>
      </c>
      <c r="H464" s="910">
        <v>2017</v>
      </c>
      <c r="I464" s="911" t="s">
        <v>1447</v>
      </c>
      <c r="J464" s="916">
        <v>175681.1541274091</v>
      </c>
      <c r="K464" s="917" t="s">
        <v>1028</v>
      </c>
      <c r="L464" s="909"/>
      <c r="M464" s="908"/>
      <c r="N464" s="909" t="s">
        <v>1448</v>
      </c>
      <c r="O464" s="908">
        <v>0</v>
      </c>
      <c r="P464" s="909">
        <v>0</v>
      </c>
      <c r="Q464" s="908" t="s">
        <v>1085</v>
      </c>
    </row>
    <row r="465" spans="2:17">
      <c r="B465" s="901">
        <v>96751</v>
      </c>
      <c r="C465" s="902" t="s">
        <v>991</v>
      </c>
      <c r="D465" s="903" t="s">
        <v>1279</v>
      </c>
      <c r="E465" s="902" t="s">
        <v>118</v>
      </c>
      <c r="F465" s="903" t="s">
        <v>1297</v>
      </c>
      <c r="G465" s="902" t="s">
        <v>1083</v>
      </c>
      <c r="H465" s="904">
        <v>2017</v>
      </c>
      <c r="I465" s="905" t="s">
        <v>1449</v>
      </c>
      <c r="J465" s="918">
        <v>96791.307134665374</v>
      </c>
      <c r="K465" s="906" t="s">
        <v>1028</v>
      </c>
      <c r="L465" s="903"/>
      <c r="M465" s="902"/>
      <c r="N465" s="903" t="s">
        <v>1450</v>
      </c>
      <c r="O465" s="902">
        <v>0</v>
      </c>
      <c r="P465" s="903">
        <v>0</v>
      </c>
      <c r="Q465" s="902" t="s">
        <v>1085</v>
      </c>
    </row>
    <row r="466" spans="2:17">
      <c r="B466" s="907">
        <v>96752</v>
      </c>
      <c r="C466" s="908" t="s">
        <v>991</v>
      </c>
      <c r="D466" s="909" t="s">
        <v>1279</v>
      </c>
      <c r="E466" s="908" t="s">
        <v>118</v>
      </c>
      <c r="F466" s="909" t="s">
        <v>1297</v>
      </c>
      <c r="G466" s="908" t="s">
        <v>1083</v>
      </c>
      <c r="H466" s="910">
        <v>2017</v>
      </c>
      <c r="I466" s="911" t="s">
        <v>1451</v>
      </c>
      <c r="J466" s="919">
        <v>5656.5434957276011</v>
      </c>
      <c r="K466" s="920" t="s">
        <v>1028</v>
      </c>
      <c r="L466" s="909"/>
      <c r="M466" s="908"/>
      <c r="N466" s="909" t="s">
        <v>1452</v>
      </c>
      <c r="O466" s="908">
        <v>0</v>
      </c>
      <c r="P466" s="909">
        <v>0</v>
      </c>
      <c r="Q466" s="908" t="s">
        <v>1183</v>
      </c>
    </row>
    <row r="467" spans="2:17">
      <c r="B467" s="901"/>
      <c r="C467" s="902"/>
      <c r="D467" s="903"/>
      <c r="E467" s="902"/>
      <c r="F467" s="903"/>
      <c r="G467" s="902"/>
      <c r="H467" s="904"/>
      <c r="I467" s="905"/>
      <c r="J467" s="921">
        <f>SUM(J449:J466)</f>
        <v>897171.32444667898</v>
      </c>
      <c r="K467" s="922">
        <f>SUM(J449:J456)/J467</f>
        <v>0.33663542868510926</v>
      </c>
      <c r="L467" s="903" t="s">
        <v>990</v>
      </c>
      <c r="M467" s="902"/>
      <c r="N467" s="903"/>
      <c r="O467" s="902"/>
      <c r="P467" s="903"/>
      <c r="Q467" s="902"/>
    </row>
    <row r="468" spans="2:17">
      <c r="B468" s="901"/>
      <c r="C468" s="902"/>
      <c r="D468" s="903"/>
      <c r="E468" s="902"/>
      <c r="F468" s="903"/>
      <c r="G468" s="902"/>
      <c r="H468" s="904"/>
      <c r="I468" s="905"/>
      <c r="J468" s="923"/>
      <c r="K468" s="922">
        <f>SUM(J457:J466)/J467</f>
        <v>0.66336457131489079</v>
      </c>
      <c r="L468" s="903" t="s">
        <v>1028</v>
      </c>
      <c r="M468" s="902"/>
      <c r="N468" s="903"/>
      <c r="O468" s="902"/>
      <c r="P468" s="903"/>
      <c r="Q468" s="902"/>
    </row>
    <row r="469" spans="2:17">
      <c r="B469" s="901"/>
      <c r="C469" s="902"/>
      <c r="D469" s="903"/>
      <c r="E469" s="902"/>
      <c r="F469" s="903"/>
      <c r="G469" s="902"/>
      <c r="H469" s="904"/>
      <c r="I469" s="905"/>
      <c r="J469" s="906"/>
      <c r="K469" s="903"/>
      <c r="L469" s="902"/>
      <c r="M469" s="903"/>
      <c r="N469" s="902"/>
      <c r="O469" s="903"/>
      <c r="P469" s="902"/>
    </row>
    <row r="470" spans="2:17">
      <c r="B470" s="907">
        <v>96824</v>
      </c>
      <c r="C470" s="908" t="s">
        <v>991</v>
      </c>
      <c r="D470" s="909" t="s">
        <v>1453</v>
      </c>
      <c r="E470" s="908" t="s">
        <v>119</v>
      </c>
      <c r="F470" s="909" t="s">
        <v>1297</v>
      </c>
      <c r="G470" s="908" t="s">
        <v>1083</v>
      </c>
      <c r="H470" s="910">
        <v>2017</v>
      </c>
      <c r="I470" s="924" t="s">
        <v>1454</v>
      </c>
      <c r="J470" s="925">
        <v>13540.972997484765</v>
      </c>
      <c r="K470" s="906" t="s">
        <v>1455</v>
      </c>
      <c r="L470" s="909"/>
      <c r="M470" s="908"/>
      <c r="N470" s="909" t="s">
        <v>1456</v>
      </c>
      <c r="O470" s="908"/>
      <c r="P470" s="909"/>
      <c r="Q470" s="908" t="s">
        <v>1085</v>
      </c>
    </row>
    <row r="471" spans="2:17">
      <c r="B471" s="901">
        <v>96827</v>
      </c>
      <c r="C471" s="902" t="s">
        <v>991</v>
      </c>
      <c r="D471" s="903" t="s">
        <v>1453</v>
      </c>
      <c r="E471" s="902" t="s">
        <v>119</v>
      </c>
      <c r="F471" s="903" t="s">
        <v>1297</v>
      </c>
      <c r="G471" s="902" t="s">
        <v>1083</v>
      </c>
      <c r="H471" s="904">
        <v>2017</v>
      </c>
      <c r="I471" s="905" t="s">
        <v>1457</v>
      </c>
      <c r="J471" s="918">
        <v>8911.9778544286564</v>
      </c>
      <c r="K471" s="906" t="s">
        <v>1455</v>
      </c>
      <c r="L471" s="903"/>
      <c r="M471" s="902"/>
      <c r="N471" s="903" t="s">
        <v>1458</v>
      </c>
      <c r="O471" s="902"/>
      <c r="P471" s="903"/>
      <c r="Q471" s="902" t="s">
        <v>1085</v>
      </c>
    </row>
    <row r="472" spans="2:17">
      <c r="B472" s="901">
        <v>96759</v>
      </c>
      <c r="C472" s="902" t="s">
        <v>991</v>
      </c>
      <c r="D472" s="903" t="s">
        <v>1453</v>
      </c>
      <c r="E472" s="902" t="s">
        <v>119</v>
      </c>
      <c r="F472" s="903" t="s">
        <v>1297</v>
      </c>
      <c r="G472" s="902" t="s">
        <v>1083</v>
      </c>
      <c r="H472" s="904">
        <v>2017</v>
      </c>
      <c r="I472" s="905" t="s">
        <v>1459</v>
      </c>
      <c r="J472" s="926">
        <v>7357.3547162539562</v>
      </c>
      <c r="K472" s="906" t="s">
        <v>1455</v>
      </c>
      <c r="L472" s="903"/>
      <c r="M472" s="902"/>
      <c r="N472" s="903" t="s">
        <v>1460</v>
      </c>
      <c r="O472" s="902"/>
      <c r="P472" s="903"/>
      <c r="Q472" s="902" t="s">
        <v>1085</v>
      </c>
    </row>
    <row r="473" spans="2:17">
      <c r="B473" s="907">
        <v>96760</v>
      </c>
      <c r="C473" s="908" t="s">
        <v>991</v>
      </c>
      <c r="D473" s="909" t="s">
        <v>1453</v>
      </c>
      <c r="E473" s="908" t="s">
        <v>119</v>
      </c>
      <c r="F473" s="909" t="s">
        <v>1297</v>
      </c>
      <c r="G473" s="908" t="s">
        <v>1083</v>
      </c>
      <c r="H473" s="910">
        <v>2017</v>
      </c>
      <c r="I473" s="911" t="s">
        <v>1461</v>
      </c>
      <c r="J473" s="927">
        <v>1453.708618586767</v>
      </c>
      <c r="K473" s="906" t="s">
        <v>1455</v>
      </c>
      <c r="L473" s="909"/>
      <c r="M473" s="908"/>
      <c r="N473" s="909" t="s">
        <v>1462</v>
      </c>
      <c r="O473" s="908" t="s">
        <v>1463</v>
      </c>
      <c r="P473" s="909"/>
      <c r="Q473" s="908" t="s">
        <v>1085</v>
      </c>
    </row>
    <row r="474" spans="2:17">
      <c r="B474" s="901">
        <v>96761</v>
      </c>
      <c r="C474" s="902" t="s">
        <v>991</v>
      </c>
      <c r="D474" s="903" t="s">
        <v>1453</v>
      </c>
      <c r="E474" s="902" t="s">
        <v>119</v>
      </c>
      <c r="F474" s="903" t="s">
        <v>1297</v>
      </c>
      <c r="G474" s="902" t="s">
        <v>1083</v>
      </c>
      <c r="H474" s="904">
        <v>2017</v>
      </c>
      <c r="I474" s="905" t="s">
        <v>1464</v>
      </c>
      <c r="J474" s="918">
        <v>2786.306773510416</v>
      </c>
      <c r="K474" s="906" t="s">
        <v>1455</v>
      </c>
      <c r="L474" s="903"/>
      <c r="M474" s="902"/>
      <c r="N474" s="903" t="s">
        <v>1465</v>
      </c>
      <c r="O474" s="902">
        <v>2</v>
      </c>
      <c r="P474" s="903"/>
      <c r="Q474" s="902" t="s">
        <v>1085</v>
      </c>
    </row>
    <row r="475" spans="2:17">
      <c r="B475" s="907">
        <v>96762</v>
      </c>
      <c r="C475" s="908" t="s">
        <v>991</v>
      </c>
      <c r="D475" s="909" t="s">
        <v>1453</v>
      </c>
      <c r="E475" s="908" t="s">
        <v>119</v>
      </c>
      <c r="F475" s="909" t="s">
        <v>1297</v>
      </c>
      <c r="G475" s="908" t="s">
        <v>1083</v>
      </c>
      <c r="H475" s="910">
        <v>2017</v>
      </c>
      <c r="I475" s="911" t="s">
        <v>1466</v>
      </c>
      <c r="J475" s="916">
        <v>4075.7094064007861</v>
      </c>
      <c r="K475" s="906" t="s">
        <v>1455</v>
      </c>
      <c r="L475" s="909"/>
      <c r="M475" s="908"/>
      <c r="N475" s="909" t="s">
        <v>1467</v>
      </c>
      <c r="O475" s="908"/>
      <c r="P475" s="909"/>
      <c r="Q475" s="908" t="s">
        <v>1085</v>
      </c>
    </row>
    <row r="476" spans="2:17">
      <c r="B476" s="901">
        <v>96763</v>
      </c>
      <c r="C476" s="902" t="s">
        <v>991</v>
      </c>
      <c r="D476" s="903" t="s">
        <v>1453</v>
      </c>
      <c r="E476" s="902" t="s">
        <v>119</v>
      </c>
      <c r="F476" s="903" t="s">
        <v>1297</v>
      </c>
      <c r="G476" s="902" t="s">
        <v>1083</v>
      </c>
      <c r="H476" s="904">
        <v>2017</v>
      </c>
      <c r="I476" s="905" t="s">
        <v>1468</v>
      </c>
      <c r="J476" s="918">
        <v>2953.2289408243</v>
      </c>
      <c r="K476" s="906" t="s">
        <v>1455</v>
      </c>
      <c r="L476" s="903"/>
      <c r="M476" s="902"/>
      <c r="N476" s="903" t="s">
        <v>1469</v>
      </c>
      <c r="O476" s="902"/>
      <c r="P476" s="903"/>
      <c r="Q476" s="902" t="s">
        <v>1085</v>
      </c>
    </row>
    <row r="477" spans="2:17">
      <c r="B477" s="907">
        <v>96764</v>
      </c>
      <c r="C477" s="908" t="s">
        <v>991</v>
      </c>
      <c r="D477" s="909" t="s">
        <v>1453</v>
      </c>
      <c r="E477" s="908" t="s">
        <v>119</v>
      </c>
      <c r="F477" s="909" t="s">
        <v>1297</v>
      </c>
      <c r="G477" s="908" t="s">
        <v>1083</v>
      </c>
      <c r="H477" s="910">
        <v>2017</v>
      </c>
      <c r="I477" s="911" t="s">
        <v>1470</v>
      </c>
      <c r="J477" s="916">
        <v>15246.487059230058</v>
      </c>
      <c r="K477" s="906" t="s">
        <v>1455</v>
      </c>
      <c r="L477" s="909"/>
      <c r="M477" s="908"/>
      <c r="N477" s="909" t="s">
        <v>1471</v>
      </c>
      <c r="O477" s="908" t="s">
        <v>363</v>
      </c>
      <c r="P477" s="909"/>
      <c r="Q477" s="908" t="s">
        <v>1085</v>
      </c>
    </row>
    <row r="478" spans="2:17">
      <c r="B478" s="901">
        <v>96765</v>
      </c>
      <c r="C478" s="902" t="s">
        <v>991</v>
      </c>
      <c r="D478" s="903" t="s">
        <v>1453</v>
      </c>
      <c r="E478" s="902" t="s">
        <v>119</v>
      </c>
      <c r="F478" s="903" t="s">
        <v>1297</v>
      </c>
      <c r="G478" s="902" t="s">
        <v>1083</v>
      </c>
      <c r="H478" s="904">
        <v>2017</v>
      </c>
      <c r="I478" s="905" t="s">
        <v>1472</v>
      </c>
      <c r="J478" s="918">
        <v>1010.4003110478723</v>
      </c>
      <c r="K478" s="906" t="s">
        <v>1455</v>
      </c>
      <c r="L478" s="903"/>
      <c r="M478" s="902"/>
      <c r="N478" s="903" t="s">
        <v>1473</v>
      </c>
      <c r="O478" s="902" t="s">
        <v>364</v>
      </c>
      <c r="P478" s="903"/>
      <c r="Q478" s="902" t="s">
        <v>1095</v>
      </c>
    </row>
    <row r="479" spans="2:17">
      <c r="B479" s="907">
        <v>96766</v>
      </c>
      <c r="C479" s="908" t="s">
        <v>991</v>
      </c>
      <c r="D479" s="909" t="s">
        <v>1453</v>
      </c>
      <c r="E479" s="908" t="s">
        <v>119</v>
      </c>
      <c r="F479" s="909" t="s">
        <v>1297</v>
      </c>
      <c r="G479" s="908" t="s">
        <v>1083</v>
      </c>
      <c r="H479" s="910">
        <v>2017</v>
      </c>
      <c r="I479" s="911" t="s">
        <v>1474</v>
      </c>
      <c r="J479" s="916">
        <v>1143.1002147735039</v>
      </c>
      <c r="K479" s="906" t="s">
        <v>1455</v>
      </c>
      <c r="L479" s="909"/>
      <c r="M479" s="908"/>
      <c r="N479" s="909" t="s">
        <v>1475</v>
      </c>
      <c r="O479" s="908"/>
      <c r="P479" s="909"/>
      <c r="Q479" s="908" t="s">
        <v>1095</v>
      </c>
    </row>
    <row r="480" spans="2:17">
      <c r="B480" s="901">
        <v>96767</v>
      </c>
      <c r="C480" s="902" t="s">
        <v>991</v>
      </c>
      <c r="D480" s="903" t="s">
        <v>1453</v>
      </c>
      <c r="E480" s="902" t="s">
        <v>119</v>
      </c>
      <c r="F480" s="903" t="s">
        <v>1297</v>
      </c>
      <c r="G480" s="902" t="s">
        <v>1083</v>
      </c>
      <c r="H480" s="904">
        <v>2017</v>
      </c>
      <c r="I480" s="905" t="s">
        <v>1476</v>
      </c>
      <c r="J480" s="918">
        <v>13259.036640183405</v>
      </c>
      <c r="K480" s="906" t="s">
        <v>1455</v>
      </c>
      <c r="L480" s="903"/>
      <c r="M480" s="902"/>
      <c r="N480" s="903" t="s">
        <v>1477</v>
      </c>
      <c r="O480" s="902"/>
      <c r="P480" s="903"/>
      <c r="Q480" s="902" t="s">
        <v>1095</v>
      </c>
    </row>
    <row r="481" spans="2:17">
      <c r="B481" s="907">
        <v>96768</v>
      </c>
      <c r="C481" s="908" t="s">
        <v>991</v>
      </c>
      <c r="D481" s="909" t="s">
        <v>1453</v>
      </c>
      <c r="E481" s="908" t="s">
        <v>119</v>
      </c>
      <c r="F481" s="909" t="s">
        <v>1297</v>
      </c>
      <c r="G481" s="908" t="s">
        <v>1083</v>
      </c>
      <c r="H481" s="910">
        <v>2017</v>
      </c>
      <c r="I481" s="911" t="s">
        <v>1478</v>
      </c>
      <c r="J481" s="916">
        <v>11225.782667584481</v>
      </c>
      <c r="K481" s="906" t="s">
        <v>1455</v>
      </c>
      <c r="L481" s="909"/>
      <c r="M481" s="908"/>
      <c r="N481" s="909" t="s">
        <v>1479</v>
      </c>
      <c r="O481" s="908"/>
      <c r="P481" s="909"/>
      <c r="Q481" s="908" t="s">
        <v>1095</v>
      </c>
    </row>
    <row r="482" spans="2:17">
      <c r="B482" s="901">
        <v>96769</v>
      </c>
      <c r="C482" s="902" t="s">
        <v>991</v>
      </c>
      <c r="D482" s="903" t="s">
        <v>1453</v>
      </c>
      <c r="E482" s="902" t="s">
        <v>119</v>
      </c>
      <c r="F482" s="903" t="s">
        <v>1297</v>
      </c>
      <c r="G482" s="902" t="s">
        <v>1083</v>
      </c>
      <c r="H482" s="904">
        <v>2017</v>
      </c>
      <c r="I482" s="905" t="s">
        <v>1480</v>
      </c>
      <c r="J482" s="918">
        <v>2373.8547388805764</v>
      </c>
      <c r="K482" s="906" t="s">
        <v>1455</v>
      </c>
      <c r="L482" s="903"/>
      <c r="M482" s="902"/>
      <c r="N482" s="903" t="s">
        <v>1481</v>
      </c>
      <c r="O482" s="902">
        <v>2</v>
      </c>
      <c r="P482" s="903"/>
      <c r="Q482" s="902" t="s">
        <v>1085</v>
      </c>
    </row>
    <row r="483" spans="2:17">
      <c r="B483" s="907">
        <v>96770</v>
      </c>
      <c r="C483" s="908" t="s">
        <v>991</v>
      </c>
      <c r="D483" s="909" t="s">
        <v>1453</v>
      </c>
      <c r="E483" s="908" t="s">
        <v>119</v>
      </c>
      <c r="F483" s="909" t="s">
        <v>1297</v>
      </c>
      <c r="G483" s="908" t="s">
        <v>1083</v>
      </c>
      <c r="H483" s="910">
        <v>2017</v>
      </c>
      <c r="I483" s="911" t="s">
        <v>1482</v>
      </c>
      <c r="J483" s="916">
        <v>1984.8179372321738</v>
      </c>
      <c r="K483" s="906" t="s">
        <v>1455</v>
      </c>
      <c r="L483" s="909"/>
      <c r="M483" s="908"/>
      <c r="N483" s="909" t="s">
        <v>1483</v>
      </c>
      <c r="O483" s="908"/>
      <c r="P483" s="909"/>
      <c r="Q483" s="908" t="s">
        <v>1183</v>
      </c>
    </row>
    <row r="484" spans="2:17">
      <c r="B484" s="901">
        <v>96771</v>
      </c>
      <c r="C484" s="902" t="s">
        <v>991</v>
      </c>
      <c r="D484" s="903" t="s">
        <v>1453</v>
      </c>
      <c r="E484" s="902" t="s">
        <v>119</v>
      </c>
      <c r="F484" s="903" t="s">
        <v>1297</v>
      </c>
      <c r="G484" s="902" t="s">
        <v>1083</v>
      </c>
      <c r="H484" s="904">
        <v>2017</v>
      </c>
      <c r="I484" s="905" t="s">
        <v>1484</v>
      </c>
      <c r="J484" s="918">
        <v>3387.0831341068542</v>
      </c>
      <c r="K484" s="906" t="s">
        <v>1455</v>
      </c>
      <c r="L484" s="903"/>
      <c r="M484" s="902"/>
      <c r="N484" s="903" t="s">
        <v>1485</v>
      </c>
      <c r="O484" s="902" t="s">
        <v>1486</v>
      </c>
      <c r="P484" s="903"/>
      <c r="Q484" s="902" t="s">
        <v>1085</v>
      </c>
    </row>
    <row r="485" spans="2:17">
      <c r="B485" s="907">
        <v>96772</v>
      </c>
      <c r="C485" s="908" t="s">
        <v>991</v>
      </c>
      <c r="D485" s="909" t="s">
        <v>1453</v>
      </c>
      <c r="E485" s="908" t="s">
        <v>119</v>
      </c>
      <c r="F485" s="909" t="s">
        <v>1297</v>
      </c>
      <c r="G485" s="908" t="s">
        <v>1083</v>
      </c>
      <c r="H485" s="910">
        <v>2017</v>
      </c>
      <c r="I485" s="911" t="s">
        <v>1487</v>
      </c>
      <c r="J485" s="916">
        <v>9814.9028165986347</v>
      </c>
      <c r="K485" s="906" t="s">
        <v>1455</v>
      </c>
      <c r="L485" s="909"/>
      <c r="M485" s="908"/>
      <c r="N485" s="909" t="s">
        <v>1488</v>
      </c>
      <c r="O485" s="908"/>
      <c r="P485" s="909"/>
      <c r="Q485" s="908" t="s">
        <v>1095</v>
      </c>
    </row>
    <row r="486" spans="2:17">
      <c r="B486" s="901">
        <v>96773</v>
      </c>
      <c r="C486" s="902" t="s">
        <v>991</v>
      </c>
      <c r="D486" s="903" t="s">
        <v>1453</v>
      </c>
      <c r="E486" s="902" t="s">
        <v>119</v>
      </c>
      <c r="F486" s="903" t="s">
        <v>1297</v>
      </c>
      <c r="G486" s="902" t="s">
        <v>1083</v>
      </c>
      <c r="H486" s="904">
        <v>2017</v>
      </c>
      <c r="I486" s="905" t="s">
        <v>1489</v>
      </c>
      <c r="J486" s="918">
        <v>3250.3489316252844</v>
      </c>
      <c r="K486" s="906" t="s">
        <v>1455</v>
      </c>
      <c r="L486" s="903"/>
      <c r="M486" s="902"/>
      <c r="N486" s="903" t="s">
        <v>1490</v>
      </c>
      <c r="O486" s="902" t="s">
        <v>1491</v>
      </c>
      <c r="P486" s="903"/>
      <c r="Q486" s="902" t="s">
        <v>1183</v>
      </c>
    </row>
    <row r="487" spans="2:17">
      <c r="B487" s="907">
        <v>96774</v>
      </c>
      <c r="C487" s="908" t="s">
        <v>991</v>
      </c>
      <c r="D487" s="909" t="s">
        <v>1453</v>
      </c>
      <c r="E487" s="908" t="s">
        <v>119</v>
      </c>
      <c r="F487" s="909" t="s">
        <v>1297</v>
      </c>
      <c r="G487" s="908" t="s">
        <v>1083</v>
      </c>
      <c r="H487" s="910">
        <v>2017</v>
      </c>
      <c r="I487" s="911" t="s">
        <v>1492</v>
      </c>
      <c r="J487" s="916">
        <v>2571.9754832403842</v>
      </c>
      <c r="K487" s="906" t="s">
        <v>1455</v>
      </c>
      <c r="L487" s="909"/>
      <c r="M487" s="908"/>
      <c r="N487" s="909" t="s">
        <v>1493</v>
      </c>
      <c r="O487" s="908" t="s">
        <v>1494</v>
      </c>
      <c r="P487" s="909"/>
      <c r="Q487" s="908" t="s">
        <v>1183</v>
      </c>
    </row>
    <row r="488" spans="2:17">
      <c r="B488" s="901">
        <v>96775</v>
      </c>
      <c r="C488" s="902" t="s">
        <v>991</v>
      </c>
      <c r="D488" s="903" t="s">
        <v>1453</v>
      </c>
      <c r="E488" s="902" t="s">
        <v>119</v>
      </c>
      <c r="F488" s="903" t="s">
        <v>1297</v>
      </c>
      <c r="G488" s="902" t="s">
        <v>1083</v>
      </c>
      <c r="H488" s="904">
        <v>2017</v>
      </c>
      <c r="I488" s="905" t="s">
        <v>1495</v>
      </c>
      <c r="J488" s="918">
        <v>3034.4528224438582</v>
      </c>
      <c r="K488" s="906" t="s">
        <v>1455</v>
      </c>
      <c r="L488" s="903"/>
      <c r="M488" s="902"/>
      <c r="N488" s="903" t="s">
        <v>1496</v>
      </c>
      <c r="O488" s="902"/>
      <c r="P488" s="903"/>
      <c r="Q488" s="902" t="s">
        <v>1216</v>
      </c>
    </row>
    <row r="489" spans="2:17">
      <c r="B489" s="907">
        <v>96776</v>
      </c>
      <c r="C489" s="908" t="s">
        <v>991</v>
      </c>
      <c r="D489" s="909" t="s">
        <v>1453</v>
      </c>
      <c r="E489" s="908" t="s">
        <v>119</v>
      </c>
      <c r="F489" s="909" t="s">
        <v>1297</v>
      </c>
      <c r="G489" s="908" t="s">
        <v>1083</v>
      </c>
      <c r="H489" s="910">
        <v>2017</v>
      </c>
      <c r="I489" s="911" t="s">
        <v>1497</v>
      </c>
      <c r="J489" s="916">
        <v>4500.0768850330132</v>
      </c>
      <c r="K489" s="906" t="s">
        <v>1455</v>
      </c>
      <c r="L489" s="909"/>
      <c r="M489" s="908"/>
      <c r="N489" s="909" t="s">
        <v>1498</v>
      </c>
      <c r="O489" s="908" t="s">
        <v>1499</v>
      </c>
      <c r="P489" s="909"/>
      <c r="Q489" s="908" t="s">
        <v>1183</v>
      </c>
    </row>
    <row r="490" spans="2:17">
      <c r="B490" s="901">
        <v>96779</v>
      </c>
      <c r="C490" s="902" t="s">
        <v>991</v>
      </c>
      <c r="D490" s="903" t="s">
        <v>1453</v>
      </c>
      <c r="E490" s="902" t="s">
        <v>119</v>
      </c>
      <c r="F490" s="903" t="s">
        <v>1297</v>
      </c>
      <c r="G490" s="902" t="s">
        <v>1083</v>
      </c>
      <c r="H490" s="904">
        <v>2017</v>
      </c>
      <c r="I490" s="905" t="s">
        <v>1500</v>
      </c>
      <c r="J490" s="918">
        <v>821.83963222486443</v>
      </c>
      <c r="K490" s="906" t="s">
        <v>1455</v>
      </c>
      <c r="L490" s="903"/>
      <c r="M490" s="902"/>
      <c r="N490" s="903" t="s">
        <v>1501</v>
      </c>
      <c r="O490" s="902"/>
      <c r="P490" s="903"/>
      <c r="Q490" s="902" t="s">
        <v>1183</v>
      </c>
    </row>
    <row r="491" spans="2:17">
      <c r="B491" s="907">
        <v>96780</v>
      </c>
      <c r="C491" s="908" t="s">
        <v>991</v>
      </c>
      <c r="D491" s="909" t="s">
        <v>1453</v>
      </c>
      <c r="E491" s="908" t="s">
        <v>119</v>
      </c>
      <c r="F491" s="909" t="s">
        <v>1297</v>
      </c>
      <c r="G491" s="908" t="s">
        <v>1083</v>
      </c>
      <c r="H491" s="910">
        <v>2017</v>
      </c>
      <c r="I491" s="911" t="s">
        <v>1502</v>
      </c>
      <c r="J491" s="916">
        <v>2303.5275389513008</v>
      </c>
      <c r="K491" s="906" t="s">
        <v>1455</v>
      </c>
      <c r="L491" s="909"/>
      <c r="M491" s="908"/>
      <c r="N491" s="909" t="s">
        <v>1503</v>
      </c>
      <c r="O491" s="908">
        <v>4</v>
      </c>
      <c r="P491" s="909"/>
      <c r="Q491" s="908" t="s">
        <v>1085</v>
      </c>
    </row>
    <row r="492" spans="2:17">
      <c r="B492" s="901">
        <v>96781</v>
      </c>
      <c r="C492" s="902" t="s">
        <v>991</v>
      </c>
      <c r="D492" s="903" t="s">
        <v>1453</v>
      </c>
      <c r="E492" s="902" t="s">
        <v>119</v>
      </c>
      <c r="F492" s="903" t="s">
        <v>1297</v>
      </c>
      <c r="G492" s="902" t="s">
        <v>1083</v>
      </c>
      <c r="H492" s="904">
        <v>2017</v>
      </c>
      <c r="I492" s="905" t="s">
        <v>1504</v>
      </c>
      <c r="J492" s="918">
        <v>10384.71695300556</v>
      </c>
      <c r="K492" s="906" t="s">
        <v>1455</v>
      </c>
      <c r="L492" s="903"/>
      <c r="M492" s="902"/>
      <c r="N492" s="903" t="s">
        <v>1505</v>
      </c>
      <c r="O492" s="902"/>
      <c r="P492" s="903"/>
      <c r="Q492" s="902" t="s">
        <v>1085</v>
      </c>
    </row>
    <row r="493" spans="2:17">
      <c r="B493" s="901">
        <v>96783</v>
      </c>
      <c r="C493" s="902" t="s">
        <v>991</v>
      </c>
      <c r="D493" s="903" t="s">
        <v>1453</v>
      </c>
      <c r="E493" s="902" t="s">
        <v>119</v>
      </c>
      <c r="F493" s="903" t="s">
        <v>1297</v>
      </c>
      <c r="G493" s="902" t="s">
        <v>1083</v>
      </c>
      <c r="H493" s="904">
        <v>2017</v>
      </c>
      <c r="I493" s="905" t="s">
        <v>1506</v>
      </c>
      <c r="J493" s="918">
        <v>7031.0329225387759</v>
      </c>
      <c r="K493" s="906" t="s">
        <v>1455</v>
      </c>
      <c r="L493" s="903"/>
      <c r="M493" s="902"/>
      <c r="N493" s="903" t="s">
        <v>1507</v>
      </c>
      <c r="O493" s="902"/>
      <c r="P493" s="903"/>
      <c r="Q493" s="902" t="s">
        <v>1183</v>
      </c>
    </row>
    <row r="494" spans="2:17">
      <c r="B494" s="901">
        <v>96785</v>
      </c>
      <c r="C494" s="902" t="s">
        <v>991</v>
      </c>
      <c r="D494" s="903" t="s">
        <v>1453</v>
      </c>
      <c r="E494" s="902" t="s">
        <v>119</v>
      </c>
      <c r="F494" s="903" t="s">
        <v>1297</v>
      </c>
      <c r="G494" s="902" t="s">
        <v>1083</v>
      </c>
      <c r="H494" s="904">
        <v>2017</v>
      </c>
      <c r="I494" s="905" t="s">
        <v>1508</v>
      </c>
      <c r="J494" s="918">
        <v>19492.541674313401</v>
      </c>
      <c r="K494" s="906" t="s">
        <v>1455</v>
      </c>
      <c r="L494" s="903"/>
      <c r="M494" s="902"/>
      <c r="N494" s="903" t="s">
        <v>1509</v>
      </c>
      <c r="O494" s="902" t="s">
        <v>364</v>
      </c>
      <c r="P494" s="903"/>
      <c r="Q494" s="902" t="s">
        <v>1216</v>
      </c>
    </row>
    <row r="495" spans="2:17">
      <c r="B495" s="907">
        <v>96786</v>
      </c>
      <c r="C495" s="908" t="s">
        <v>991</v>
      </c>
      <c r="D495" s="909" t="s">
        <v>1453</v>
      </c>
      <c r="E495" s="908" t="s">
        <v>119</v>
      </c>
      <c r="F495" s="909" t="s">
        <v>1297</v>
      </c>
      <c r="G495" s="908" t="s">
        <v>1083</v>
      </c>
      <c r="H495" s="910">
        <v>2017</v>
      </c>
      <c r="I495" s="911" t="s">
        <v>1510</v>
      </c>
      <c r="J495" s="916">
        <v>1703.4928373180751</v>
      </c>
      <c r="K495" s="906" t="s">
        <v>1455</v>
      </c>
      <c r="L495" s="909"/>
      <c r="M495" s="908"/>
      <c r="N495" s="909" t="s">
        <v>1511</v>
      </c>
      <c r="O495" s="908"/>
      <c r="P495" s="909"/>
      <c r="Q495" s="908" t="s">
        <v>1216</v>
      </c>
    </row>
    <row r="496" spans="2:17">
      <c r="B496" s="901">
        <v>96787</v>
      </c>
      <c r="C496" s="902" t="s">
        <v>991</v>
      </c>
      <c r="D496" s="903" t="s">
        <v>1453</v>
      </c>
      <c r="E496" s="902" t="s">
        <v>119</v>
      </c>
      <c r="F496" s="903" t="s">
        <v>1297</v>
      </c>
      <c r="G496" s="902" t="s">
        <v>1083</v>
      </c>
      <c r="H496" s="904">
        <v>2017</v>
      </c>
      <c r="I496" s="905" t="s">
        <v>1512</v>
      </c>
      <c r="J496" s="918">
        <v>6709.2344334893442</v>
      </c>
      <c r="K496" s="906" t="s">
        <v>1455</v>
      </c>
      <c r="L496" s="903"/>
      <c r="M496" s="902"/>
      <c r="N496" s="903" t="s">
        <v>1513</v>
      </c>
      <c r="O496" s="902"/>
      <c r="P496" s="903"/>
      <c r="Q496" s="902" t="s">
        <v>1216</v>
      </c>
    </row>
    <row r="497" spans="2:17">
      <c r="B497" s="907">
        <v>96796</v>
      </c>
      <c r="C497" s="908" t="s">
        <v>991</v>
      </c>
      <c r="D497" s="909" t="s">
        <v>1453</v>
      </c>
      <c r="E497" s="908" t="s">
        <v>119</v>
      </c>
      <c r="F497" s="909" t="s">
        <v>1297</v>
      </c>
      <c r="G497" s="908" t="s">
        <v>1083</v>
      </c>
      <c r="H497" s="910">
        <v>2017</v>
      </c>
      <c r="I497" s="911" t="s">
        <v>1514</v>
      </c>
      <c r="J497" s="916">
        <v>1899.8531604025638</v>
      </c>
      <c r="K497" s="906" t="s">
        <v>1455</v>
      </c>
      <c r="L497" s="909"/>
      <c r="M497" s="908"/>
      <c r="N497" s="909" t="s">
        <v>1515</v>
      </c>
      <c r="O497" s="908"/>
      <c r="P497" s="909"/>
      <c r="Q497" s="908" t="s">
        <v>1085</v>
      </c>
    </row>
    <row r="498" spans="2:17">
      <c r="B498" s="901">
        <v>96797</v>
      </c>
      <c r="C498" s="902" t="s">
        <v>991</v>
      </c>
      <c r="D498" s="903" t="s">
        <v>1453</v>
      </c>
      <c r="E498" s="902" t="s">
        <v>119</v>
      </c>
      <c r="F498" s="903" t="s">
        <v>1297</v>
      </c>
      <c r="G498" s="902" t="s">
        <v>1083</v>
      </c>
      <c r="H498" s="904">
        <v>2017</v>
      </c>
      <c r="I498" s="905" t="s">
        <v>1516</v>
      </c>
      <c r="J498" s="918">
        <v>1478.21596476678</v>
      </c>
      <c r="K498" s="906" t="s">
        <v>1455</v>
      </c>
      <c r="L498" s="903"/>
      <c r="M498" s="902"/>
      <c r="N498" s="903" t="s">
        <v>1517</v>
      </c>
      <c r="O498" s="902" t="s">
        <v>1518</v>
      </c>
      <c r="P498" s="903"/>
      <c r="Q498" s="902" t="s">
        <v>1085</v>
      </c>
    </row>
    <row r="499" spans="2:17">
      <c r="B499" s="907">
        <v>96798</v>
      </c>
      <c r="C499" s="908" t="s">
        <v>991</v>
      </c>
      <c r="D499" s="909" t="s">
        <v>1453</v>
      </c>
      <c r="E499" s="908" t="s">
        <v>119</v>
      </c>
      <c r="F499" s="909" t="s">
        <v>1297</v>
      </c>
      <c r="G499" s="908" t="s">
        <v>1083</v>
      </c>
      <c r="H499" s="910">
        <v>2017</v>
      </c>
      <c r="I499" s="911" t="s">
        <v>1519</v>
      </c>
      <c r="J499" s="916">
        <v>3286.1197139279375</v>
      </c>
      <c r="K499" s="906" t="s">
        <v>1455</v>
      </c>
      <c r="L499" s="909"/>
      <c r="M499" s="908"/>
      <c r="N499" s="909" t="s">
        <v>1520</v>
      </c>
      <c r="O499" s="908" t="s">
        <v>363</v>
      </c>
      <c r="P499" s="909"/>
      <c r="Q499" s="908" t="s">
        <v>1183</v>
      </c>
    </row>
    <row r="500" spans="2:17">
      <c r="B500" s="901">
        <v>96799</v>
      </c>
      <c r="C500" s="902" t="s">
        <v>991</v>
      </c>
      <c r="D500" s="903" t="s">
        <v>1453</v>
      </c>
      <c r="E500" s="902" t="s">
        <v>119</v>
      </c>
      <c r="F500" s="903" t="s">
        <v>1297</v>
      </c>
      <c r="G500" s="902" t="s">
        <v>1083</v>
      </c>
      <c r="H500" s="904">
        <v>2017</v>
      </c>
      <c r="I500" s="905" t="s">
        <v>1521</v>
      </c>
      <c r="J500" s="918">
        <v>8216.0327936845588</v>
      </c>
      <c r="K500" s="906" t="s">
        <v>1455</v>
      </c>
      <c r="L500" s="903"/>
      <c r="M500" s="902"/>
      <c r="N500" s="903" t="s">
        <v>1522</v>
      </c>
      <c r="O500" s="902" t="s">
        <v>1494</v>
      </c>
      <c r="P500" s="903"/>
      <c r="Q500" s="902" t="s">
        <v>1183</v>
      </c>
    </row>
    <row r="501" spans="2:17">
      <c r="B501" s="907">
        <v>96800</v>
      </c>
      <c r="C501" s="908" t="s">
        <v>991</v>
      </c>
      <c r="D501" s="909" t="s">
        <v>1453</v>
      </c>
      <c r="E501" s="908" t="s">
        <v>119</v>
      </c>
      <c r="F501" s="909" t="s">
        <v>1297</v>
      </c>
      <c r="G501" s="908" t="s">
        <v>1083</v>
      </c>
      <c r="H501" s="910">
        <v>2017</v>
      </c>
      <c r="I501" s="911" t="s">
        <v>1523</v>
      </c>
      <c r="J501" s="916">
        <v>8258.8941616794673</v>
      </c>
      <c r="K501" s="906" t="s">
        <v>1455</v>
      </c>
      <c r="L501" s="909"/>
      <c r="M501" s="908"/>
      <c r="N501" s="909" t="s">
        <v>1524</v>
      </c>
      <c r="O501" s="908"/>
      <c r="P501" s="909"/>
      <c r="Q501" s="908" t="s">
        <v>1183</v>
      </c>
    </row>
    <row r="502" spans="2:17">
      <c r="B502" s="901">
        <v>96801</v>
      </c>
      <c r="C502" s="902" t="s">
        <v>991</v>
      </c>
      <c r="D502" s="903" t="s">
        <v>1453</v>
      </c>
      <c r="E502" s="902" t="s">
        <v>119</v>
      </c>
      <c r="F502" s="903" t="s">
        <v>1297</v>
      </c>
      <c r="G502" s="902" t="s">
        <v>1083</v>
      </c>
      <c r="H502" s="904">
        <v>2017</v>
      </c>
      <c r="I502" s="905" t="s">
        <v>1525</v>
      </c>
      <c r="J502" s="918">
        <v>10023.561638314861</v>
      </c>
      <c r="K502" s="906" t="s">
        <v>1455</v>
      </c>
      <c r="L502" s="903"/>
      <c r="M502" s="902"/>
      <c r="N502" s="903" t="s">
        <v>1526</v>
      </c>
      <c r="O502" s="902" t="s">
        <v>1494</v>
      </c>
      <c r="P502" s="903"/>
      <c r="Q502" s="902" t="s">
        <v>1085</v>
      </c>
    </row>
    <row r="503" spans="2:17">
      <c r="B503" s="907">
        <v>96802</v>
      </c>
      <c r="C503" s="908" t="s">
        <v>991</v>
      </c>
      <c r="D503" s="909" t="s">
        <v>1453</v>
      </c>
      <c r="E503" s="908" t="s">
        <v>119</v>
      </c>
      <c r="F503" s="909" t="s">
        <v>1297</v>
      </c>
      <c r="G503" s="908" t="s">
        <v>1083</v>
      </c>
      <c r="H503" s="910">
        <v>2017</v>
      </c>
      <c r="I503" s="911" t="s">
        <v>1527</v>
      </c>
      <c r="J503" s="916">
        <v>8544.6773654713397</v>
      </c>
      <c r="K503" s="906" t="s">
        <v>1455</v>
      </c>
      <c r="L503" s="909"/>
      <c r="M503" s="908"/>
      <c r="N503" s="909" t="s">
        <v>1528</v>
      </c>
      <c r="O503" s="908" t="s">
        <v>364</v>
      </c>
      <c r="P503" s="909"/>
      <c r="Q503" s="908" t="s">
        <v>1085</v>
      </c>
    </row>
    <row r="504" spans="2:17">
      <c r="B504" s="901">
        <v>96803</v>
      </c>
      <c r="C504" s="902" t="s">
        <v>991</v>
      </c>
      <c r="D504" s="903" t="s">
        <v>1453</v>
      </c>
      <c r="E504" s="902" t="s">
        <v>119</v>
      </c>
      <c r="F504" s="903" t="s">
        <v>1297</v>
      </c>
      <c r="G504" s="902" t="s">
        <v>1083</v>
      </c>
      <c r="H504" s="904">
        <v>2017</v>
      </c>
      <c r="I504" s="905" t="s">
        <v>1529</v>
      </c>
      <c r="J504" s="918">
        <v>11995.404618740058</v>
      </c>
      <c r="K504" s="906" t="s">
        <v>1455</v>
      </c>
      <c r="L504" s="903"/>
      <c r="M504" s="902"/>
      <c r="N504" s="903" t="s">
        <v>1530</v>
      </c>
      <c r="O504" s="902" t="s">
        <v>1531</v>
      </c>
      <c r="P504" s="903"/>
      <c r="Q504" s="902" t="s">
        <v>1085</v>
      </c>
    </row>
    <row r="505" spans="2:17">
      <c r="B505" s="907">
        <v>96804</v>
      </c>
      <c r="C505" s="908" t="s">
        <v>991</v>
      </c>
      <c r="D505" s="909" t="s">
        <v>1453</v>
      </c>
      <c r="E505" s="908" t="s">
        <v>119</v>
      </c>
      <c r="F505" s="909" t="s">
        <v>1297</v>
      </c>
      <c r="G505" s="908" t="s">
        <v>1083</v>
      </c>
      <c r="H505" s="910">
        <v>2017</v>
      </c>
      <c r="I505" s="911" t="s">
        <v>1532</v>
      </c>
      <c r="J505" s="916">
        <v>12159.726904633448</v>
      </c>
      <c r="K505" s="906" t="s">
        <v>1455</v>
      </c>
      <c r="L505" s="909"/>
      <c r="M505" s="908"/>
      <c r="N505" s="909" t="s">
        <v>1530</v>
      </c>
      <c r="O505" s="908"/>
      <c r="P505" s="909"/>
      <c r="Q505" s="908" t="s">
        <v>1085</v>
      </c>
    </row>
    <row r="506" spans="2:17">
      <c r="B506" s="907">
        <v>96806</v>
      </c>
      <c r="C506" s="908" t="s">
        <v>991</v>
      </c>
      <c r="D506" s="909" t="s">
        <v>1453</v>
      </c>
      <c r="E506" s="908" t="s">
        <v>119</v>
      </c>
      <c r="F506" s="909" t="s">
        <v>1297</v>
      </c>
      <c r="G506" s="908" t="s">
        <v>1083</v>
      </c>
      <c r="H506" s="910">
        <v>2017</v>
      </c>
      <c r="I506" s="911" t="s">
        <v>1533</v>
      </c>
      <c r="J506" s="916">
        <v>9446.3472124728032</v>
      </c>
      <c r="K506" s="906" t="s">
        <v>1455</v>
      </c>
      <c r="L506" s="909"/>
      <c r="M506" s="908"/>
      <c r="N506" s="909" t="s">
        <v>1534</v>
      </c>
      <c r="O506" s="908"/>
      <c r="P506" s="909"/>
      <c r="Q506" s="908" t="s">
        <v>1085</v>
      </c>
    </row>
    <row r="507" spans="2:17">
      <c r="B507" s="901">
        <v>96807</v>
      </c>
      <c r="C507" s="902" t="s">
        <v>991</v>
      </c>
      <c r="D507" s="903" t="s">
        <v>1453</v>
      </c>
      <c r="E507" s="902" t="s">
        <v>119</v>
      </c>
      <c r="F507" s="903" t="s">
        <v>1297</v>
      </c>
      <c r="G507" s="902" t="s">
        <v>1083</v>
      </c>
      <c r="H507" s="904">
        <v>2017</v>
      </c>
      <c r="I507" s="905" t="s">
        <v>1535</v>
      </c>
      <c r="J507" s="918">
        <v>7853.4349115599216</v>
      </c>
      <c r="K507" s="906" t="s">
        <v>1455</v>
      </c>
      <c r="L507" s="903"/>
      <c r="M507" s="902"/>
      <c r="N507" s="903" t="s">
        <v>1536</v>
      </c>
      <c r="O507" s="902" t="s">
        <v>363</v>
      </c>
      <c r="P507" s="903"/>
      <c r="Q507" s="902" t="s">
        <v>1085</v>
      </c>
    </row>
    <row r="508" spans="2:17">
      <c r="B508" s="907">
        <v>96808</v>
      </c>
      <c r="C508" s="908" t="s">
        <v>991</v>
      </c>
      <c r="D508" s="909" t="s">
        <v>1453</v>
      </c>
      <c r="E508" s="908" t="s">
        <v>119</v>
      </c>
      <c r="F508" s="909" t="s">
        <v>1297</v>
      </c>
      <c r="G508" s="908" t="s">
        <v>1083</v>
      </c>
      <c r="H508" s="910">
        <v>2017</v>
      </c>
      <c r="I508" s="911" t="s">
        <v>1537</v>
      </c>
      <c r="J508" s="916">
        <v>1771.2527562208452</v>
      </c>
      <c r="K508" s="906" t="s">
        <v>1455</v>
      </c>
      <c r="L508" s="909"/>
      <c r="M508" s="908"/>
      <c r="N508" s="909" t="s">
        <v>1538</v>
      </c>
      <c r="O508" s="908"/>
      <c r="P508" s="909"/>
      <c r="Q508" s="908" t="s">
        <v>1085</v>
      </c>
    </row>
    <row r="509" spans="2:17">
      <c r="B509" s="901">
        <v>96809</v>
      </c>
      <c r="C509" s="902" t="s">
        <v>991</v>
      </c>
      <c r="D509" s="903" t="s">
        <v>1453</v>
      </c>
      <c r="E509" s="902" t="s">
        <v>119</v>
      </c>
      <c r="F509" s="903" t="s">
        <v>1297</v>
      </c>
      <c r="G509" s="902" t="s">
        <v>1083</v>
      </c>
      <c r="H509" s="904">
        <v>2017</v>
      </c>
      <c r="I509" s="905" t="s">
        <v>1539</v>
      </c>
      <c r="J509" s="918">
        <v>6541.7336091821835</v>
      </c>
      <c r="K509" s="906" t="s">
        <v>1455</v>
      </c>
      <c r="L509" s="903"/>
      <c r="M509" s="902"/>
      <c r="N509" s="903" t="s">
        <v>1540</v>
      </c>
      <c r="O509" s="902"/>
      <c r="P509" s="903"/>
      <c r="Q509" s="902" t="s">
        <v>1085</v>
      </c>
    </row>
    <row r="510" spans="2:17">
      <c r="B510" s="907">
        <v>96810</v>
      </c>
      <c r="C510" s="908" t="s">
        <v>991</v>
      </c>
      <c r="D510" s="909" t="s">
        <v>1453</v>
      </c>
      <c r="E510" s="908" t="s">
        <v>119</v>
      </c>
      <c r="F510" s="909" t="s">
        <v>1297</v>
      </c>
      <c r="G510" s="908" t="s">
        <v>1083</v>
      </c>
      <c r="H510" s="910">
        <v>2017</v>
      </c>
      <c r="I510" s="911" t="s">
        <v>1541</v>
      </c>
      <c r="J510" s="916">
        <v>3935.5032619595595</v>
      </c>
      <c r="K510" s="906" t="s">
        <v>1455</v>
      </c>
      <c r="L510" s="909"/>
      <c r="M510" s="908"/>
      <c r="N510" s="909" t="s">
        <v>1542</v>
      </c>
      <c r="O510" s="908" t="s">
        <v>1543</v>
      </c>
      <c r="P510" s="909"/>
      <c r="Q510" s="908" t="s">
        <v>1085</v>
      </c>
    </row>
    <row r="511" spans="2:17">
      <c r="B511" s="901">
        <v>96811</v>
      </c>
      <c r="C511" s="902" t="s">
        <v>991</v>
      </c>
      <c r="D511" s="903" t="s">
        <v>1453</v>
      </c>
      <c r="E511" s="902" t="s">
        <v>119</v>
      </c>
      <c r="F511" s="903" t="s">
        <v>1297</v>
      </c>
      <c r="G511" s="902" t="s">
        <v>1083</v>
      </c>
      <c r="H511" s="904">
        <v>2017</v>
      </c>
      <c r="I511" s="905" t="s">
        <v>1544</v>
      </c>
      <c r="J511" s="918">
        <v>552.63372877557458</v>
      </c>
      <c r="K511" s="906" t="s">
        <v>1455</v>
      </c>
      <c r="L511" s="903"/>
      <c r="M511" s="902"/>
      <c r="N511" s="903" t="s">
        <v>1545</v>
      </c>
      <c r="O511" s="902"/>
      <c r="P511" s="903"/>
      <c r="Q511" s="902" t="s">
        <v>1085</v>
      </c>
    </row>
    <row r="512" spans="2:17">
      <c r="B512" s="907">
        <v>96812</v>
      </c>
      <c r="C512" s="908" t="s">
        <v>991</v>
      </c>
      <c r="D512" s="909" t="s">
        <v>1453</v>
      </c>
      <c r="E512" s="908" t="s">
        <v>119</v>
      </c>
      <c r="F512" s="909" t="s">
        <v>1297</v>
      </c>
      <c r="G512" s="908" t="s">
        <v>1083</v>
      </c>
      <c r="H512" s="910">
        <v>2017</v>
      </c>
      <c r="I512" s="911" t="s">
        <v>1546</v>
      </c>
      <c r="J512" s="928">
        <v>3208.0988210176397</v>
      </c>
      <c r="K512" s="906" t="s">
        <v>1455</v>
      </c>
      <c r="L512" s="909"/>
      <c r="M512" s="908"/>
      <c r="N512" s="909" t="s">
        <v>1547</v>
      </c>
      <c r="O512" s="908"/>
      <c r="P512" s="909"/>
      <c r="Q512" s="908" t="s">
        <v>1085</v>
      </c>
    </row>
    <row r="513" spans="2:17">
      <c r="B513" s="901">
        <v>96813</v>
      </c>
      <c r="C513" s="902" t="s">
        <v>991</v>
      </c>
      <c r="D513" s="903" t="s">
        <v>1453</v>
      </c>
      <c r="E513" s="902" t="s">
        <v>119</v>
      </c>
      <c r="F513" s="903" t="s">
        <v>1297</v>
      </c>
      <c r="G513" s="902" t="s">
        <v>1083</v>
      </c>
      <c r="H513" s="904">
        <v>2017</v>
      </c>
      <c r="I513" s="905" t="s">
        <v>1548</v>
      </c>
      <c r="J513" s="929">
        <v>10451.034304474386</v>
      </c>
      <c r="K513" s="906" t="s">
        <v>1455</v>
      </c>
      <c r="L513" s="903"/>
      <c r="M513" s="902"/>
      <c r="N513" s="903" t="s">
        <v>1549</v>
      </c>
      <c r="O513" s="902">
        <v>1</v>
      </c>
      <c r="P513" s="903"/>
      <c r="Q513" s="902" t="s">
        <v>1183</v>
      </c>
    </row>
    <row r="514" spans="2:17">
      <c r="B514" s="907">
        <v>96814</v>
      </c>
      <c r="C514" s="908" t="s">
        <v>991</v>
      </c>
      <c r="D514" s="909" t="s">
        <v>1453</v>
      </c>
      <c r="E514" s="908" t="s">
        <v>119</v>
      </c>
      <c r="F514" s="909" t="s">
        <v>1297</v>
      </c>
      <c r="G514" s="908" t="s">
        <v>1083</v>
      </c>
      <c r="H514" s="910">
        <v>2017</v>
      </c>
      <c r="I514" s="911" t="s">
        <v>1550</v>
      </c>
      <c r="J514" s="916">
        <v>2946.8311135042768</v>
      </c>
      <c r="K514" s="906" t="s">
        <v>1455</v>
      </c>
      <c r="L514" s="909"/>
      <c r="M514" s="908"/>
      <c r="N514" s="909" t="s">
        <v>1551</v>
      </c>
      <c r="O514" s="908">
        <v>1</v>
      </c>
      <c r="P514" s="909"/>
      <c r="Q514" s="908" t="s">
        <v>1183</v>
      </c>
    </row>
    <row r="515" spans="2:17">
      <c r="B515" s="901">
        <v>96815</v>
      </c>
      <c r="C515" s="902" t="s">
        <v>991</v>
      </c>
      <c r="D515" s="903" t="s">
        <v>1453</v>
      </c>
      <c r="E515" s="902" t="s">
        <v>119</v>
      </c>
      <c r="F515" s="903" t="s">
        <v>1297</v>
      </c>
      <c r="G515" s="902" t="s">
        <v>1083</v>
      </c>
      <c r="H515" s="904">
        <v>2017</v>
      </c>
      <c r="I515" s="905" t="s">
        <v>1552</v>
      </c>
      <c r="J515" s="918">
        <v>11672.130961862698</v>
      </c>
      <c r="K515" s="906" t="s">
        <v>1455</v>
      </c>
      <c r="L515" s="903"/>
      <c r="M515" s="902"/>
      <c r="N515" s="903" t="s">
        <v>1553</v>
      </c>
      <c r="O515" s="902"/>
      <c r="P515" s="903"/>
      <c r="Q515" s="902" t="s">
        <v>1085</v>
      </c>
    </row>
    <row r="516" spans="2:17">
      <c r="B516" s="907">
        <v>96816</v>
      </c>
      <c r="C516" s="908" t="s">
        <v>991</v>
      </c>
      <c r="D516" s="909" t="s">
        <v>1453</v>
      </c>
      <c r="E516" s="908" t="s">
        <v>119</v>
      </c>
      <c r="F516" s="909" t="s">
        <v>1297</v>
      </c>
      <c r="G516" s="908" t="s">
        <v>1083</v>
      </c>
      <c r="H516" s="910">
        <v>2017</v>
      </c>
      <c r="I516" s="911" t="s">
        <v>1554</v>
      </c>
      <c r="J516" s="930">
        <v>5786.9937378818458</v>
      </c>
      <c r="K516" s="906" t="s">
        <v>1455</v>
      </c>
      <c r="L516" s="909"/>
      <c r="M516" s="908"/>
      <c r="N516" s="909" t="s">
        <v>1555</v>
      </c>
      <c r="O516" s="908"/>
      <c r="P516" s="909"/>
      <c r="Q516" s="908" t="s">
        <v>1183</v>
      </c>
    </row>
    <row r="517" spans="2:17">
      <c r="B517" s="901">
        <v>96817</v>
      </c>
      <c r="C517" s="902" t="s">
        <v>991</v>
      </c>
      <c r="D517" s="903" t="s">
        <v>1453</v>
      </c>
      <c r="E517" s="902" t="s">
        <v>119</v>
      </c>
      <c r="F517" s="903" t="s">
        <v>1297</v>
      </c>
      <c r="G517" s="902" t="s">
        <v>1083</v>
      </c>
      <c r="H517" s="904">
        <v>2017</v>
      </c>
      <c r="I517" s="905" t="s">
        <v>1556</v>
      </c>
      <c r="J517" s="931">
        <v>6077.4795485063969</v>
      </c>
      <c r="K517" s="906" t="s">
        <v>1455</v>
      </c>
      <c r="L517" s="903"/>
      <c r="M517" s="902"/>
      <c r="N517" s="903" t="s">
        <v>1557</v>
      </c>
      <c r="O517" s="902"/>
      <c r="P517" s="903"/>
      <c r="Q517" s="902" t="s">
        <v>1085</v>
      </c>
    </row>
    <row r="518" spans="2:17">
      <c r="B518" s="907">
        <v>96818</v>
      </c>
      <c r="C518" s="908" t="s">
        <v>991</v>
      </c>
      <c r="D518" s="909" t="s">
        <v>1453</v>
      </c>
      <c r="E518" s="908" t="s">
        <v>119</v>
      </c>
      <c r="F518" s="909" t="s">
        <v>1297</v>
      </c>
      <c r="G518" s="908" t="s">
        <v>1083</v>
      </c>
      <c r="H518" s="910">
        <v>2017</v>
      </c>
      <c r="I518" s="911" t="s">
        <v>1558</v>
      </c>
      <c r="J518" s="930">
        <v>7708.7788133394188</v>
      </c>
      <c r="K518" s="906" t="s">
        <v>1455</v>
      </c>
      <c r="L518" s="909"/>
      <c r="M518" s="908"/>
      <c r="N518" s="909" t="s">
        <v>1559</v>
      </c>
      <c r="O518" s="908"/>
      <c r="P518" s="909"/>
      <c r="Q518" s="908" t="s">
        <v>1085</v>
      </c>
    </row>
    <row r="519" spans="2:17">
      <c r="B519" s="901">
        <v>96819</v>
      </c>
      <c r="C519" s="902" t="s">
        <v>991</v>
      </c>
      <c r="D519" s="903" t="s">
        <v>1453</v>
      </c>
      <c r="E519" s="902" t="s">
        <v>119</v>
      </c>
      <c r="F519" s="903" t="s">
        <v>1297</v>
      </c>
      <c r="G519" s="902" t="s">
        <v>1083</v>
      </c>
      <c r="H519" s="904">
        <v>2017</v>
      </c>
      <c r="I519" s="905" t="s">
        <v>1560</v>
      </c>
      <c r="J519" s="931">
        <v>9295.0243336818785</v>
      </c>
      <c r="K519" s="906" t="s">
        <v>1455</v>
      </c>
      <c r="L519" s="903"/>
      <c r="M519" s="902"/>
      <c r="N519" s="903" t="s">
        <v>1561</v>
      </c>
      <c r="O519" s="902" t="s">
        <v>1486</v>
      </c>
      <c r="P519" s="903"/>
      <c r="Q519" s="902" t="s">
        <v>1085</v>
      </c>
    </row>
    <row r="520" spans="2:17">
      <c r="B520" s="907">
        <v>96820</v>
      </c>
      <c r="C520" s="908" t="s">
        <v>991</v>
      </c>
      <c r="D520" s="909" t="s">
        <v>1453</v>
      </c>
      <c r="E520" s="908" t="s">
        <v>119</v>
      </c>
      <c r="F520" s="909" t="s">
        <v>1297</v>
      </c>
      <c r="G520" s="908" t="s">
        <v>1083</v>
      </c>
      <c r="H520" s="910">
        <v>2017</v>
      </c>
      <c r="I520" s="911" t="s">
        <v>1562</v>
      </c>
      <c r="J520" s="916">
        <v>13888.664349458673</v>
      </c>
      <c r="K520" s="906" t="s">
        <v>1455</v>
      </c>
      <c r="L520" s="909"/>
      <c r="M520" s="908"/>
      <c r="N520" s="909" t="s">
        <v>1563</v>
      </c>
      <c r="O520" s="908"/>
      <c r="P520" s="909"/>
      <c r="Q520" s="908" t="s">
        <v>1085</v>
      </c>
    </row>
    <row r="521" spans="2:17">
      <c r="B521" s="901">
        <v>96821</v>
      </c>
      <c r="C521" s="902" t="s">
        <v>991</v>
      </c>
      <c r="D521" s="903" t="s">
        <v>1453</v>
      </c>
      <c r="E521" s="902" t="s">
        <v>119</v>
      </c>
      <c r="F521" s="903" t="s">
        <v>1297</v>
      </c>
      <c r="G521" s="902" t="s">
        <v>1083</v>
      </c>
      <c r="H521" s="904">
        <v>2017</v>
      </c>
      <c r="I521" s="905" t="s">
        <v>1564</v>
      </c>
      <c r="J521" s="918">
        <v>3715.9396084545533</v>
      </c>
      <c r="K521" s="906" t="s">
        <v>1455</v>
      </c>
      <c r="L521" s="903"/>
      <c r="M521" s="902"/>
      <c r="N521" s="903" t="s">
        <v>1565</v>
      </c>
      <c r="O521" s="902">
        <v>11</v>
      </c>
      <c r="P521" s="903"/>
      <c r="Q521" s="902" t="s">
        <v>1085</v>
      </c>
    </row>
    <row r="522" spans="2:17">
      <c r="B522" s="907">
        <v>96822</v>
      </c>
      <c r="C522" s="908" t="s">
        <v>991</v>
      </c>
      <c r="D522" s="909" t="s">
        <v>1453</v>
      </c>
      <c r="E522" s="908" t="s">
        <v>119</v>
      </c>
      <c r="F522" s="909" t="s">
        <v>1297</v>
      </c>
      <c r="G522" s="908" t="s">
        <v>1083</v>
      </c>
      <c r="H522" s="910">
        <v>2017</v>
      </c>
      <c r="I522" s="911" t="s">
        <v>1566</v>
      </c>
      <c r="J522" s="930">
        <v>5295.9340032499349</v>
      </c>
      <c r="K522" s="906" t="s">
        <v>1455</v>
      </c>
      <c r="L522" s="909"/>
      <c r="M522" s="908"/>
      <c r="N522" s="909" t="s">
        <v>1565</v>
      </c>
      <c r="O522" s="908">
        <v>15</v>
      </c>
      <c r="P522" s="909"/>
      <c r="Q522" s="908" t="s">
        <v>1085</v>
      </c>
    </row>
    <row r="523" spans="2:17">
      <c r="B523" s="901">
        <v>96823</v>
      </c>
      <c r="C523" s="902" t="s">
        <v>991</v>
      </c>
      <c r="D523" s="903" t="s">
        <v>1453</v>
      </c>
      <c r="E523" s="902" t="s">
        <v>119</v>
      </c>
      <c r="F523" s="903" t="s">
        <v>1297</v>
      </c>
      <c r="G523" s="902" t="s">
        <v>1083</v>
      </c>
      <c r="H523" s="904">
        <v>2017</v>
      </c>
      <c r="I523" s="905" t="s">
        <v>1567</v>
      </c>
      <c r="J523" s="931">
        <v>4341.8916233077462</v>
      </c>
      <c r="K523" s="906" t="s">
        <v>1455</v>
      </c>
      <c r="L523" s="903"/>
      <c r="M523" s="902"/>
      <c r="N523" s="903" t="s">
        <v>1568</v>
      </c>
      <c r="O523" s="902"/>
      <c r="P523" s="903"/>
      <c r="Q523" s="902" t="s">
        <v>1085</v>
      </c>
    </row>
    <row r="524" spans="2:17">
      <c r="B524" s="901">
        <v>96825</v>
      </c>
      <c r="C524" s="902" t="s">
        <v>991</v>
      </c>
      <c r="D524" s="903" t="s">
        <v>1453</v>
      </c>
      <c r="E524" s="902" t="s">
        <v>119</v>
      </c>
      <c r="F524" s="903" t="s">
        <v>1297</v>
      </c>
      <c r="G524" s="902" t="s">
        <v>1083</v>
      </c>
      <c r="H524" s="904">
        <v>2017</v>
      </c>
      <c r="I524" s="905" t="s">
        <v>1569</v>
      </c>
      <c r="J524" s="931">
        <v>16244.523670858216</v>
      </c>
      <c r="K524" s="906" t="s">
        <v>1455</v>
      </c>
      <c r="L524" s="903"/>
      <c r="M524" s="902"/>
      <c r="N524" s="903" t="s">
        <v>1570</v>
      </c>
      <c r="O524" s="902"/>
      <c r="P524" s="903"/>
      <c r="Q524" s="902" t="s">
        <v>1183</v>
      </c>
    </row>
    <row r="525" spans="2:17">
      <c r="B525" s="907">
        <v>96826</v>
      </c>
      <c r="C525" s="908" t="s">
        <v>991</v>
      </c>
      <c r="D525" s="909" t="s">
        <v>1453</v>
      </c>
      <c r="E525" s="908" t="s">
        <v>119</v>
      </c>
      <c r="F525" s="909" t="s">
        <v>1297</v>
      </c>
      <c r="G525" s="908" t="s">
        <v>1083</v>
      </c>
      <c r="H525" s="910">
        <v>2017</v>
      </c>
      <c r="I525" s="911" t="s">
        <v>1571</v>
      </c>
      <c r="J525" s="930">
        <v>6501.0401673874348</v>
      </c>
      <c r="K525" s="906" t="s">
        <v>1455</v>
      </c>
      <c r="L525" s="909"/>
      <c r="M525" s="908"/>
      <c r="N525" s="909" t="s">
        <v>1572</v>
      </c>
      <c r="O525" s="908"/>
      <c r="P525" s="909"/>
      <c r="Q525" s="908" t="s">
        <v>1085</v>
      </c>
    </row>
    <row r="526" spans="2:17">
      <c r="B526" s="901">
        <v>96831</v>
      </c>
      <c r="C526" s="902" t="s">
        <v>991</v>
      </c>
      <c r="D526" s="903" t="s">
        <v>1453</v>
      </c>
      <c r="E526" s="902" t="s">
        <v>119</v>
      </c>
      <c r="F526" s="903" t="s">
        <v>1297</v>
      </c>
      <c r="G526" s="902" t="s">
        <v>1083</v>
      </c>
      <c r="H526" s="904">
        <v>2017</v>
      </c>
      <c r="I526" s="905" t="s">
        <v>1573</v>
      </c>
      <c r="J526" s="931">
        <v>5441.396961221626</v>
      </c>
      <c r="K526" s="906" t="s">
        <v>1455</v>
      </c>
      <c r="L526" s="903"/>
      <c r="M526" s="902"/>
      <c r="N526" s="903" t="s">
        <v>1574</v>
      </c>
      <c r="O526" s="902" t="s">
        <v>1575</v>
      </c>
      <c r="P526" s="903"/>
      <c r="Q526" s="902" t="s">
        <v>1183</v>
      </c>
    </row>
    <row r="527" spans="2:17">
      <c r="B527" s="901">
        <v>96833</v>
      </c>
      <c r="C527" s="902" t="s">
        <v>991</v>
      </c>
      <c r="D527" s="903" t="s">
        <v>1453</v>
      </c>
      <c r="E527" s="902" t="s">
        <v>119</v>
      </c>
      <c r="F527" s="903" t="s">
        <v>1297</v>
      </c>
      <c r="G527" s="902" t="s">
        <v>1083</v>
      </c>
      <c r="H527" s="904">
        <v>2017</v>
      </c>
      <c r="I527" s="905" t="s">
        <v>1576</v>
      </c>
      <c r="J527" s="931">
        <v>9040.7412605803147</v>
      </c>
      <c r="K527" s="906" t="s">
        <v>1455</v>
      </c>
      <c r="L527" s="903"/>
      <c r="M527" s="902"/>
      <c r="N527" s="903" t="s">
        <v>1577</v>
      </c>
      <c r="O527" s="902"/>
      <c r="P527" s="903"/>
      <c r="Q527" s="902" t="s">
        <v>1085</v>
      </c>
    </row>
    <row r="528" spans="2:17">
      <c r="B528" s="901">
        <v>96837</v>
      </c>
      <c r="C528" s="902" t="s">
        <v>991</v>
      </c>
      <c r="D528" s="903" t="s">
        <v>1453</v>
      </c>
      <c r="E528" s="902" t="s">
        <v>119</v>
      </c>
      <c r="F528" s="903" t="s">
        <v>1297</v>
      </c>
      <c r="G528" s="902" t="s">
        <v>1083</v>
      </c>
      <c r="H528" s="904">
        <v>2017</v>
      </c>
      <c r="I528" s="905" t="s">
        <v>1578</v>
      </c>
      <c r="J528" s="918">
        <v>1892.3143192929817</v>
      </c>
      <c r="K528" s="906" t="s">
        <v>1455</v>
      </c>
      <c r="L528" s="903"/>
      <c r="M528" s="902"/>
      <c r="N528" s="903" t="s">
        <v>1579</v>
      </c>
      <c r="O528" s="902" t="s">
        <v>1580</v>
      </c>
      <c r="P528" s="903"/>
      <c r="Q528" s="902" t="s">
        <v>1183</v>
      </c>
    </row>
    <row r="529" spans="1:17">
      <c r="B529" s="907">
        <v>96840</v>
      </c>
      <c r="C529" s="908" t="s">
        <v>991</v>
      </c>
      <c r="D529" s="909" t="s">
        <v>1453</v>
      </c>
      <c r="E529" s="908" t="s">
        <v>119</v>
      </c>
      <c r="F529" s="909" t="s">
        <v>1297</v>
      </c>
      <c r="G529" s="908" t="s">
        <v>1083</v>
      </c>
      <c r="H529" s="910">
        <v>2017</v>
      </c>
      <c r="I529" s="911" t="s">
        <v>1581</v>
      </c>
      <c r="J529" s="916">
        <v>2023.3516029252571</v>
      </c>
      <c r="K529" s="906" t="s">
        <v>1455</v>
      </c>
      <c r="L529" s="909"/>
      <c r="M529" s="908"/>
      <c r="N529" s="909" t="s">
        <v>1582</v>
      </c>
      <c r="O529" s="908" t="s">
        <v>1583</v>
      </c>
      <c r="P529" s="909"/>
      <c r="Q529" s="908" t="s">
        <v>1095</v>
      </c>
    </row>
    <row r="530" spans="1:17">
      <c r="B530" s="901">
        <v>96841</v>
      </c>
      <c r="C530" s="902" t="s">
        <v>991</v>
      </c>
      <c r="D530" s="903" t="s">
        <v>1453</v>
      </c>
      <c r="E530" s="902" t="s">
        <v>119</v>
      </c>
      <c r="F530" s="903" t="s">
        <v>1297</v>
      </c>
      <c r="G530" s="902" t="s">
        <v>1083</v>
      </c>
      <c r="H530" s="904">
        <v>2017</v>
      </c>
      <c r="I530" s="905" t="s">
        <v>1584</v>
      </c>
      <c r="J530" s="918">
        <v>9405.1647647682457</v>
      </c>
      <c r="K530" s="906" t="s">
        <v>1455</v>
      </c>
      <c r="L530" s="903"/>
      <c r="M530" s="902"/>
      <c r="N530" s="903" t="s">
        <v>1585</v>
      </c>
      <c r="O530" s="902" t="s">
        <v>363</v>
      </c>
      <c r="P530" s="903"/>
      <c r="Q530" s="902" t="s">
        <v>1183</v>
      </c>
    </row>
    <row r="531" spans="1:17">
      <c r="B531" s="907">
        <v>96784</v>
      </c>
      <c r="C531" s="908" t="s">
        <v>991</v>
      </c>
      <c r="D531" s="909" t="s">
        <v>1453</v>
      </c>
      <c r="E531" s="908" t="s">
        <v>119</v>
      </c>
      <c r="F531" s="909" t="s">
        <v>1297</v>
      </c>
      <c r="G531" s="908" t="s">
        <v>1083</v>
      </c>
      <c r="H531" s="910">
        <v>2017</v>
      </c>
      <c r="I531" s="911" t="s">
        <v>1586</v>
      </c>
      <c r="J531" s="919">
        <v>14896.301777116116</v>
      </c>
      <c r="K531" s="917" t="s">
        <v>1028</v>
      </c>
      <c r="L531" s="909"/>
      <c r="M531" s="908"/>
      <c r="N531" s="909" t="s">
        <v>1509</v>
      </c>
      <c r="O531" s="908" t="s">
        <v>363</v>
      </c>
      <c r="P531" s="909"/>
      <c r="Q531" s="908" t="s">
        <v>1216</v>
      </c>
    </row>
    <row r="532" spans="1:17">
      <c r="B532" s="907"/>
      <c r="C532" s="908"/>
      <c r="D532" s="909"/>
      <c r="E532" s="908"/>
      <c r="F532" s="909"/>
      <c r="G532" s="908"/>
      <c r="H532" s="910"/>
      <c r="I532" s="911"/>
      <c r="J532" s="932">
        <f>SUM(J470:J531)</f>
        <v>408124.99248599255</v>
      </c>
      <c r="K532" s="922">
        <f>SUM(J470:J530)/J532</f>
        <v>0.96350063815896447</v>
      </c>
      <c r="L532" s="903" t="s">
        <v>1415</v>
      </c>
      <c r="M532" s="909"/>
      <c r="N532" s="908"/>
      <c r="O532" s="909"/>
      <c r="P532" s="908"/>
    </row>
    <row r="533" spans="1:17">
      <c r="B533" s="907"/>
      <c r="C533" s="908"/>
      <c r="D533" s="909"/>
      <c r="E533" s="908"/>
      <c r="F533" s="909"/>
      <c r="G533" s="908"/>
      <c r="H533" s="910"/>
      <c r="I533" s="911"/>
      <c r="J533" s="917"/>
      <c r="K533" s="922">
        <f>J531/J532</f>
        <v>3.6499361841035451E-2</v>
      </c>
      <c r="L533" s="903" t="s">
        <v>1028</v>
      </c>
      <c r="M533" s="909"/>
      <c r="N533" s="908"/>
      <c r="O533" s="909"/>
      <c r="P533" s="908"/>
    </row>
    <row r="534" spans="1:17">
      <c r="B534" s="901">
        <v>96845</v>
      </c>
      <c r="C534" s="902" t="s">
        <v>991</v>
      </c>
      <c r="D534" s="903" t="s">
        <v>1587</v>
      </c>
      <c r="E534" s="902" t="s">
        <v>1588</v>
      </c>
      <c r="F534" s="903" t="s">
        <v>1297</v>
      </c>
      <c r="G534" s="902"/>
      <c r="H534" s="904">
        <v>2017</v>
      </c>
      <c r="I534" s="905"/>
      <c r="J534" s="906" t="s">
        <v>1298</v>
      </c>
      <c r="K534" s="903"/>
      <c r="L534" s="902"/>
      <c r="M534" s="903"/>
      <c r="N534" s="902"/>
      <c r="O534" s="903"/>
      <c r="P534" s="902" t="s">
        <v>1085</v>
      </c>
    </row>
    <row r="535" spans="1:17">
      <c r="B535" s="933">
        <v>96846</v>
      </c>
      <c r="C535" s="934" t="s">
        <v>991</v>
      </c>
      <c r="D535" s="935" t="s">
        <v>1587</v>
      </c>
      <c r="E535" s="934" t="s">
        <v>1588</v>
      </c>
      <c r="F535" s="935" t="s">
        <v>1297</v>
      </c>
      <c r="G535" s="934"/>
      <c r="H535" s="936">
        <v>2017</v>
      </c>
      <c r="I535" s="937"/>
      <c r="J535" s="906" t="s">
        <v>1298</v>
      </c>
      <c r="K535" s="935"/>
      <c r="L535" s="934"/>
      <c r="M535" s="935"/>
      <c r="N535" s="934"/>
      <c r="O535" s="935"/>
      <c r="P535" s="938" t="s">
        <v>1085</v>
      </c>
    </row>
    <row r="536" spans="1:17">
      <c r="B536" s="939">
        <v>96847</v>
      </c>
      <c r="C536" s="938" t="s">
        <v>991</v>
      </c>
      <c r="D536" s="940" t="s">
        <v>1587</v>
      </c>
      <c r="E536" s="938" t="s">
        <v>1588</v>
      </c>
      <c r="F536" s="940" t="s">
        <v>1297</v>
      </c>
      <c r="G536" s="938"/>
      <c r="H536" s="941">
        <v>2017</v>
      </c>
      <c r="I536" s="942"/>
      <c r="J536" s="906" t="s">
        <v>1298</v>
      </c>
      <c r="K536" s="940"/>
      <c r="L536" s="938"/>
      <c r="M536" s="940"/>
      <c r="N536" s="938"/>
      <c r="O536" s="940"/>
      <c r="P536" s="938" t="s">
        <v>1085</v>
      </c>
    </row>
    <row r="537" spans="1:17">
      <c r="B537" s="933">
        <v>96848</v>
      </c>
      <c r="C537" s="934" t="s">
        <v>991</v>
      </c>
      <c r="D537" s="935" t="s">
        <v>1587</v>
      </c>
      <c r="E537" s="934" t="s">
        <v>1588</v>
      </c>
      <c r="F537" s="935" t="s">
        <v>1297</v>
      </c>
      <c r="G537" s="934"/>
      <c r="H537" s="936">
        <v>2017</v>
      </c>
      <c r="I537" s="937"/>
      <c r="J537" s="906" t="s">
        <v>1298</v>
      </c>
      <c r="K537" s="935"/>
      <c r="L537" s="934"/>
      <c r="M537" s="935"/>
      <c r="N537" s="934"/>
      <c r="O537" s="935"/>
      <c r="P537" s="938" t="s">
        <v>1085</v>
      </c>
    </row>
    <row r="538" spans="1:17">
      <c r="B538" s="939">
        <v>96849</v>
      </c>
      <c r="C538" s="938" t="s">
        <v>991</v>
      </c>
      <c r="D538" s="940" t="s">
        <v>1587</v>
      </c>
      <c r="E538" s="938" t="s">
        <v>1588</v>
      </c>
      <c r="F538" s="940" t="s">
        <v>1297</v>
      </c>
      <c r="G538" s="938"/>
      <c r="H538" s="941">
        <v>2017</v>
      </c>
      <c r="I538" s="942"/>
      <c r="J538" s="906" t="s">
        <v>1298</v>
      </c>
      <c r="K538" s="940"/>
      <c r="L538" s="938"/>
      <c r="M538" s="940"/>
      <c r="N538" s="938"/>
      <c r="O538" s="940"/>
      <c r="P538" s="938" t="s">
        <v>1085</v>
      </c>
    </row>
    <row r="539" spans="1:17">
      <c r="B539" s="943">
        <v>96850</v>
      </c>
      <c r="C539" s="944" t="s">
        <v>991</v>
      </c>
      <c r="D539" s="945" t="s">
        <v>1587</v>
      </c>
      <c r="E539" s="944" t="s">
        <v>1588</v>
      </c>
      <c r="F539" s="945" t="s">
        <v>1297</v>
      </c>
      <c r="G539" s="944"/>
      <c r="H539" s="946">
        <v>2017</v>
      </c>
      <c r="I539" s="947"/>
      <c r="J539" s="906" t="s">
        <v>1298</v>
      </c>
      <c r="K539" s="945"/>
      <c r="L539" s="944"/>
      <c r="M539" s="945"/>
      <c r="N539" s="944"/>
      <c r="O539" s="945"/>
      <c r="P539" s="938" t="s">
        <v>1085</v>
      </c>
    </row>
    <row r="540" spans="1:17">
      <c r="B540" s="948">
        <v>96851</v>
      </c>
      <c r="C540" s="949" t="s">
        <v>991</v>
      </c>
      <c r="D540" s="950" t="s">
        <v>1587</v>
      </c>
      <c r="E540" s="949" t="s">
        <v>1588</v>
      </c>
      <c r="F540" s="950" t="s">
        <v>1297</v>
      </c>
      <c r="G540" s="949"/>
      <c r="H540" s="951">
        <v>2017</v>
      </c>
      <c r="I540" s="952"/>
      <c r="J540" s="912" t="s">
        <v>1298</v>
      </c>
      <c r="K540" s="950"/>
      <c r="L540" s="949"/>
      <c r="M540" s="950"/>
      <c r="N540" s="949"/>
      <c r="O540" s="950"/>
      <c r="P540" s="938" t="s">
        <v>1085</v>
      </c>
    </row>
    <row r="541" spans="1:17">
      <c r="J541" s="914">
        <v>1</v>
      </c>
      <c r="K541" s="909" t="s">
        <v>29</v>
      </c>
    </row>
    <row r="542" spans="1:17">
      <c r="A542" s="900" t="s">
        <v>1589</v>
      </c>
    </row>
    <row r="543" spans="1:17" s="953" customFormat="1" ht="90">
      <c r="B543" s="953" t="s">
        <v>1590</v>
      </c>
      <c r="C543" s="953" t="s">
        <v>1591</v>
      </c>
      <c r="D543" s="953" t="s">
        <v>1592</v>
      </c>
      <c r="E543" s="953" t="s">
        <v>776</v>
      </c>
      <c r="F543" s="953" t="s">
        <v>1593</v>
      </c>
      <c r="G543" s="953" t="s">
        <v>1594</v>
      </c>
      <c r="H543" s="953" t="s">
        <v>1595</v>
      </c>
      <c r="I543" s="953" t="s">
        <v>1596</v>
      </c>
      <c r="J543" s="953" t="s">
        <v>1597</v>
      </c>
      <c r="K543" s="953" t="s">
        <v>1598</v>
      </c>
      <c r="L543" s="953" t="s">
        <v>1599</v>
      </c>
    </row>
    <row r="544" spans="1:17" s="954" customFormat="1">
      <c r="B544" s="954" t="s">
        <v>1600</v>
      </c>
      <c r="C544" s="954" t="s">
        <v>1601</v>
      </c>
      <c r="D544" s="954" t="e">
        <v>#N/A</v>
      </c>
      <c r="I544" s="954" t="s">
        <v>1271</v>
      </c>
      <c r="J544" s="954" t="s">
        <v>1183</v>
      </c>
      <c r="K544" s="955">
        <v>282.01583333333309</v>
      </c>
      <c r="L544" s="956">
        <v>0</v>
      </c>
    </row>
    <row r="545" spans="2:12" s="954" customFormat="1">
      <c r="B545" s="954" t="s">
        <v>1600</v>
      </c>
      <c r="C545" s="954" t="s">
        <v>1601</v>
      </c>
      <c r="D545" s="954" t="e">
        <v>#N/A</v>
      </c>
      <c r="I545" s="954" t="s">
        <v>1271</v>
      </c>
      <c r="J545" s="954" t="s">
        <v>1183</v>
      </c>
      <c r="K545" s="955">
        <v>237.1274999999998</v>
      </c>
      <c r="L545" s="956">
        <v>0</v>
      </c>
    </row>
    <row r="546" spans="2:12" s="954" customFormat="1">
      <c r="B546" s="954" t="s">
        <v>1600</v>
      </c>
      <c r="C546" s="954" t="s">
        <v>1602</v>
      </c>
      <c r="D546" s="954" t="e">
        <v>#N/A</v>
      </c>
      <c r="I546" s="954" t="s">
        <v>1557</v>
      </c>
      <c r="J546" s="954" t="s">
        <v>1085</v>
      </c>
      <c r="K546" s="955">
        <v>982.66416666666589</v>
      </c>
      <c r="L546" s="956">
        <v>1.1899999999999999E-2</v>
      </c>
    </row>
    <row r="547" spans="2:12" s="954" customFormat="1">
      <c r="B547" s="954" t="s">
        <v>1600</v>
      </c>
      <c r="C547" s="954" t="s">
        <v>1602</v>
      </c>
      <c r="D547" s="954" t="e">
        <v>#N/A</v>
      </c>
      <c r="I547" s="954" t="s">
        <v>1557</v>
      </c>
      <c r="J547" s="954" t="s">
        <v>1085</v>
      </c>
      <c r="K547" s="955">
        <v>1965.3283333333318</v>
      </c>
      <c r="L547" s="956">
        <v>0.13089999999999999</v>
      </c>
    </row>
    <row r="548" spans="2:12" s="954" customFormat="1">
      <c r="B548" s="954" t="s">
        <v>1600</v>
      </c>
      <c r="C548" s="954" t="s">
        <v>1602</v>
      </c>
      <c r="D548" s="954" t="e">
        <v>#N/A</v>
      </c>
      <c r="I548" s="954" t="s">
        <v>1557</v>
      </c>
      <c r="J548" s="954" t="s">
        <v>1085</v>
      </c>
      <c r="K548" s="955">
        <v>129.78583333333322</v>
      </c>
      <c r="L548" s="956">
        <v>0</v>
      </c>
    </row>
    <row r="549" spans="2:12" s="954" customFormat="1">
      <c r="B549" s="954" t="s">
        <v>1600</v>
      </c>
      <c r="C549" s="954" t="s">
        <v>1602</v>
      </c>
      <c r="D549" s="954" t="e">
        <v>#N/A</v>
      </c>
      <c r="I549" s="954" t="s">
        <v>1557</v>
      </c>
      <c r="J549" s="954" t="s">
        <v>1085</v>
      </c>
      <c r="K549" s="955">
        <v>1128.0633333333324</v>
      </c>
      <c r="L549" s="956">
        <v>0</v>
      </c>
    </row>
    <row r="550" spans="2:12" s="954" customFormat="1">
      <c r="B550" s="954" t="s">
        <v>1600</v>
      </c>
      <c r="C550" s="954" t="s">
        <v>1603</v>
      </c>
      <c r="D550" s="954">
        <v>289140</v>
      </c>
      <c r="I550" s="954" t="s">
        <v>1604</v>
      </c>
      <c r="J550" s="954" t="s">
        <v>1085</v>
      </c>
      <c r="K550" s="955">
        <v>982.66416666666589</v>
      </c>
      <c r="L550" s="956">
        <v>1.0709999999999999E-2</v>
      </c>
    </row>
    <row r="551" spans="2:12" s="954" customFormat="1">
      <c r="B551" s="954" t="s">
        <v>1600</v>
      </c>
      <c r="C551" s="954" t="s">
        <v>1603</v>
      </c>
      <c r="D551" s="954">
        <v>136</v>
      </c>
      <c r="I551" s="954" t="s">
        <v>1604</v>
      </c>
      <c r="J551" s="954" t="s">
        <v>1085</v>
      </c>
      <c r="K551" s="955">
        <v>282.01583333333309</v>
      </c>
      <c r="L551" s="956">
        <v>0</v>
      </c>
    </row>
    <row r="552" spans="2:12" s="954" customFormat="1">
      <c r="B552" s="954" t="s">
        <v>1600</v>
      </c>
      <c r="C552" s="954" t="s">
        <v>1603</v>
      </c>
      <c r="D552" s="954">
        <v>138</v>
      </c>
      <c r="I552" s="954" t="s">
        <v>1604</v>
      </c>
      <c r="J552" s="954" t="s">
        <v>1085</v>
      </c>
      <c r="K552" s="955">
        <v>282.01583333333309</v>
      </c>
      <c r="L552" s="956">
        <v>0</v>
      </c>
    </row>
    <row r="553" spans="2:12" s="954" customFormat="1">
      <c r="B553" s="954" t="s">
        <v>1600</v>
      </c>
      <c r="C553" s="954" t="s">
        <v>1603</v>
      </c>
      <c r="D553" s="954">
        <v>553</v>
      </c>
      <c r="I553" s="954" t="s">
        <v>1604</v>
      </c>
      <c r="J553" s="954" t="s">
        <v>1085</v>
      </c>
      <c r="K553" s="955">
        <v>982.66416666666589</v>
      </c>
      <c r="L553" s="956">
        <v>1.0709999999999999E-2</v>
      </c>
    </row>
    <row r="554" spans="2:12" s="954" customFormat="1">
      <c r="B554" s="954" t="s">
        <v>1600</v>
      </c>
      <c r="C554" s="954" t="s">
        <v>1603</v>
      </c>
      <c r="D554" s="954">
        <v>553</v>
      </c>
      <c r="I554" s="954" t="s">
        <v>1604</v>
      </c>
      <c r="J554" s="954" t="s">
        <v>1085</v>
      </c>
      <c r="K554" s="955">
        <v>982.66416666666589</v>
      </c>
      <c r="L554" s="956">
        <v>1.0709999999999999E-2</v>
      </c>
    </row>
    <row r="555" spans="2:12" s="954" customFormat="1">
      <c r="B555" s="954" t="s">
        <v>1600</v>
      </c>
      <c r="C555" s="954" t="s">
        <v>1603</v>
      </c>
      <c r="D555" s="954">
        <v>553</v>
      </c>
      <c r="I555" s="954" t="s">
        <v>1604</v>
      </c>
      <c r="J555" s="954" t="s">
        <v>1085</v>
      </c>
      <c r="K555" s="955">
        <v>282.01583333333309</v>
      </c>
      <c r="L555" s="956">
        <v>0</v>
      </c>
    </row>
    <row r="556" spans="2:12" s="954" customFormat="1">
      <c r="B556" s="954" t="s">
        <v>1600</v>
      </c>
      <c r="C556" s="954" t="s">
        <v>1603</v>
      </c>
      <c r="D556" s="954">
        <v>553</v>
      </c>
      <c r="I556" s="954" t="s">
        <v>1604</v>
      </c>
      <c r="J556" s="954" t="s">
        <v>1085</v>
      </c>
      <c r="K556" s="955">
        <v>982.66416666666589</v>
      </c>
      <c r="L556" s="956">
        <v>1.0709999999999999E-2</v>
      </c>
    </row>
    <row r="557" spans="2:12" s="954" customFormat="1">
      <c r="B557" s="954" t="s">
        <v>1600</v>
      </c>
      <c r="C557" s="954" t="s">
        <v>1603</v>
      </c>
      <c r="D557" s="954">
        <v>65580</v>
      </c>
      <c r="I557" s="954" t="s">
        <v>1604</v>
      </c>
      <c r="J557" s="954" t="s">
        <v>1085</v>
      </c>
      <c r="K557" s="955">
        <v>282.01583333333309</v>
      </c>
      <c r="L557" s="956">
        <v>0</v>
      </c>
    </row>
    <row r="558" spans="2:12" s="954" customFormat="1">
      <c r="B558" s="954" t="s">
        <v>1600</v>
      </c>
      <c r="C558" s="954" t="s">
        <v>1601</v>
      </c>
      <c r="D558" s="954" t="e">
        <v>#N/A</v>
      </c>
      <c r="I558" s="954" t="s">
        <v>1271</v>
      </c>
      <c r="J558" s="954" t="s">
        <v>1183</v>
      </c>
      <c r="K558" s="955">
        <v>982.66416666666589</v>
      </c>
      <c r="L558" s="956">
        <v>1.0709999999999999E-2</v>
      </c>
    </row>
    <row r="559" spans="2:12" s="954" customFormat="1">
      <c r="B559" s="954" t="s">
        <v>1600</v>
      </c>
      <c r="C559" s="954" t="s">
        <v>1605</v>
      </c>
      <c r="D559" s="954">
        <v>286154</v>
      </c>
      <c r="I559" s="954" t="s">
        <v>1579</v>
      </c>
      <c r="J559" s="954" t="s">
        <v>1183</v>
      </c>
      <c r="K559" s="955">
        <v>982.66416666666589</v>
      </c>
      <c r="L559" s="956">
        <v>4.7599999999999996E-2</v>
      </c>
    </row>
    <row r="560" spans="2:12" s="954" customFormat="1">
      <c r="B560" s="954" t="s">
        <v>1600</v>
      </c>
      <c r="C560" s="954" t="s">
        <v>1605</v>
      </c>
      <c r="D560" s="954">
        <v>286154</v>
      </c>
      <c r="I560" s="954" t="s">
        <v>1579</v>
      </c>
      <c r="J560" s="954" t="s">
        <v>1183</v>
      </c>
      <c r="K560" s="955">
        <v>237.1274999999998</v>
      </c>
      <c r="L560" s="956">
        <v>0</v>
      </c>
    </row>
    <row r="561" spans="2:12" s="954" customFormat="1">
      <c r="B561" s="954" t="s">
        <v>1600</v>
      </c>
      <c r="C561" s="954" t="s">
        <v>1605</v>
      </c>
      <c r="D561" s="954">
        <v>286154</v>
      </c>
      <c r="I561" s="954" t="s">
        <v>1579</v>
      </c>
      <c r="J561" s="954" t="s">
        <v>1183</v>
      </c>
      <c r="K561" s="955">
        <v>282.01583333333309</v>
      </c>
      <c r="L561" s="956">
        <v>0</v>
      </c>
    </row>
    <row r="562" spans="2:12" s="954" customFormat="1">
      <c r="B562" s="954" t="s">
        <v>1600</v>
      </c>
      <c r="C562" s="954" t="s">
        <v>1605</v>
      </c>
      <c r="D562" s="954">
        <v>289169</v>
      </c>
      <c r="I562" s="954" t="s">
        <v>1579</v>
      </c>
      <c r="J562" s="954" t="s">
        <v>1183</v>
      </c>
      <c r="K562" s="955">
        <v>1965.3283333333318</v>
      </c>
      <c r="L562" s="956">
        <v>0.13089999999999999</v>
      </c>
    </row>
    <row r="563" spans="2:12" s="954" customFormat="1">
      <c r="B563" s="954" t="s">
        <v>1600</v>
      </c>
      <c r="C563" s="954" t="s">
        <v>1605</v>
      </c>
      <c r="D563" s="954">
        <v>289171</v>
      </c>
      <c r="I563" s="954" t="s">
        <v>1579</v>
      </c>
      <c r="J563" s="954" t="s">
        <v>1183</v>
      </c>
      <c r="K563" s="955">
        <v>282.01583333333309</v>
      </c>
      <c r="L563" s="956">
        <v>0</v>
      </c>
    </row>
    <row r="564" spans="2:12" s="954" customFormat="1">
      <c r="B564" s="954" t="s">
        <v>1600</v>
      </c>
      <c r="C564" s="954" t="s">
        <v>1605</v>
      </c>
      <c r="D564" s="954">
        <v>289171</v>
      </c>
      <c r="I564" s="954" t="s">
        <v>1579</v>
      </c>
      <c r="J564" s="954" t="s">
        <v>1183</v>
      </c>
      <c r="K564" s="955">
        <v>129.78583333333322</v>
      </c>
      <c r="L564" s="956">
        <v>0</v>
      </c>
    </row>
    <row r="565" spans="2:12" s="954" customFormat="1">
      <c r="B565" s="954" t="s">
        <v>1600</v>
      </c>
      <c r="C565" s="954" t="s">
        <v>1605</v>
      </c>
      <c r="D565" s="954">
        <v>288241</v>
      </c>
      <c r="I565" s="954" t="s">
        <v>1579</v>
      </c>
      <c r="J565" s="954" t="s">
        <v>1183</v>
      </c>
      <c r="K565" s="955">
        <v>129.78583333333322</v>
      </c>
      <c r="L565" s="956">
        <v>0</v>
      </c>
    </row>
    <row r="566" spans="2:12" s="954" customFormat="1">
      <c r="B566" s="954" t="s">
        <v>1600</v>
      </c>
      <c r="C566" s="954" t="s">
        <v>1605</v>
      </c>
      <c r="D566" s="954">
        <v>288241</v>
      </c>
      <c r="I566" s="954" t="s">
        <v>1579</v>
      </c>
      <c r="J566" s="954" t="s">
        <v>1183</v>
      </c>
      <c r="K566" s="955">
        <v>261.52333333333314</v>
      </c>
      <c r="L566" s="956">
        <v>0</v>
      </c>
    </row>
    <row r="567" spans="2:12" s="954" customFormat="1">
      <c r="B567" s="954" t="s">
        <v>1600</v>
      </c>
      <c r="C567" s="954" t="s">
        <v>1605</v>
      </c>
      <c r="D567" s="954">
        <v>557</v>
      </c>
      <c r="I567" s="954" t="s">
        <v>1579</v>
      </c>
      <c r="J567" s="954" t="s">
        <v>1183</v>
      </c>
      <c r="K567" s="955">
        <v>982.66416666666589</v>
      </c>
      <c r="L567" s="956">
        <v>1.1899999999999999E-2</v>
      </c>
    </row>
    <row r="568" spans="2:12" s="954" customFormat="1">
      <c r="B568" s="954" t="s">
        <v>1600</v>
      </c>
      <c r="C568" s="954" t="s">
        <v>1605</v>
      </c>
      <c r="D568" s="954">
        <v>65720</v>
      </c>
      <c r="I568" s="954" t="s">
        <v>1579</v>
      </c>
      <c r="J568" s="954" t="s">
        <v>1183</v>
      </c>
      <c r="K568" s="955">
        <v>282.01583333333309</v>
      </c>
      <c r="L568" s="956">
        <v>0</v>
      </c>
    </row>
    <row r="569" spans="2:12" s="954" customFormat="1">
      <c r="B569" s="954" t="s">
        <v>1600</v>
      </c>
      <c r="C569" s="954" t="s">
        <v>1605</v>
      </c>
      <c r="D569" s="954">
        <v>65720</v>
      </c>
      <c r="I569" s="954" t="s">
        <v>1579</v>
      </c>
      <c r="J569" s="954" t="s">
        <v>1183</v>
      </c>
      <c r="K569" s="955">
        <v>982.66416666666589</v>
      </c>
      <c r="L569" s="956">
        <v>4.7599999999999996E-2</v>
      </c>
    </row>
    <row r="570" spans="2:12" s="954" customFormat="1">
      <c r="B570" s="954" t="s">
        <v>1600</v>
      </c>
      <c r="C570" s="954" t="s">
        <v>1605</v>
      </c>
      <c r="D570" s="954" t="e">
        <v>#N/A</v>
      </c>
      <c r="I570" s="954" t="s">
        <v>1579</v>
      </c>
      <c r="J570" s="954" t="s">
        <v>1183</v>
      </c>
      <c r="K570" s="955">
        <v>282.01583333333309</v>
      </c>
      <c r="L570" s="956">
        <v>0</v>
      </c>
    </row>
    <row r="571" spans="2:12" s="954" customFormat="1">
      <c r="B571" s="954" t="s">
        <v>1600</v>
      </c>
      <c r="C571" s="954" t="s">
        <v>1605</v>
      </c>
      <c r="D571" s="954" t="e">
        <v>#N/A</v>
      </c>
      <c r="I571" s="954" t="s">
        <v>1579</v>
      </c>
      <c r="J571" s="954" t="s">
        <v>1183</v>
      </c>
      <c r="K571" s="955">
        <v>705.52749999999946</v>
      </c>
      <c r="L571" s="956">
        <v>0</v>
      </c>
    </row>
    <row r="572" spans="2:12" s="954" customFormat="1">
      <c r="B572" s="954" t="s">
        <v>1600</v>
      </c>
      <c r="C572" s="954" t="s">
        <v>1601</v>
      </c>
      <c r="D572" s="954" t="e">
        <v>#N/A</v>
      </c>
      <c r="I572" s="954" t="s">
        <v>1271</v>
      </c>
      <c r="J572" s="954" t="s">
        <v>1183</v>
      </c>
      <c r="K572" s="955">
        <v>982.66416666666589</v>
      </c>
      <c r="L572" s="956">
        <v>1.0709999999999999E-2</v>
      </c>
    </row>
    <row r="573" spans="2:12" s="954" customFormat="1">
      <c r="B573" s="954" t="s">
        <v>1600</v>
      </c>
      <c r="C573" s="954" t="s">
        <v>1601</v>
      </c>
      <c r="D573" s="954" t="e">
        <v>#N/A</v>
      </c>
      <c r="I573" s="954" t="s">
        <v>1271</v>
      </c>
      <c r="J573" s="954" t="s">
        <v>1183</v>
      </c>
      <c r="K573" s="955">
        <v>282.01583333333309</v>
      </c>
      <c r="L573" s="956">
        <v>0</v>
      </c>
    </row>
    <row r="574" spans="2:12" s="954" customFormat="1">
      <c r="B574" s="954" t="s">
        <v>1600</v>
      </c>
      <c r="C574" s="954" t="s">
        <v>1601</v>
      </c>
      <c r="D574" s="954" t="e">
        <v>#N/A</v>
      </c>
      <c r="I574" s="954" t="s">
        <v>1271</v>
      </c>
      <c r="J574" s="954" t="s">
        <v>1183</v>
      </c>
      <c r="K574" s="955">
        <v>982.66416666666589</v>
      </c>
      <c r="L574" s="956">
        <v>1.0709999999999999E-2</v>
      </c>
    </row>
    <row r="575" spans="2:12" s="954" customFormat="1">
      <c r="B575" s="954" t="s">
        <v>1600</v>
      </c>
      <c r="C575" s="954" t="s">
        <v>1601</v>
      </c>
      <c r="D575" s="954" t="e">
        <v>#N/A</v>
      </c>
      <c r="I575" s="954" t="s">
        <v>1271</v>
      </c>
      <c r="J575" s="954" t="s">
        <v>1183</v>
      </c>
      <c r="K575" s="955">
        <v>282.01583333333309</v>
      </c>
      <c r="L575" s="956">
        <v>0</v>
      </c>
    </row>
    <row r="576" spans="2:12" s="954" customFormat="1">
      <c r="B576" s="954" t="s">
        <v>1600</v>
      </c>
      <c r="C576" s="954" t="s">
        <v>1602</v>
      </c>
      <c r="D576" s="954" t="e">
        <v>#N/A</v>
      </c>
      <c r="I576" s="954" t="s">
        <v>1557</v>
      </c>
      <c r="J576" s="954" t="s">
        <v>1085</v>
      </c>
      <c r="K576" s="955">
        <v>261.52333333333314</v>
      </c>
      <c r="L576" s="956">
        <v>0</v>
      </c>
    </row>
    <row r="577" spans="2:13" s="954" customFormat="1">
      <c r="B577" s="954" t="s">
        <v>1600</v>
      </c>
      <c r="C577" s="954" t="s">
        <v>1601</v>
      </c>
      <c r="D577" s="954" t="e">
        <v>#N/A</v>
      </c>
      <c r="I577" s="954" t="s">
        <v>1271</v>
      </c>
      <c r="J577" s="954" t="s">
        <v>1183</v>
      </c>
      <c r="K577" s="955">
        <v>982.66416666666589</v>
      </c>
      <c r="L577" s="956">
        <v>1.0709999999999999E-2</v>
      </c>
    </row>
    <row r="578" spans="2:13" s="954" customFormat="1">
      <c r="B578" s="954" t="s">
        <v>1600</v>
      </c>
      <c r="C578" s="954" t="s">
        <v>1601</v>
      </c>
      <c r="D578" s="954" t="e">
        <v>#N/A</v>
      </c>
      <c r="I578" s="954" t="s">
        <v>1271</v>
      </c>
      <c r="J578" s="954" t="s">
        <v>1183</v>
      </c>
      <c r="K578" s="957">
        <v>982.66416666666589</v>
      </c>
      <c r="L578" s="956">
        <v>1.0709999999999999E-2</v>
      </c>
    </row>
    <row r="579" spans="2:13" s="954" customFormat="1">
      <c r="K579" s="955">
        <f>SUM(K544:K578)</f>
        <v>23027.714999999986</v>
      </c>
      <c r="L579" s="922">
        <f>SUM(K544:K571)/K579</f>
        <v>0.79345707263327392</v>
      </c>
      <c r="M579" s="903" t="s">
        <v>1415</v>
      </c>
    </row>
    <row r="580" spans="2:13" s="954" customFormat="1">
      <c r="K580" s="956"/>
      <c r="L580" s="922">
        <f>SUM(K572:K578)/K579</f>
        <v>0.20654292736672594</v>
      </c>
      <c r="M580" s="903" t="s">
        <v>1028</v>
      </c>
    </row>
    <row r="581" spans="2:13" s="954" customFormat="1">
      <c r="K581" s="956"/>
      <c r="L581" s="956"/>
    </row>
    <row r="582" spans="2:13" s="954" customFormat="1">
      <c r="K582" s="956"/>
      <c r="L582" s="956"/>
    </row>
    <row r="583" spans="2:13" s="954" customFormat="1">
      <c r="K583" s="956"/>
      <c r="L583" s="956"/>
    </row>
    <row r="584" spans="2:13" s="954" customFormat="1">
      <c r="B584" s="954" t="s">
        <v>22</v>
      </c>
      <c r="C584" s="954">
        <v>189026</v>
      </c>
      <c r="D584" s="954" t="e">
        <v>#N/A</v>
      </c>
      <c r="E584" s="954" t="s">
        <v>990</v>
      </c>
      <c r="I584" s="954" t="s">
        <v>1606</v>
      </c>
      <c r="J584" s="954" t="s">
        <v>1183</v>
      </c>
      <c r="K584" s="956">
        <v>16483.151247986105</v>
      </c>
      <c r="L584" s="956">
        <v>0</v>
      </c>
    </row>
    <row r="585" spans="2:13" s="954" customFormat="1">
      <c r="B585" s="954" t="s">
        <v>22</v>
      </c>
      <c r="C585" s="954">
        <v>183203</v>
      </c>
      <c r="D585" s="954" t="e">
        <v>#N/A</v>
      </c>
      <c r="E585" s="954" t="s">
        <v>990</v>
      </c>
      <c r="I585" s="954" t="s">
        <v>1607</v>
      </c>
      <c r="J585" s="954" t="s">
        <v>1216</v>
      </c>
      <c r="K585" s="956">
        <v>1291.488637799408</v>
      </c>
      <c r="L585" s="956">
        <v>0.33600000000000002</v>
      </c>
    </row>
    <row r="586" spans="2:13" s="954" customFormat="1">
      <c r="B586" s="954" t="s">
        <v>22</v>
      </c>
      <c r="C586" s="954">
        <v>183203</v>
      </c>
      <c r="D586" s="954" t="e">
        <v>#N/A</v>
      </c>
      <c r="E586" s="954" t="s">
        <v>990</v>
      </c>
      <c r="I586" s="954" t="s">
        <v>1607</v>
      </c>
      <c r="J586" s="954" t="s">
        <v>1216</v>
      </c>
      <c r="K586" s="956">
        <v>101898.520059655</v>
      </c>
      <c r="L586" s="956">
        <v>27.44</v>
      </c>
    </row>
    <row r="587" spans="2:13" s="954" customFormat="1">
      <c r="B587" s="954" t="s">
        <v>22</v>
      </c>
      <c r="C587" s="954">
        <v>180015</v>
      </c>
      <c r="D587" s="954" t="e">
        <v>#N/A</v>
      </c>
      <c r="E587" s="954" t="s">
        <v>990</v>
      </c>
      <c r="I587" s="954" t="s">
        <v>1538</v>
      </c>
      <c r="J587" s="954" t="s">
        <v>1085</v>
      </c>
      <c r="K587" s="956">
        <v>16033.488771278895</v>
      </c>
      <c r="L587" s="956">
        <v>6.3840000000000012</v>
      </c>
    </row>
    <row r="588" spans="2:13" s="954" customFormat="1">
      <c r="B588" s="954" t="s">
        <v>22</v>
      </c>
      <c r="C588" s="954">
        <v>188260</v>
      </c>
      <c r="D588" s="954" t="e">
        <v>#N/A</v>
      </c>
      <c r="E588" s="954" t="s">
        <v>990</v>
      </c>
      <c r="I588" s="954" t="s">
        <v>1608</v>
      </c>
      <c r="J588" s="954" t="s">
        <v>1085</v>
      </c>
      <c r="K588" s="956">
        <v>1974.6516181005757</v>
      </c>
      <c r="L588" s="956">
        <v>0.5152000000000001</v>
      </c>
    </row>
    <row r="589" spans="2:13" s="954" customFormat="1">
      <c r="B589" s="954" t="s">
        <v>22</v>
      </c>
      <c r="C589" s="954">
        <v>188260</v>
      </c>
      <c r="D589" s="954" t="e">
        <v>#N/A</v>
      </c>
      <c r="E589" s="954" t="s">
        <v>990</v>
      </c>
      <c r="I589" s="954" t="s">
        <v>1608</v>
      </c>
      <c r="J589" s="954" t="s">
        <v>1085</v>
      </c>
      <c r="K589" s="956">
        <v>34117.656564555611</v>
      </c>
      <c r="L589" s="956">
        <v>13.104000000000001</v>
      </c>
    </row>
    <row r="590" spans="2:13" s="954" customFormat="1">
      <c r="B590" s="954" t="s">
        <v>22</v>
      </c>
      <c r="C590" s="954">
        <v>184126</v>
      </c>
      <c r="E590" s="954" t="s">
        <v>990</v>
      </c>
      <c r="I590" s="954" t="s">
        <v>1609</v>
      </c>
      <c r="J590" s="954" t="s">
        <v>1085</v>
      </c>
      <c r="K590" s="956">
        <v>1424.5632011996561</v>
      </c>
      <c r="L590" s="956">
        <v>0.56000000000000005</v>
      </c>
    </row>
    <row r="591" spans="2:13" s="954" customFormat="1">
      <c r="B591" s="954" t="s">
        <v>22</v>
      </c>
      <c r="C591" s="954">
        <v>184126</v>
      </c>
      <c r="E591" s="954" t="s">
        <v>990</v>
      </c>
      <c r="I591" s="954" t="s">
        <v>1609</v>
      </c>
      <c r="J591" s="954" t="s">
        <v>1085</v>
      </c>
      <c r="K591" s="956">
        <v>14.978736649955628</v>
      </c>
      <c r="L591" s="956">
        <v>4.5920000000000006E-3</v>
      </c>
    </row>
    <row r="592" spans="2:13" s="954" customFormat="1">
      <c r="B592" s="954" t="s">
        <v>22</v>
      </c>
      <c r="C592" s="954">
        <v>184126</v>
      </c>
      <c r="E592" s="954" t="s">
        <v>990</v>
      </c>
      <c r="I592" s="954" t="s">
        <v>1609</v>
      </c>
      <c r="J592" s="954" t="s">
        <v>1085</v>
      </c>
      <c r="K592" s="956">
        <v>4980.738294381892</v>
      </c>
      <c r="L592" s="956">
        <v>1.5848000000000002</v>
      </c>
    </row>
    <row r="593" spans="2:12" s="954" customFormat="1">
      <c r="B593" s="954" t="s">
        <v>22</v>
      </c>
      <c r="C593" s="954">
        <v>183986</v>
      </c>
      <c r="E593" s="954" t="s">
        <v>990</v>
      </c>
      <c r="I593" s="954" t="s">
        <v>1610</v>
      </c>
      <c r="J593" s="954" t="s">
        <v>1085</v>
      </c>
      <c r="K593" s="956">
        <v>3818.5967057834478</v>
      </c>
      <c r="L593" s="956">
        <v>0</v>
      </c>
    </row>
    <row r="594" spans="2:12" s="954" customFormat="1">
      <c r="B594" s="954" t="s">
        <v>22</v>
      </c>
      <c r="C594" s="954">
        <v>183986</v>
      </c>
      <c r="E594" s="954" t="s">
        <v>990</v>
      </c>
      <c r="I594" s="954" t="s">
        <v>1610</v>
      </c>
      <c r="J594" s="954" t="s">
        <v>1085</v>
      </c>
      <c r="K594" s="956">
        <v>9427.0020712735768</v>
      </c>
      <c r="L594" s="956">
        <v>4.2560000000000002</v>
      </c>
    </row>
    <row r="595" spans="2:12" s="954" customFormat="1">
      <c r="B595" s="954" t="s">
        <v>22</v>
      </c>
      <c r="C595" s="954">
        <v>184125</v>
      </c>
      <c r="E595" s="954" t="s">
        <v>990</v>
      </c>
      <c r="I595" s="954" t="s">
        <v>1611</v>
      </c>
      <c r="J595" s="954" t="s">
        <v>1085</v>
      </c>
      <c r="K595" s="956">
        <v>2968.8935094595358</v>
      </c>
      <c r="L595" s="956">
        <v>1.1200000000000001</v>
      </c>
    </row>
    <row r="596" spans="2:12" s="954" customFormat="1">
      <c r="B596" s="954" t="s">
        <v>22</v>
      </c>
      <c r="C596" s="954">
        <v>184125</v>
      </c>
      <c r="E596" s="954" t="s">
        <v>990</v>
      </c>
      <c r="I596" s="954" t="s">
        <v>1611</v>
      </c>
      <c r="J596" s="954" t="s">
        <v>1085</v>
      </c>
      <c r="K596" s="956">
        <v>3273.0828906715269</v>
      </c>
      <c r="L596" s="956">
        <v>0</v>
      </c>
    </row>
    <row r="597" spans="2:12" s="954" customFormat="1">
      <c r="B597" s="954" t="s">
        <v>22</v>
      </c>
      <c r="C597" s="954">
        <v>184125</v>
      </c>
      <c r="E597" s="954" t="s">
        <v>990</v>
      </c>
      <c r="I597" s="954" t="s">
        <v>1611</v>
      </c>
      <c r="J597" s="954" t="s">
        <v>1085</v>
      </c>
      <c r="K597" s="956">
        <v>10243.10113267708</v>
      </c>
      <c r="L597" s="956">
        <v>0</v>
      </c>
    </row>
    <row r="598" spans="2:12" s="954" customFormat="1">
      <c r="B598" s="954" t="s">
        <v>22</v>
      </c>
      <c r="C598" s="954">
        <v>184125</v>
      </c>
      <c r="E598" s="954" t="s">
        <v>990</v>
      </c>
      <c r="I598" s="954" t="s">
        <v>1611</v>
      </c>
      <c r="J598" s="954" t="s">
        <v>1085</v>
      </c>
      <c r="K598" s="956">
        <v>200.89933853718901</v>
      </c>
      <c r="L598" s="956">
        <v>5.2416000000000004E-2</v>
      </c>
    </row>
    <row r="599" spans="2:12" s="954" customFormat="1">
      <c r="B599" s="954" t="s">
        <v>22</v>
      </c>
      <c r="C599" s="954">
        <v>184125</v>
      </c>
      <c r="E599" s="954" t="s">
        <v>990</v>
      </c>
      <c r="I599" s="954" t="s">
        <v>1611</v>
      </c>
      <c r="J599" s="954" t="s">
        <v>1085</v>
      </c>
      <c r="K599" s="956">
        <v>3214.3894165950242</v>
      </c>
      <c r="L599" s="956">
        <v>0.83865600000000007</v>
      </c>
    </row>
    <row r="600" spans="2:12" s="954" customFormat="1">
      <c r="B600" s="954" t="s">
        <v>22</v>
      </c>
      <c r="C600" s="954">
        <v>184125</v>
      </c>
      <c r="E600" s="954" t="s">
        <v>990</v>
      </c>
      <c r="I600" s="954" t="s">
        <v>1611</v>
      </c>
      <c r="J600" s="954" t="s">
        <v>1085</v>
      </c>
      <c r="K600" s="956">
        <v>7969.1812710110271</v>
      </c>
      <c r="L600" s="956">
        <v>2.5356800000000002</v>
      </c>
    </row>
    <row r="601" spans="2:12" s="954" customFormat="1">
      <c r="B601" s="954" t="s">
        <v>22</v>
      </c>
      <c r="C601" s="954">
        <v>189806</v>
      </c>
      <c r="D601" s="954" t="e">
        <v>#N/A</v>
      </c>
      <c r="E601" s="954" t="s">
        <v>990</v>
      </c>
      <c r="I601" s="954" t="s">
        <v>1612</v>
      </c>
      <c r="J601" s="954" t="s">
        <v>1216</v>
      </c>
      <c r="K601" s="956">
        <v>37304.113677718218</v>
      </c>
      <c r="L601" s="956">
        <v>7.168000000000001</v>
      </c>
    </row>
    <row r="602" spans="2:12" s="954" customFormat="1">
      <c r="B602" s="954" t="s">
        <v>22</v>
      </c>
      <c r="C602" s="954">
        <v>162559</v>
      </c>
      <c r="D602" s="954" t="e">
        <v>#N/A</v>
      </c>
      <c r="E602" s="954" t="s">
        <v>990</v>
      </c>
      <c r="I602" s="954" t="s">
        <v>1613</v>
      </c>
      <c r="J602" s="954" t="s">
        <v>1614</v>
      </c>
      <c r="K602" s="956">
        <v>19642.421903850111</v>
      </c>
      <c r="L602" s="956">
        <v>0</v>
      </c>
    </row>
    <row r="603" spans="2:12" s="954" customFormat="1">
      <c r="B603" s="954" t="s">
        <v>22</v>
      </c>
      <c r="C603" s="954">
        <v>162559</v>
      </c>
      <c r="D603" s="954" t="e">
        <v>#N/A</v>
      </c>
      <c r="E603" s="954" t="s">
        <v>990</v>
      </c>
      <c r="I603" s="954" t="s">
        <v>1613</v>
      </c>
      <c r="J603" s="954" t="s">
        <v>1614</v>
      </c>
      <c r="K603" s="956">
        <v>78035.199944547378</v>
      </c>
      <c r="L603" s="956">
        <v>0</v>
      </c>
    </row>
    <row r="604" spans="2:12" s="954" customFormat="1">
      <c r="B604" s="954" t="s">
        <v>22</v>
      </c>
      <c r="C604" s="954">
        <v>189950</v>
      </c>
      <c r="D604" s="954" t="e">
        <v>#N/A</v>
      </c>
      <c r="E604" s="954" t="s">
        <v>990</v>
      </c>
      <c r="I604" s="954" t="s">
        <v>1615</v>
      </c>
      <c r="J604" s="954" t="s">
        <v>1085</v>
      </c>
      <c r="K604" s="956">
        <v>401.79867707437802</v>
      </c>
      <c r="L604" s="956">
        <v>0.10483200000000001</v>
      </c>
    </row>
    <row r="605" spans="2:12" s="954" customFormat="1">
      <c r="B605" s="954" t="s">
        <v>22</v>
      </c>
      <c r="C605" s="954">
        <v>189950</v>
      </c>
      <c r="D605" s="954" t="e">
        <v>#N/A</v>
      </c>
      <c r="E605" s="954" t="s">
        <v>990</v>
      </c>
      <c r="I605" s="954" t="s">
        <v>1615</v>
      </c>
      <c r="J605" s="954" t="s">
        <v>1085</v>
      </c>
      <c r="K605" s="956">
        <v>17078.124093970844</v>
      </c>
      <c r="L605" s="956">
        <v>2.3172800000000002</v>
      </c>
    </row>
    <row r="606" spans="2:12" s="954" customFormat="1">
      <c r="B606" s="954" t="s">
        <v>22</v>
      </c>
      <c r="C606" s="954">
        <v>161912</v>
      </c>
      <c r="D606" s="954" t="e">
        <v>#N/A</v>
      </c>
      <c r="E606" s="954" t="s">
        <v>990</v>
      </c>
      <c r="I606" s="954" t="s">
        <v>1450</v>
      </c>
      <c r="J606" s="954" t="s">
        <v>1085</v>
      </c>
      <c r="K606" s="956">
        <v>103137.43209454163</v>
      </c>
      <c r="L606" s="956">
        <v>0</v>
      </c>
    </row>
    <row r="607" spans="2:12" s="954" customFormat="1">
      <c r="B607" s="954" t="s">
        <v>22</v>
      </c>
      <c r="C607" s="954">
        <v>161912</v>
      </c>
      <c r="D607" s="954">
        <v>62300</v>
      </c>
      <c r="E607" s="954" t="s">
        <v>990</v>
      </c>
      <c r="I607" s="954" t="s">
        <v>1450</v>
      </c>
      <c r="J607" s="954" t="s">
        <v>1085</v>
      </c>
      <c r="K607" s="956">
        <v>15933.712873053235</v>
      </c>
      <c r="L607" s="956">
        <v>0</v>
      </c>
    </row>
    <row r="608" spans="2:12" s="954" customFormat="1">
      <c r="B608" s="954" t="s">
        <v>22</v>
      </c>
      <c r="C608" s="954">
        <v>161912</v>
      </c>
      <c r="D608" s="954">
        <v>286154</v>
      </c>
      <c r="E608" s="954" t="s">
        <v>990</v>
      </c>
      <c r="I608" s="954" t="s">
        <v>1450</v>
      </c>
      <c r="J608" s="954" t="s">
        <v>1085</v>
      </c>
      <c r="K608" s="956">
        <v>7094.1090858679427</v>
      </c>
      <c r="L608" s="956">
        <v>0</v>
      </c>
    </row>
    <row r="609" spans="2:13" s="954" customFormat="1">
      <c r="B609" s="954" t="s">
        <v>22</v>
      </c>
      <c r="C609" s="954">
        <v>171436</v>
      </c>
      <c r="D609" s="954" t="e">
        <v>#N/A</v>
      </c>
      <c r="E609" s="954" t="s">
        <v>1028</v>
      </c>
      <c r="I609" s="954" t="s">
        <v>1616</v>
      </c>
      <c r="J609" s="954" t="s">
        <v>1085</v>
      </c>
      <c r="K609" s="956">
        <v>0</v>
      </c>
      <c r="L609" s="956">
        <v>0</v>
      </c>
    </row>
    <row r="610" spans="2:13" s="954" customFormat="1">
      <c r="B610" s="954" t="s">
        <v>22</v>
      </c>
      <c r="C610" s="954">
        <v>171436</v>
      </c>
      <c r="D610" s="954" t="e">
        <v>#N/A</v>
      </c>
      <c r="E610" s="954" t="s">
        <v>1028</v>
      </c>
      <c r="I610" s="954" t="s">
        <v>1616</v>
      </c>
      <c r="J610" s="954" t="s">
        <v>1085</v>
      </c>
      <c r="K610" s="956">
        <v>22370.41963566067</v>
      </c>
      <c r="L610" s="956">
        <v>0</v>
      </c>
    </row>
    <row r="611" spans="2:13" s="954" customFormat="1">
      <c r="B611" s="954" t="s">
        <v>22</v>
      </c>
      <c r="C611" s="954">
        <v>188739</v>
      </c>
      <c r="D611" s="954" t="e">
        <v>#N/A</v>
      </c>
      <c r="E611" s="954" t="s">
        <v>1028</v>
      </c>
      <c r="I611" s="954" t="s">
        <v>1617</v>
      </c>
      <c r="J611" s="954" t="s">
        <v>1085</v>
      </c>
      <c r="K611" s="956">
        <v>92722.771632548771</v>
      </c>
      <c r="L611" s="956">
        <v>24.192000000000004</v>
      </c>
    </row>
    <row r="612" spans="2:13" s="954" customFormat="1">
      <c r="B612" s="954" t="s">
        <v>22</v>
      </c>
      <c r="C612" s="954">
        <v>175171</v>
      </c>
      <c r="D612" s="954" t="e">
        <v>#N/A</v>
      </c>
      <c r="E612" s="954" t="s">
        <v>1028</v>
      </c>
      <c r="I612" s="954" t="s">
        <v>1618</v>
      </c>
      <c r="J612" s="954" t="s">
        <v>1085</v>
      </c>
      <c r="K612" s="956">
        <v>882.41858736029928</v>
      </c>
      <c r="L612" s="956">
        <v>1.0567200000000001</v>
      </c>
    </row>
    <row r="613" spans="2:13" s="954" customFormat="1">
      <c r="B613" s="954" t="s">
        <v>22</v>
      </c>
      <c r="C613" s="954">
        <v>175171</v>
      </c>
      <c r="D613" s="954" t="e">
        <v>#N/A</v>
      </c>
      <c r="E613" s="954" t="s">
        <v>1028</v>
      </c>
      <c r="I613" s="954" t="s">
        <v>1618</v>
      </c>
      <c r="J613" s="954" t="s">
        <v>1085</v>
      </c>
      <c r="K613" s="956">
        <v>1038.1395145415286</v>
      </c>
      <c r="L613" s="956">
        <v>1.2432000000000003</v>
      </c>
    </row>
    <row r="614" spans="2:13" s="954" customFormat="1">
      <c r="B614" s="954" t="s">
        <v>22</v>
      </c>
      <c r="C614" s="954">
        <v>189805</v>
      </c>
      <c r="D614" s="954" t="e">
        <v>#N/A</v>
      </c>
      <c r="E614" s="954" t="s">
        <v>1028</v>
      </c>
      <c r="I614" s="954" t="s">
        <v>1612</v>
      </c>
      <c r="J614" s="954" t="s">
        <v>1216</v>
      </c>
      <c r="K614" s="956">
        <v>0</v>
      </c>
      <c r="L614" s="956">
        <v>0</v>
      </c>
    </row>
    <row r="615" spans="2:13" s="954" customFormat="1">
      <c r="B615" s="954" t="s">
        <v>22</v>
      </c>
      <c r="C615" s="954">
        <v>189805</v>
      </c>
      <c r="D615" s="954" t="e">
        <v>#N/A</v>
      </c>
      <c r="E615" s="954" t="s">
        <v>1028</v>
      </c>
      <c r="I615" s="954" t="s">
        <v>1612</v>
      </c>
      <c r="J615" s="954" t="s">
        <v>1216</v>
      </c>
      <c r="K615" s="956">
        <v>0</v>
      </c>
      <c r="L615" s="956">
        <v>0</v>
      </c>
    </row>
    <row r="616" spans="2:13" s="954" customFormat="1">
      <c r="B616" s="954" t="s">
        <v>22</v>
      </c>
      <c r="C616" s="954">
        <v>189805</v>
      </c>
      <c r="D616" s="954" t="e">
        <v>#N/A</v>
      </c>
      <c r="E616" s="954" t="s">
        <v>1028</v>
      </c>
      <c r="I616" s="954" t="s">
        <v>1612</v>
      </c>
      <c r="J616" s="954" t="s">
        <v>1216</v>
      </c>
      <c r="K616" s="956">
        <v>0</v>
      </c>
      <c r="L616" s="956">
        <v>0</v>
      </c>
    </row>
    <row r="617" spans="2:13" s="954" customFormat="1">
      <c r="B617" s="954" t="s">
        <v>22</v>
      </c>
      <c r="C617" s="954">
        <v>189805</v>
      </c>
      <c r="D617" s="954" t="e">
        <v>#N/A</v>
      </c>
      <c r="E617" s="954" t="s">
        <v>1028</v>
      </c>
      <c r="I617" s="954" t="s">
        <v>1612</v>
      </c>
      <c r="J617" s="954" t="s">
        <v>1216</v>
      </c>
      <c r="K617" s="956">
        <v>21570.854428926621</v>
      </c>
      <c r="L617" s="956">
        <v>4.144000000000001</v>
      </c>
    </row>
    <row r="618" spans="2:13" s="954" customFormat="1">
      <c r="B618" s="954" t="s">
        <v>22</v>
      </c>
      <c r="C618" s="954">
        <v>190728</v>
      </c>
      <c r="E618" s="954" t="s">
        <v>1028</v>
      </c>
      <c r="I618" s="954" t="s">
        <v>1437</v>
      </c>
      <c r="J618" s="954" t="s">
        <v>1085</v>
      </c>
      <c r="K618" s="956">
        <v>7064.2076777083312</v>
      </c>
      <c r="L618" s="956">
        <v>0</v>
      </c>
    </row>
    <row r="619" spans="2:13" s="954" customFormat="1">
      <c r="B619" s="954" t="s">
        <v>22</v>
      </c>
      <c r="C619" s="954">
        <v>190728</v>
      </c>
      <c r="E619" s="954" t="s">
        <v>1028</v>
      </c>
      <c r="I619" s="954" t="s">
        <v>1437</v>
      </c>
      <c r="J619" s="954" t="s">
        <v>1085</v>
      </c>
      <c r="K619" s="956">
        <v>40687.547759625864</v>
      </c>
      <c r="L619" s="956">
        <v>12.432</v>
      </c>
    </row>
    <row r="620" spans="2:13" s="954" customFormat="1">
      <c r="B620" s="954" t="s">
        <v>22</v>
      </c>
      <c r="C620" s="954">
        <v>190736</v>
      </c>
      <c r="E620" s="954" t="s">
        <v>1028</v>
      </c>
      <c r="I620" s="954" t="s">
        <v>1437</v>
      </c>
      <c r="J620" s="954" t="s">
        <v>1085</v>
      </c>
      <c r="K620" s="958">
        <v>81295.25078121158</v>
      </c>
      <c r="L620" s="956">
        <v>24.864000000000001</v>
      </c>
    </row>
    <row r="621" spans="2:13" s="954" customFormat="1">
      <c r="K621" s="955">
        <f>SUM(K584:K620)</f>
        <v>765592.90583582269</v>
      </c>
      <c r="L621" s="922">
        <f>SUM(K584:K608)/K621</f>
        <v>0.65042569232613079</v>
      </c>
      <c r="M621" s="903" t="s">
        <v>1415</v>
      </c>
    </row>
    <row r="622" spans="2:13" s="954" customFormat="1">
      <c r="K622" s="956"/>
      <c r="L622" s="922">
        <f>SUM(K609:K620)/K621</f>
        <v>0.34957430767386943</v>
      </c>
      <c r="M622" s="903" t="s">
        <v>1028</v>
      </c>
    </row>
    <row r="623" spans="2:13" s="954" customFormat="1">
      <c r="K623" s="956"/>
      <c r="L623" s="956"/>
    </row>
    <row r="624" spans="2:13" s="954" customFormat="1">
      <c r="K624" s="956"/>
      <c r="L624" s="956"/>
    </row>
    <row r="625" spans="2:12" s="954" customFormat="1">
      <c r="K625" s="956"/>
      <c r="L625" s="956"/>
    </row>
    <row r="626" spans="2:12" s="954" customFormat="1">
      <c r="B626" s="954" t="s">
        <v>1619</v>
      </c>
      <c r="C626" s="954" t="s">
        <v>1620</v>
      </c>
      <c r="D626" s="954" t="e">
        <v>#N/A</v>
      </c>
      <c r="E626" s="954" t="s">
        <v>990</v>
      </c>
      <c r="I626" s="954" t="s">
        <v>1565</v>
      </c>
      <c r="J626" s="954" t="s">
        <v>1085</v>
      </c>
      <c r="K626" s="956">
        <v>1203.3149290106389</v>
      </c>
      <c r="L626" s="956">
        <v>0.60160000000000002</v>
      </c>
    </row>
    <row r="627" spans="2:12" s="954" customFormat="1">
      <c r="B627" s="954" t="s">
        <v>1619</v>
      </c>
      <c r="C627" s="954" t="s">
        <v>1621</v>
      </c>
      <c r="D627" s="954" t="e">
        <v>#N/A</v>
      </c>
      <c r="E627" s="954" t="s">
        <v>990</v>
      </c>
      <c r="I627" s="954" t="s">
        <v>1557</v>
      </c>
      <c r="J627" s="954" t="s">
        <v>1085</v>
      </c>
      <c r="K627" s="956">
        <v>428.37307779837795</v>
      </c>
      <c r="L627" s="956">
        <v>0.22559999999999997</v>
      </c>
    </row>
    <row r="628" spans="2:12" s="954" customFormat="1">
      <c r="B628" s="954" t="s">
        <v>1619</v>
      </c>
      <c r="C628" s="954" t="s">
        <v>1621</v>
      </c>
      <c r="D628" s="954" t="e">
        <v>#N/A</v>
      </c>
      <c r="E628" s="954" t="s">
        <v>990</v>
      </c>
      <c r="I628" s="954" t="s">
        <v>1557</v>
      </c>
      <c r="J628" s="954" t="s">
        <v>1085</v>
      </c>
      <c r="K628" s="956">
        <v>205.26209977838943</v>
      </c>
      <c r="L628" s="956">
        <v>0.11279999999999998</v>
      </c>
    </row>
    <row r="629" spans="2:12" s="954" customFormat="1">
      <c r="B629" s="954" t="s">
        <v>1619</v>
      </c>
      <c r="C629" s="954" t="s">
        <v>1622</v>
      </c>
      <c r="D629" s="954">
        <v>65120</v>
      </c>
      <c r="E629" s="954" t="s">
        <v>990</v>
      </c>
      <c r="I629" s="954" t="s">
        <v>1623</v>
      </c>
      <c r="J629" s="954" t="s">
        <v>1085</v>
      </c>
      <c r="K629" s="956">
        <v>538.40450961423164</v>
      </c>
      <c r="L629" s="956">
        <v>0.24440000000000001</v>
      </c>
    </row>
    <row r="630" spans="2:12" s="954" customFormat="1">
      <c r="B630" s="954" t="s">
        <v>1619</v>
      </c>
      <c r="C630" s="954" t="s">
        <v>1622</v>
      </c>
      <c r="D630" s="954">
        <v>65120</v>
      </c>
      <c r="E630" s="954" t="s">
        <v>990</v>
      </c>
      <c r="I630" s="954" t="s">
        <v>1623</v>
      </c>
      <c r="J630" s="954" t="s">
        <v>1085</v>
      </c>
      <c r="K630" s="956">
        <v>514.05013673632072</v>
      </c>
      <c r="L630" s="956">
        <v>9.4E-2</v>
      </c>
    </row>
    <row r="631" spans="2:12" s="954" customFormat="1">
      <c r="B631" s="954" t="s">
        <v>1619</v>
      </c>
      <c r="C631" s="954" t="s">
        <v>1622</v>
      </c>
      <c r="D631" s="954">
        <v>65120</v>
      </c>
      <c r="E631" s="954" t="s">
        <v>990</v>
      </c>
      <c r="I631" s="954" t="s">
        <v>1623</v>
      </c>
      <c r="J631" s="954" t="s">
        <v>1085</v>
      </c>
      <c r="K631" s="956">
        <v>96.745562488174627</v>
      </c>
      <c r="L631" s="956">
        <v>4.7E-2</v>
      </c>
    </row>
    <row r="632" spans="2:12" s="954" customFormat="1">
      <c r="B632" s="954" t="s">
        <v>1619</v>
      </c>
      <c r="C632" s="954" t="s">
        <v>1622</v>
      </c>
      <c r="D632" s="954">
        <v>65120</v>
      </c>
      <c r="E632" s="954" t="s">
        <v>990</v>
      </c>
      <c r="I632" s="954" t="s">
        <v>1623</v>
      </c>
      <c r="J632" s="954" t="s">
        <v>1085</v>
      </c>
      <c r="K632" s="956">
        <v>1211.4086195206041</v>
      </c>
      <c r="L632" s="956">
        <v>0.54519999999999991</v>
      </c>
    </row>
    <row r="633" spans="2:12" s="954" customFormat="1">
      <c r="B633" s="954" t="s">
        <v>1619</v>
      </c>
      <c r="C633" s="954" t="s">
        <v>1622</v>
      </c>
      <c r="D633" s="954">
        <v>65120</v>
      </c>
      <c r="E633" s="954" t="s">
        <v>990</v>
      </c>
      <c r="I633" s="954" t="s">
        <v>1623</v>
      </c>
      <c r="J633" s="954" t="s">
        <v>1085</v>
      </c>
      <c r="K633" s="956">
        <v>744.50957489479094</v>
      </c>
      <c r="L633" s="956">
        <v>0.32899999999999996</v>
      </c>
    </row>
    <row r="634" spans="2:12" s="954" customFormat="1">
      <c r="B634" s="954" t="s">
        <v>1619</v>
      </c>
      <c r="C634" s="954" t="s">
        <v>1622</v>
      </c>
      <c r="D634" s="954">
        <v>65120</v>
      </c>
      <c r="E634" s="954" t="s">
        <v>990</v>
      </c>
      <c r="I634" s="954" t="s">
        <v>1623</v>
      </c>
      <c r="J634" s="954" t="s">
        <v>1085</v>
      </c>
      <c r="K634" s="956">
        <v>1501.6391985394603</v>
      </c>
      <c r="L634" s="956">
        <v>0.66739999999999988</v>
      </c>
    </row>
    <row r="635" spans="2:12" s="954" customFormat="1">
      <c r="B635" s="954" t="s">
        <v>1619</v>
      </c>
      <c r="C635" s="954" t="s">
        <v>1622</v>
      </c>
      <c r="D635" s="954">
        <v>65120</v>
      </c>
      <c r="E635" s="954" t="s">
        <v>990</v>
      </c>
      <c r="I635" s="954" t="s">
        <v>1623</v>
      </c>
      <c r="J635" s="954" t="s">
        <v>1085</v>
      </c>
      <c r="K635" s="956">
        <v>433.43087081139782</v>
      </c>
      <c r="L635" s="956">
        <v>0.15040000000000001</v>
      </c>
    </row>
    <row r="636" spans="2:12" s="954" customFormat="1">
      <c r="B636" s="954" t="s">
        <v>1619</v>
      </c>
      <c r="C636" s="954" t="s">
        <v>1624</v>
      </c>
      <c r="D636" s="954">
        <v>61405</v>
      </c>
      <c r="E636" s="954" t="s">
        <v>990</v>
      </c>
      <c r="I636" s="954" t="s">
        <v>1625</v>
      </c>
      <c r="J636" s="954" t="s">
        <v>1085</v>
      </c>
      <c r="K636" s="956">
        <v>611.91965322738872</v>
      </c>
      <c r="L636" s="956">
        <v>0.22559999999999997</v>
      </c>
    </row>
    <row r="637" spans="2:12" s="954" customFormat="1">
      <c r="B637" s="954" t="s">
        <v>1619</v>
      </c>
      <c r="C637" s="954" t="s">
        <v>1624</v>
      </c>
      <c r="D637" s="954">
        <v>61405</v>
      </c>
      <c r="E637" s="954" t="s">
        <v>990</v>
      </c>
      <c r="I637" s="954" t="s">
        <v>1625</v>
      </c>
      <c r="J637" s="954" t="s">
        <v>1085</v>
      </c>
      <c r="K637" s="956">
        <v>1028.0941650269735</v>
      </c>
      <c r="L637" s="956">
        <v>0.17859999999999998</v>
      </c>
    </row>
    <row r="638" spans="2:12" s="954" customFormat="1">
      <c r="B638" s="954" t="s">
        <v>1619</v>
      </c>
      <c r="C638" s="954" t="s">
        <v>1626</v>
      </c>
      <c r="D638" s="954">
        <v>60705</v>
      </c>
      <c r="E638" s="954" t="s">
        <v>990</v>
      </c>
      <c r="I638" s="954" t="s">
        <v>1627</v>
      </c>
      <c r="J638" s="954" t="s">
        <v>1085</v>
      </c>
      <c r="K638" s="956">
        <v>3448.4008328986756</v>
      </c>
      <c r="L638" s="956">
        <v>0.60160000000000002</v>
      </c>
    </row>
    <row r="639" spans="2:12" s="954" customFormat="1">
      <c r="B639" s="954" t="s">
        <v>1619</v>
      </c>
      <c r="C639" s="954" t="s">
        <v>1628</v>
      </c>
      <c r="D639" s="954">
        <v>69270</v>
      </c>
      <c r="E639" s="954" t="s">
        <v>990</v>
      </c>
      <c r="I639" s="954" t="s">
        <v>1629</v>
      </c>
      <c r="J639" s="954" t="s">
        <v>1085</v>
      </c>
      <c r="K639" s="956">
        <v>1330.8592745563569</v>
      </c>
      <c r="L639" s="956">
        <v>0.67679999999999996</v>
      </c>
    </row>
    <row r="640" spans="2:12" s="954" customFormat="1">
      <c r="B640" s="954" t="s">
        <v>1619</v>
      </c>
      <c r="C640" s="954" t="s">
        <v>1628</v>
      </c>
      <c r="D640" s="954">
        <v>69270</v>
      </c>
      <c r="E640" s="954" t="s">
        <v>990</v>
      </c>
      <c r="I640" s="954" t="s">
        <v>1629</v>
      </c>
      <c r="J640" s="954" t="s">
        <v>1085</v>
      </c>
      <c r="K640" s="956">
        <v>1181.1351627904996</v>
      </c>
      <c r="L640" s="956">
        <v>0.60160000000000002</v>
      </c>
    </row>
    <row r="641" spans="2:12" s="954" customFormat="1">
      <c r="B641" s="954" t="s">
        <v>1619</v>
      </c>
      <c r="C641" s="954" t="s">
        <v>1628</v>
      </c>
      <c r="D641" s="954">
        <v>69270</v>
      </c>
      <c r="E641" s="954" t="s">
        <v>990</v>
      </c>
      <c r="I641" s="954" t="s">
        <v>1629</v>
      </c>
      <c r="J641" s="954" t="s">
        <v>1085</v>
      </c>
      <c r="K641" s="956">
        <v>388.16728841227081</v>
      </c>
      <c r="L641" s="956">
        <v>0.19739999999999999</v>
      </c>
    </row>
    <row r="642" spans="2:12" s="954" customFormat="1">
      <c r="B642" s="954" t="s">
        <v>1619</v>
      </c>
      <c r="C642" s="954" t="s">
        <v>1630</v>
      </c>
      <c r="D642" s="954">
        <v>62550</v>
      </c>
      <c r="E642" s="954" t="s">
        <v>990</v>
      </c>
      <c r="I642" s="954" t="s">
        <v>1631</v>
      </c>
      <c r="J642" s="954" t="s">
        <v>1085</v>
      </c>
      <c r="K642" s="956">
        <v>1477.8895617826713</v>
      </c>
      <c r="L642" s="956">
        <v>0.26319999999999999</v>
      </c>
    </row>
    <row r="643" spans="2:12" s="954" customFormat="1">
      <c r="B643" s="954" t="s">
        <v>1619</v>
      </c>
      <c r="C643" s="954" t="s">
        <v>1630</v>
      </c>
      <c r="D643" s="954">
        <v>62550</v>
      </c>
      <c r="E643" s="954" t="s">
        <v>990</v>
      </c>
      <c r="I643" s="954" t="s">
        <v>1631</v>
      </c>
      <c r="J643" s="954" t="s">
        <v>1085</v>
      </c>
      <c r="K643" s="956">
        <v>514.05013673632072</v>
      </c>
      <c r="L643" s="956">
        <v>9.4E-2</v>
      </c>
    </row>
    <row r="644" spans="2:12" s="954" customFormat="1">
      <c r="B644" s="954" t="s">
        <v>1619</v>
      </c>
      <c r="C644" s="954" t="s">
        <v>1632</v>
      </c>
      <c r="D644" s="954">
        <v>61265</v>
      </c>
      <c r="E644" s="954" t="s">
        <v>990</v>
      </c>
      <c r="I644" s="954" t="s">
        <v>1633</v>
      </c>
      <c r="J644" s="954" t="s">
        <v>1085</v>
      </c>
      <c r="K644" s="956">
        <v>2034.7721195422953</v>
      </c>
      <c r="L644" s="956">
        <v>0.71439999999999992</v>
      </c>
    </row>
    <row r="645" spans="2:12" s="954" customFormat="1">
      <c r="B645" s="954" t="s">
        <v>1619</v>
      </c>
      <c r="C645" s="954" t="s">
        <v>1632</v>
      </c>
      <c r="D645" s="954">
        <v>61265</v>
      </c>
      <c r="E645" s="954" t="s">
        <v>990</v>
      </c>
      <c r="I645" s="954" t="s">
        <v>1633</v>
      </c>
      <c r="J645" s="954" t="s">
        <v>1085</v>
      </c>
      <c r="K645" s="956">
        <v>1927.6788500927012</v>
      </c>
      <c r="L645" s="956">
        <v>0.33839999999999998</v>
      </c>
    </row>
    <row r="646" spans="2:12" s="954" customFormat="1">
      <c r="B646" s="954" t="s">
        <v>1619</v>
      </c>
      <c r="C646" s="954" t="s">
        <v>1632</v>
      </c>
      <c r="D646" s="954">
        <v>61265</v>
      </c>
      <c r="E646" s="954" t="s">
        <v>990</v>
      </c>
      <c r="I646" s="954" t="s">
        <v>1633</v>
      </c>
      <c r="J646" s="954" t="s">
        <v>1085</v>
      </c>
      <c r="K646" s="956">
        <v>307.89620389041812</v>
      </c>
      <c r="L646" s="956">
        <v>0.11279999999999998</v>
      </c>
    </row>
    <row r="647" spans="2:12" s="954" customFormat="1">
      <c r="B647" s="954" t="s">
        <v>1619</v>
      </c>
      <c r="C647" s="954" t="s">
        <v>1632</v>
      </c>
      <c r="D647" s="954">
        <v>61265</v>
      </c>
      <c r="E647" s="954" t="s">
        <v>990</v>
      </c>
      <c r="I647" s="954" t="s">
        <v>1633</v>
      </c>
      <c r="J647" s="954" t="s">
        <v>1085</v>
      </c>
      <c r="K647" s="956">
        <v>514.05013673632072</v>
      </c>
      <c r="L647" s="956">
        <v>0.17859999999999998</v>
      </c>
    </row>
    <row r="648" spans="2:12" s="954" customFormat="1">
      <c r="B648" s="954" t="s">
        <v>1619</v>
      </c>
      <c r="C648" s="954" t="s">
        <v>1632</v>
      </c>
      <c r="D648" s="954">
        <v>61265</v>
      </c>
      <c r="E648" s="954" t="s">
        <v>990</v>
      </c>
      <c r="I648" s="954" t="s">
        <v>1633</v>
      </c>
      <c r="J648" s="954" t="s">
        <v>1085</v>
      </c>
      <c r="K648" s="956">
        <v>157.96440497185228</v>
      </c>
      <c r="L648" s="956">
        <v>5.6399999999999992E-2</v>
      </c>
    </row>
    <row r="649" spans="2:12" s="954" customFormat="1">
      <c r="B649" s="954" t="s">
        <v>1619</v>
      </c>
      <c r="C649" s="954" t="s">
        <v>1632</v>
      </c>
      <c r="D649" s="954" t="e">
        <v>#N/A</v>
      </c>
      <c r="E649" s="954" t="s">
        <v>990</v>
      </c>
      <c r="I649" s="954" t="s">
        <v>1633</v>
      </c>
      <c r="J649" s="954" t="s">
        <v>1085</v>
      </c>
      <c r="K649" s="956">
        <v>246.31696311233452</v>
      </c>
      <c r="L649" s="956">
        <v>4.7E-2</v>
      </c>
    </row>
    <row r="650" spans="2:12" s="954" customFormat="1">
      <c r="B650" s="954" t="s">
        <v>1619</v>
      </c>
      <c r="C650" s="954" t="s">
        <v>1632</v>
      </c>
      <c r="D650" s="954" t="e">
        <v>#N/A</v>
      </c>
      <c r="E650" s="954" t="s">
        <v>990</v>
      </c>
      <c r="I650" s="954" t="s">
        <v>1633</v>
      </c>
      <c r="J650" s="954" t="s">
        <v>1085</v>
      </c>
      <c r="K650" s="956">
        <v>214.18653889918897</v>
      </c>
      <c r="L650" s="956">
        <v>7.5200000000000003E-2</v>
      </c>
    </row>
    <row r="651" spans="2:12" s="954" customFormat="1">
      <c r="B651" s="954" t="s">
        <v>1619</v>
      </c>
      <c r="C651" s="954" t="s">
        <v>1632</v>
      </c>
      <c r="D651" s="954" t="e">
        <v>#N/A</v>
      </c>
      <c r="E651" s="954" t="s">
        <v>990</v>
      </c>
      <c r="I651" s="954" t="s">
        <v>1633</v>
      </c>
      <c r="J651" s="954" t="s">
        <v>1085</v>
      </c>
      <c r="K651" s="956">
        <v>34.805923415685001</v>
      </c>
      <c r="L651" s="956">
        <v>9.4000000000000004E-3</v>
      </c>
    </row>
    <row r="652" spans="2:12" s="954" customFormat="1">
      <c r="B652" s="954" t="s">
        <v>1619</v>
      </c>
      <c r="C652" s="954" t="s">
        <v>1632</v>
      </c>
      <c r="D652" s="954" t="e">
        <v>#N/A</v>
      </c>
      <c r="E652" s="954" t="s">
        <v>990</v>
      </c>
      <c r="I652" s="954" t="s">
        <v>1633</v>
      </c>
      <c r="J652" s="954" t="s">
        <v>1085</v>
      </c>
      <c r="K652" s="956">
        <v>862.10326244750286</v>
      </c>
      <c r="L652" s="956">
        <v>0.15040000000000001</v>
      </c>
    </row>
    <row r="653" spans="2:12" s="954" customFormat="1">
      <c r="B653" s="954" t="s">
        <v>1619</v>
      </c>
      <c r="C653" s="954" t="s">
        <v>1634</v>
      </c>
      <c r="D653" s="954" t="e">
        <v>#N/A</v>
      </c>
      <c r="E653" s="954" t="s">
        <v>990</v>
      </c>
      <c r="I653" s="954" t="s">
        <v>1635</v>
      </c>
      <c r="J653" s="954" t="s">
        <v>1085</v>
      </c>
      <c r="K653" s="956">
        <v>1590.8163968451086</v>
      </c>
      <c r="L653" s="956">
        <v>0.7238</v>
      </c>
    </row>
    <row r="654" spans="2:12" s="954" customFormat="1">
      <c r="B654" s="954" t="s">
        <v>1619</v>
      </c>
      <c r="C654" s="954" t="s">
        <v>1634</v>
      </c>
      <c r="D654" s="954" t="e">
        <v>#N/A</v>
      </c>
      <c r="E654" s="954" t="s">
        <v>990</v>
      </c>
      <c r="I654" s="954" t="s">
        <v>1635</v>
      </c>
      <c r="J654" s="954" t="s">
        <v>1085</v>
      </c>
      <c r="K654" s="956">
        <v>608.9814908611296</v>
      </c>
      <c r="L654" s="956">
        <v>0.27259999999999995</v>
      </c>
    </row>
    <row r="655" spans="2:12" s="954" customFormat="1">
      <c r="B655" s="954" t="s">
        <v>1619</v>
      </c>
      <c r="C655" s="954" t="s">
        <v>1636</v>
      </c>
      <c r="D655" s="954" t="e">
        <v>#N/A</v>
      </c>
      <c r="E655" s="954" t="s">
        <v>990</v>
      </c>
      <c r="I655" s="954" t="s">
        <v>1637</v>
      </c>
      <c r="J655" s="954" t="s">
        <v>1085</v>
      </c>
      <c r="K655" s="956">
        <v>2054.7833875503306</v>
      </c>
      <c r="L655" s="956">
        <v>0.7238</v>
      </c>
    </row>
    <row r="656" spans="2:12" s="954" customFormat="1">
      <c r="B656" s="954" t="s">
        <v>1619</v>
      </c>
      <c r="C656" s="954" t="s">
        <v>1636</v>
      </c>
      <c r="D656" s="954" t="e">
        <v>#N/A</v>
      </c>
      <c r="E656" s="954" t="s">
        <v>990</v>
      </c>
      <c r="I656" s="954" t="s">
        <v>1637</v>
      </c>
      <c r="J656" s="954" t="s">
        <v>1085</v>
      </c>
      <c r="K656" s="956">
        <v>468.36507158610874</v>
      </c>
      <c r="L656" s="956">
        <v>0.27259999999999995</v>
      </c>
    </row>
    <row r="657" spans="2:12" s="954" customFormat="1">
      <c r="B657" s="954" t="s">
        <v>1619</v>
      </c>
      <c r="C657" s="954" t="s">
        <v>1638</v>
      </c>
      <c r="D657" s="954" t="e">
        <v>#N/A</v>
      </c>
      <c r="E657" s="954" t="s">
        <v>990</v>
      </c>
      <c r="I657" s="954" t="s">
        <v>1639</v>
      </c>
      <c r="J657" s="954" t="s">
        <v>1085</v>
      </c>
      <c r="K657" s="956">
        <v>1151.0388509847644</v>
      </c>
      <c r="L657" s="956">
        <v>0.49819999999999998</v>
      </c>
    </row>
    <row r="658" spans="2:12" s="954" customFormat="1">
      <c r="B658" s="954" t="s">
        <v>1619</v>
      </c>
      <c r="C658" s="954" t="s">
        <v>1638</v>
      </c>
      <c r="D658" s="954" t="e">
        <v>#N/A</v>
      </c>
      <c r="E658" s="954" t="s">
        <v>990</v>
      </c>
      <c r="I658" s="954" t="s">
        <v>1639</v>
      </c>
      <c r="J658" s="954" t="s">
        <v>1085</v>
      </c>
      <c r="K658" s="956">
        <v>6815.376085044265</v>
      </c>
      <c r="L658" s="956">
        <v>2.9609999999999999</v>
      </c>
    </row>
    <row r="659" spans="2:12" s="954" customFormat="1">
      <c r="B659" s="954" t="s">
        <v>1619</v>
      </c>
      <c r="C659" s="954" t="s">
        <v>1638</v>
      </c>
      <c r="D659" s="954" t="e">
        <v>#N/A</v>
      </c>
      <c r="E659" s="954" t="s">
        <v>990</v>
      </c>
      <c r="I659" s="954" t="s">
        <v>1639</v>
      </c>
      <c r="J659" s="954" t="s">
        <v>1085</v>
      </c>
      <c r="K659" s="956">
        <v>2974.9657514082114</v>
      </c>
      <c r="L659" s="956">
        <v>1.2971999999999999</v>
      </c>
    </row>
    <row r="660" spans="2:12" s="954" customFormat="1">
      <c r="B660" s="954" t="s">
        <v>1619</v>
      </c>
      <c r="C660" s="954" t="s">
        <v>1638</v>
      </c>
      <c r="D660" s="954" t="e">
        <v>#N/A</v>
      </c>
      <c r="E660" s="954" t="s">
        <v>990</v>
      </c>
      <c r="I660" s="954" t="s">
        <v>1639</v>
      </c>
      <c r="J660" s="954" t="s">
        <v>1085</v>
      </c>
      <c r="K660" s="956">
        <v>181.74458395698065</v>
      </c>
      <c r="L660" s="956">
        <v>7.5200000000000003E-2</v>
      </c>
    </row>
    <row r="661" spans="2:12" s="954" customFormat="1">
      <c r="B661" s="954" t="s">
        <v>1619</v>
      </c>
      <c r="C661" s="954" t="s">
        <v>1638</v>
      </c>
      <c r="D661" s="954" t="e">
        <v>#N/A</v>
      </c>
      <c r="E661" s="954" t="s">
        <v>990</v>
      </c>
      <c r="I661" s="954" t="s">
        <v>1639</v>
      </c>
      <c r="J661" s="954" t="s">
        <v>1085</v>
      </c>
      <c r="K661" s="956">
        <v>363.4891679139613</v>
      </c>
      <c r="L661" s="956">
        <v>0.1598</v>
      </c>
    </row>
    <row r="662" spans="2:12" s="954" customFormat="1">
      <c r="B662" s="954" t="s">
        <v>1619</v>
      </c>
      <c r="C662" s="954" t="s">
        <v>1640</v>
      </c>
      <c r="D662" s="954" t="e">
        <v>#N/A</v>
      </c>
      <c r="E662" s="954" t="s">
        <v>990</v>
      </c>
      <c r="I662" s="954" t="s">
        <v>1641</v>
      </c>
      <c r="J662" s="954" t="s">
        <v>1085</v>
      </c>
      <c r="K662" s="956">
        <v>3915.6114082535514</v>
      </c>
      <c r="L662" s="956">
        <v>1.3065999999999998</v>
      </c>
    </row>
    <row r="663" spans="2:12" s="954" customFormat="1">
      <c r="B663" s="954" t="s">
        <v>1619</v>
      </c>
      <c r="C663" s="954" t="s">
        <v>1640</v>
      </c>
      <c r="D663" s="954" t="e">
        <v>#N/A</v>
      </c>
      <c r="E663" s="954" t="s">
        <v>990</v>
      </c>
      <c r="I663" s="954" t="s">
        <v>1641</v>
      </c>
      <c r="J663" s="954" t="s">
        <v>1085</v>
      </c>
      <c r="K663" s="956">
        <v>413.50512104271337</v>
      </c>
      <c r="L663" s="956">
        <v>0.14099999999999999</v>
      </c>
    </row>
    <row r="664" spans="2:12" s="954" customFormat="1">
      <c r="B664" s="954" t="s">
        <v>1619</v>
      </c>
      <c r="C664" s="954" t="s">
        <v>1640</v>
      </c>
      <c r="D664" s="954" t="e">
        <v>#N/A</v>
      </c>
      <c r="E664" s="954" t="s">
        <v>990</v>
      </c>
      <c r="I664" s="954" t="s">
        <v>1641</v>
      </c>
      <c r="J664" s="954" t="s">
        <v>1085</v>
      </c>
      <c r="K664" s="956">
        <v>962.02521668298471</v>
      </c>
      <c r="L664" s="956">
        <v>0.3196</v>
      </c>
    </row>
    <row r="665" spans="2:12" s="954" customFormat="1">
      <c r="B665" s="954" t="s">
        <v>1619</v>
      </c>
      <c r="C665" s="954" t="s">
        <v>1640</v>
      </c>
      <c r="D665" s="954" t="e">
        <v>#N/A</v>
      </c>
      <c r="E665" s="954" t="s">
        <v>990</v>
      </c>
      <c r="I665" s="954" t="s">
        <v>1641</v>
      </c>
      <c r="J665" s="954" t="s">
        <v>1085</v>
      </c>
      <c r="K665" s="956">
        <v>2115.3303010105392</v>
      </c>
      <c r="L665" s="956">
        <v>0.70499999999999996</v>
      </c>
    </row>
    <row r="666" spans="2:12" s="954" customFormat="1">
      <c r="B666" s="954" t="s">
        <v>1619</v>
      </c>
      <c r="C666" s="954" t="s">
        <v>1640</v>
      </c>
      <c r="D666" s="954" t="e">
        <v>#N/A</v>
      </c>
      <c r="E666" s="954" t="s">
        <v>990</v>
      </c>
      <c r="I666" s="954" t="s">
        <v>1641</v>
      </c>
      <c r="J666" s="954" t="s">
        <v>1085</v>
      </c>
      <c r="K666" s="956">
        <v>219.4092599452421</v>
      </c>
      <c r="L666" s="956">
        <v>7.5200000000000003E-2</v>
      </c>
    </row>
    <row r="667" spans="2:12" s="954" customFormat="1">
      <c r="B667" s="954" t="s">
        <v>1619</v>
      </c>
      <c r="C667" s="954" t="s">
        <v>1642</v>
      </c>
      <c r="D667" s="954" t="e">
        <v>#N/A</v>
      </c>
      <c r="E667" s="954" t="s">
        <v>990</v>
      </c>
      <c r="I667" s="954" t="s">
        <v>1604</v>
      </c>
      <c r="J667" s="954" t="s">
        <v>1085</v>
      </c>
      <c r="K667" s="956">
        <v>2424.4420855888693</v>
      </c>
      <c r="L667" s="956">
        <v>0.82719999999999994</v>
      </c>
    </row>
    <row r="668" spans="2:12" s="954" customFormat="1">
      <c r="B668" s="954" t="s">
        <v>1619</v>
      </c>
      <c r="C668" s="954" t="s">
        <v>1643</v>
      </c>
      <c r="D668" s="954">
        <v>290499</v>
      </c>
      <c r="E668" s="954" t="s">
        <v>990</v>
      </c>
      <c r="I668" s="954" t="s">
        <v>1644</v>
      </c>
      <c r="J668" s="954" t="s">
        <v>1216</v>
      </c>
      <c r="K668" s="956">
        <v>1640.8567837565322</v>
      </c>
      <c r="L668" s="956">
        <v>0.84599999999999997</v>
      </c>
    </row>
    <row r="669" spans="2:12" s="954" customFormat="1">
      <c r="B669" s="954" t="s">
        <v>1619</v>
      </c>
      <c r="C669" s="954" t="s">
        <v>1643</v>
      </c>
      <c r="D669" s="954">
        <v>289140</v>
      </c>
      <c r="E669" s="954" t="s">
        <v>990</v>
      </c>
      <c r="I669" s="954" t="s">
        <v>1644</v>
      </c>
      <c r="J669" s="954" t="s">
        <v>1216</v>
      </c>
      <c r="K669" s="956">
        <v>252.71861417229204</v>
      </c>
      <c r="L669" s="956">
        <v>0.13159999999999999</v>
      </c>
    </row>
    <row r="670" spans="2:12" s="954" customFormat="1">
      <c r="B670" s="954" t="s">
        <v>1619</v>
      </c>
      <c r="C670" s="954" t="s">
        <v>1643</v>
      </c>
      <c r="D670" s="954">
        <v>289140</v>
      </c>
      <c r="E670" s="954" t="s">
        <v>990</v>
      </c>
      <c r="I670" s="954" t="s">
        <v>1644</v>
      </c>
      <c r="J670" s="954" t="s">
        <v>1216</v>
      </c>
      <c r="K670" s="956">
        <v>43.950266580528883</v>
      </c>
      <c r="L670" s="956">
        <v>1.8800000000000001E-2</v>
      </c>
    </row>
    <row r="671" spans="2:12" s="954" customFormat="1">
      <c r="B671" s="954" t="s">
        <v>1619</v>
      </c>
      <c r="C671" s="954" t="s">
        <v>1645</v>
      </c>
      <c r="D671" s="954">
        <v>65600</v>
      </c>
      <c r="E671" s="954" t="s">
        <v>990</v>
      </c>
      <c r="I671" s="954" t="s">
        <v>1646</v>
      </c>
      <c r="J671" s="954" t="s">
        <v>1085</v>
      </c>
      <c r="K671" s="956">
        <v>333.71049528295669</v>
      </c>
      <c r="L671" s="956">
        <v>0.13159999999999999</v>
      </c>
    </row>
    <row r="672" spans="2:12" s="954" customFormat="1">
      <c r="B672" s="954" t="s">
        <v>1619</v>
      </c>
      <c r="C672" s="954" t="s">
        <v>1647</v>
      </c>
      <c r="D672" s="954">
        <v>65620</v>
      </c>
      <c r="E672" s="954" t="s">
        <v>990</v>
      </c>
      <c r="I672" s="954" t="s">
        <v>1648</v>
      </c>
      <c r="J672" s="954" t="s">
        <v>1085</v>
      </c>
      <c r="K672" s="956">
        <v>1911.9434940521946</v>
      </c>
      <c r="L672" s="956">
        <v>0.94</v>
      </c>
    </row>
    <row r="673" spans="2:12" s="954" customFormat="1">
      <c r="B673" s="954" t="s">
        <v>1619</v>
      </c>
      <c r="C673" s="954" t="s">
        <v>1649</v>
      </c>
      <c r="D673" s="954">
        <v>65631</v>
      </c>
      <c r="E673" s="954" t="s">
        <v>990</v>
      </c>
      <c r="I673" s="954" t="s">
        <v>1648</v>
      </c>
      <c r="J673" s="954" t="s">
        <v>1085</v>
      </c>
      <c r="K673" s="956">
        <v>1831.3120112359361</v>
      </c>
      <c r="L673" s="956">
        <v>0.94</v>
      </c>
    </row>
    <row r="674" spans="2:12" s="954" customFormat="1">
      <c r="B674" s="954" t="s">
        <v>1619</v>
      </c>
      <c r="C674" s="954" t="s">
        <v>1650</v>
      </c>
      <c r="D674" s="954">
        <v>65631</v>
      </c>
      <c r="E674" s="954" t="s">
        <v>990</v>
      </c>
      <c r="I674" s="954" t="s">
        <v>1648</v>
      </c>
      <c r="J674" s="954" t="s">
        <v>1085</v>
      </c>
      <c r="K674" s="956">
        <v>994.21061690714123</v>
      </c>
      <c r="L674" s="956">
        <v>0.48880000000000001</v>
      </c>
    </row>
    <row r="675" spans="2:12" s="954" customFormat="1">
      <c r="B675" s="954" t="s">
        <v>1619</v>
      </c>
      <c r="C675" s="954" t="s">
        <v>1650</v>
      </c>
      <c r="D675" s="954">
        <v>65631</v>
      </c>
      <c r="E675" s="954" t="s">
        <v>990</v>
      </c>
      <c r="I675" s="954" t="s">
        <v>1648</v>
      </c>
      <c r="J675" s="954" t="s">
        <v>1085</v>
      </c>
      <c r="K675" s="956">
        <v>175.89880145280191</v>
      </c>
      <c r="L675" s="956">
        <v>8.4599999999999995E-2</v>
      </c>
    </row>
    <row r="676" spans="2:12" s="954" customFormat="1">
      <c r="B676" s="954" t="s">
        <v>1619</v>
      </c>
      <c r="C676" s="954" t="s">
        <v>1650</v>
      </c>
      <c r="D676" s="954">
        <v>64630</v>
      </c>
      <c r="E676" s="954" t="s">
        <v>990</v>
      </c>
      <c r="I676" s="954" t="s">
        <v>1648</v>
      </c>
      <c r="J676" s="954" t="s">
        <v>1085</v>
      </c>
      <c r="K676" s="956">
        <v>2730.2553095065341</v>
      </c>
      <c r="L676" s="956">
        <v>1.3441999999999998</v>
      </c>
    </row>
    <row r="677" spans="2:12" s="954" customFormat="1">
      <c r="B677" s="954" t="s">
        <v>1619</v>
      </c>
      <c r="C677" s="954" t="s">
        <v>1650</v>
      </c>
      <c r="D677" s="954">
        <v>65634</v>
      </c>
      <c r="E677" s="954" t="s">
        <v>990</v>
      </c>
      <c r="I677" s="954" t="s">
        <v>1648</v>
      </c>
      <c r="J677" s="954" t="s">
        <v>1085</v>
      </c>
      <c r="K677" s="956">
        <v>202.66601036953261</v>
      </c>
      <c r="L677" s="956">
        <v>0.10339999999999999</v>
      </c>
    </row>
    <row r="678" spans="2:12" s="954" customFormat="1">
      <c r="B678" s="954" t="s">
        <v>1619</v>
      </c>
      <c r="C678" s="954" t="s">
        <v>1651</v>
      </c>
      <c r="D678" s="954">
        <v>65634</v>
      </c>
      <c r="E678" s="954" t="s">
        <v>990</v>
      </c>
      <c r="I678" s="954" t="s">
        <v>1652</v>
      </c>
      <c r="J678" s="954" t="s">
        <v>1085</v>
      </c>
      <c r="K678" s="956">
        <v>2230.8043579164905</v>
      </c>
      <c r="L678" s="956">
        <v>0.94</v>
      </c>
    </row>
    <row r="679" spans="2:12" s="954" customFormat="1">
      <c r="B679" s="954" t="s">
        <v>1619</v>
      </c>
      <c r="C679" s="954" t="s">
        <v>1653</v>
      </c>
      <c r="D679" s="954">
        <v>286201</v>
      </c>
      <c r="E679" s="954" t="s">
        <v>990</v>
      </c>
      <c r="I679" s="954" t="s">
        <v>1652</v>
      </c>
      <c r="J679" s="954" t="s">
        <v>1085</v>
      </c>
      <c r="K679" s="956">
        <v>1441.7886478853918</v>
      </c>
      <c r="L679" s="956">
        <v>0.60160000000000002</v>
      </c>
    </row>
    <row r="680" spans="2:12" s="954" customFormat="1">
      <c r="B680" s="954" t="s">
        <v>1619</v>
      </c>
      <c r="C680" s="954" t="s">
        <v>1654</v>
      </c>
      <c r="D680" s="954">
        <v>286201</v>
      </c>
      <c r="E680" s="954" t="s">
        <v>990</v>
      </c>
      <c r="I680" s="954" t="s">
        <v>1652</v>
      </c>
      <c r="J680" s="954" t="s">
        <v>1085</v>
      </c>
      <c r="K680" s="956">
        <v>331.16327343944306</v>
      </c>
      <c r="L680" s="956">
        <v>0.14099999999999999</v>
      </c>
    </row>
    <row r="681" spans="2:12" s="954" customFormat="1">
      <c r="B681" s="954" t="s">
        <v>1619</v>
      </c>
      <c r="C681" s="954" t="s">
        <v>1654</v>
      </c>
      <c r="D681" s="954">
        <v>286201</v>
      </c>
      <c r="E681" s="954" t="s">
        <v>990</v>
      </c>
      <c r="I681" s="954" t="s">
        <v>1652</v>
      </c>
      <c r="J681" s="954" t="s">
        <v>1085</v>
      </c>
      <c r="K681" s="956">
        <v>1502.616549846324</v>
      </c>
      <c r="L681" s="956">
        <v>0.62980000000000003</v>
      </c>
    </row>
    <row r="682" spans="2:12" s="954" customFormat="1">
      <c r="B682" s="954" t="s">
        <v>1619</v>
      </c>
      <c r="C682" s="954" t="s">
        <v>1654</v>
      </c>
      <c r="D682" s="954" t="e">
        <v>#N/A</v>
      </c>
      <c r="E682" s="954" t="s">
        <v>990</v>
      </c>
      <c r="I682" s="954" t="s">
        <v>1652</v>
      </c>
      <c r="J682" s="954" t="s">
        <v>1085</v>
      </c>
      <c r="K682" s="956">
        <v>473.08690008739416</v>
      </c>
      <c r="L682" s="956">
        <v>0.19739999999999999</v>
      </c>
    </row>
    <row r="683" spans="2:12" s="954" customFormat="1">
      <c r="B683" s="954" t="s">
        <v>1619</v>
      </c>
      <c r="C683" s="954" t="s">
        <v>1654</v>
      </c>
      <c r="D683" s="954" t="e">
        <v>#N/A</v>
      </c>
      <c r="E683" s="954" t="s">
        <v>990</v>
      </c>
      <c r="I683" s="954" t="s">
        <v>1652</v>
      </c>
      <c r="J683" s="954" t="s">
        <v>1085</v>
      </c>
      <c r="K683" s="956">
        <v>130.65965283634648</v>
      </c>
      <c r="L683" s="956">
        <v>5.6399999999999992E-2</v>
      </c>
    </row>
    <row r="684" spans="2:12" s="954" customFormat="1">
      <c r="B684" s="954" t="s">
        <v>1619</v>
      </c>
      <c r="C684" s="954" t="s">
        <v>1654</v>
      </c>
      <c r="D684" s="954" t="e">
        <v>#N/A</v>
      </c>
      <c r="E684" s="954" t="s">
        <v>990</v>
      </c>
      <c r="I684" s="954" t="s">
        <v>1652</v>
      </c>
      <c r="J684" s="954" t="s">
        <v>1085</v>
      </c>
      <c r="K684" s="956">
        <v>1279.5849816200182</v>
      </c>
      <c r="L684" s="956">
        <v>0.53579999999999994</v>
      </c>
    </row>
    <row r="685" spans="2:12" s="954" customFormat="1">
      <c r="B685" s="954" t="s">
        <v>1619</v>
      </c>
      <c r="C685" s="954" t="s">
        <v>1655</v>
      </c>
      <c r="D685" s="954" t="e">
        <v>#N/A</v>
      </c>
      <c r="E685" s="954" t="s">
        <v>990</v>
      </c>
      <c r="I685" s="954" t="s">
        <v>1652</v>
      </c>
      <c r="J685" s="954" t="s">
        <v>1085</v>
      </c>
      <c r="K685" s="956">
        <v>2565.4250116039643</v>
      </c>
      <c r="L685" s="956">
        <v>1.081</v>
      </c>
    </row>
    <row r="686" spans="2:12" s="954" customFormat="1">
      <c r="B686" s="954" t="s">
        <v>1619</v>
      </c>
      <c r="C686" s="954" t="s">
        <v>1656</v>
      </c>
      <c r="D686" s="954" t="e">
        <v>#N/A</v>
      </c>
      <c r="E686" s="954" t="s">
        <v>990</v>
      </c>
      <c r="I686" s="954" t="s">
        <v>1652</v>
      </c>
      <c r="J686" s="954" t="s">
        <v>1085</v>
      </c>
      <c r="K686" s="956">
        <v>646.93326379578218</v>
      </c>
      <c r="L686" s="956">
        <v>0.27259999999999995</v>
      </c>
    </row>
    <row r="687" spans="2:12" s="954" customFormat="1">
      <c r="B687" s="954" t="s">
        <v>1619</v>
      </c>
      <c r="C687" s="954" t="s">
        <v>1656</v>
      </c>
      <c r="D687" s="954" t="e">
        <v>#N/A</v>
      </c>
      <c r="E687" s="954" t="s">
        <v>990</v>
      </c>
      <c r="I687" s="954" t="s">
        <v>1652</v>
      </c>
      <c r="J687" s="954" t="s">
        <v>1085</v>
      </c>
      <c r="K687" s="956">
        <v>461.77405871044635</v>
      </c>
      <c r="L687" s="956">
        <v>0.19739999999999999</v>
      </c>
    </row>
    <row r="688" spans="2:12" s="954" customFormat="1">
      <c r="B688" s="954" t="s">
        <v>1619</v>
      </c>
      <c r="C688" s="954" t="s">
        <v>1656</v>
      </c>
      <c r="D688" s="954" t="e">
        <v>#N/A</v>
      </c>
      <c r="E688" s="954" t="s">
        <v>990</v>
      </c>
      <c r="I688" s="954" t="s">
        <v>1652</v>
      </c>
      <c r="J688" s="954" t="s">
        <v>1085</v>
      </c>
      <c r="K688" s="956">
        <v>1530.3305678415788</v>
      </c>
      <c r="L688" s="956">
        <v>0.64859999999999995</v>
      </c>
    </row>
    <row r="689" spans="1:20" s="954" customFormat="1">
      <c r="B689" s="954" t="s">
        <v>1619</v>
      </c>
      <c r="C689" s="954" t="s">
        <v>1657</v>
      </c>
      <c r="D689" s="954" t="e">
        <v>#N/A</v>
      </c>
      <c r="E689" s="954" t="s">
        <v>990</v>
      </c>
      <c r="I689" s="954" t="s">
        <v>1652</v>
      </c>
      <c r="J689" s="954" t="s">
        <v>1085</v>
      </c>
      <c r="K689" s="956">
        <v>2312.5353609529711</v>
      </c>
      <c r="L689" s="956">
        <v>1.081</v>
      </c>
    </row>
    <row r="690" spans="1:20" s="954" customFormat="1">
      <c r="B690" s="954" t="s">
        <v>1619</v>
      </c>
      <c r="C690" s="954" t="s">
        <v>1658</v>
      </c>
      <c r="D690" s="954" t="e">
        <v>#N/A</v>
      </c>
      <c r="E690" s="954" t="s">
        <v>990</v>
      </c>
      <c r="I690" s="954" t="s">
        <v>1652</v>
      </c>
      <c r="J690" s="954" t="s">
        <v>1085</v>
      </c>
      <c r="K690" s="956">
        <v>1168.4234873556031</v>
      </c>
      <c r="L690" s="956">
        <v>0.56399999999999995</v>
      </c>
    </row>
    <row r="691" spans="1:20" s="954" customFormat="1">
      <c r="B691" s="954" t="s">
        <v>1619</v>
      </c>
      <c r="C691" s="954" t="s">
        <v>1658</v>
      </c>
      <c r="D691" s="954">
        <v>61840</v>
      </c>
      <c r="E691" s="954" t="s">
        <v>990</v>
      </c>
      <c r="I691" s="954" t="s">
        <v>1652</v>
      </c>
      <c r="J691" s="954" t="s">
        <v>1085</v>
      </c>
      <c r="K691" s="956">
        <v>895.79134030596242</v>
      </c>
      <c r="L691" s="956">
        <v>0.43240000000000001</v>
      </c>
    </row>
    <row r="692" spans="1:20" s="954" customFormat="1">
      <c r="B692" s="954" t="s">
        <v>1619</v>
      </c>
      <c r="C692" s="954" t="s">
        <v>1659</v>
      </c>
      <c r="D692" s="954" t="e">
        <v>#N/A</v>
      </c>
      <c r="E692" s="954" t="s">
        <v>990</v>
      </c>
      <c r="I692" s="954" t="s">
        <v>1660</v>
      </c>
      <c r="J692" s="954" t="s">
        <v>1085</v>
      </c>
      <c r="K692" s="956">
        <v>3132.3132033676056</v>
      </c>
      <c r="L692" s="956">
        <v>1.0152000000000001</v>
      </c>
    </row>
    <row r="693" spans="1:20" s="954" customFormat="1">
      <c r="B693" s="954" t="s">
        <v>1619</v>
      </c>
      <c r="C693" s="954" t="s">
        <v>1661</v>
      </c>
      <c r="D693" s="954" t="e">
        <v>#N/A</v>
      </c>
      <c r="E693" s="954" t="s">
        <v>990</v>
      </c>
      <c r="I693" s="954" t="s">
        <v>1635</v>
      </c>
      <c r="J693" s="954" t="s">
        <v>1085</v>
      </c>
      <c r="K693" s="956">
        <v>285.85082347497286</v>
      </c>
      <c r="L693" s="956">
        <v>0.13159999999999999</v>
      </c>
    </row>
    <row r="694" spans="1:20" s="954" customFormat="1">
      <c r="B694" s="954" t="s">
        <v>1619</v>
      </c>
      <c r="C694" s="954" t="s">
        <v>1661</v>
      </c>
      <c r="D694" s="954" t="e">
        <v>#N/A</v>
      </c>
      <c r="E694" s="954" t="s">
        <v>990</v>
      </c>
      <c r="I694" s="954" t="s">
        <v>1635</v>
      </c>
      <c r="J694" s="954" t="s">
        <v>1085</v>
      </c>
      <c r="K694" s="956">
        <v>1325.679312629979</v>
      </c>
      <c r="L694" s="956">
        <v>0.60160000000000002</v>
      </c>
    </row>
    <row r="695" spans="1:20" s="954" customFormat="1">
      <c r="B695" s="954" t="s">
        <v>1619</v>
      </c>
      <c r="C695" s="954" t="s">
        <v>1659</v>
      </c>
      <c r="D695" s="954" t="e">
        <v>#N/A</v>
      </c>
      <c r="E695" s="954" t="s">
        <v>1028</v>
      </c>
      <c r="I695" s="954" t="s">
        <v>1660</v>
      </c>
      <c r="J695" s="954" t="s">
        <v>1085</v>
      </c>
      <c r="K695" s="956">
        <v>600.36247402372499</v>
      </c>
      <c r="L695" s="956">
        <v>0.19739999999999999</v>
      </c>
    </row>
    <row r="696" spans="1:20" s="954" customFormat="1">
      <c r="B696" s="954" t="s">
        <v>1619</v>
      </c>
      <c r="C696" s="954" t="s">
        <v>1659</v>
      </c>
      <c r="D696" s="954" t="e">
        <v>#N/A</v>
      </c>
      <c r="E696" s="954" t="s">
        <v>1028</v>
      </c>
      <c r="I696" s="954" t="s">
        <v>1660</v>
      </c>
      <c r="J696" s="954" t="s">
        <v>1085</v>
      </c>
      <c r="K696" s="958">
        <v>246.14592663363334</v>
      </c>
      <c r="L696" s="956">
        <v>4.7E-2</v>
      </c>
    </row>
    <row r="697" spans="1:20" s="954" customFormat="1">
      <c r="K697" s="955">
        <f>SUM(K626:K696)</f>
        <v>82096.104834050682</v>
      </c>
      <c r="L697" s="922">
        <f>SUM(K626:K693)/K697</f>
        <v>0.97354091625079897</v>
      </c>
      <c r="M697" s="903" t="s">
        <v>1415</v>
      </c>
    </row>
    <row r="699" spans="1:20">
      <c r="A699" s="8" t="s">
        <v>1701</v>
      </c>
    </row>
    <row r="700" spans="1:20" customFormat="1" ht="75">
      <c r="A700" s="971" t="s">
        <v>1702</v>
      </c>
      <c r="B700" s="971" t="s">
        <v>1703</v>
      </c>
      <c r="C700" s="972" t="s">
        <v>1704</v>
      </c>
      <c r="D700" s="972" t="s">
        <v>1705</v>
      </c>
      <c r="E700" s="971" t="s">
        <v>1706</v>
      </c>
      <c r="F700" s="971" t="s">
        <v>1707</v>
      </c>
      <c r="G700" s="971" t="s">
        <v>1708</v>
      </c>
      <c r="H700" s="971" t="s">
        <v>1709</v>
      </c>
      <c r="I700" s="971" t="s">
        <v>1710</v>
      </c>
      <c r="J700" s="971" t="s">
        <v>1711</v>
      </c>
      <c r="K700" s="971" t="s">
        <v>1712</v>
      </c>
      <c r="L700" s="971" t="s">
        <v>1713</v>
      </c>
      <c r="M700" s="971" t="s">
        <v>1714</v>
      </c>
      <c r="N700" s="971" t="s">
        <v>1715</v>
      </c>
      <c r="O700" s="971" t="s">
        <v>1599</v>
      </c>
      <c r="P700" s="973" t="s">
        <v>1716</v>
      </c>
      <c r="Q700" s="974" t="s">
        <v>1717</v>
      </c>
      <c r="R700" s="971" t="s">
        <v>1718</v>
      </c>
    </row>
    <row r="701" spans="1:20" customFormat="1">
      <c r="A701" s="975">
        <v>200680</v>
      </c>
      <c r="B701" s="975" t="s">
        <v>990</v>
      </c>
      <c r="C701" s="975"/>
      <c r="D701" s="975"/>
      <c r="E701" s="975" t="s">
        <v>1085</v>
      </c>
      <c r="F701" s="975" t="s">
        <v>1719</v>
      </c>
      <c r="G701" s="954" t="s">
        <v>1720</v>
      </c>
      <c r="H701" s="954" t="s">
        <v>1721</v>
      </c>
      <c r="I701" s="954" t="s">
        <v>1722</v>
      </c>
      <c r="J701" s="954" t="s">
        <v>1723</v>
      </c>
      <c r="K701" s="954" t="s">
        <v>1724</v>
      </c>
      <c r="L701" s="954">
        <v>0.68300000000000005</v>
      </c>
      <c r="M701" s="954">
        <v>0.89849105338525981</v>
      </c>
      <c r="N701" s="954">
        <v>678.75</v>
      </c>
      <c r="O701" s="954">
        <v>0.61366938946213245</v>
      </c>
      <c r="P701" s="976">
        <v>609.85080248524514</v>
      </c>
      <c r="Q701" s="977">
        <v>678.75</v>
      </c>
      <c r="R701" s="954" t="s">
        <v>1725</v>
      </c>
    </row>
    <row r="702" spans="1:20" customFormat="1">
      <c r="A702" s="975">
        <v>184859</v>
      </c>
      <c r="B702" s="975" t="s">
        <v>990</v>
      </c>
      <c r="C702" s="975"/>
      <c r="D702" s="975"/>
      <c r="E702" s="975" t="s">
        <v>1085</v>
      </c>
      <c r="F702" s="975" t="s">
        <v>1719</v>
      </c>
      <c r="G702" s="954" t="s">
        <v>1720</v>
      </c>
      <c r="H702" s="954" t="s">
        <v>1721</v>
      </c>
      <c r="I702" s="954" t="s">
        <v>1722</v>
      </c>
      <c r="J702" s="954" t="s">
        <v>1726</v>
      </c>
      <c r="K702" s="954" t="s">
        <v>1727</v>
      </c>
      <c r="L702" s="954">
        <v>0.70399999999999996</v>
      </c>
      <c r="M702" s="954">
        <v>0.89849105338525981</v>
      </c>
      <c r="N702" s="954">
        <v>2981.0790000000002</v>
      </c>
      <c r="O702" s="954">
        <v>0.63253770158322287</v>
      </c>
      <c r="P702" s="976">
        <v>2678.472810934677</v>
      </c>
      <c r="Q702" s="977">
        <v>2981.0790000000002</v>
      </c>
      <c r="R702" s="954" t="s">
        <v>1725</v>
      </c>
    </row>
    <row r="703" spans="1:20" customFormat="1">
      <c r="A703" s="975">
        <v>198709</v>
      </c>
      <c r="B703" s="975" t="s">
        <v>990</v>
      </c>
      <c r="C703" s="975"/>
      <c r="D703" s="975"/>
      <c r="E703" s="975" t="s">
        <v>1085</v>
      </c>
      <c r="F703" s="975" t="s">
        <v>1719</v>
      </c>
      <c r="G703" s="954" t="s">
        <v>1720</v>
      </c>
      <c r="H703" s="954" t="s">
        <v>1721</v>
      </c>
      <c r="I703" s="954" t="s">
        <v>1722</v>
      </c>
      <c r="J703" s="954" t="s">
        <v>1728</v>
      </c>
      <c r="K703" s="954" t="s">
        <v>1729</v>
      </c>
      <c r="L703" s="954">
        <v>1.0249999999999999</v>
      </c>
      <c r="M703" s="954">
        <v>0.89849105338525981</v>
      </c>
      <c r="N703" s="954">
        <v>4486.3310000000001</v>
      </c>
      <c r="O703" s="954">
        <v>0.92095332971989119</v>
      </c>
      <c r="P703" s="976">
        <v>4030.928266024946</v>
      </c>
      <c r="Q703" s="977">
        <v>4486.3310000000001</v>
      </c>
      <c r="R703" s="954" t="s">
        <v>1725</v>
      </c>
      <c r="S703" s="954"/>
      <c r="T703" s="978"/>
    </row>
    <row r="704" spans="1:20" customFormat="1">
      <c r="A704" s="975">
        <v>199782</v>
      </c>
      <c r="B704" s="975" t="s">
        <v>990</v>
      </c>
      <c r="C704" s="975"/>
      <c r="D704" s="975"/>
      <c r="E704" s="975" t="s">
        <v>1085</v>
      </c>
      <c r="F704" s="975" t="s">
        <v>1719</v>
      </c>
      <c r="G704" s="954" t="s">
        <v>1720</v>
      </c>
      <c r="H704" s="954" t="s">
        <v>1721</v>
      </c>
      <c r="I704" s="954" t="s">
        <v>1722</v>
      </c>
      <c r="J704" s="954" t="s">
        <v>1730</v>
      </c>
      <c r="K704" s="954" t="s">
        <v>1731</v>
      </c>
      <c r="L704" s="954">
        <v>4.4640000000000004</v>
      </c>
      <c r="M704" s="954">
        <v>0.89849105338525981</v>
      </c>
      <c r="N704" s="954">
        <v>17619.45</v>
      </c>
      <c r="O704" s="954">
        <v>4.0108640623117999</v>
      </c>
      <c r="P704" s="976">
        <v>15830.918190568917</v>
      </c>
      <c r="Q704" s="977">
        <v>17619.45</v>
      </c>
      <c r="R704" s="954" t="s">
        <v>1725</v>
      </c>
    </row>
    <row r="705" spans="1:18" customFormat="1">
      <c r="A705" s="975">
        <v>193060</v>
      </c>
      <c r="B705" s="975" t="s">
        <v>1028</v>
      </c>
      <c r="C705" s="975"/>
      <c r="D705" s="975"/>
      <c r="E705" s="975" t="s">
        <v>1085</v>
      </c>
      <c r="F705" s="975" t="s">
        <v>1719</v>
      </c>
      <c r="G705" s="954" t="s">
        <v>1720</v>
      </c>
      <c r="H705" s="954" t="s">
        <v>1721</v>
      </c>
      <c r="I705" s="954" t="s">
        <v>1722</v>
      </c>
      <c r="J705" s="954" t="s">
        <v>1732</v>
      </c>
      <c r="K705" s="954" t="s">
        <v>1733</v>
      </c>
      <c r="L705" s="954">
        <v>3.4</v>
      </c>
      <c r="M705" s="954">
        <v>0.89849105338525981</v>
      </c>
      <c r="N705" s="954">
        <v>22817</v>
      </c>
      <c r="O705" s="954">
        <v>3.0548695815098834</v>
      </c>
      <c r="P705" s="976">
        <v>20500.870365091472</v>
      </c>
      <c r="Q705" s="977">
        <v>22817</v>
      </c>
      <c r="R705" s="954" t="s">
        <v>1725</v>
      </c>
    </row>
    <row r="706" spans="1:18" customFormat="1">
      <c r="A706" s="975">
        <v>197443</v>
      </c>
      <c r="B706" s="975" t="s">
        <v>1028</v>
      </c>
      <c r="C706" s="975"/>
      <c r="D706" s="975"/>
      <c r="E706" s="975" t="s">
        <v>1183</v>
      </c>
      <c r="F706" s="975" t="s">
        <v>1719</v>
      </c>
      <c r="G706" s="954" t="s">
        <v>1720</v>
      </c>
      <c r="H706" s="954" t="s">
        <v>1721</v>
      </c>
      <c r="I706" s="954" t="s">
        <v>1722</v>
      </c>
      <c r="J706" s="954" t="s">
        <v>1734</v>
      </c>
      <c r="K706" s="954" t="s">
        <v>1735</v>
      </c>
      <c r="L706" s="954">
        <v>4</v>
      </c>
      <c r="M706" s="954">
        <v>0.89849105338525981</v>
      </c>
      <c r="N706" s="954">
        <v>23905</v>
      </c>
      <c r="O706" s="954">
        <v>3.5939642135410392</v>
      </c>
      <c r="P706" s="976">
        <v>21478.428631174636</v>
      </c>
      <c r="Q706" s="977">
        <v>23905</v>
      </c>
      <c r="R706" s="954" t="s">
        <v>1725</v>
      </c>
    </row>
    <row r="707" spans="1:18" customFormat="1">
      <c r="A707" s="975">
        <v>191962</v>
      </c>
      <c r="B707" s="975" t="s">
        <v>1028</v>
      </c>
      <c r="C707" s="975"/>
      <c r="D707" s="975"/>
      <c r="E707" s="975" t="s">
        <v>1085</v>
      </c>
      <c r="F707" s="975" t="s">
        <v>1719</v>
      </c>
      <c r="G707" s="954" t="s">
        <v>1720</v>
      </c>
      <c r="H707" s="954" t="s">
        <v>1721</v>
      </c>
      <c r="I707" s="954" t="s">
        <v>1722</v>
      </c>
      <c r="J707" s="954" t="s">
        <v>1736</v>
      </c>
      <c r="K707" s="954" t="s">
        <v>1737</v>
      </c>
      <c r="L707" s="954">
        <v>0</v>
      </c>
      <c r="M707" s="954">
        <v>0.89849105338525981</v>
      </c>
      <c r="N707" s="979">
        <v>88914</v>
      </c>
      <c r="O707" s="954">
        <v>0</v>
      </c>
      <c r="P707" s="977">
        <v>79888.433520696984</v>
      </c>
      <c r="Q707" s="977">
        <v>88914</v>
      </c>
      <c r="R707" s="954" t="s">
        <v>1725</v>
      </c>
    </row>
    <row r="708" spans="1:18" customFormat="1">
      <c r="A708" s="975">
        <v>197123</v>
      </c>
      <c r="B708" s="975" t="s">
        <v>1028</v>
      </c>
      <c r="C708" s="975"/>
      <c r="D708" s="975"/>
      <c r="E708" s="975" t="s">
        <v>1183</v>
      </c>
      <c r="F708" s="975" t="s">
        <v>1719</v>
      </c>
      <c r="G708" s="954" t="s">
        <v>1720</v>
      </c>
      <c r="H708" s="954" t="s">
        <v>1721</v>
      </c>
      <c r="I708" s="954" t="s">
        <v>1722</v>
      </c>
      <c r="J708" s="954" t="s">
        <v>1738</v>
      </c>
      <c r="K708" s="954" t="s">
        <v>1739</v>
      </c>
      <c r="L708" s="954">
        <v>20.2</v>
      </c>
      <c r="M708" s="954">
        <v>0.89849105338525981</v>
      </c>
      <c r="N708" s="954">
        <v>121718</v>
      </c>
      <c r="O708" s="954">
        <v>18.149519278382247</v>
      </c>
      <c r="P708" s="976">
        <v>109362.53403594706</v>
      </c>
      <c r="Q708" s="977">
        <v>121718</v>
      </c>
      <c r="R708" s="954" t="s">
        <v>1725</v>
      </c>
    </row>
    <row r="710" spans="1:18">
      <c r="A710" s="980" t="s">
        <v>1740</v>
      </c>
      <c r="B710"/>
      <c r="C710"/>
    </row>
    <row r="711" spans="1:18">
      <c r="A711"/>
      <c r="B711"/>
      <c r="C711"/>
    </row>
    <row r="712" spans="1:18">
      <c r="A712"/>
      <c r="B712"/>
      <c r="C712"/>
    </row>
    <row r="713" spans="1:18">
      <c r="A713"/>
      <c r="B713"/>
      <c r="C713"/>
    </row>
    <row r="714" spans="1:18">
      <c r="A714"/>
      <c r="B714"/>
      <c r="C714"/>
    </row>
    <row r="715" spans="1:18">
      <c r="A715"/>
      <c r="B715"/>
      <c r="C715"/>
    </row>
    <row r="716" spans="1:18">
      <c r="A716"/>
      <c r="B716"/>
      <c r="C716"/>
    </row>
    <row r="717" spans="1:18">
      <c r="A717"/>
      <c r="B717"/>
      <c r="C717"/>
    </row>
    <row r="718" spans="1:18">
      <c r="A718"/>
      <c r="B718"/>
      <c r="C718"/>
    </row>
    <row r="719" spans="1:18">
      <c r="A719" s="981" t="s">
        <v>990</v>
      </c>
      <c r="B719" s="982">
        <v>9.1006094561941503E-2</v>
      </c>
      <c r="C719" s="982"/>
    </row>
    <row r="720" spans="1:18">
      <c r="A720" s="981" t="s">
        <v>1028</v>
      </c>
      <c r="B720" s="982">
        <v>0.90899390543805847</v>
      </c>
      <c r="C720" s="982"/>
    </row>
    <row r="721" spans="1:3">
      <c r="A721"/>
      <c r="B721"/>
      <c r="C721"/>
    </row>
  </sheetData>
  <mergeCells count="1">
    <mergeCell ref="B16:X16"/>
  </mergeCells>
  <conditionalFormatting sqref="B186:P201 B323:P326 B294:Q295 B272:P293 B321:Q322 B300:P320">
    <cfRule type="cellIs" dxfId="27" priority="15" operator="equal">
      <formula>"n/a"</formula>
    </cfRule>
    <cfRule type="cellIs" dxfId="26" priority="16" operator="equal">
      <formula>0</formula>
    </cfRule>
  </conditionalFormatting>
  <conditionalFormatting sqref="B202:P204">
    <cfRule type="cellIs" dxfId="25" priority="13" operator="equal">
      <formula>"n/a"</formula>
    </cfRule>
    <cfRule type="cellIs" dxfId="24" priority="14" operator="equal">
      <formula>0</formula>
    </cfRule>
  </conditionalFormatting>
  <conditionalFormatting sqref="B205:P264 B266:P267 B265:I265 L265:P265 B271:I271 L271:P271 B269:P270 B268:I268 L268:P268">
    <cfRule type="cellIs" dxfId="23" priority="11" operator="equal">
      <formula>"n/a"</formula>
    </cfRule>
    <cfRule type="cellIs" dxfId="22" priority="12" operator="equal">
      <formula>0</formula>
    </cfRule>
  </conditionalFormatting>
  <conditionalFormatting sqref="J265:K265">
    <cfRule type="cellIs" dxfId="21" priority="9" operator="equal">
      <formula>"n/a"</formula>
    </cfRule>
    <cfRule type="cellIs" dxfId="20" priority="10" operator="equal">
      <formula>0</formula>
    </cfRule>
  </conditionalFormatting>
  <conditionalFormatting sqref="J271:K271">
    <cfRule type="cellIs" dxfId="19" priority="7" operator="equal">
      <formula>"n/a"</formula>
    </cfRule>
    <cfRule type="cellIs" dxfId="18" priority="8" operator="equal">
      <formula>0</formula>
    </cfRule>
  </conditionalFormatting>
  <conditionalFormatting sqref="J296:K298">
    <cfRule type="cellIs" dxfId="17" priority="5" operator="equal">
      <formula>"n/a"</formula>
    </cfRule>
    <cfRule type="cellIs" dxfId="16" priority="6" operator="equal">
      <formula>0</formula>
    </cfRule>
  </conditionalFormatting>
  <conditionalFormatting sqref="J268:K268">
    <cfRule type="cellIs" dxfId="15" priority="3" operator="equal">
      <formula>"n/a"</formula>
    </cfRule>
    <cfRule type="cellIs" dxfId="14" priority="4" operator="equal">
      <formula>0</formula>
    </cfRule>
  </conditionalFormatting>
  <conditionalFormatting sqref="J299">
    <cfRule type="cellIs" dxfId="13" priority="1" operator="equal">
      <formula>"n/a"</formula>
    </cfRule>
    <cfRule type="cellIs" dxfId="12" priority="2" operator="equal">
      <formula>0</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E492" zoomScale="70" zoomScaleNormal="70" zoomScaleSheetLayoutView="80" zoomScalePageLayoutView="85" workbookViewId="0">
      <selection activeCell="T550" sqref="T550"/>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103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3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1030" t="s">
        <v>550</v>
      </c>
      <c r="D5" s="103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33" t="s">
        <v>504</v>
      </c>
      <c r="C7" s="1034" t="s">
        <v>626</v>
      </c>
      <c r="D7" s="1034"/>
      <c r="E7" s="1034"/>
      <c r="F7" s="1034"/>
      <c r="G7" s="1034"/>
      <c r="H7" s="1034"/>
      <c r="I7" s="1034"/>
      <c r="J7" s="1034"/>
      <c r="K7" s="1034"/>
      <c r="L7" s="1034"/>
      <c r="M7" s="1034"/>
      <c r="N7" s="1034"/>
      <c r="O7" s="1034"/>
      <c r="P7" s="1034"/>
      <c r="Q7" s="1034"/>
      <c r="R7" s="1034"/>
      <c r="S7" s="1034"/>
      <c r="T7" s="1034"/>
      <c r="U7" s="1034"/>
      <c r="V7" s="1034"/>
      <c r="W7" s="1034"/>
      <c r="X7" s="1034"/>
      <c r="Y7" s="606"/>
      <c r="Z7" s="606"/>
      <c r="AA7" s="606"/>
      <c r="AB7" s="606"/>
      <c r="AC7" s="606"/>
      <c r="AD7" s="606"/>
      <c r="AE7" s="270"/>
      <c r="AF7" s="270"/>
      <c r="AG7" s="270"/>
      <c r="AH7" s="270"/>
      <c r="AI7" s="270"/>
      <c r="AJ7" s="270"/>
      <c r="AK7" s="270"/>
      <c r="AL7" s="270"/>
    </row>
    <row r="8" spans="1:39" s="271" customFormat="1" ht="58.5" customHeight="1">
      <c r="A8" s="509"/>
      <c r="B8" s="1033"/>
      <c r="C8" s="1034" t="s">
        <v>564</v>
      </c>
      <c r="D8" s="1034"/>
      <c r="E8" s="1034"/>
      <c r="F8" s="1034"/>
      <c r="G8" s="1034"/>
      <c r="H8" s="1034"/>
      <c r="I8" s="1034"/>
      <c r="J8" s="1034"/>
      <c r="K8" s="1034"/>
      <c r="L8" s="1034"/>
      <c r="M8" s="1034"/>
      <c r="N8" s="1034"/>
      <c r="O8" s="1034"/>
      <c r="P8" s="1034"/>
      <c r="Q8" s="1034"/>
      <c r="R8" s="1034"/>
      <c r="S8" s="1034"/>
      <c r="T8" s="1034"/>
      <c r="U8" s="1034"/>
      <c r="V8" s="1034"/>
      <c r="W8" s="1034"/>
      <c r="X8" s="1034"/>
      <c r="Y8" s="606"/>
      <c r="Z8" s="606"/>
      <c r="AA8" s="606"/>
      <c r="AB8" s="606"/>
      <c r="AC8" s="606"/>
      <c r="AD8" s="606"/>
      <c r="AE8" s="272"/>
      <c r="AF8" s="255"/>
      <c r="AG8" s="255"/>
      <c r="AH8" s="255"/>
      <c r="AI8" s="255"/>
      <c r="AJ8" s="255"/>
      <c r="AK8" s="255"/>
      <c r="AL8" s="255"/>
      <c r="AM8" s="256"/>
    </row>
    <row r="9" spans="1:39" s="271" customFormat="1" ht="57.75" customHeight="1">
      <c r="A9" s="509"/>
      <c r="B9" s="273"/>
      <c r="C9" s="1034" t="s">
        <v>563</v>
      </c>
      <c r="D9" s="1034"/>
      <c r="E9" s="1034"/>
      <c r="F9" s="1034"/>
      <c r="G9" s="1034"/>
      <c r="H9" s="1034"/>
      <c r="I9" s="1034"/>
      <c r="J9" s="1034"/>
      <c r="K9" s="1034"/>
      <c r="L9" s="1034"/>
      <c r="M9" s="1034"/>
      <c r="N9" s="1034"/>
      <c r="O9" s="1034"/>
      <c r="P9" s="1034"/>
      <c r="Q9" s="1034"/>
      <c r="R9" s="1034"/>
      <c r="S9" s="1034"/>
      <c r="T9" s="1034"/>
      <c r="U9" s="1034"/>
      <c r="V9" s="1034"/>
      <c r="W9" s="1034"/>
      <c r="X9" s="1034"/>
      <c r="Y9" s="606"/>
      <c r="Z9" s="606"/>
      <c r="AA9" s="606"/>
      <c r="AB9" s="606"/>
      <c r="AC9" s="606"/>
      <c r="AD9" s="606"/>
      <c r="AE9" s="272"/>
      <c r="AF9" s="255"/>
      <c r="AG9" s="255"/>
      <c r="AH9" s="255"/>
      <c r="AI9" s="255"/>
      <c r="AJ9" s="255"/>
      <c r="AK9" s="255"/>
      <c r="AL9" s="255"/>
      <c r="AM9" s="256"/>
    </row>
    <row r="10" spans="1:39" ht="41.25" customHeight="1">
      <c r="B10" s="275"/>
      <c r="C10" s="1034" t="s">
        <v>629</v>
      </c>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606"/>
      <c r="Z10" s="606"/>
      <c r="AA10" s="606"/>
      <c r="AB10" s="606"/>
      <c r="AC10" s="606"/>
      <c r="AD10" s="606"/>
      <c r="AE10" s="272"/>
      <c r="AF10" s="276"/>
      <c r="AG10" s="276"/>
      <c r="AH10" s="276"/>
      <c r="AI10" s="276"/>
      <c r="AJ10" s="276"/>
      <c r="AK10" s="276"/>
      <c r="AL10" s="276"/>
    </row>
    <row r="11" spans="1:39" ht="53.25" customHeight="1">
      <c r="C11" s="1034" t="s">
        <v>614</v>
      </c>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33"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1033"/>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1035" t="s">
        <v>211</v>
      </c>
      <c r="C19" s="1037" t="s">
        <v>33</v>
      </c>
      <c r="D19" s="284" t="s">
        <v>421</v>
      </c>
      <c r="E19" s="1039" t="s">
        <v>209</v>
      </c>
      <c r="F19" s="1040"/>
      <c r="G19" s="1040"/>
      <c r="H19" s="1040"/>
      <c r="I19" s="1040"/>
      <c r="J19" s="1040"/>
      <c r="K19" s="1040"/>
      <c r="L19" s="1040"/>
      <c r="M19" s="1041"/>
      <c r="N19" s="1045" t="s">
        <v>213</v>
      </c>
      <c r="O19" s="284" t="s">
        <v>422</v>
      </c>
      <c r="P19" s="1039" t="s">
        <v>212</v>
      </c>
      <c r="Q19" s="1040"/>
      <c r="R19" s="1040"/>
      <c r="S19" s="1040"/>
      <c r="T19" s="1040"/>
      <c r="U19" s="1040"/>
      <c r="V19" s="1040"/>
      <c r="W19" s="1040"/>
      <c r="X19" s="1041"/>
      <c r="Y19" s="1042" t="s">
        <v>243</v>
      </c>
      <c r="Z19" s="1043"/>
      <c r="AA19" s="1043"/>
      <c r="AB19" s="1043"/>
      <c r="AC19" s="1043"/>
      <c r="AD19" s="1043"/>
      <c r="AE19" s="1043"/>
      <c r="AF19" s="1043"/>
      <c r="AG19" s="1043"/>
      <c r="AH19" s="1043"/>
      <c r="AI19" s="1043"/>
      <c r="AJ19" s="1043"/>
      <c r="AK19" s="1043"/>
      <c r="AL19" s="1043"/>
      <c r="AM19" s="1044"/>
    </row>
    <row r="20" spans="1:39" s="283" customFormat="1" ht="59.25" customHeight="1">
      <c r="A20" s="509"/>
      <c r="B20" s="1036"/>
      <c r="C20" s="1038"/>
      <c r="D20" s="285">
        <v>2011</v>
      </c>
      <c r="E20" s="285">
        <v>2012</v>
      </c>
      <c r="F20" s="285">
        <v>2013</v>
      </c>
      <c r="G20" s="285">
        <v>2014</v>
      </c>
      <c r="H20" s="285">
        <v>2015</v>
      </c>
      <c r="I20" s="285">
        <v>2016</v>
      </c>
      <c r="J20" s="285">
        <v>2017</v>
      </c>
      <c r="K20" s="285">
        <v>2018</v>
      </c>
      <c r="L20" s="285">
        <v>2019</v>
      </c>
      <c r="M20" s="285">
        <v>2020</v>
      </c>
      <c r="N20" s="1046"/>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Sentinel Lighting</v>
      </c>
      <c r="AC20" s="286" t="str">
        <f>'1.  LRAMVA Summary'!H52</f>
        <v>Street Lighting</v>
      </c>
      <c r="AD20" s="286" t="str">
        <f>'1.  LRAMVA Summary'!I52</f>
        <v>Unmetered Scattered Load</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56009.836868252954</v>
      </c>
      <c r="E22" s="295">
        <v>56009.836868252954</v>
      </c>
      <c r="F22" s="295">
        <v>56009.836868252954</v>
      </c>
      <c r="G22" s="295">
        <v>55807.664865689883</v>
      </c>
      <c r="H22" s="295">
        <v>43967.060873237082</v>
      </c>
      <c r="I22" s="295">
        <v>0</v>
      </c>
      <c r="J22" s="295">
        <v>0</v>
      </c>
      <c r="K22" s="295">
        <v>0</v>
      </c>
      <c r="L22" s="295">
        <v>0</v>
      </c>
      <c r="M22" s="295">
        <v>0</v>
      </c>
      <c r="N22" s="291"/>
      <c r="O22" s="295">
        <v>7.8389970622920382</v>
      </c>
      <c r="P22" s="295">
        <v>7.8389970622920382</v>
      </c>
      <c r="Q22" s="295">
        <v>7.8389970622920382</v>
      </c>
      <c r="R22" s="295">
        <v>7.612918221674529</v>
      </c>
      <c r="S22" s="295">
        <v>5.7807770000331962</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1</v>
      </c>
      <c r="Z23" s="411">
        <v>0</v>
      </c>
      <c r="AA23" s="411">
        <v>0</v>
      </c>
      <c r="AB23" s="411">
        <v>0</v>
      </c>
      <c r="AC23" s="411">
        <v>0</v>
      </c>
      <c r="AD23" s="411">
        <v>0</v>
      </c>
      <c r="AE23" s="411">
        <v>0</v>
      </c>
      <c r="AF23" s="411">
        <v>0</v>
      </c>
      <c r="AG23" s="411">
        <v>0</v>
      </c>
      <c r="AH23" s="411">
        <v>0</v>
      </c>
      <c r="AI23" s="411">
        <v>0</v>
      </c>
      <c r="AJ23" s="411">
        <v>0</v>
      </c>
      <c r="AK23" s="411">
        <v>0</v>
      </c>
      <c r="AL23" s="411">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1221.6083922498665</v>
      </c>
      <c r="E25" s="295">
        <v>1221.6083922498665</v>
      </c>
      <c r="F25" s="295">
        <v>1221.6083922498665</v>
      </c>
      <c r="G25" s="295">
        <v>911.09127991281127</v>
      </c>
      <c r="H25" s="295">
        <v>0</v>
      </c>
      <c r="I25" s="295">
        <v>0</v>
      </c>
      <c r="J25" s="295">
        <v>0</v>
      </c>
      <c r="K25" s="295">
        <v>0</v>
      </c>
      <c r="L25" s="295">
        <v>0</v>
      </c>
      <c r="M25" s="295">
        <v>0</v>
      </c>
      <c r="N25" s="291"/>
      <c r="O25" s="295">
        <v>0.85820587384179314</v>
      </c>
      <c r="P25" s="295">
        <v>0.85820587384179314</v>
      </c>
      <c r="Q25" s="295">
        <v>0.85820587384179314</v>
      </c>
      <c r="R25" s="295">
        <v>0.51097011488867516</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1</v>
      </c>
      <c r="Z26" s="411">
        <v>0</v>
      </c>
      <c r="AA26" s="411">
        <v>0</v>
      </c>
      <c r="AB26" s="411">
        <v>0</v>
      </c>
      <c r="AC26" s="411">
        <v>0</v>
      </c>
      <c r="AD26" s="411">
        <v>0</v>
      </c>
      <c r="AE26" s="411">
        <v>0</v>
      </c>
      <c r="AF26" s="411">
        <v>0</v>
      </c>
      <c r="AG26" s="411">
        <v>0</v>
      </c>
      <c r="AH26" s="411">
        <v>0</v>
      </c>
      <c r="AI26" s="411">
        <v>0</v>
      </c>
      <c r="AJ26" s="411">
        <v>0</v>
      </c>
      <c r="AK26" s="411">
        <v>0</v>
      </c>
      <c r="AL26" s="41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31420.207910807298</v>
      </c>
      <c r="E28" s="295">
        <v>31420.207910807298</v>
      </c>
      <c r="F28" s="295">
        <v>31420.207910807298</v>
      </c>
      <c r="G28" s="295">
        <v>31420.207910807298</v>
      </c>
      <c r="H28" s="295">
        <v>31420.207910807298</v>
      </c>
      <c r="I28" s="295">
        <v>31420.207910807298</v>
      </c>
      <c r="J28" s="295">
        <v>31420.207910807298</v>
      </c>
      <c r="K28" s="295">
        <v>31420.207910807298</v>
      </c>
      <c r="L28" s="295">
        <v>31420.207910807298</v>
      </c>
      <c r="M28" s="295">
        <v>31420.207910807298</v>
      </c>
      <c r="N28" s="291"/>
      <c r="O28" s="295">
        <v>15.980383861994925</v>
      </c>
      <c r="P28" s="295">
        <v>15.980383861994925</v>
      </c>
      <c r="Q28" s="295">
        <v>15.980383861994925</v>
      </c>
      <c r="R28" s="295">
        <v>15.980383861994925</v>
      </c>
      <c r="S28" s="295">
        <v>15.980383861994925</v>
      </c>
      <c r="T28" s="295">
        <v>15.980383861994925</v>
      </c>
      <c r="U28" s="295">
        <v>15.980383861994925</v>
      </c>
      <c r="V28" s="295">
        <v>15.980383861994925</v>
      </c>
      <c r="W28" s="295">
        <v>15.980383861994925</v>
      </c>
      <c r="X28" s="295">
        <v>15.980383861994925</v>
      </c>
      <c r="Y28" s="410">
        <v>1</v>
      </c>
      <c r="Z28" s="410"/>
      <c r="AA28" s="410"/>
      <c r="AB28" s="410"/>
      <c r="AC28" s="410"/>
      <c r="AD28" s="410"/>
      <c r="AE28" s="410"/>
      <c r="AF28" s="410"/>
      <c r="AG28" s="410"/>
      <c r="AH28" s="410"/>
      <c r="AI28" s="410"/>
      <c r="AJ28" s="410"/>
      <c r="AK28" s="410"/>
      <c r="AL28" s="410"/>
      <c r="AM28" s="296">
        <v>1</v>
      </c>
    </row>
    <row r="29" spans="1:39" s="283" customFormat="1" ht="15" outlineLevel="1">
      <c r="A29" s="509"/>
      <c r="B29" s="294" t="s">
        <v>214</v>
      </c>
      <c r="C29" s="291" t="s">
        <v>163</v>
      </c>
      <c r="D29" s="295">
        <v>-6589.9943738009879</v>
      </c>
      <c r="E29" s="295">
        <v>-6589.9943738009879</v>
      </c>
      <c r="F29" s="295">
        <v>-6589.9943738009879</v>
      </c>
      <c r="G29" s="295">
        <v>-6589.9943738009879</v>
      </c>
      <c r="H29" s="295">
        <v>-6589.9943738009879</v>
      </c>
      <c r="I29" s="295">
        <v>-6589.9943738009879</v>
      </c>
      <c r="J29" s="295">
        <v>-6589.9943738009879</v>
      </c>
      <c r="K29" s="295">
        <v>-6589.9943738009879</v>
      </c>
      <c r="L29" s="295">
        <v>-6589.9943738009879</v>
      </c>
      <c r="M29" s="295">
        <v>-6589.9943738009879</v>
      </c>
      <c r="N29" s="468"/>
      <c r="O29" s="295">
        <v>-3.3235063245353778</v>
      </c>
      <c r="P29" s="295">
        <v>-3.3235063245353778</v>
      </c>
      <c r="Q29" s="295">
        <v>-3.3235063245353778</v>
      </c>
      <c r="R29" s="295">
        <v>-3.3235063245353778</v>
      </c>
      <c r="S29" s="295">
        <v>-3.3235063245353778</v>
      </c>
      <c r="T29" s="295">
        <v>-3.3235063245353778</v>
      </c>
      <c r="U29" s="295">
        <v>-3.3235063245353778</v>
      </c>
      <c r="V29" s="295">
        <v>-3.3235063245353778</v>
      </c>
      <c r="W29" s="295">
        <v>-3.3235063245353778</v>
      </c>
      <c r="X29" s="295">
        <v>-3.3235063245353778</v>
      </c>
      <c r="Y29" s="411">
        <v>1</v>
      </c>
      <c r="Z29" s="411">
        <v>0</v>
      </c>
      <c r="AA29" s="411">
        <v>0</v>
      </c>
      <c r="AB29" s="411">
        <v>0</v>
      </c>
      <c r="AC29" s="411">
        <v>0</v>
      </c>
      <c r="AD29" s="411">
        <v>0</v>
      </c>
      <c r="AE29" s="411">
        <v>0</v>
      </c>
      <c r="AF29" s="411">
        <v>0</v>
      </c>
      <c r="AG29" s="411">
        <v>0</v>
      </c>
      <c r="AH29" s="411">
        <v>0</v>
      </c>
      <c r="AI29" s="411">
        <v>0</v>
      </c>
      <c r="AJ29" s="411">
        <v>0</v>
      </c>
      <c r="AK29" s="411">
        <v>0</v>
      </c>
      <c r="AL29" s="411">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39191.261276517886</v>
      </c>
      <c r="E31" s="295">
        <v>39191.261276517886</v>
      </c>
      <c r="F31" s="295">
        <v>39191.261276517886</v>
      </c>
      <c r="G31" s="295">
        <v>39191.261276517886</v>
      </c>
      <c r="H31" s="295">
        <v>36124.44176685861</v>
      </c>
      <c r="I31" s="295">
        <v>32774.070636030759</v>
      </c>
      <c r="J31" s="295">
        <v>25463.907952910526</v>
      </c>
      <c r="K31" s="295">
        <v>25198.12685975491</v>
      </c>
      <c r="L31" s="295">
        <v>31615.317500242032</v>
      </c>
      <c r="M31" s="295">
        <v>12354.723078286168</v>
      </c>
      <c r="N31" s="291"/>
      <c r="O31" s="295">
        <v>2.4038461635870623</v>
      </c>
      <c r="P31" s="295">
        <v>2.4038461635870623</v>
      </c>
      <c r="Q31" s="295">
        <v>2.4038461635870623</v>
      </c>
      <c r="R31" s="295">
        <v>2.4038461635870623</v>
      </c>
      <c r="S31" s="295">
        <v>2.2618433728564482</v>
      </c>
      <c r="T31" s="295">
        <v>2.1067113055592461</v>
      </c>
      <c r="U31" s="295">
        <v>1.7682292075980297</v>
      </c>
      <c r="V31" s="295">
        <v>1.7378889001601747</v>
      </c>
      <c r="W31" s="295">
        <v>2.03502375818799</v>
      </c>
      <c r="X31" s="295">
        <v>1.1432014157143422</v>
      </c>
      <c r="Y31" s="410">
        <v>1</v>
      </c>
      <c r="Z31" s="410"/>
      <c r="AA31" s="410"/>
      <c r="AB31" s="410"/>
      <c r="AC31" s="410"/>
      <c r="AD31" s="410"/>
      <c r="AE31" s="410"/>
      <c r="AF31" s="410"/>
      <c r="AG31" s="410"/>
      <c r="AH31" s="410"/>
      <c r="AI31" s="410"/>
      <c r="AJ31" s="410"/>
      <c r="AK31" s="410"/>
      <c r="AL31" s="410"/>
      <c r="AM31" s="296">
        <v>1</v>
      </c>
    </row>
    <row r="32" spans="1:39" s="283" customFormat="1" ht="15" outlineLevel="1">
      <c r="A32" s="509"/>
      <c r="B32" s="294" t="s">
        <v>214</v>
      </c>
      <c r="C32" s="291" t="s">
        <v>163</v>
      </c>
      <c r="D32" s="295">
        <v>564.14543122962516</v>
      </c>
      <c r="E32" s="295">
        <v>564.14543122962516</v>
      </c>
      <c r="F32" s="295">
        <v>564.14543122962516</v>
      </c>
      <c r="G32" s="295">
        <v>564.14543122962516</v>
      </c>
      <c r="H32" s="295">
        <v>564.14543122962516</v>
      </c>
      <c r="I32" s="295">
        <v>515.44883704403924</v>
      </c>
      <c r="J32" s="295">
        <v>316.22340559630408</v>
      </c>
      <c r="K32" s="295">
        <v>315.79285987535638</v>
      </c>
      <c r="L32" s="295">
        <v>315.79285987535638</v>
      </c>
      <c r="M32" s="295">
        <v>111.85845162669827</v>
      </c>
      <c r="N32" s="468"/>
      <c r="O32" s="295">
        <v>3.2947590807174222E-2</v>
      </c>
      <c r="P32" s="295">
        <v>3.2947590807174222E-2</v>
      </c>
      <c r="Q32" s="295">
        <v>3.2947590807174222E-2</v>
      </c>
      <c r="R32" s="295">
        <v>3.2947590807174222E-2</v>
      </c>
      <c r="S32" s="295">
        <v>3.2947590807174222E-2</v>
      </c>
      <c r="T32" s="295">
        <v>3.0692794836413746E-2</v>
      </c>
      <c r="U32" s="295">
        <v>2.1468069624843673E-2</v>
      </c>
      <c r="V32" s="295">
        <v>2.1418920569940967E-2</v>
      </c>
      <c r="W32" s="295">
        <v>2.1418920569940967E-2</v>
      </c>
      <c r="X32" s="295">
        <v>1.1976155840521642E-2</v>
      </c>
      <c r="Y32" s="411">
        <v>1</v>
      </c>
      <c r="Z32" s="411">
        <v>0</v>
      </c>
      <c r="AA32" s="411">
        <v>0</v>
      </c>
      <c r="AB32" s="411">
        <v>0</v>
      </c>
      <c r="AC32" s="411">
        <v>0</v>
      </c>
      <c r="AD32" s="411">
        <v>0</v>
      </c>
      <c r="AE32" s="411">
        <v>0</v>
      </c>
      <c r="AF32" s="411">
        <v>0</v>
      </c>
      <c r="AG32" s="411">
        <v>0</v>
      </c>
      <c r="AH32" s="411">
        <v>0</v>
      </c>
      <c r="AI32" s="411">
        <v>0</v>
      </c>
      <c r="AJ32" s="411">
        <v>0</v>
      </c>
      <c r="AK32" s="411">
        <v>0</v>
      </c>
      <c r="AL32" s="411">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60143.287394809813</v>
      </c>
      <c r="E34" s="295">
        <v>60143.287394809813</v>
      </c>
      <c r="F34" s="295">
        <v>60143.287394809813</v>
      </c>
      <c r="G34" s="295">
        <v>60143.287394809813</v>
      </c>
      <c r="H34" s="295">
        <v>54966.535437653329</v>
      </c>
      <c r="I34" s="295">
        <v>49311.151984506942</v>
      </c>
      <c r="J34" s="295">
        <v>37177.465088844998</v>
      </c>
      <c r="K34" s="295">
        <v>37041.843186746461</v>
      </c>
      <c r="L34" s="295">
        <v>47873.978597049325</v>
      </c>
      <c r="M34" s="295">
        <v>15362.34250114663</v>
      </c>
      <c r="N34" s="291"/>
      <c r="O34" s="295">
        <v>3.4412498134187306</v>
      </c>
      <c r="P34" s="295">
        <v>3.4412498134187306</v>
      </c>
      <c r="Q34" s="295">
        <v>3.4412498134187306</v>
      </c>
      <c r="R34" s="295">
        <v>3.4412498134187306</v>
      </c>
      <c r="S34" s="295">
        <v>3.2015509258509862</v>
      </c>
      <c r="T34" s="295">
        <v>2.9396899880067036</v>
      </c>
      <c r="U34" s="295">
        <v>2.3778644891116287</v>
      </c>
      <c r="V34" s="295">
        <v>2.3623825368172757</v>
      </c>
      <c r="W34" s="295">
        <v>2.8639423622293032</v>
      </c>
      <c r="X34" s="295">
        <v>1.3585576983143246</v>
      </c>
      <c r="Y34" s="410">
        <v>1</v>
      </c>
      <c r="Z34" s="410"/>
      <c r="AA34" s="410"/>
      <c r="AB34" s="410"/>
      <c r="AC34" s="410"/>
      <c r="AD34" s="410"/>
      <c r="AE34" s="410"/>
      <c r="AF34" s="410"/>
      <c r="AG34" s="410"/>
      <c r="AH34" s="410"/>
      <c r="AI34" s="410"/>
      <c r="AJ34" s="410"/>
      <c r="AK34" s="410"/>
      <c r="AL34" s="410"/>
      <c r="AM34" s="296">
        <v>1</v>
      </c>
    </row>
    <row r="35" spans="1:39" s="283" customFormat="1" ht="15" outlineLevel="1">
      <c r="A35" s="509"/>
      <c r="B35" s="294" t="s">
        <v>214</v>
      </c>
      <c r="C35" s="291" t="s">
        <v>163</v>
      </c>
      <c r="D35" s="295">
        <v>4468.4454155886706</v>
      </c>
      <c r="E35" s="295">
        <v>4468.4454155886706</v>
      </c>
      <c r="F35" s="295">
        <v>4468.4454155886706</v>
      </c>
      <c r="G35" s="295">
        <v>4468.4454155886706</v>
      </c>
      <c r="H35" s="295">
        <v>4468.4454155886706</v>
      </c>
      <c r="I35" s="295">
        <v>4060.5360654242945</v>
      </c>
      <c r="J35" s="295">
        <v>2192.2393868898848</v>
      </c>
      <c r="K35" s="295">
        <v>2191.7927735239346</v>
      </c>
      <c r="L35" s="295">
        <v>2191.7927735239346</v>
      </c>
      <c r="M35" s="295">
        <v>483.52644943898775</v>
      </c>
      <c r="N35" s="468"/>
      <c r="O35" s="295">
        <v>0.22075055042028097</v>
      </c>
      <c r="P35" s="295">
        <v>0.22075055042028097</v>
      </c>
      <c r="Q35" s="295">
        <v>0.22075055042028097</v>
      </c>
      <c r="R35" s="295">
        <v>0.22075055042028097</v>
      </c>
      <c r="S35" s="295">
        <v>0.22075055042028097</v>
      </c>
      <c r="T35" s="295">
        <v>0.20186314413307879</v>
      </c>
      <c r="U35" s="295">
        <v>0.11535549624932805</v>
      </c>
      <c r="V35" s="295">
        <v>0.11530451298837485</v>
      </c>
      <c r="W35" s="295">
        <v>0.11530451298837485</v>
      </c>
      <c r="X35" s="295">
        <v>3.6206742621660494E-2</v>
      </c>
      <c r="Y35" s="411">
        <v>1</v>
      </c>
      <c r="Z35" s="411">
        <v>0</v>
      </c>
      <c r="AA35" s="411">
        <v>0</v>
      </c>
      <c r="AB35" s="411">
        <v>0</v>
      </c>
      <c r="AC35" s="411">
        <v>0</v>
      </c>
      <c r="AD35" s="411">
        <v>0</v>
      </c>
      <c r="AE35" s="411">
        <v>0</v>
      </c>
      <c r="AF35" s="411">
        <v>0</v>
      </c>
      <c r="AG35" s="411">
        <v>0</v>
      </c>
      <c r="AH35" s="411">
        <v>0</v>
      </c>
      <c r="AI35" s="411">
        <v>0</v>
      </c>
      <c r="AJ35" s="411">
        <v>0</v>
      </c>
      <c r="AK35" s="411">
        <v>0</v>
      </c>
      <c r="AL35" s="411">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c r="Z37" s="410"/>
      <c r="AA37" s="410"/>
      <c r="AB37" s="410"/>
      <c r="AC37" s="410"/>
      <c r="AD37" s="410"/>
      <c r="AE37" s="410"/>
      <c r="AF37" s="410"/>
      <c r="AG37" s="410"/>
      <c r="AH37" s="410"/>
      <c r="AI37" s="410"/>
      <c r="AJ37" s="410"/>
      <c r="AK37" s="410"/>
      <c r="AL37" s="410"/>
      <c r="AM37" s="296">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v>0</v>
      </c>
      <c r="AC38" s="411">
        <v>0</v>
      </c>
      <c r="AD38" s="411">
        <v>0</v>
      </c>
      <c r="AE38" s="411">
        <v>0</v>
      </c>
      <c r="AF38" s="411">
        <v>0</v>
      </c>
      <c r="AG38" s="411">
        <v>0</v>
      </c>
      <c r="AH38" s="411">
        <v>0</v>
      </c>
      <c r="AI38" s="411">
        <v>0</v>
      </c>
      <c r="AJ38" s="411">
        <v>0</v>
      </c>
      <c r="AK38" s="411">
        <v>0</v>
      </c>
      <c r="AL38" s="411">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v>0</v>
      </c>
      <c r="AC41" s="411">
        <v>0</v>
      </c>
      <c r="AD41" s="411">
        <v>0</v>
      </c>
      <c r="AE41" s="411">
        <v>0</v>
      </c>
      <c r="AF41" s="411">
        <v>0</v>
      </c>
      <c r="AG41" s="411">
        <v>0</v>
      </c>
      <c r="AH41" s="411">
        <v>0</v>
      </c>
      <c r="AI41" s="411">
        <v>0</v>
      </c>
      <c r="AJ41" s="411">
        <v>0</v>
      </c>
      <c r="AK41" s="411">
        <v>0</v>
      </c>
      <c r="AL41" s="411">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v>0</v>
      </c>
      <c r="AC44" s="411">
        <v>0</v>
      </c>
      <c r="AD44" s="411">
        <v>0</v>
      </c>
      <c r="AE44" s="411">
        <v>0</v>
      </c>
      <c r="AF44" s="411">
        <v>0</v>
      </c>
      <c r="AG44" s="411">
        <v>0</v>
      </c>
      <c r="AH44" s="411">
        <v>0</v>
      </c>
      <c r="AI44" s="411">
        <v>0</v>
      </c>
      <c r="AJ44" s="411">
        <v>0</v>
      </c>
      <c r="AK44" s="411">
        <v>0</v>
      </c>
      <c r="AL44" s="411">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v>1</v>
      </c>
      <c r="Z46" s="410"/>
      <c r="AA46" s="410"/>
      <c r="AB46" s="410"/>
      <c r="AC46" s="410"/>
      <c r="AD46" s="410"/>
      <c r="AE46" s="410"/>
      <c r="AF46" s="410"/>
      <c r="AG46" s="410"/>
      <c r="AH46" s="410"/>
      <c r="AI46" s="410"/>
      <c r="AJ46" s="410"/>
      <c r="AK46" s="410"/>
      <c r="AL46" s="410"/>
      <c r="AM46" s="296">
        <v>1</v>
      </c>
    </row>
    <row r="47" spans="1:39" s="283" customFormat="1" ht="15" outlineLevel="1">
      <c r="A47" s="509"/>
      <c r="B47" s="294" t="s">
        <v>214</v>
      </c>
      <c r="C47" s="291" t="s">
        <v>163</v>
      </c>
      <c r="D47" s="295">
        <v>714.64554527093981</v>
      </c>
      <c r="E47" s="295">
        <v>714.64554527093981</v>
      </c>
      <c r="F47" s="295">
        <v>714.64554527093981</v>
      </c>
      <c r="G47" s="295">
        <v>714.64554527093981</v>
      </c>
      <c r="H47" s="295">
        <v>714.64554527094003</v>
      </c>
      <c r="I47" s="295">
        <v>714.64554527094003</v>
      </c>
      <c r="J47" s="295">
        <v>714.64554527094003</v>
      </c>
      <c r="K47" s="295">
        <v>714.64554527094003</v>
      </c>
      <c r="L47" s="295">
        <v>714.64554527094003</v>
      </c>
      <c r="M47" s="295">
        <v>714.64554527094003</v>
      </c>
      <c r="N47" s="291"/>
      <c r="O47" s="295">
        <v>6.4688956800528982E-2</v>
      </c>
      <c r="P47" s="295">
        <v>6.4688956800528982E-2</v>
      </c>
      <c r="Q47" s="295">
        <v>6.4688956800528982E-2</v>
      </c>
      <c r="R47" s="295">
        <v>6.4688956800528982E-2</v>
      </c>
      <c r="S47" s="295">
        <v>6.4688956800528996E-2</v>
      </c>
      <c r="T47" s="295">
        <v>6.4688956800528996E-2</v>
      </c>
      <c r="U47" s="295">
        <v>6.4688956800528996E-2</v>
      </c>
      <c r="V47" s="295">
        <v>6.4688956800528996E-2</v>
      </c>
      <c r="W47" s="295">
        <v>6.4688956800528996E-2</v>
      </c>
      <c r="X47" s="295">
        <v>6.4688956800528996E-2</v>
      </c>
      <c r="Y47" s="411">
        <v>1</v>
      </c>
      <c r="Z47" s="411">
        <v>0</v>
      </c>
      <c r="AA47" s="411">
        <v>0</v>
      </c>
      <c r="AB47" s="411">
        <v>0</v>
      </c>
      <c r="AC47" s="411">
        <v>0</v>
      </c>
      <c r="AD47" s="411">
        <v>0</v>
      </c>
      <c r="AE47" s="411">
        <v>0</v>
      </c>
      <c r="AF47" s="411">
        <v>0</v>
      </c>
      <c r="AG47" s="411">
        <v>0</v>
      </c>
      <c r="AH47" s="411">
        <v>0</v>
      </c>
      <c r="AI47" s="411">
        <v>0</v>
      </c>
      <c r="AJ47" s="411">
        <v>0</v>
      </c>
      <c r="AK47" s="411">
        <v>0</v>
      </c>
      <c r="AL47" s="411">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191088.52495155111</v>
      </c>
      <c r="E50" s="295">
        <v>191088.52495155111</v>
      </c>
      <c r="F50" s="295">
        <v>191088.52495155111</v>
      </c>
      <c r="G50" s="295">
        <v>191088.52495155111</v>
      </c>
      <c r="H50" s="295">
        <v>191088.52495155111</v>
      </c>
      <c r="I50" s="295">
        <v>191088.52495155111</v>
      </c>
      <c r="J50" s="295">
        <v>191088.52495155111</v>
      </c>
      <c r="K50" s="295">
        <v>191088.52495155111</v>
      </c>
      <c r="L50" s="295">
        <v>191088.52495155111</v>
      </c>
      <c r="M50" s="295">
        <v>191088.52495155111</v>
      </c>
      <c r="N50" s="295">
        <v>12</v>
      </c>
      <c r="O50" s="295">
        <v>18.649321944371795</v>
      </c>
      <c r="P50" s="295">
        <v>18.649321944371795</v>
      </c>
      <c r="Q50" s="295">
        <v>18.649321944371795</v>
      </c>
      <c r="R50" s="295">
        <v>18.649321944371795</v>
      </c>
      <c r="S50" s="295">
        <v>18.649321944371795</v>
      </c>
      <c r="T50" s="295">
        <v>18.649321944371795</v>
      </c>
      <c r="U50" s="295">
        <v>18.649321944371795</v>
      </c>
      <c r="V50" s="295">
        <v>18.649321944371795</v>
      </c>
      <c r="W50" s="295">
        <v>18.649321944371795</v>
      </c>
      <c r="X50" s="295">
        <v>18.649321944371795</v>
      </c>
      <c r="Y50" s="415"/>
      <c r="Z50" s="415">
        <v>0.59</v>
      </c>
      <c r="AA50" s="415">
        <v>0.41</v>
      </c>
      <c r="AB50" s="415"/>
      <c r="AC50" s="415"/>
      <c r="AD50" s="415"/>
      <c r="AE50" s="415"/>
      <c r="AF50" s="415"/>
      <c r="AG50" s="415"/>
      <c r="AH50" s="415"/>
      <c r="AI50" s="415"/>
      <c r="AJ50" s="415"/>
      <c r="AK50" s="415"/>
      <c r="AL50" s="415"/>
      <c r="AM50" s="296">
        <v>1</v>
      </c>
    </row>
    <row r="51" spans="1:42" s="283" customFormat="1" ht="15" outlineLevel="1">
      <c r="A51" s="509"/>
      <c r="B51" s="294" t="s">
        <v>214</v>
      </c>
      <c r="C51" s="291" t="s">
        <v>163</v>
      </c>
      <c r="D51" s="295"/>
      <c r="E51" s="295"/>
      <c r="F51" s="295"/>
      <c r="G51" s="295"/>
      <c r="H51" s="295"/>
      <c r="I51" s="295"/>
      <c r="J51" s="295"/>
      <c r="K51" s="295"/>
      <c r="L51" s="295"/>
      <c r="M51" s="295"/>
      <c r="N51" s="295">
        <v>12</v>
      </c>
      <c r="O51" s="295"/>
      <c r="P51" s="295"/>
      <c r="Q51" s="295"/>
      <c r="R51" s="295"/>
      <c r="S51" s="295"/>
      <c r="T51" s="295"/>
      <c r="U51" s="295"/>
      <c r="V51" s="295"/>
      <c r="W51" s="295"/>
      <c r="X51" s="295"/>
      <c r="Y51" s="411">
        <v>0</v>
      </c>
      <c r="Z51" s="411">
        <v>0.59</v>
      </c>
      <c r="AA51" s="411">
        <v>0.41</v>
      </c>
      <c r="AB51" s="411">
        <v>0</v>
      </c>
      <c r="AC51" s="411">
        <v>0</v>
      </c>
      <c r="AD51" s="411">
        <v>0</v>
      </c>
      <c r="AE51" s="411">
        <v>0</v>
      </c>
      <c r="AF51" s="411">
        <v>0</v>
      </c>
      <c r="AG51" s="411">
        <v>0</v>
      </c>
      <c r="AH51" s="411">
        <v>0</v>
      </c>
      <c r="AI51" s="411">
        <v>0</v>
      </c>
      <c r="AJ51" s="411">
        <v>0</v>
      </c>
      <c r="AK51" s="411">
        <v>0</v>
      </c>
      <c r="AL51" s="411">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142765.63062954822</v>
      </c>
      <c r="E53" s="295">
        <v>142765.63062954822</v>
      </c>
      <c r="F53" s="295">
        <v>142765.63062954822</v>
      </c>
      <c r="G53" s="295">
        <v>130691.71616629191</v>
      </c>
      <c r="H53" s="295">
        <v>130691.71616629191</v>
      </c>
      <c r="I53" s="295">
        <v>130603.50146914968</v>
      </c>
      <c r="J53" s="295">
        <v>16904.870408403789</v>
      </c>
      <c r="K53" s="295">
        <v>16774.278062634432</v>
      </c>
      <c r="L53" s="295">
        <v>16774.278062634432</v>
      </c>
      <c r="M53" s="295">
        <v>16774.278062634432</v>
      </c>
      <c r="N53" s="295">
        <v>12</v>
      </c>
      <c r="O53" s="295">
        <v>57.498347252862139</v>
      </c>
      <c r="P53" s="295">
        <v>57.498347252862139</v>
      </c>
      <c r="Q53" s="295">
        <v>57.498347252862139</v>
      </c>
      <c r="R53" s="295">
        <v>52.822898036308402</v>
      </c>
      <c r="S53" s="295">
        <v>52.822898036308402</v>
      </c>
      <c r="T53" s="295">
        <v>52.705378120071707</v>
      </c>
      <c r="U53" s="295">
        <v>7.1859972310610383</v>
      </c>
      <c r="V53" s="295">
        <v>7.0120216687890773</v>
      </c>
      <c r="W53" s="295">
        <v>7.0120216687890773</v>
      </c>
      <c r="X53" s="295">
        <v>7.0120216687890773</v>
      </c>
      <c r="Y53" s="415"/>
      <c r="Z53" s="415">
        <v>1</v>
      </c>
      <c r="AA53" s="415"/>
      <c r="AB53" s="415"/>
      <c r="AC53" s="415"/>
      <c r="AD53" s="415"/>
      <c r="AE53" s="415"/>
      <c r="AF53" s="415"/>
      <c r="AG53" s="415"/>
      <c r="AH53" s="415"/>
      <c r="AI53" s="415"/>
      <c r="AJ53" s="415"/>
      <c r="AK53" s="415"/>
      <c r="AL53" s="415"/>
      <c r="AM53" s="296">
        <v>1</v>
      </c>
    </row>
    <row r="54" spans="1:42" s="283" customFormat="1" ht="15" outlineLevel="1">
      <c r="A54" s="509"/>
      <c r="B54" s="315" t="s">
        <v>214</v>
      </c>
      <c r="C54" s="291" t="s">
        <v>163</v>
      </c>
      <c r="D54" s="295"/>
      <c r="E54" s="295"/>
      <c r="F54" s="295"/>
      <c r="G54" s="295"/>
      <c r="H54" s="295"/>
      <c r="I54" s="295"/>
      <c r="J54" s="295"/>
      <c r="K54" s="295"/>
      <c r="L54" s="295"/>
      <c r="M54" s="295"/>
      <c r="N54" s="295">
        <v>12</v>
      </c>
      <c r="O54" s="295"/>
      <c r="P54" s="295"/>
      <c r="Q54" s="295"/>
      <c r="R54" s="295"/>
      <c r="S54" s="295"/>
      <c r="T54" s="295"/>
      <c r="U54" s="295"/>
      <c r="V54" s="295"/>
      <c r="W54" s="295"/>
      <c r="X54" s="295"/>
      <c r="Y54" s="411">
        <v>0</v>
      </c>
      <c r="Z54" s="411">
        <v>1</v>
      </c>
      <c r="AA54" s="411">
        <v>0</v>
      </c>
      <c r="AB54" s="411">
        <v>0</v>
      </c>
      <c r="AC54" s="411">
        <v>0</v>
      </c>
      <c r="AD54" s="411">
        <v>0</v>
      </c>
      <c r="AE54" s="411">
        <v>0</v>
      </c>
      <c r="AF54" s="411">
        <v>0</v>
      </c>
      <c r="AG54" s="411">
        <v>0</v>
      </c>
      <c r="AH54" s="411">
        <v>0</v>
      </c>
      <c r="AI54" s="411">
        <v>0</v>
      </c>
      <c r="AJ54" s="411">
        <v>0</v>
      </c>
      <c r="AK54" s="411">
        <v>0</v>
      </c>
      <c r="AL54" s="41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v>0</v>
      </c>
    </row>
    <row r="57" spans="1:42" s="283" customFormat="1" ht="15" outlineLevel="1">
      <c r="A57" s="509"/>
      <c r="B57" s="315" t="s">
        <v>214</v>
      </c>
      <c r="C57" s="291" t="s">
        <v>163</v>
      </c>
      <c r="D57" s="295"/>
      <c r="E57" s="295"/>
      <c r="F57" s="295"/>
      <c r="G57" s="295"/>
      <c r="H57" s="295"/>
      <c r="I57" s="295"/>
      <c r="J57" s="295"/>
      <c r="K57" s="295"/>
      <c r="L57" s="295"/>
      <c r="M57" s="295"/>
      <c r="N57" s="295">
        <v>3</v>
      </c>
      <c r="O57" s="295"/>
      <c r="P57" s="295"/>
      <c r="Q57" s="295"/>
      <c r="R57" s="295"/>
      <c r="S57" s="295"/>
      <c r="T57" s="295"/>
      <c r="U57" s="295"/>
      <c r="V57" s="295"/>
      <c r="W57" s="295"/>
      <c r="X57" s="295"/>
      <c r="Y57" s="411">
        <v>0</v>
      </c>
      <c r="Z57" s="411">
        <v>0</v>
      </c>
      <c r="AA57" s="411">
        <v>0</v>
      </c>
      <c r="AB57" s="411">
        <v>0</v>
      </c>
      <c r="AC57" s="411">
        <v>0</v>
      </c>
      <c r="AD57" s="411">
        <v>0</v>
      </c>
      <c r="AE57" s="411">
        <v>0</v>
      </c>
      <c r="AF57" s="411">
        <v>0</v>
      </c>
      <c r="AG57" s="411">
        <v>0</v>
      </c>
      <c r="AH57" s="411">
        <v>0</v>
      </c>
      <c r="AI57" s="411">
        <v>0</v>
      </c>
      <c r="AJ57" s="411">
        <v>0</v>
      </c>
      <c r="AK57" s="411">
        <v>0</v>
      </c>
      <c r="AL57" s="4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v>0</v>
      </c>
    </row>
    <row r="60" spans="1:42" s="283" customFormat="1" ht="15" outlineLevel="1">
      <c r="A60" s="509"/>
      <c r="B60" s="315" t="s">
        <v>214</v>
      </c>
      <c r="C60" s="291" t="s">
        <v>163</v>
      </c>
      <c r="D60" s="295"/>
      <c r="E60" s="295"/>
      <c r="F60" s="295"/>
      <c r="G60" s="295"/>
      <c r="H60" s="295"/>
      <c r="I60" s="295"/>
      <c r="J60" s="295"/>
      <c r="K60" s="295"/>
      <c r="L60" s="295"/>
      <c r="M60" s="295"/>
      <c r="N60" s="295">
        <v>12</v>
      </c>
      <c r="O60" s="295"/>
      <c r="P60" s="295"/>
      <c r="Q60" s="295"/>
      <c r="R60" s="295"/>
      <c r="S60" s="295"/>
      <c r="T60" s="295"/>
      <c r="U60" s="295"/>
      <c r="V60" s="295"/>
      <c r="W60" s="295"/>
      <c r="X60" s="295"/>
      <c r="Y60" s="411">
        <v>0</v>
      </c>
      <c r="Z60" s="411">
        <v>0</v>
      </c>
      <c r="AA60" s="411">
        <v>0</v>
      </c>
      <c r="AB60" s="411">
        <v>0</v>
      </c>
      <c r="AC60" s="411">
        <v>0</v>
      </c>
      <c r="AD60" s="411">
        <v>0</v>
      </c>
      <c r="AE60" s="411">
        <v>0</v>
      </c>
      <c r="AF60" s="411">
        <v>0</v>
      </c>
      <c r="AG60" s="411">
        <v>0</v>
      </c>
      <c r="AH60" s="411">
        <v>0</v>
      </c>
      <c r="AI60" s="411">
        <v>0</v>
      </c>
      <c r="AJ60" s="411">
        <v>0</v>
      </c>
      <c r="AK60" s="411">
        <v>0</v>
      </c>
      <c r="AL60" s="411">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v>0</v>
      </c>
    </row>
    <row r="63" spans="1:42" s="283" customFormat="1" ht="15" outlineLevel="1">
      <c r="A63" s="509"/>
      <c r="B63" s="315" t="s">
        <v>214</v>
      </c>
      <c r="C63" s="291" t="s">
        <v>163</v>
      </c>
      <c r="D63" s="295"/>
      <c r="E63" s="295"/>
      <c r="F63" s="295"/>
      <c r="G63" s="295"/>
      <c r="H63" s="295"/>
      <c r="I63" s="295"/>
      <c r="J63" s="295"/>
      <c r="K63" s="295"/>
      <c r="L63" s="295"/>
      <c r="M63" s="295"/>
      <c r="N63" s="295">
        <v>12</v>
      </c>
      <c r="O63" s="295"/>
      <c r="P63" s="295"/>
      <c r="Q63" s="295"/>
      <c r="R63" s="295"/>
      <c r="S63" s="295"/>
      <c r="T63" s="295"/>
      <c r="U63" s="295"/>
      <c r="V63" s="295"/>
      <c r="W63" s="295"/>
      <c r="X63" s="295"/>
      <c r="Y63" s="411">
        <v>0</v>
      </c>
      <c r="Z63" s="411">
        <v>0</v>
      </c>
      <c r="AA63" s="411">
        <v>0</v>
      </c>
      <c r="AB63" s="411">
        <v>0</v>
      </c>
      <c r="AC63" s="411">
        <v>0</v>
      </c>
      <c r="AD63" s="411">
        <v>0</v>
      </c>
      <c r="AE63" s="411">
        <v>0</v>
      </c>
      <c r="AF63" s="411">
        <v>0</v>
      </c>
      <c r="AG63" s="411">
        <v>0</v>
      </c>
      <c r="AH63" s="411">
        <v>0</v>
      </c>
      <c r="AI63" s="411">
        <v>0</v>
      </c>
      <c r="AJ63" s="411">
        <v>0</v>
      </c>
      <c r="AK63" s="411">
        <v>0</v>
      </c>
      <c r="AL63" s="411">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v>0</v>
      </c>
      <c r="AC66" s="411">
        <v>0</v>
      </c>
      <c r="AD66" s="411">
        <v>0</v>
      </c>
      <c r="AE66" s="411">
        <v>0</v>
      </c>
      <c r="AF66" s="411">
        <v>0</v>
      </c>
      <c r="AG66" s="411">
        <v>0</v>
      </c>
      <c r="AH66" s="411">
        <v>0</v>
      </c>
      <c r="AI66" s="411">
        <v>0</v>
      </c>
      <c r="AJ66" s="411">
        <v>0</v>
      </c>
      <c r="AK66" s="411">
        <v>0</v>
      </c>
      <c r="AL66" s="411">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v>0</v>
      </c>
      <c r="AC69" s="411">
        <v>0</v>
      </c>
      <c r="AD69" s="411">
        <v>0</v>
      </c>
      <c r="AE69" s="411">
        <v>0</v>
      </c>
      <c r="AF69" s="411">
        <v>0</v>
      </c>
      <c r="AG69" s="411">
        <v>0</v>
      </c>
      <c r="AH69" s="411">
        <v>0</v>
      </c>
      <c r="AI69" s="411">
        <v>0</v>
      </c>
      <c r="AJ69" s="411">
        <v>0</v>
      </c>
      <c r="AK69" s="411">
        <v>0</v>
      </c>
      <c r="AL69" s="411">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v>0</v>
      </c>
      <c r="AC72" s="411">
        <v>0</v>
      </c>
      <c r="AD72" s="411">
        <v>0</v>
      </c>
      <c r="AE72" s="411">
        <v>0</v>
      </c>
      <c r="AF72" s="411">
        <v>0</v>
      </c>
      <c r="AG72" s="411">
        <v>0</v>
      </c>
      <c r="AH72" s="411">
        <v>0</v>
      </c>
      <c r="AI72" s="411">
        <v>0</v>
      </c>
      <c r="AJ72" s="411">
        <v>0</v>
      </c>
      <c r="AK72" s="411">
        <v>0</v>
      </c>
      <c r="AL72" s="411">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v>0</v>
      </c>
    </row>
    <row r="76" spans="1:39" s="283" customFormat="1" ht="15" outlineLevel="1">
      <c r="A76" s="509"/>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v>0</v>
      </c>
      <c r="AC76" s="411">
        <v>0</v>
      </c>
      <c r="AD76" s="411">
        <v>0</v>
      </c>
      <c r="AE76" s="411">
        <v>0</v>
      </c>
      <c r="AF76" s="411">
        <v>0</v>
      </c>
      <c r="AG76" s="411">
        <v>0</v>
      </c>
      <c r="AH76" s="411">
        <v>0</v>
      </c>
      <c r="AI76" s="411">
        <v>0</v>
      </c>
      <c r="AJ76" s="411">
        <v>0</v>
      </c>
      <c r="AK76" s="411">
        <v>0</v>
      </c>
      <c r="AL76" s="411">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v>0</v>
      </c>
    </row>
    <row r="79" spans="1:39" s="283" customFormat="1" ht="15" outlineLevel="1">
      <c r="A79" s="509"/>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v>0</v>
      </c>
      <c r="AC79" s="411">
        <v>0</v>
      </c>
      <c r="AD79" s="411">
        <v>0</v>
      </c>
      <c r="AE79" s="411">
        <v>0</v>
      </c>
      <c r="AF79" s="411">
        <v>0</v>
      </c>
      <c r="AG79" s="411">
        <v>0</v>
      </c>
      <c r="AH79" s="411">
        <v>0</v>
      </c>
      <c r="AI79" s="411">
        <v>0</v>
      </c>
      <c r="AJ79" s="411">
        <v>0</v>
      </c>
      <c r="AK79" s="411">
        <v>0</v>
      </c>
      <c r="AL79" s="411">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v>0</v>
      </c>
    </row>
    <row r="82" spans="1:39" s="283" customFormat="1" ht="15" outlineLevel="1">
      <c r="A82" s="509"/>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v>0</v>
      </c>
      <c r="AC82" s="411">
        <v>0</v>
      </c>
      <c r="AD82" s="411">
        <v>0</v>
      </c>
      <c r="AE82" s="411">
        <v>0</v>
      </c>
      <c r="AF82" s="411">
        <v>0</v>
      </c>
      <c r="AG82" s="411">
        <v>0</v>
      </c>
      <c r="AH82" s="411">
        <v>0</v>
      </c>
      <c r="AI82" s="411">
        <v>0</v>
      </c>
      <c r="AJ82" s="411">
        <v>0</v>
      </c>
      <c r="AK82" s="411">
        <v>0</v>
      </c>
      <c r="AL82" s="411">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v>0</v>
      </c>
    </row>
    <row r="85" spans="1:39" s="283" customFormat="1" ht="15" outlineLevel="1">
      <c r="A85" s="509"/>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v>0</v>
      </c>
      <c r="AH85" s="411">
        <v>0</v>
      </c>
      <c r="AI85" s="411">
        <v>0</v>
      </c>
      <c r="AJ85" s="411">
        <v>0</v>
      </c>
      <c r="AK85" s="411">
        <v>0</v>
      </c>
      <c r="AL85" s="41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v>0</v>
      </c>
      <c r="AH88" s="411">
        <v>0</v>
      </c>
      <c r="AI88" s="411">
        <v>0</v>
      </c>
      <c r="AJ88" s="411">
        <v>0</v>
      </c>
      <c r="AK88" s="411">
        <v>0</v>
      </c>
      <c r="AL88" s="41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v>0</v>
      </c>
      <c r="AH92" s="411">
        <v>0</v>
      </c>
      <c r="AI92" s="411">
        <v>0</v>
      </c>
      <c r="AJ92" s="411">
        <v>0</v>
      </c>
      <c r="AK92" s="411">
        <v>0</v>
      </c>
      <c r="AL92" s="411">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v>0</v>
      </c>
      <c r="AC96" s="411">
        <v>0</v>
      </c>
      <c r="AD96" s="411">
        <v>0</v>
      </c>
      <c r="AE96" s="411">
        <v>0</v>
      </c>
      <c r="AF96" s="411">
        <v>0</v>
      </c>
      <c r="AG96" s="411">
        <v>0</v>
      </c>
      <c r="AH96" s="411">
        <v>0</v>
      </c>
      <c r="AI96" s="411">
        <v>0</v>
      </c>
      <c r="AJ96" s="411">
        <v>0</v>
      </c>
      <c r="AK96" s="411">
        <v>0</v>
      </c>
      <c r="AL96" s="411">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v>0</v>
      </c>
    </row>
    <row r="99" spans="1:39" s="283" customFormat="1" ht="15" outlineLevel="1">
      <c r="A99" s="509"/>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v>0</v>
      </c>
      <c r="AC99" s="411">
        <v>0</v>
      </c>
      <c r="AD99" s="411">
        <v>0</v>
      </c>
      <c r="AE99" s="411">
        <v>0</v>
      </c>
      <c r="AF99" s="411">
        <v>0</v>
      </c>
      <c r="AG99" s="411">
        <v>0</v>
      </c>
      <c r="AH99" s="411">
        <v>0</v>
      </c>
      <c r="AI99" s="411">
        <v>0</v>
      </c>
      <c r="AJ99" s="411">
        <v>0</v>
      </c>
      <c r="AK99" s="411">
        <v>0</v>
      </c>
      <c r="AL99" s="411">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25080.794138399997</v>
      </c>
      <c r="E102" s="295">
        <v>25080.794138399997</v>
      </c>
      <c r="F102" s="295">
        <v>25080.794138399997</v>
      </c>
      <c r="G102" s="295">
        <v>25080.794138399997</v>
      </c>
      <c r="H102" s="295">
        <v>25080.794138399997</v>
      </c>
      <c r="I102" s="295">
        <v>25080.794138399997</v>
      </c>
      <c r="J102" s="295">
        <v>25080.794138399997</v>
      </c>
      <c r="K102" s="295">
        <v>25080.794138399997</v>
      </c>
      <c r="L102" s="295">
        <v>25080.794138399997</v>
      </c>
      <c r="M102" s="295">
        <v>25080.794138399997</v>
      </c>
      <c r="N102" s="295">
        <v>12</v>
      </c>
      <c r="O102" s="295">
        <v>4.3163119999999999</v>
      </c>
      <c r="P102" s="295">
        <v>4.3163119999999999</v>
      </c>
      <c r="Q102" s="295">
        <v>4.3163119999999999</v>
      </c>
      <c r="R102" s="295">
        <v>4.3163119999999999</v>
      </c>
      <c r="S102" s="295">
        <v>4.3163119999999999</v>
      </c>
      <c r="T102" s="295">
        <v>4.3163119999999999</v>
      </c>
      <c r="U102" s="295">
        <v>4.3163119999999999</v>
      </c>
      <c r="V102" s="295">
        <v>4.3163119999999999</v>
      </c>
      <c r="W102" s="295">
        <v>4.3163119999999999</v>
      </c>
      <c r="X102" s="295">
        <v>4.3163119999999999</v>
      </c>
      <c r="Y102" s="410"/>
      <c r="Z102" s="410"/>
      <c r="AA102" s="410">
        <v>1</v>
      </c>
      <c r="AB102" s="410"/>
      <c r="AC102" s="410"/>
      <c r="AD102" s="410"/>
      <c r="AE102" s="415"/>
      <c r="AF102" s="415"/>
      <c r="AG102" s="415"/>
      <c r="AH102" s="415"/>
      <c r="AI102" s="415"/>
      <c r="AJ102" s="415"/>
      <c r="AK102" s="415"/>
      <c r="AL102" s="415"/>
      <c r="AM102" s="296">
        <v>1</v>
      </c>
    </row>
    <row r="103" spans="1:39" s="283" customFormat="1" ht="15"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v>
      </c>
      <c r="AA103" s="411">
        <v>1</v>
      </c>
      <c r="AB103" s="411">
        <v>0</v>
      </c>
      <c r="AC103" s="411">
        <v>0</v>
      </c>
      <c r="AD103" s="411">
        <v>0</v>
      </c>
      <c r="AE103" s="411">
        <v>0</v>
      </c>
      <c r="AF103" s="411">
        <v>0</v>
      </c>
      <c r="AG103" s="411">
        <v>0</v>
      </c>
      <c r="AH103" s="411">
        <v>0</v>
      </c>
      <c r="AI103" s="411">
        <v>0</v>
      </c>
      <c r="AJ103" s="411">
        <v>0</v>
      </c>
      <c r="AK103" s="411">
        <v>0</v>
      </c>
      <c r="AL103" s="411">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571.37831030377185</v>
      </c>
      <c r="E105" s="295">
        <v>571.37831030377185</v>
      </c>
      <c r="F105" s="295">
        <v>571.37831030377185</v>
      </c>
      <c r="G105" s="295">
        <v>571.37831030377185</v>
      </c>
      <c r="H105" s="295">
        <v>571.37831030377185</v>
      </c>
      <c r="I105" s="295">
        <v>571.37831030377185</v>
      </c>
      <c r="J105" s="295">
        <v>571.37831030377185</v>
      </c>
      <c r="K105" s="295">
        <v>571.37831030377185</v>
      </c>
      <c r="L105" s="295">
        <v>571.37831030377185</v>
      </c>
      <c r="M105" s="295">
        <v>571.37831030377185</v>
      </c>
      <c r="N105" s="295">
        <v>12</v>
      </c>
      <c r="O105" s="295">
        <v>0.11124967100930137</v>
      </c>
      <c r="P105" s="295">
        <v>0.11124967100930137</v>
      </c>
      <c r="Q105" s="295">
        <v>0.11124967100930137</v>
      </c>
      <c r="R105" s="295">
        <v>0.11124967100930137</v>
      </c>
      <c r="S105" s="295">
        <v>0.11124967100930137</v>
      </c>
      <c r="T105" s="295">
        <v>0.11124967100930137</v>
      </c>
      <c r="U105" s="295">
        <v>0.11124967100930137</v>
      </c>
      <c r="V105" s="295">
        <v>0.11124967100930137</v>
      </c>
      <c r="W105" s="295">
        <v>0.11124967100930137</v>
      </c>
      <c r="X105" s="295">
        <v>0.11124967100930137</v>
      </c>
      <c r="Y105" s="410"/>
      <c r="Z105" s="410">
        <v>1</v>
      </c>
      <c r="AA105" s="410"/>
      <c r="AB105" s="410"/>
      <c r="AC105" s="410"/>
      <c r="AD105" s="410"/>
      <c r="AE105" s="415"/>
      <c r="AF105" s="415"/>
      <c r="AG105" s="415"/>
      <c r="AH105" s="415"/>
      <c r="AI105" s="415"/>
      <c r="AJ105" s="415"/>
      <c r="AK105" s="415"/>
      <c r="AL105" s="415"/>
      <c r="AM105" s="296">
        <v>1</v>
      </c>
    </row>
    <row r="106" spans="1:39" s="283" customFormat="1" ht="15" outlineLevel="1">
      <c r="A106" s="509"/>
      <c r="B106" s="315" t="s">
        <v>214</v>
      </c>
      <c r="C106" s="291" t="s">
        <v>163</v>
      </c>
      <c r="D106" s="295">
        <v>0</v>
      </c>
      <c r="E106" s="295">
        <v>0</v>
      </c>
      <c r="F106" s="295">
        <v>0</v>
      </c>
      <c r="G106" s="295">
        <v>0</v>
      </c>
      <c r="H106" s="295">
        <v>0</v>
      </c>
      <c r="I106" s="295">
        <v>0</v>
      </c>
      <c r="J106" s="295">
        <v>0</v>
      </c>
      <c r="K106" s="295">
        <v>0</v>
      </c>
      <c r="L106" s="295">
        <v>0</v>
      </c>
      <c r="M106" s="295">
        <v>0</v>
      </c>
      <c r="N106" s="295">
        <v>12</v>
      </c>
      <c r="O106" s="295">
        <v>0</v>
      </c>
      <c r="P106" s="295">
        <v>0</v>
      </c>
      <c r="Q106" s="295">
        <v>0</v>
      </c>
      <c r="R106" s="295">
        <v>0</v>
      </c>
      <c r="S106" s="295">
        <v>0</v>
      </c>
      <c r="T106" s="295">
        <v>0</v>
      </c>
      <c r="U106" s="295">
        <v>0</v>
      </c>
      <c r="V106" s="295">
        <v>0</v>
      </c>
      <c r="W106" s="295">
        <v>0</v>
      </c>
      <c r="X106" s="295">
        <v>0</v>
      </c>
      <c r="Y106" s="411">
        <v>0</v>
      </c>
      <c r="Z106" s="411">
        <v>1</v>
      </c>
      <c r="AA106" s="411">
        <v>0</v>
      </c>
      <c r="AB106" s="411">
        <v>0</v>
      </c>
      <c r="AC106" s="411">
        <v>0</v>
      </c>
      <c r="AD106" s="411">
        <v>0</v>
      </c>
      <c r="AE106" s="411">
        <v>0</v>
      </c>
      <c r="AF106" s="411">
        <v>0</v>
      </c>
      <c r="AG106" s="411">
        <v>0</v>
      </c>
      <c r="AH106" s="411">
        <v>0</v>
      </c>
      <c r="AI106" s="411">
        <v>0</v>
      </c>
      <c r="AJ106" s="411">
        <v>0</v>
      </c>
      <c r="AK106" s="411">
        <v>0</v>
      </c>
      <c r="AL106" s="411">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v>0</v>
      </c>
    </row>
    <row r="109" spans="1:39" s="283" customFormat="1" ht="15" outlineLevel="1">
      <c r="A109" s="509"/>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v>0</v>
      </c>
      <c r="AH109" s="411">
        <v>0</v>
      </c>
      <c r="AI109" s="411">
        <v>0</v>
      </c>
      <c r="AJ109" s="411">
        <v>0</v>
      </c>
      <c r="AK109" s="411">
        <v>0</v>
      </c>
      <c r="AL109" s="411">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v>0</v>
      </c>
    </row>
    <row r="112" spans="1:39" s="283" customFormat="1" ht="15" outlineLevel="1">
      <c r="A112" s="509"/>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v>0</v>
      </c>
      <c r="AH112" s="411">
        <v>0</v>
      </c>
      <c r="AI112" s="411">
        <v>0</v>
      </c>
      <c r="AJ112" s="411">
        <v>0</v>
      </c>
      <c r="AK112" s="411">
        <v>0</v>
      </c>
      <c r="AL112" s="411">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v>0</v>
      </c>
    </row>
    <row r="115" spans="1:39" s="283" customFormat="1" ht="15" outlineLevel="1">
      <c r="A115" s="509"/>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v>0</v>
      </c>
      <c r="AH115" s="411">
        <v>0</v>
      </c>
      <c r="AI115" s="411">
        <v>0</v>
      </c>
      <c r="AJ115" s="411">
        <v>0</v>
      </c>
      <c r="AK115" s="411">
        <v>0</v>
      </c>
      <c r="AL115" s="411">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v>0</v>
      </c>
    </row>
    <row r="119" spans="1:39" s="283" customFormat="1" ht="15" outlineLevel="1">
      <c r="A119" s="509"/>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v>0</v>
      </c>
      <c r="AH119" s="411">
        <v>0</v>
      </c>
      <c r="AI119" s="411">
        <v>0</v>
      </c>
      <c r="AJ119" s="411">
        <v>0</v>
      </c>
      <c r="AK119" s="411">
        <v>0</v>
      </c>
      <c r="AL119" s="41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v>0</v>
      </c>
    </row>
    <row r="122" spans="1:39" s="283" customFormat="1" ht="15" outlineLevel="1">
      <c r="A122" s="509"/>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v>0</v>
      </c>
      <c r="AH122" s="411">
        <v>0</v>
      </c>
      <c r="AI122" s="411">
        <v>0</v>
      </c>
      <c r="AJ122" s="411">
        <v>0</v>
      </c>
      <c r="AK122" s="411">
        <v>0</v>
      </c>
      <c r="AL122" s="41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v>0</v>
      </c>
    </row>
    <row r="125" spans="1:39" s="283" customFormat="1" ht="15" outlineLevel="1">
      <c r="A125" s="509"/>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v>0</v>
      </c>
      <c r="AH125" s="411">
        <v>0</v>
      </c>
      <c r="AI125" s="411">
        <v>0</v>
      </c>
      <c r="AJ125" s="411">
        <v>0</v>
      </c>
      <c r="AK125" s="411">
        <v>0</v>
      </c>
      <c r="AL125" s="411">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546649.7718907292</v>
      </c>
      <c r="E127" s="328"/>
      <c r="F127" s="328"/>
      <c r="G127" s="328"/>
      <c r="H127" s="328"/>
      <c r="I127" s="328"/>
      <c r="J127" s="328"/>
      <c r="K127" s="328"/>
      <c r="L127" s="328"/>
      <c r="M127" s="328"/>
      <c r="N127" s="328"/>
      <c r="O127" s="328">
        <f>SUM(O22:O125)</f>
        <v>108.09279441687039</v>
      </c>
      <c r="P127" s="328"/>
      <c r="Q127" s="328"/>
      <c r="R127" s="328"/>
      <c r="S127" s="328"/>
      <c r="T127" s="328"/>
      <c r="U127" s="328"/>
      <c r="V127" s="328"/>
      <c r="W127" s="328"/>
      <c r="X127" s="328"/>
      <c r="Y127" s="329">
        <f>IF(Y21="kWh",SUMPRODUCT(D22:D125,Y22:Y125))</f>
        <v>187143.44386092605</v>
      </c>
      <c r="Z127" s="329">
        <f>IF(Z21="kWh",SUMPRODUCT(D22:D125,Z22:Z125))</f>
        <v>256079.23866126715</v>
      </c>
      <c r="AA127" s="329">
        <f>IF(AA21="kW",SUMPRODUCT(N22:N125,O22:O125,AA22:AA125),SUMPRODUCT(D22:D125,AA22:AA125))</f>
        <v>143.55040796630925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1219155</v>
      </c>
      <c r="Z128" s="328">
        <f>HLOOKUP(Z20,'2. LRAMVA Threshold'!$B$42:$Q$53,3,FALSE)</f>
        <v>658151</v>
      </c>
      <c r="AA128" s="328">
        <f>HLOOKUP(AA20,'2. LRAMVA Threshold'!$B$42:$Q$53,3,FALSE)</f>
        <v>3236</v>
      </c>
      <c r="AB128" s="328">
        <f>HLOOKUP(AB20,'2. LRAMVA Threshold'!$B$42:$Q$53,3,FALSE)</f>
        <v>2</v>
      </c>
      <c r="AC128" s="328">
        <f>HLOOKUP(AC20,'2. LRAMVA Threshold'!$B$42:$Q$53,3,FALSE)</f>
        <v>81</v>
      </c>
      <c r="AD128" s="328">
        <f>HLOOKUP(AD20,'2. LRAMVA Threshold'!$B$42:$Q$53,3,FALSE)</f>
        <v>1714</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1.37E-2</v>
      </c>
      <c r="Z130" s="341">
        <f>HLOOKUP(Z$20,'3.  Distribution Rates'!$C$122:$P$133,3,FALSE)</f>
        <v>8.3000000000000001E-3</v>
      </c>
      <c r="AA130" s="341">
        <f>HLOOKUP(AA$20,'3.  Distribution Rates'!$C$122:$P$133,3,FALSE)</f>
        <v>1.4132</v>
      </c>
      <c r="AB130" s="341">
        <f>HLOOKUP(AB$20,'3.  Distribution Rates'!$C$122:$P$133,3,FALSE)</f>
        <v>16.7883</v>
      </c>
      <c r="AC130" s="341">
        <f>HLOOKUP(AC$20,'3.  Distribution Rates'!$C$122:$P$133,3,FALSE)</f>
        <v>14.6546</v>
      </c>
      <c r="AD130" s="341">
        <f>HLOOKUP(AD$20,'3.  Distribution Rates'!$C$122:$P$133,3,FALSE)</f>
        <v>8.0999999999999996E-3</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0">Y127*Y130</f>
        <v>2563.865180894687</v>
      </c>
      <c r="Z131" s="346">
        <f t="shared" si="0"/>
        <v>2125.4576808885172</v>
      </c>
      <c r="AA131" s="347">
        <f t="shared" si="0"/>
        <v>202.86543653798824</v>
      </c>
      <c r="AB131" s="347">
        <f t="shared" si="0"/>
        <v>0</v>
      </c>
      <c r="AC131" s="347">
        <f t="shared" si="0"/>
        <v>0</v>
      </c>
      <c r="AD131" s="347">
        <f t="shared" si="0"/>
        <v>0</v>
      </c>
      <c r="AE131" s="347">
        <f>AE127*AE130</f>
        <v>0</v>
      </c>
      <c r="AF131" s="347">
        <f t="shared" ref="AF131:AL131" si="1">AF127*AF130</f>
        <v>0</v>
      </c>
      <c r="AG131" s="347">
        <f t="shared" si="1"/>
        <v>0</v>
      </c>
      <c r="AH131" s="347">
        <f t="shared" si="1"/>
        <v>0</v>
      </c>
      <c r="AI131" s="347">
        <f t="shared" si="1"/>
        <v>0</v>
      </c>
      <c r="AJ131" s="347">
        <f t="shared" si="1"/>
        <v>0</v>
      </c>
      <c r="AK131" s="347">
        <f t="shared" si="1"/>
        <v>0</v>
      </c>
      <c r="AL131" s="347">
        <f t="shared" si="1"/>
        <v>0</v>
      </c>
      <c r="AM131" s="407">
        <f>SUM(Y131:AL131)</f>
        <v>4892.1882983211926</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2">Y128*Y130</f>
        <v>16702.423500000001</v>
      </c>
      <c r="Z132" s="347">
        <f t="shared" si="2"/>
        <v>5462.6532999999999</v>
      </c>
      <c r="AA132" s="347">
        <f t="shared" si="2"/>
        <v>4573.1152000000002</v>
      </c>
      <c r="AB132" s="347">
        <f t="shared" si="2"/>
        <v>33.576599999999999</v>
      </c>
      <c r="AC132" s="347">
        <f t="shared" si="2"/>
        <v>1187.0226</v>
      </c>
      <c r="AD132" s="347">
        <f t="shared" si="2"/>
        <v>13.8834</v>
      </c>
      <c r="AE132" s="347">
        <f>AE128*AE130</f>
        <v>0</v>
      </c>
      <c r="AF132" s="347">
        <f t="shared" ref="AF132:AL132" si="3">AF128*AF130</f>
        <v>0</v>
      </c>
      <c r="AG132" s="347">
        <f t="shared" si="3"/>
        <v>0</v>
      </c>
      <c r="AH132" s="347">
        <f t="shared" si="3"/>
        <v>0</v>
      </c>
      <c r="AI132" s="347">
        <f t="shared" si="3"/>
        <v>0</v>
      </c>
      <c r="AJ132" s="347">
        <f t="shared" si="3"/>
        <v>0</v>
      </c>
      <c r="AK132" s="347">
        <f t="shared" si="3"/>
        <v>0</v>
      </c>
      <c r="AL132" s="347">
        <f t="shared" si="3"/>
        <v>0</v>
      </c>
      <c r="AM132" s="407">
        <f>SUM(Y132:AL132)</f>
        <v>27972.674600000002</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-23080.486301678808</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187143.44386092605</v>
      </c>
      <c r="Z135" s="291">
        <f>SUMPRODUCT(E22:E125,Z22:Z125)</f>
        <v>256079.23866126715</v>
      </c>
      <c r="AA135" s="291">
        <f>IF(AA21="kW",SUMPRODUCT(N22:N125,P22:P125,AA22:AA125),SUMPRODUCT(E22:E125,AA22:AA125))</f>
        <v>143.55040796630925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187143.44386092605</v>
      </c>
      <c r="Z136" s="291">
        <f>SUMPRODUCT(F22:F125,Z22:Z125)</f>
        <v>256079.23866126715</v>
      </c>
      <c r="AA136" s="291">
        <f>IF(AA21="kW",SUMPRODUCT(N22:N125,Q22:Q125,AA22:AA125),SUMPRODUCT(F22:F125,AA22:AA125))</f>
        <v>143.55040796630925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186630.75474602595</v>
      </c>
      <c r="Z137" s="291">
        <f>SUMPRODUCT(G22:G125,Z22:Z125)</f>
        <v>244005.32419801084</v>
      </c>
      <c r="AA137" s="291">
        <f>IF(AA21="kW",SUMPRODUCT(N22:N125,R22:R125,AA22:AA125),SUMPRODUCT(G22:G125,AA22:AA125))</f>
        <v>143.55040796630925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165635.48800684456</v>
      </c>
      <c r="Z138" s="291">
        <f>SUMPRODUCT(H22:H125,Z22:Z125)</f>
        <v>244005.32419801084</v>
      </c>
      <c r="AA138" s="291">
        <f>IF(AA21="kW",SUMPRODUCT(N22:N125,S22:S125,AA22:AA125),SUMPRODUCT(H22:H125,AA22:AA125))</f>
        <v>143.55040796630925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112206.06660528328</v>
      </c>
      <c r="Z139" s="291">
        <f>SUMPRODUCT(I22:I125,Z22:Z125)</f>
        <v>243917.1095008686</v>
      </c>
      <c r="AA139" s="291">
        <f>IF(AA21="kW",SUMPRODUCT(N22:N125,T22:T125,AA22:AA125),SUMPRODUCT(I22:I125,AA22:AA125))</f>
        <v>143.55040796630925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90694.694916518958</v>
      </c>
      <c r="Z140" s="291">
        <f>SUMPRODUCT(J22:J125,Z22:Z125)</f>
        <v>130218.47844012271</v>
      </c>
      <c r="AA140" s="291">
        <f>IF(AA21="kW",SUMPRODUCT(N22:N125,U22:U125,AA22:AA125),SUMPRODUCT(J22:J125,AA22:AA125))</f>
        <v>143.55040796630925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90292.414762177912</v>
      </c>
      <c r="Z141" s="291">
        <f>SUMPRODUCT(K22:K125,Z22:Z125)</f>
        <v>130087.88609435335</v>
      </c>
      <c r="AA141" s="291">
        <f>IF(AA21="kW",SUMPRODUCT(N22:N125,V22:V125,AA22:AA125),SUMPRODUCT(K22:K125,AA22:AA125))</f>
        <v>143.55040796630925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107541.7408129679</v>
      </c>
      <c r="Z142" s="291">
        <f>SUMPRODUCT(L22:L125,Z22:Z125)</f>
        <v>130087.88609435335</v>
      </c>
      <c r="AA142" s="291">
        <f>IF(AA21="kW",SUMPRODUCT(N22:N125,W22:W125,AA22:AA125),SUMPRODUCT(L22:L125,AA22:AA125))</f>
        <v>143.55040796630925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53857.309562775736</v>
      </c>
      <c r="Z143" s="326">
        <f>SUMPRODUCT(M22:M125,Z22:Z125)</f>
        <v>130087.88609435335</v>
      </c>
      <c r="AA143" s="326">
        <f>IF(AA21="kW",SUMPRODUCT(N22:N125,X22:X125,AA22:AA125),SUMPRODUCT(M22:M125,AA22:AA125))</f>
        <v>143.55040796630925</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1035" t="s">
        <v>211</v>
      </c>
      <c r="C147" s="1037" t="s">
        <v>33</v>
      </c>
      <c r="D147" s="284" t="s">
        <v>421</v>
      </c>
      <c r="E147" s="1039" t="s">
        <v>209</v>
      </c>
      <c r="F147" s="1040"/>
      <c r="G147" s="1040"/>
      <c r="H147" s="1040"/>
      <c r="I147" s="1040"/>
      <c r="J147" s="1040"/>
      <c r="K147" s="1040"/>
      <c r="L147" s="1040"/>
      <c r="M147" s="1041"/>
      <c r="N147" s="1045" t="s">
        <v>213</v>
      </c>
      <c r="O147" s="284" t="s">
        <v>422</v>
      </c>
      <c r="P147" s="1039" t="s">
        <v>212</v>
      </c>
      <c r="Q147" s="1040"/>
      <c r="R147" s="1040"/>
      <c r="S147" s="1040"/>
      <c r="T147" s="1040"/>
      <c r="U147" s="1040"/>
      <c r="V147" s="1040"/>
      <c r="W147" s="1040"/>
      <c r="X147" s="1041"/>
      <c r="Y147" s="1042" t="s">
        <v>243</v>
      </c>
      <c r="Z147" s="1043"/>
      <c r="AA147" s="1043"/>
      <c r="AB147" s="1043"/>
      <c r="AC147" s="1043"/>
      <c r="AD147" s="1043"/>
      <c r="AE147" s="1043"/>
      <c r="AF147" s="1043"/>
      <c r="AG147" s="1043"/>
      <c r="AH147" s="1043"/>
      <c r="AI147" s="1043"/>
      <c r="AJ147" s="1043"/>
      <c r="AK147" s="1043"/>
      <c r="AL147" s="1043"/>
      <c r="AM147" s="1044"/>
    </row>
    <row r="148" spans="1:39" ht="60.75" customHeight="1">
      <c r="B148" s="1036"/>
      <c r="C148" s="1038"/>
      <c r="D148" s="285">
        <v>2012</v>
      </c>
      <c r="E148" s="285">
        <v>2013</v>
      </c>
      <c r="F148" s="285">
        <v>2014</v>
      </c>
      <c r="G148" s="285">
        <v>2015</v>
      </c>
      <c r="H148" s="285">
        <v>2016</v>
      </c>
      <c r="I148" s="285">
        <v>2017</v>
      </c>
      <c r="J148" s="285">
        <v>2018</v>
      </c>
      <c r="K148" s="285">
        <v>2019</v>
      </c>
      <c r="L148" s="285">
        <v>2020</v>
      </c>
      <c r="M148" s="285">
        <v>2021</v>
      </c>
      <c r="N148" s="1046"/>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Sentinel Lighting</v>
      </c>
      <c r="AC148" s="285" t="str">
        <f>'1.  LRAMVA Summary'!H52</f>
        <v>Street Lighting</v>
      </c>
      <c r="AD148" s="285" t="str">
        <f>'1.  LRAMVA Summary'!I52</f>
        <v>Unmetered Scattered Load</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27216.872861939424</v>
      </c>
      <c r="E150" s="295">
        <v>27216.872861939424</v>
      </c>
      <c r="F150" s="295">
        <v>27216.872861939424</v>
      </c>
      <c r="G150" s="295">
        <v>27216.872861939424</v>
      </c>
      <c r="H150" s="295">
        <v>18690.429587665003</v>
      </c>
      <c r="I150" s="295">
        <v>0</v>
      </c>
      <c r="J150" s="295">
        <v>0</v>
      </c>
      <c r="K150" s="295">
        <v>0</v>
      </c>
      <c r="L150" s="295">
        <v>0</v>
      </c>
      <c r="M150" s="295">
        <v>0</v>
      </c>
      <c r="N150" s="291"/>
      <c r="O150" s="295">
        <v>3.9909560615124464</v>
      </c>
      <c r="P150" s="295">
        <v>3.9909560615124464</v>
      </c>
      <c r="Q150" s="295">
        <v>3.9909560615124464</v>
      </c>
      <c r="R150" s="295">
        <v>3.9909560615124464</v>
      </c>
      <c r="S150" s="295">
        <v>2.4574125114394771</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v>0</v>
      </c>
      <c r="AC151" s="411">
        <v>0</v>
      </c>
      <c r="AD151" s="411">
        <v>0</v>
      </c>
      <c r="AE151" s="411">
        <v>0</v>
      </c>
      <c r="AF151" s="411">
        <v>0</v>
      </c>
      <c r="AG151" s="411">
        <v>0</v>
      </c>
      <c r="AH151" s="411">
        <v>0</v>
      </c>
      <c r="AI151" s="411">
        <v>0</v>
      </c>
      <c r="AJ151" s="411">
        <v>0</v>
      </c>
      <c r="AK151" s="411">
        <v>0</v>
      </c>
      <c r="AL151" s="411">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5117.8916329546601</v>
      </c>
      <c r="E153" s="295">
        <v>5117.8916329546601</v>
      </c>
      <c r="F153" s="295">
        <v>5117.8916329546601</v>
      </c>
      <c r="G153" s="295">
        <v>4961.9134132070649</v>
      </c>
      <c r="H153" s="295">
        <v>0</v>
      </c>
      <c r="I153" s="295">
        <v>0</v>
      </c>
      <c r="J153" s="295">
        <v>0</v>
      </c>
      <c r="K153" s="295">
        <v>0</v>
      </c>
      <c r="L153" s="295">
        <v>0</v>
      </c>
      <c r="M153" s="295">
        <v>0</v>
      </c>
      <c r="N153" s="291"/>
      <c r="O153" s="295">
        <v>2.9572277504115823</v>
      </c>
      <c r="P153" s="295">
        <v>2.9572277504115823</v>
      </c>
      <c r="Q153" s="295">
        <v>2.9572277504115823</v>
      </c>
      <c r="R153" s="295">
        <v>2.7828051071421758</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v>0</v>
      </c>
      <c r="AC154" s="411">
        <v>0</v>
      </c>
      <c r="AD154" s="411">
        <v>0</v>
      </c>
      <c r="AE154" s="411">
        <v>0</v>
      </c>
      <c r="AF154" s="411">
        <v>0</v>
      </c>
      <c r="AG154" s="411">
        <v>0</v>
      </c>
      <c r="AH154" s="411">
        <v>0</v>
      </c>
      <c r="AI154" s="411">
        <v>0</v>
      </c>
      <c r="AJ154" s="411">
        <v>0</v>
      </c>
      <c r="AK154" s="411">
        <v>0</v>
      </c>
      <c r="AL154" s="411">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25550.601508520725</v>
      </c>
      <c r="E156" s="295">
        <v>25550.601508520725</v>
      </c>
      <c r="F156" s="295">
        <v>25550.601508520725</v>
      </c>
      <c r="G156" s="295">
        <v>25550.601508520725</v>
      </c>
      <c r="H156" s="295">
        <v>25550.601508520725</v>
      </c>
      <c r="I156" s="295">
        <v>25550.601508520725</v>
      </c>
      <c r="J156" s="295">
        <v>25550.601508520725</v>
      </c>
      <c r="K156" s="295">
        <v>25550.601508520725</v>
      </c>
      <c r="L156" s="295">
        <v>25550.601508520725</v>
      </c>
      <c r="M156" s="295">
        <v>25550.601508520725</v>
      </c>
      <c r="N156" s="291"/>
      <c r="O156" s="295">
        <v>13.62510002583527</v>
      </c>
      <c r="P156" s="295">
        <v>13.62510002583527</v>
      </c>
      <c r="Q156" s="295">
        <v>13.62510002583527</v>
      </c>
      <c r="R156" s="295">
        <v>13.62510002583527</v>
      </c>
      <c r="S156" s="295">
        <v>13.62510002583527</v>
      </c>
      <c r="T156" s="295">
        <v>13.62510002583527</v>
      </c>
      <c r="U156" s="295">
        <v>13.62510002583527</v>
      </c>
      <c r="V156" s="295">
        <v>13.62510002583527</v>
      </c>
      <c r="W156" s="295">
        <v>13.62510002583527</v>
      </c>
      <c r="X156" s="295">
        <v>13.62510002583527</v>
      </c>
      <c r="Y156" s="410">
        <v>1</v>
      </c>
      <c r="Z156" s="410"/>
      <c r="AA156" s="410"/>
      <c r="AB156" s="410"/>
      <c r="AC156" s="410"/>
      <c r="AD156" s="410"/>
      <c r="AE156" s="410"/>
      <c r="AF156" s="410"/>
      <c r="AG156" s="410"/>
      <c r="AH156" s="410"/>
      <c r="AI156" s="410"/>
      <c r="AJ156" s="410"/>
      <c r="AK156" s="410"/>
      <c r="AL156" s="410"/>
      <c r="AM156" s="296">
        <v>1</v>
      </c>
    </row>
    <row r="157" spans="1:39" ht="15" outlineLevel="1">
      <c r="B157" s="294" t="s">
        <v>244</v>
      </c>
      <c r="C157" s="291" t="s">
        <v>163</v>
      </c>
      <c r="D157" s="295">
        <v>1120.5731042577395</v>
      </c>
      <c r="E157" s="295">
        <v>1120.5731042577395</v>
      </c>
      <c r="F157" s="295">
        <v>1120.5731042577395</v>
      </c>
      <c r="G157" s="295">
        <v>1120.5731042577395</v>
      </c>
      <c r="H157" s="295">
        <v>1120.5731042577395</v>
      </c>
      <c r="I157" s="295">
        <v>1120.5731042577395</v>
      </c>
      <c r="J157" s="295">
        <v>1120.5731042577395</v>
      </c>
      <c r="K157" s="295">
        <v>1120.5731042577395</v>
      </c>
      <c r="L157" s="295">
        <v>1120.5731042577395</v>
      </c>
      <c r="M157" s="295">
        <v>1120.5731042577395</v>
      </c>
      <c r="N157" s="468"/>
      <c r="O157" s="295">
        <v>0.50961756474730424</v>
      </c>
      <c r="P157" s="295">
        <v>0.50961756474730424</v>
      </c>
      <c r="Q157" s="295">
        <v>0.50961756474730424</v>
      </c>
      <c r="R157" s="295">
        <v>0.50961756474730424</v>
      </c>
      <c r="S157" s="295">
        <v>0.50961756474730424</v>
      </c>
      <c r="T157" s="295">
        <v>0.50961756474730424</v>
      </c>
      <c r="U157" s="295">
        <v>0.50961756474730424</v>
      </c>
      <c r="V157" s="295">
        <v>0.50961756474730424</v>
      </c>
      <c r="W157" s="295">
        <v>0.50961756474730424</v>
      </c>
      <c r="X157" s="295">
        <v>0.50961756474730424</v>
      </c>
      <c r="Y157" s="411">
        <v>1</v>
      </c>
      <c r="Z157" s="411">
        <v>0</v>
      </c>
      <c r="AA157" s="411">
        <v>0</v>
      </c>
      <c r="AB157" s="411">
        <v>0</v>
      </c>
      <c r="AC157" s="411">
        <v>0</v>
      </c>
      <c r="AD157" s="411">
        <v>0</v>
      </c>
      <c r="AE157" s="411">
        <v>0</v>
      </c>
      <c r="AF157" s="411">
        <v>0</v>
      </c>
      <c r="AG157" s="411">
        <v>0</v>
      </c>
      <c r="AH157" s="411">
        <v>0</v>
      </c>
      <c r="AI157" s="411">
        <v>0</v>
      </c>
      <c r="AJ157" s="411">
        <v>0</v>
      </c>
      <c r="AK157" s="411">
        <v>0</v>
      </c>
      <c r="AL157" s="411">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2861.507313307442</v>
      </c>
      <c r="E159" s="295">
        <v>2861.507313307442</v>
      </c>
      <c r="F159" s="295">
        <v>2861.507313307442</v>
      </c>
      <c r="G159" s="295">
        <v>2861.507313307442</v>
      </c>
      <c r="H159" s="295">
        <v>2818.5174884307498</v>
      </c>
      <c r="I159" s="295">
        <v>2818.5174884307498</v>
      </c>
      <c r="J159" s="295">
        <v>1327.230303981818</v>
      </c>
      <c r="K159" s="295">
        <v>1319.905279700442</v>
      </c>
      <c r="L159" s="295">
        <v>1319.905279700442</v>
      </c>
      <c r="M159" s="295">
        <v>1319.905279700442</v>
      </c>
      <c r="N159" s="291"/>
      <c r="O159" s="295">
        <v>0.47155982851428047</v>
      </c>
      <c r="P159" s="295">
        <v>0.47155982851428047</v>
      </c>
      <c r="Q159" s="295">
        <v>0.47155982851428047</v>
      </c>
      <c r="R159" s="295">
        <v>0.47155982851428047</v>
      </c>
      <c r="S159" s="295">
        <v>0.46956927279807897</v>
      </c>
      <c r="T159" s="295">
        <v>0.46956927279807897</v>
      </c>
      <c r="U159" s="295">
        <v>0.4005182767073196</v>
      </c>
      <c r="V159" s="295">
        <v>0.3996820867208612</v>
      </c>
      <c r="W159" s="295">
        <v>0.3996820867208612</v>
      </c>
      <c r="X159" s="295">
        <v>0.3996820867208612</v>
      </c>
      <c r="Y159" s="410">
        <v>1</v>
      </c>
      <c r="Z159" s="410"/>
      <c r="AA159" s="410"/>
      <c r="AB159" s="410"/>
      <c r="AC159" s="410"/>
      <c r="AD159" s="410"/>
      <c r="AE159" s="410"/>
      <c r="AF159" s="410"/>
      <c r="AG159" s="410"/>
      <c r="AH159" s="410"/>
      <c r="AI159" s="410"/>
      <c r="AJ159" s="410"/>
      <c r="AK159" s="410"/>
      <c r="AL159" s="410"/>
      <c r="AM159" s="296">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v>0</v>
      </c>
      <c r="AC160" s="411">
        <v>0</v>
      </c>
      <c r="AD160" s="411">
        <v>0</v>
      </c>
      <c r="AE160" s="411">
        <v>0</v>
      </c>
      <c r="AF160" s="411">
        <v>0</v>
      </c>
      <c r="AG160" s="411">
        <v>0</v>
      </c>
      <c r="AH160" s="411">
        <v>0</v>
      </c>
      <c r="AI160" s="411">
        <v>0</v>
      </c>
      <c r="AJ160" s="411">
        <v>0</v>
      </c>
      <c r="AK160" s="411">
        <v>0</v>
      </c>
      <c r="AL160" s="41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54810.367029946137</v>
      </c>
      <c r="E162" s="295">
        <v>54810.367029946137</v>
      </c>
      <c r="F162" s="295">
        <v>54810.367029946137</v>
      </c>
      <c r="G162" s="295">
        <v>54810.367029946137</v>
      </c>
      <c r="H162" s="295">
        <v>49271.033168084257</v>
      </c>
      <c r="I162" s="295">
        <v>40064.387552288172</v>
      </c>
      <c r="J162" s="295">
        <v>27328.02145403123</v>
      </c>
      <c r="K162" s="295">
        <v>27271.215143277699</v>
      </c>
      <c r="L162" s="295">
        <v>27271.215143277699</v>
      </c>
      <c r="M162" s="295">
        <v>13851.702037091534</v>
      </c>
      <c r="N162" s="291"/>
      <c r="O162" s="295">
        <v>3.0288782971743498</v>
      </c>
      <c r="P162" s="295">
        <v>3.0288782971743498</v>
      </c>
      <c r="Q162" s="295">
        <v>3.0288782971743498</v>
      </c>
      <c r="R162" s="295">
        <v>3.0288782971743498</v>
      </c>
      <c r="S162" s="295">
        <v>2.7723907977647859</v>
      </c>
      <c r="T162" s="295">
        <v>2.3460959452007164</v>
      </c>
      <c r="U162" s="295">
        <v>1.7563646212597781</v>
      </c>
      <c r="V162" s="295">
        <v>1.7498798825892843</v>
      </c>
      <c r="W162" s="295">
        <v>1.7498798825892843</v>
      </c>
      <c r="X162" s="295">
        <v>1.1285168368271976</v>
      </c>
      <c r="Y162" s="410">
        <v>1</v>
      </c>
      <c r="Z162" s="410"/>
      <c r="AA162" s="410"/>
      <c r="AB162" s="410"/>
      <c r="AC162" s="410"/>
      <c r="AD162" s="410"/>
      <c r="AE162" s="410"/>
      <c r="AF162" s="410"/>
      <c r="AG162" s="410"/>
      <c r="AH162" s="410"/>
      <c r="AI162" s="410"/>
      <c r="AJ162" s="410"/>
      <c r="AK162" s="410"/>
      <c r="AL162" s="410"/>
      <c r="AM162" s="296">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v>0</v>
      </c>
      <c r="AC163" s="411">
        <v>0</v>
      </c>
      <c r="AD163" s="411">
        <v>0</v>
      </c>
      <c r="AE163" s="411">
        <v>0</v>
      </c>
      <c r="AF163" s="411">
        <v>0</v>
      </c>
      <c r="AG163" s="411">
        <v>0</v>
      </c>
      <c r="AH163" s="411">
        <v>0</v>
      </c>
      <c r="AI163" s="411">
        <v>0</v>
      </c>
      <c r="AJ163" s="411">
        <v>0</v>
      </c>
      <c r="AK163" s="411">
        <v>0</v>
      </c>
      <c r="AL163" s="41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v>0</v>
      </c>
      <c r="AH166" s="411">
        <v>0</v>
      </c>
      <c r="AI166" s="411">
        <v>0</v>
      </c>
      <c r="AJ166" s="411">
        <v>0</v>
      </c>
      <c r="AK166" s="411">
        <v>0</v>
      </c>
      <c r="AL166" s="411">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v>0</v>
      </c>
      <c r="AH169" s="411">
        <v>0</v>
      </c>
      <c r="AI169" s="411">
        <v>0</v>
      </c>
      <c r="AJ169" s="411">
        <v>0</v>
      </c>
      <c r="AK169" s="411">
        <v>0</v>
      </c>
      <c r="AL169" s="411">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v>0</v>
      </c>
      <c r="AH172" s="411">
        <v>0</v>
      </c>
      <c r="AI172" s="411">
        <v>0</v>
      </c>
      <c r="AJ172" s="411">
        <v>0</v>
      </c>
      <c r="AK172" s="411">
        <v>0</v>
      </c>
      <c r="AL172" s="411">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410.60334122252186</v>
      </c>
      <c r="E174" s="295">
        <v>410.60334122252186</v>
      </c>
      <c r="F174" s="295">
        <v>410.60334122252186</v>
      </c>
      <c r="G174" s="295">
        <v>410.60334122252186</v>
      </c>
      <c r="H174" s="295">
        <v>410.60334122252186</v>
      </c>
      <c r="I174" s="295">
        <v>410.60334122252186</v>
      </c>
      <c r="J174" s="295">
        <v>410.60334122252186</v>
      </c>
      <c r="K174" s="295">
        <v>410.60334122252186</v>
      </c>
      <c r="L174" s="295">
        <v>410.60334122252186</v>
      </c>
      <c r="M174" s="295">
        <v>410.60334122252186</v>
      </c>
      <c r="N174" s="291"/>
      <c r="O174" s="295">
        <v>3.716737895907047E-2</v>
      </c>
      <c r="P174" s="295">
        <v>3.716737895907047E-2</v>
      </c>
      <c r="Q174" s="295">
        <v>3.716737895907047E-2</v>
      </c>
      <c r="R174" s="295">
        <v>3.716737895907047E-2</v>
      </c>
      <c r="S174" s="295">
        <v>3.716737895907047E-2</v>
      </c>
      <c r="T174" s="295">
        <v>3.716737895907047E-2</v>
      </c>
      <c r="U174" s="295">
        <v>3.716737895907047E-2</v>
      </c>
      <c r="V174" s="295">
        <v>3.716737895907047E-2</v>
      </c>
      <c r="W174" s="295">
        <v>3.716737895907047E-2</v>
      </c>
      <c r="X174" s="295">
        <v>3.716737895907047E-2</v>
      </c>
      <c r="Y174" s="410">
        <v>1</v>
      </c>
      <c r="Z174" s="410"/>
      <c r="AA174" s="410"/>
      <c r="AB174" s="410"/>
      <c r="AC174" s="410"/>
      <c r="AD174" s="410"/>
      <c r="AE174" s="410"/>
      <c r="AF174" s="410"/>
      <c r="AG174" s="410"/>
      <c r="AH174" s="410"/>
      <c r="AI174" s="410"/>
      <c r="AJ174" s="410"/>
      <c r="AK174" s="410"/>
      <c r="AL174" s="410"/>
      <c r="AM174" s="296">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1</v>
      </c>
      <c r="Z175" s="411">
        <v>0</v>
      </c>
      <c r="AA175" s="411">
        <v>0</v>
      </c>
      <c r="AB175" s="411">
        <v>0</v>
      </c>
      <c r="AC175" s="411">
        <v>0</v>
      </c>
      <c r="AD175" s="411">
        <v>0</v>
      </c>
      <c r="AE175" s="411">
        <v>0</v>
      </c>
      <c r="AF175" s="411">
        <v>0</v>
      </c>
      <c r="AG175" s="411">
        <v>0</v>
      </c>
      <c r="AH175" s="411">
        <v>0</v>
      </c>
      <c r="AI175" s="411">
        <v>0</v>
      </c>
      <c r="AJ175" s="411">
        <v>0</v>
      </c>
      <c r="AK175" s="411">
        <v>0</v>
      </c>
      <c r="AL175" s="411">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334108.73460275587</v>
      </c>
      <c r="E178" s="295">
        <v>334108.73460275587</v>
      </c>
      <c r="F178" s="295">
        <v>334108.73460275587</v>
      </c>
      <c r="G178" s="295">
        <v>331977.88490680652</v>
      </c>
      <c r="H178" s="295">
        <v>331977.88490680652</v>
      </c>
      <c r="I178" s="295">
        <v>319150.00932190713</v>
      </c>
      <c r="J178" s="295">
        <v>318446.29806984053</v>
      </c>
      <c r="K178" s="295">
        <v>318446.29806984053</v>
      </c>
      <c r="L178" s="295">
        <v>313221.74236406531</v>
      </c>
      <c r="M178" s="295">
        <v>303732.28216472064</v>
      </c>
      <c r="N178" s="295">
        <v>12</v>
      </c>
      <c r="O178" s="295">
        <v>54.663814797807213</v>
      </c>
      <c r="P178" s="295">
        <v>54.663814797807213</v>
      </c>
      <c r="Q178" s="295">
        <v>54.663814797807213</v>
      </c>
      <c r="R178" s="295">
        <v>54.019630948431868</v>
      </c>
      <c r="S178" s="295">
        <v>54.019630948431868</v>
      </c>
      <c r="T178" s="295">
        <v>50.141595679544906</v>
      </c>
      <c r="U178" s="295">
        <v>49.911042676745922</v>
      </c>
      <c r="V178" s="295">
        <v>49.911042676745922</v>
      </c>
      <c r="W178" s="295">
        <v>49.911042676745922</v>
      </c>
      <c r="X178" s="295">
        <v>46.802063621095705</v>
      </c>
      <c r="Y178" s="467"/>
      <c r="Z178" s="469">
        <v>0.02</v>
      </c>
      <c r="AA178" s="469">
        <v>0.98</v>
      </c>
      <c r="AB178" s="415"/>
      <c r="AC178" s="415"/>
      <c r="AD178" s="415"/>
      <c r="AE178" s="415"/>
      <c r="AF178" s="415"/>
      <c r="AG178" s="415"/>
      <c r="AH178" s="415"/>
      <c r="AI178" s="415"/>
      <c r="AJ178" s="415"/>
      <c r="AK178" s="415"/>
      <c r="AL178" s="415"/>
      <c r="AM178" s="296">
        <v>1</v>
      </c>
    </row>
    <row r="179" spans="1:39" ht="15" outlineLevel="1">
      <c r="B179" s="294" t="s">
        <v>244</v>
      </c>
      <c r="C179" s="291" t="s">
        <v>163</v>
      </c>
      <c r="D179" s="295">
        <v>76757.117194587001</v>
      </c>
      <c r="E179" s="295">
        <v>76757.117194587001</v>
      </c>
      <c r="F179" s="295">
        <v>76123.117194587001</v>
      </c>
      <c r="G179" s="295">
        <v>76123.117194587001</v>
      </c>
      <c r="H179" s="295">
        <v>76123.117194587001</v>
      </c>
      <c r="I179" s="295">
        <v>74456.117194587001</v>
      </c>
      <c r="J179" s="295">
        <v>74456.117194587001</v>
      </c>
      <c r="K179" s="295">
        <v>74456.117194587001</v>
      </c>
      <c r="L179" s="295">
        <v>74456.117194587001</v>
      </c>
      <c r="M179" s="295">
        <v>74456.117194587001</v>
      </c>
      <c r="N179" s="295">
        <v>12</v>
      </c>
      <c r="O179" s="295">
        <v>13.897534961</v>
      </c>
      <c r="P179" s="295">
        <v>13.897534961</v>
      </c>
      <c r="Q179" s="295">
        <v>13.717534960999998</v>
      </c>
      <c r="R179" s="295">
        <v>13.717534960999998</v>
      </c>
      <c r="S179" s="295">
        <v>13.717534960999998</v>
      </c>
      <c r="T179" s="295">
        <v>13.257534960999999</v>
      </c>
      <c r="U179" s="295">
        <v>13.257534960999999</v>
      </c>
      <c r="V179" s="295">
        <v>13.257534960999999</v>
      </c>
      <c r="W179" s="295">
        <v>13.257534960999999</v>
      </c>
      <c r="X179" s="295">
        <v>13.257534960999999</v>
      </c>
      <c r="Y179" s="411">
        <v>0</v>
      </c>
      <c r="Z179" s="411">
        <v>0.02</v>
      </c>
      <c r="AA179" s="411">
        <v>0.98</v>
      </c>
      <c r="AB179" s="411">
        <v>0</v>
      </c>
      <c r="AC179" s="411">
        <v>0</v>
      </c>
      <c r="AD179" s="411">
        <v>0</v>
      </c>
      <c r="AE179" s="411">
        <v>0</v>
      </c>
      <c r="AF179" s="411">
        <v>0</v>
      </c>
      <c r="AG179" s="411">
        <v>0</v>
      </c>
      <c r="AH179" s="411">
        <v>0</v>
      </c>
      <c r="AI179" s="411">
        <v>0</v>
      </c>
      <c r="AJ179" s="411">
        <v>0</v>
      </c>
      <c r="AK179" s="411">
        <v>0</v>
      </c>
      <c r="AL179" s="411">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884949.77999261068</v>
      </c>
      <c r="E181" s="295">
        <v>884949.77999261045</v>
      </c>
      <c r="F181" s="295">
        <v>884949.77999261045</v>
      </c>
      <c r="G181" s="295">
        <v>616889.80859801953</v>
      </c>
      <c r="H181" s="295">
        <v>616889.80859801953</v>
      </c>
      <c r="I181" s="295">
        <v>114731.30872190371</v>
      </c>
      <c r="J181" s="295">
        <v>114731.30872190371</v>
      </c>
      <c r="K181" s="295">
        <v>114589.06085794847</v>
      </c>
      <c r="L181" s="295">
        <v>114589.06085794847</v>
      </c>
      <c r="M181" s="295">
        <v>114589.06085794847</v>
      </c>
      <c r="N181" s="295">
        <v>12</v>
      </c>
      <c r="O181" s="295">
        <v>234.44929270389795</v>
      </c>
      <c r="P181" s="295">
        <v>234.44929270389795</v>
      </c>
      <c r="Q181" s="295">
        <v>234.44929270389795</v>
      </c>
      <c r="R181" s="295">
        <v>170.08215811348313</v>
      </c>
      <c r="S181" s="295">
        <v>170.08215811348313</v>
      </c>
      <c r="T181" s="295">
        <v>29.888783217059512</v>
      </c>
      <c r="U181" s="295">
        <v>29.888783217059512</v>
      </c>
      <c r="V181" s="295">
        <v>29.746338813172311</v>
      </c>
      <c r="W181" s="295">
        <v>29.746338813172311</v>
      </c>
      <c r="X181" s="295">
        <v>29.746338813172311</v>
      </c>
      <c r="Y181" s="415"/>
      <c r="Z181" s="469">
        <v>1</v>
      </c>
      <c r="AA181" s="415"/>
      <c r="AB181" s="415"/>
      <c r="AC181" s="415"/>
      <c r="AD181" s="415"/>
      <c r="AE181" s="415"/>
      <c r="AF181" s="415"/>
      <c r="AG181" s="415"/>
      <c r="AH181" s="415"/>
      <c r="AI181" s="415"/>
      <c r="AJ181" s="415"/>
      <c r="AK181" s="415"/>
      <c r="AL181" s="415"/>
      <c r="AM181" s="296">
        <v>1</v>
      </c>
    </row>
    <row r="182" spans="1:39" ht="15" outlineLevel="1">
      <c r="B182" s="294" t="s">
        <v>244</v>
      </c>
      <c r="C182" s="291" t="s">
        <v>163</v>
      </c>
      <c r="D182" s="295">
        <v>60868.218153490998</v>
      </c>
      <c r="E182" s="295">
        <v>60868.218153490998</v>
      </c>
      <c r="F182" s="295">
        <v>60868.218153490998</v>
      </c>
      <c r="G182" s="295">
        <v>43272.278679723997</v>
      </c>
      <c r="H182" s="295">
        <v>43272.278679723997</v>
      </c>
      <c r="I182" s="295">
        <v>5769.1956526029999</v>
      </c>
      <c r="J182" s="295">
        <v>5769.1956526029999</v>
      </c>
      <c r="K182" s="295">
        <v>5769.1956526029999</v>
      </c>
      <c r="L182" s="295">
        <v>5769.1956526029999</v>
      </c>
      <c r="M182" s="295">
        <v>5769.1956526029999</v>
      </c>
      <c r="N182" s="295">
        <v>12</v>
      </c>
      <c r="O182" s="295">
        <v>16.307622012</v>
      </c>
      <c r="P182" s="295">
        <v>16.307622012</v>
      </c>
      <c r="Q182" s="295">
        <v>16.307622012</v>
      </c>
      <c r="R182" s="295">
        <v>12.031079989</v>
      </c>
      <c r="S182" s="295">
        <v>12.031079989</v>
      </c>
      <c r="T182" s="295">
        <v>1.587090968</v>
      </c>
      <c r="U182" s="295">
        <v>1.587090968</v>
      </c>
      <c r="V182" s="295">
        <v>1.587090968</v>
      </c>
      <c r="W182" s="295">
        <v>1.587090968</v>
      </c>
      <c r="X182" s="295">
        <v>1.587090968</v>
      </c>
      <c r="Y182" s="411">
        <v>0</v>
      </c>
      <c r="Z182" s="411">
        <v>1</v>
      </c>
      <c r="AA182" s="411">
        <v>0</v>
      </c>
      <c r="AB182" s="411">
        <v>0</v>
      </c>
      <c r="AC182" s="411">
        <v>0</v>
      </c>
      <c r="AD182" s="411">
        <v>0</v>
      </c>
      <c r="AE182" s="411">
        <v>0</v>
      </c>
      <c r="AF182" s="411">
        <v>0</v>
      </c>
      <c r="AG182" s="411">
        <v>0</v>
      </c>
      <c r="AH182" s="411">
        <v>0</v>
      </c>
      <c r="AI182" s="411">
        <v>0</v>
      </c>
      <c r="AJ182" s="411">
        <v>0</v>
      </c>
      <c r="AK182" s="411">
        <v>0</v>
      </c>
      <c r="AL182" s="411">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v>0</v>
      </c>
    </row>
    <row r="185" spans="1:39" ht="15" outlineLevel="1">
      <c r="B185" s="294" t="s">
        <v>244</v>
      </c>
      <c r="C185" s="291" t="s">
        <v>163</v>
      </c>
      <c r="D185" s="295"/>
      <c r="E185" s="295"/>
      <c r="F185" s="295"/>
      <c r="G185" s="295"/>
      <c r="H185" s="295"/>
      <c r="I185" s="295"/>
      <c r="J185" s="295"/>
      <c r="K185" s="295"/>
      <c r="L185" s="295"/>
      <c r="M185" s="295"/>
      <c r="N185" s="295">
        <v>3</v>
      </c>
      <c r="O185" s="295"/>
      <c r="P185" s="295"/>
      <c r="Q185" s="295"/>
      <c r="R185" s="295"/>
      <c r="S185" s="295"/>
      <c r="T185" s="295"/>
      <c r="U185" s="295"/>
      <c r="V185" s="295"/>
      <c r="W185" s="295"/>
      <c r="X185" s="295"/>
      <c r="Y185" s="411">
        <v>0</v>
      </c>
      <c r="Z185" s="411">
        <v>0</v>
      </c>
      <c r="AA185" s="411">
        <v>0</v>
      </c>
      <c r="AB185" s="411">
        <v>0</v>
      </c>
      <c r="AC185" s="411">
        <v>0</v>
      </c>
      <c r="AD185" s="411">
        <v>0</v>
      </c>
      <c r="AE185" s="411">
        <v>0</v>
      </c>
      <c r="AF185" s="411">
        <v>0</v>
      </c>
      <c r="AG185" s="411">
        <v>0</v>
      </c>
      <c r="AH185" s="411">
        <v>0</v>
      </c>
      <c r="AI185" s="411">
        <v>0</v>
      </c>
      <c r="AJ185" s="411">
        <v>0</v>
      </c>
      <c r="AK185" s="411">
        <v>0</v>
      </c>
      <c r="AL185" s="411">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v>0</v>
      </c>
    </row>
    <row r="188" spans="1:39" ht="15" outlineLevel="1">
      <c r="B188" s="294" t="s">
        <v>244</v>
      </c>
      <c r="C188" s="291" t="s">
        <v>163</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11">
        <v>0</v>
      </c>
      <c r="Z188" s="411">
        <v>0</v>
      </c>
      <c r="AA188" s="411">
        <v>0</v>
      </c>
      <c r="AB188" s="411">
        <v>0</v>
      </c>
      <c r="AC188" s="411">
        <v>0</v>
      </c>
      <c r="AD188" s="411">
        <v>0</v>
      </c>
      <c r="AE188" s="411">
        <v>0</v>
      </c>
      <c r="AF188" s="411">
        <v>0</v>
      </c>
      <c r="AG188" s="411">
        <v>0</v>
      </c>
      <c r="AH188" s="411">
        <v>0</v>
      </c>
      <c r="AI188" s="411">
        <v>0</v>
      </c>
      <c r="AJ188" s="411">
        <v>0</v>
      </c>
      <c r="AK188" s="411">
        <v>0</v>
      </c>
      <c r="AL188" s="411">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v>0</v>
      </c>
    </row>
    <row r="191" spans="1:39" ht="15" outlineLevel="1">
      <c r="B191" s="294" t="s">
        <v>244</v>
      </c>
      <c r="C191" s="291" t="s">
        <v>163</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11">
        <v>0</v>
      </c>
      <c r="Z191" s="411">
        <v>0</v>
      </c>
      <c r="AA191" s="411">
        <v>0</v>
      </c>
      <c r="AB191" s="411">
        <v>0</v>
      </c>
      <c r="AC191" s="411">
        <v>0</v>
      </c>
      <c r="AD191" s="411">
        <v>0</v>
      </c>
      <c r="AE191" s="411">
        <v>0</v>
      </c>
      <c r="AF191" s="411">
        <v>0</v>
      </c>
      <c r="AG191" s="411">
        <v>0</v>
      </c>
      <c r="AH191" s="411">
        <v>0</v>
      </c>
      <c r="AI191" s="411">
        <v>0</v>
      </c>
      <c r="AJ191" s="411">
        <v>0</v>
      </c>
      <c r="AK191" s="411">
        <v>0</v>
      </c>
      <c r="AL191" s="411">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v>0</v>
      </c>
      <c r="AC194" s="411">
        <v>0</v>
      </c>
      <c r="AD194" s="411">
        <v>0</v>
      </c>
      <c r="AE194" s="411">
        <v>0</v>
      </c>
      <c r="AF194" s="411">
        <v>0</v>
      </c>
      <c r="AG194" s="411">
        <v>0</v>
      </c>
      <c r="AH194" s="411">
        <v>0</v>
      </c>
      <c r="AI194" s="411">
        <v>0</v>
      </c>
      <c r="AJ194" s="411">
        <v>0</v>
      </c>
      <c r="AK194" s="411">
        <v>0</v>
      </c>
      <c r="AL194" s="41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v>0</v>
      </c>
      <c r="AC197" s="411">
        <v>0</v>
      </c>
      <c r="AD197" s="411">
        <v>0</v>
      </c>
      <c r="AE197" s="411">
        <v>0</v>
      </c>
      <c r="AF197" s="411">
        <v>0</v>
      </c>
      <c r="AG197" s="411">
        <v>0</v>
      </c>
      <c r="AH197" s="411">
        <v>0</v>
      </c>
      <c r="AI197" s="411">
        <v>0</v>
      </c>
      <c r="AJ197" s="411">
        <v>0</v>
      </c>
      <c r="AK197" s="411">
        <v>0</v>
      </c>
      <c r="AL197" s="411">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v>0</v>
      </c>
      <c r="AC200" s="411">
        <v>0</v>
      </c>
      <c r="AD200" s="411">
        <v>0</v>
      </c>
      <c r="AE200" s="411">
        <v>0</v>
      </c>
      <c r="AF200" s="411">
        <v>0</v>
      </c>
      <c r="AG200" s="411">
        <v>0</v>
      </c>
      <c r="AH200" s="411">
        <v>0</v>
      </c>
      <c r="AI200" s="411">
        <v>0</v>
      </c>
      <c r="AJ200" s="411">
        <v>0</v>
      </c>
      <c r="AK200" s="411">
        <v>0</v>
      </c>
      <c r="AL200" s="411">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v>0</v>
      </c>
    </row>
    <row r="204" spans="1:39" ht="15" outlineLevel="1">
      <c r="B204" s="294" t="s">
        <v>244</v>
      </c>
      <c r="C204" s="291" t="s">
        <v>163</v>
      </c>
      <c r="D204" s="295"/>
      <c r="E204" s="295"/>
      <c r="F204" s="295"/>
      <c r="G204" s="295"/>
      <c r="H204" s="295"/>
      <c r="I204" s="295"/>
      <c r="J204" s="295"/>
      <c r="K204" s="295"/>
      <c r="L204" s="295"/>
      <c r="M204" s="295"/>
      <c r="N204" s="295">
        <v>12</v>
      </c>
      <c r="O204" s="295"/>
      <c r="P204" s="295"/>
      <c r="Q204" s="295"/>
      <c r="R204" s="295"/>
      <c r="S204" s="295"/>
      <c r="T204" s="295"/>
      <c r="U204" s="295"/>
      <c r="V204" s="295"/>
      <c r="W204" s="295"/>
      <c r="X204" s="295"/>
      <c r="Y204" s="411">
        <v>0</v>
      </c>
      <c r="Z204" s="411">
        <v>0</v>
      </c>
      <c r="AA204" s="411">
        <v>0</v>
      </c>
      <c r="AB204" s="411">
        <v>0</v>
      </c>
      <c r="AC204" s="411">
        <v>0</v>
      </c>
      <c r="AD204" s="411">
        <v>0</v>
      </c>
      <c r="AE204" s="411">
        <v>0</v>
      </c>
      <c r="AF204" s="411">
        <v>0</v>
      </c>
      <c r="AG204" s="411">
        <v>0</v>
      </c>
      <c r="AH204" s="411">
        <v>0</v>
      </c>
      <c r="AI204" s="411">
        <v>0</v>
      </c>
      <c r="AJ204" s="411">
        <v>0</v>
      </c>
      <c r="AK204" s="411">
        <v>0</v>
      </c>
      <c r="AL204" s="411">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v>0</v>
      </c>
    </row>
    <row r="207" spans="1:39" ht="15" outlineLevel="1">
      <c r="B207" s="294" t="s">
        <v>244</v>
      </c>
      <c r="C207" s="291" t="s">
        <v>163</v>
      </c>
      <c r="D207" s="295"/>
      <c r="E207" s="295"/>
      <c r="F207" s="295"/>
      <c r="G207" s="295"/>
      <c r="H207" s="295"/>
      <c r="I207" s="295"/>
      <c r="J207" s="295"/>
      <c r="K207" s="295"/>
      <c r="L207" s="295"/>
      <c r="M207" s="295"/>
      <c r="N207" s="295">
        <v>12</v>
      </c>
      <c r="O207" s="295"/>
      <c r="P207" s="295"/>
      <c r="Q207" s="295"/>
      <c r="R207" s="295"/>
      <c r="S207" s="295"/>
      <c r="T207" s="295"/>
      <c r="U207" s="295"/>
      <c r="V207" s="295"/>
      <c r="W207" s="295"/>
      <c r="X207" s="295"/>
      <c r="Y207" s="411">
        <v>0</v>
      </c>
      <c r="Z207" s="411">
        <v>0</v>
      </c>
      <c r="AA207" s="411">
        <v>0</v>
      </c>
      <c r="AB207" s="411">
        <v>0</v>
      </c>
      <c r="AC207" s="411">
        <v>0</v>
      </c>
      <c r="AD207" s="411">
        <v>0</v>
      </c>
      <c r="AE207" s="411">
        <v>0</v>
      </c>
      <c r="AF207" s="411">
        <v>0</v>
      </c>
      <c r="AG207" s="411">
        <v>0</v>
      </c>
      <c r="AH207" s="411">
        <v>0</v>
      </c>
      <c r="AI207" s="411">
        <v>0</v>
      </c>
      <c r="AJ207" s="411">
        <v>0</v>
      </c>
      <c r="AK207" s="411">
        <v>0</v>
      </c>
      <c r="AL207" s="411">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v>0</v>
      </c>
    </row>
    <row r="210" spans="1:39" ht="15" outlineLevel="1">
      <c r="B210" s="294" t="s">
        <v>244</v>
      </c>
      <c r="C210" s="291" t="s">
        <v>163</v>
      </c>
      <c r="D210" s="295"/>
      <c r="E210" s="295"/>
      <c r="F210" s="295"/>
      <c r="G210" s="295"/>
      <c r="H210" s="295"/>
      <c r="I210" s="295"/>
      <c r="J210" s="295"/>
      <c r="K210" s="295"/>
      <c r="L210" s="295"/>
      <c r="M210" s="295"/>
      <c r="N210" s="295">
        <v>12</v>
      </c>
      <c r="O210" s="295"/>
      <c r="P210" s="295"/>
      <c r="Q210" s="295"/>
      <c r="R210" s="295"/>
      <c r="S210" s="295"/>
      <c r="T210" s="295"/>
      <c r="U210" s="295"/>
      <c r="V210" s="295"/>
      <c r="W210" s="295"/>
      <c r="X210" s="295"/>
      <c r="Y210" s="411">
        <v>0</v>
      </c>
      <c r="Z210" s="411">
        <v>0</v>
      </c>
      <c r="AA210" s="411">
        <v>0</v>
      </c>
      <c r="AB210" s="411">
        <v>0</v>
      </c>
      <c r="AC210" s="411">
        <v>0</v>
      </c>
      <c r="AD210" s="411">
        <v>0</v>
      </c>
      <c r="AE210" s="411">
        <v>0</v>
      </c>
      <c r="AF210" s="411">
        <v>0</v>
      </c>
      <c r="AG210" s="411">
        <v>0</v>
      </c>
      <c r="AH210" s="411">
        <v>0</v>
      </c>
      <c r="AI210" s="411">
        <v>0</v>
      </c>
      <c r="AJ210" s="411">
        <v>0</v>
      </c>
      <c r="AK210" s="411">
        <v>0</v>
      </c>
      <c r="AL210" s="411">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v>0</v>
      </c>
    </row>
    <row r="213" spans="1:39" ht="15" outlineLevel="1">
      <c r="B213" s="294" t="s">
        <v>244</v>
      </c>
      <c r="C213" s="291" t="s">
        <v>163</v>
      </c>
      <c r="D213" s="295"/>
      <c r="E213" s="295"/>
      <c r="F213" s="295"/>
      <c r="G213" s="295"/>
      <c r="H213" s="295"/>
      <c r="I213" s="295"/>
      <c r="J213" s="295"/>
      <c r="K213" s="295"/>
      <c r="L213" s="295"/>
      <c r="M213" s="295"/>
      <c r="N213" s="295">
        <v>12</v>
      </c>
      <c r="O213" s="295"/>
      <c r="P213" s="295"/>
      <c r="Q213" s="295"/>
      <c r="R213" s="295"/>
      <c r="S213" s="295"/>
      <c r="T213" s="295"/>
      <c r="U213" s="295"/>
      <c r="V213" s="295"/>
      <c r="W213" s="295"/>
      <c r="X213" s="295"/>
      <c r="Y213" s="411">
        <v>0</v>
      </c>
      <c r="Z213" s="411">
        <v>0</v>
      </c>
      <c r="AA213" s="411">
        <v>0</v>
      </c>
      <c r="AB213" s="411">
        <v>0</v>
      </c>
      <c r="AC213" s="411">
        <v>0</v>
      </c>
      <c r="AD213" s="411">
        <v>0</v>
      </c>
      <c r="AE213" s="411">
        <v>0</v>
      </c>
      <c r="AF213" s="411">
        <v>0</v>
      </c>
      <c r="AG213" s="411">
        <v>0</v>
      </c>
      <c r="AH213" s="411">
        <v>0</v>
      </c>
      <c r="AI213" s="411">
        <v>0</v>
      </c>
      <c r="AJ213" s="411">
        <v>0</v>
      </c>
      <c r="AK213" s="411">
        <v>0</v>
      </c>
      <c r="AL213" s="411">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v>0</v>
      </c>
      <c r="AC216" s="411">
        <v>0</v>
      </c>
      <c r="AD216" s="411">
        <v>0</v>
      </c>
      <c r="AE216" s="411">
        <v>0</v>
      </c>
      <c r="AF216" s="411">
        <v>0</v>
      </c>
      <c r="AG216" s="411">
        <v>0</v>
      </c>
      <c r="AH216" s="411">
        <v>0</v>
      </c>
      <c r="AI216" s="411">
        <v>0</v>
      </c>
      <c r="AJ216" s="411">
        <v>0</v>
      </c>
      <c r="AK216" s="411">
        <v>0</v>
      </c>
      <c r="AL216" s="411">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3258.6000061035156</v>
      </c>
      <c r="E219" s="295">
        <v>3258.5999908447266</v>
      </c>
      <c r="F219" s="295">
        <v>3258.5999908447266</v>
      </c>
      <c r="G219" s="295">
        <v>2202.6000061035161</v>
      </c>
      <c r="H219" s="295">
        <v>2202.6000061035161</v>
      </c>
      <c r="I219" s="295">
        <v>2202.6000061035161</v>
      </c>
      <c r="J219" s="295">
        <v>2202.6000061035161</v>
      </c>
      <c r="K219" s="295">
        <v>2202.6000061035161</v>
      </c>
      <c r="L219" s="295">
        <v>764.60000610351563</v>
      </c>
      <c r="M219" s="295">
        <v>764.60000610351563</v>
      </c>
      <c r="N219" s="291"/>
      <c r="O219" s="295">
        <v>0.30933996150270104</v>
      </c>
      <c r="P219" s="295">
        <v>0.25448468374088401</v>
      </c>
      <c r="Q219" s="295">
        <v>0.25448468374088401</v>
      </c>
      <c r="R219" s="295">
        <v>0.25448468374088401</v>
      </c>
      <c r="S219" s="295">
        <v>0.25448468374088401</v>
      </c>
      <c r="T219" s="295">
        <v>0.25448468374088401</v>
      </c>
      <c r="U219" s="295">
        <v>0.25448468374088401</v>
      </c>
      <c r="V219" s="295">
        <v>0.25448468374088401</v>
      </c>
      <c r="W219" s="295">
        <v>0.17978592216968536</v>
      </c>
      <c r="X219" s="295">
        <v>0.17978592216968536</v>
      </c>
      <c r="Y219" s="470">
        <v>1</v>
      </c>
      <c r="Z219" s="410"/>
      <c r="AA219" s="410"/>
      <c r="AB219" s="410"/>
      <c r="AC219" s="410"/>
      <c r="AD219" s="410"/>
      <c r="AE219" s="410"/>
      <c r="AF219" s="410"/>
      <c r="AG219" s="410"/>
      <c r="AH219" s="410"/>
      <c r="AI219" s="410"/>
      <c r="AJ219" s="410"/>
      <c r="AK219" s="410"/>
      <c r="AL219" s="410"/>
      <c r="AM219" s="296">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v>0</v>
      </c>
      <c r="AC220" s="411">
        <v>0</v>
      </c>
      <c r="AD220" s="411">
        <v>0</v>
      </c>
      <c r="AE220" s="411">
        <v>0</v>
      </c>
      <c r="AF220" s="411">
        <v>0</v>
      </c>
      <c r="AG220" s="411">
        <v>0</v>
      </c>
      <c r="AH220" s="411">
        <v>0</v>
      </c>
      <c r="AI220" s="411">
        <v>0</v>
      </c>
      <c r="AJ220" s="411">
        <v>0</v>
      </c>
      <c r="AK220" s="411">
        <v>0</v>
      </c>
      <c r="AL220" s="411">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v>0</v>
      </c>
      <c r="AC224" s="411">
        <v>0</v>
      </c>
      <c r="AD224" s="411">
        <v>0</v>
      </c>
      <c r="AE224" s="411">
        <v>0</v>
      </c>
      <c r="AF224" s="411">
        <v>0</v>
      </c>
      <c r="AG224" s="411">
        <v>0</v>
      </c>
      <c r="AH224" s="411">
        <v>0</v>
      </c>
      <c r="AI224" s="411">
        <v>0</v>
      </c>
      <c r="AJ224" s="411">
        <v>0</v>
      </c>
      <c r="AK224" s="411">
        <v>0</v>
      </c>
      <c r="AL224" s="411">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v>0</v>
      </c>
    </row>
    <row r="227" spans="1:39" s="283" customFormat="1" ht="15" outlineLevel="1">
      <c r="A227" s="509"/>
      <c r="B227" s="315" t="s">
        <v>244</v>
      </c>
      <c r="C227" s="291" t="s">
        <v>163</v>
      </c>
      <c r="D227" s="295"/>
      <c r="E227" s="295"/>
      <c r="F227" s="295"/>
      <c r="G227" s="295"/>
      <c r="H227" s="295"/>
      <c r="I227" s="295"/>
      <c r="J227" s="295"/>
      <c r="K227" s="295"/>
      <c r="L227" s="295"/>
      <c r="M227" s="295"/>
      <c r="N227" s="295">
        <v>0</v>
      </c>
      <c r="O227" s="295"/>
      <c r="P227" s="295"/>
      <c r="Q227" s="295"/>
      <c r="R227" s="295"/>
      <c r="S227" s="295"/>
      <c r="T227" s="295"/>
      <c r="U227" s="295"/>
      <c r="V227" s="295"/>
      <c r="W227" s="295"/>
      <c r="X227" s="295"/>
      <c r="Y227" s="411">
        <v>0</v>
      </c>
      <c r="Z227" s="411">
        <v>0</v>
      </c>
      <c r="AA227" s="411">
        <v>0</v>
      </c>
      <c r="AB227" s="411">
        <v>0</v>
      </c>
      <c r="AC227" s="411">
        <v>0</v>
      </c>
      <c r="AD227" s="411">
        <v>0</v>
      </c>
      <c r="AE227" s="411">
        <v>0</v>
      </c>
      <c r="AF227" s="411">
        <v>0</v>
      </c>
      <c r="AG227" s="411">
        <v>0</v>
      </c>
      <c r="AH227" s="411">
        <v>0</v>
      </c>
      <c r="AI227" s="411">
        <v>0</v>
      </c>
      <c r="AJ227" s="411">
        <v>0</v>
      </c>
      <c r="AK227" s="411">
        <v>0</v>
      </c>
      <c r="AL227" s="41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v>0</v>
      </c>
    </row>
    <row r="231" spans="1:39" ht="15" outlineLevel="1">
      <c r="B231" s="294" t="s">
        <v>244</v>
      </c>
      <c r="C231" s="291" t="s">
        <v>163</v>
      </c>
      <c r="D231" s="295"/>
      <c r="E231" s="295"/>
      <c r="F231" s="295"/>
      <c r="G231" s="295"/>
      <c r="H231" s="295"/>
      <c r="I231" s="295"/>
      <c r="J231" s="295"/>
      <c r="K231" s="295"/>
      <c r="L231" s="295"/>
      <c r="M231" s="295"/>
      <c r="N231" s="295">
        <v>12</v>
      </c>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224.0545793275119</v>
      </c>
      <c r="E233" s="295">
        <v>224.0545793275119</v>
      </c>
      <c r="F233" s="295">
        <v>224.0545793275119</v>
      </c>
      <c r="G233" s="295">
        <v>224.0545793275119</v>
      </c>
      <c r="H233" s="295">
        <v>224.0545793275119</v>
      </c>
      <c r="I233" s="295">
        <v>224.0545793275119</v>
      </c>
      <c r="J233" s="295">
        <v>224.0545793275119</v>
      </c>
      <c r="K233" s="295">
        <v>224.0545793275119</v>
      </c>
      <c r="L233" s="295">
        <v>224.0545793275119</v>
      </c>
      <c r="M233" s="295">
        <v>224.0545793275119</v>
      </c>
      <c r="N233" s="295">
        <v>12</v>
      </c>
      <c r="O233" s="295">
        <v>0.23126154874252797</v>
      </c>
      <c r="P233" s="295">
        <v>0.23126154874252797</v>
      </c>
      <c r="Q233" s="295">
        <v>0.23126154874252797</v>
      </c>
      <c r="R233" s="295">
        <v>0.23126154874252797</v>
      </c>
      <c r="S233" s="295">
        <v>0.23126154874252797</v>
      </c>
      <c r="T233" s="295">
        <v>0.23126154874252797</v>
      </c>
      <c r="U233" s="295">
        <v>0.23126154874252797</v>
      </c>
      <c r="V233" s="295">
        <v>0.23126154874252797</v>
      </c>
      <c r="W233" s="295">
        <v>0.23126154874252797</v>
      </c>
      <c r="X233" s="295">
        <v>0.23126154874252797</v>
      </c>
      <c r="Y233" s="426"/>
      <c r="Z233" s="415">
        <v>1</v>
      </c>
      <c r="AA233" s="415"/>
      <c r="AB233" s="415"/>
      <c r="AC233" s="415"/>
      <c r="AD233" s="415"/>
      <c r="AE233" s="415"/>
      <c r="AF233" s="415"/>
      <c r="AG233" s="415"/>
      <c r="AH233" s="415"/>
      <c r="AI233" s="415"/>
      <c r="AJ233" s="415"/>
      <c r="AK233" s="415"/>
      <c r="AL233" s="415"/>
      <c r="AM233" s="296">
        <v>1</v>
      </c>
    </row>
    <row r="234" spans="1:39" ht="15" outlineLevel="1">
      <c r="B234" s="294" t="s">
        <v>244</v>
      </c>
      <c r="C234" s="291" t="s">
        <v>163</v>
      </c>
      <c r="D234" s="295">
        <v>5992.3001599999998</v>
      </c>
      <c r="E234" s="295">
        <v>5992.3001599999998</v>
      </c>
      <c r="F234" s="295">
        <v>5992.3001599999998</v>
      </c>
      <c r="G234" s="295">
        <v>5992.3001599999998</v>
      </c>
      <c r="H234" s="295">
        <v>0</v>
      </c>
      <c r="I234" s="295">
        <v>0</v>
      </c>
      <c r="J234" s="295">
        <v>0</v>
      </c>
      <c r="K234" s="295">
        <v>0</v>
      </c>
      <c r="L234" s="295">
        <v>0</v>
      </c>
      <c r="M234" s="295">
        <v>0</v>
      </c>
      <c r="N234" s="295">
        <v>12</v>
      </c>
      <c r="O234" s="295">
        <v>0.96286959999999999</v>
      </c>
      <c r="P234" s="295">
        <v>0.96286959999999999</v>
      </c>
      <c r="Q234" s="295">
        <v>0.96286959999999999</v>
      </c>
      <c r="R234" s="295">
        <v>0.96286959999999999</v>
      </c>
      <c r="S234" s="295">
        <v>0</v>
      </c>
      <c r="T234" s="295">
        <v>0</v>
      </c>
      <c r="U234" s="295">
        <v>0</v>
      </c>
      <c r="V234" s="295">
        <v>0</v>
      </c>
      <c r="W234" s="295">
        <v>0</v>
      </c>
      <c r="X234" s="295">
        <v>0</v>
      </c>
      <c r="Y234" s="411">
        <v>0</v>
      </c>
      <c r="Z234" s="411">
        <v>1</v>
      </c>
      <c r="AA234" s="411">
        <v>0</v>
      </c>
      <c r="AB234" s="411">
        <v>0</v>
      </c>
      <c r="AC234" s="411">
        <v>0</v>
      </c>
      <c r="AD234" s="411">
        <v>0</v>
      </c>
      <c r="AE234" s="411">
        <v>0</v>
      </c>
      <c r="AF234" s="411">
        <v>0</v>
      </c>
      <c r="AG234" s="411">
        <v>0</v>
      </c>
      <c r="AH234" s="411">
        <v>0</v>
      </c>
      <c r="AI234" s="411">
        <v>0</v>
      </c>
      <c r="AJ234" s="411">
        <v>0</v>
      </c>
      <c r="AK234" s="411">
        <v>0</v>
      </c>
      <c r="AL234" s="411">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v>0</v>
      </c>
    </row>
    <row r="237" spans="1:39" ht="15" outlineLevel="1">
      <c r="B237" s="294" t="s">
        <v>244</v>
      </c>
      <c r="C237" s="291" t="s">
        <v>163</v>
      </c>
      <c r="D237" s="295"/>
      <c r="E237" s="295"/>
      <c r="F237" s="295"/>
      <c r="G237" s="295"/>
      <c r="H237" s="295"/>
      <c r="I237" s="295"/>
      <c r="J237" s="295"/>
      <c r="K237" s="295"/>
      <c r="L237" s="295"/>
      <c r="M237" s="295"/>
      <c r="N237" s="295">
        <v>0</v>
      </c>
      <c r="O237" s="295"/>
      <c r="P237" s="295"/>
      <c r="Q237" s="295"/>
      <c r="R237" s="295"/>
      <c r="S237" s="295"/>
      <c r="T237" s="295"/>
      <c r="U237" s="295"/>
      <c r="V237" s="295"/>
      <c r="W237" s="295"/>
      <c r="X237" s="295"/>
      <c r="Y237" s="411">
        <v>0</v>
      </c>
      <c r="Z237" s="411">
        <v>0</v>
      </c>
      <c r="AA237" s="411">
        <v>0</v>
      </c>
      <c r="AB237" s="411">
        <v>0</v>
      </c>
      <c r="AC237" s="411">
        <v>0</v>
      </c>
      <c r="AD237" s="411">
        <v>0</v>
      </c>
      <c r="AE237" s="411">
        <v>0</v>
      </c>
      <c r="AF237" s="411">
        <v>0</v>
      </c>
      <c r="AG237" s="411">
        <v>0</v>
      </c>
      <c r="AH237" s="411">
        <v>0</v>
      </c>
      <c r="AI237" s="411">
        <v>0</v>
      </c>
      <c r="AJ237" s="411">
        <v>0</v>
      </c>
      <c r="AK237" s="411">
        <v>0</v>
      </c>
      <c r="AL237" s="411">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v>0</v>
      </c>
    </row>
    <row r="240" spans="1:39" ht="15" outlineLevel="1">
      <c r="B240" s="324" t="s">
        <v>244</v>
      </c>
      <c r="C240" s="291" t="s">
        <v>163</v>
      </c>
      <c r="D240" s="295"/>
      <c r="E240" s="295"/>
      <c r="F240" s="295"/>
      <c r="G240" s="295"/>
      <c r="H240" s="295"/>
      <c r="I240" s="295"/>
      <c r="J240" s="295"/>
      <c r="K240" s="295"/>
      <c r="L240" s="295"/>
      <c r="M240" s="295"/>
      <c r="N240" s="295">
        <v>0</v>
      </c>
      <c r="O240" s="295"/>
      <c r="P240" s="295"/>
      <c r="Q240" s="295"/>
      <c r="R240" s="295"/>
      <c r="S240" s="295"/>
      <c r="T240" s="295"/>
      <c r="U240" s="295"/>
      <c r="V240" s="295"/>
      <c r="W240" s="295"/>
      <c r="X240" s="295"/>
      <c r="Y240" s="411">
        <v>0</v>
      </c>
      <c r="Z240" s="411">
        <v>0</v>
      </c>
      <c r="AA240" s="411">
        <v>0</v>
      </c>
      <c r="AB240" s="411">
        <v>0</v>
      </c>
      <c r="AC240" s="411">
        <v>0</v>
      </c>
      <c r="AD240" s="411">
        <v>0</v>
      </c>
      <c r="AE240" s="411">
        <v>0</v>
      </c>
      <c r="AF240" s="411">
        <v>0</v>
      </c>
      <c r="AG240" s="411">
        <v>0</v>
      </c>
      <c r="AH240" s="411">
        <v>0</v>
      </c>
      <c r="AI240" s="411">
        <v>0</v>
      </c>
      <c r="AJ240" s="411">
        <v>0</v>
      </c>
      <c r="AK240" s="411">
        <v>0</v>
      </c>
      <c r="AL240" s="411">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v>0</v>
      </c>
    </row>
    <row r="243" spans="1:39" s="283" customFormat="1" ht="15" outlineLevel="1">
      <c r="A243" s="509"/>
      <c r="B243" s="324" t="s">
        <v>244</v>
      </c>
      <c r="C243" s="291" t="s">
        <v>163</v>
      </c>
      <c r="D243" s="295"/>
      <c r="E243" s="295"/>
      <c r="F243" s="295"/>
      <c r="G243" s="295"/>
      <c r="H243" s="295"/>
      <c r="I243" s="295"/>
      <c r="J243" s="295"/>
      <c r="K243" s="295"/>
      <c r="L243" s="295"/>
      <c r="M243" s="295"/>
      <c r="N243" s="295">
        <v>0</v>
      </c>
      <c r="O243" s="295"/>
      <c r="P243" s="295"/>
      <c r="Q243" s="295"/>
      <c r="R243" s="295"/>
      <c r="S243" s="295"/>
      <c r="T243" s="295"/>
      <c r="U243" s="295"/>
      <c r="V243" s="295"/>
      <c r="W243" s="295"/>
      <c r="X243" s="295"/>
      <c r="Y243" s="411">
        <v>0</v>
      </c>
      <c r="Z243" s="411">
        <v>0</v>
      </c>
      <c r="AA243" s="411">
        <v>0</v>
      </c>
      <c r="AB243" s="411">
        <v>0</v>
      </c>
      <c r="AC243" s="411">
        <v>0</v>
      </c>
      <c r="AD243" s="411">
        <v>0</v>
      </c>
      <c r="AE243" s="411">
        <v>0</v>
      </c>
      <c r="AF243" s="411">
        <v>0</v>
      </c>
      <c r="AG243" s="411">
        <v>0</v>
      </c>
      <c r="AH243" s="411">
        <v>0</v>
      </c>
      <c r="AI243" s="411">
        <v>0</v>
      </c>
      <c r="AJ243" s="411">
        <v>0</v>
      </c>
      <c r="AK243" s="411">
        <v>0</v>
      </c>
      <c r="AL243" s="411">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v>0</v>
      </c>
    </row>
    <row r="247" spans="1:39" s="283" customFormat="1" ht="15" outlineLevel="1">
      <c r="A247" s="509"/>
      <c r="B247" s="324" t="s">
        <v>244</v>
      </c>
      <c r="C247" s="291" t="s">
        <v>163</v>
      </c>
      <c r="D247" s="295"/>
      <c r="E247" s="295"/>
      <c r="F247" s="295"/>
      <c r="G247" s="295"/>
      <c r="H247" s="295"/>
      <c r="I247" s="295"/>
      <c r="J247" s="295"/>
      <c r="K247" s="295"/>
      <c r="L247" s="295"/>
      <c r="M247" s="295"/>
      <c r="N247" s="295">
        <v>0</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v>0</v>
      </c>
    </row>
    <row r="250" spans="1:39" s="283" customFormat="1" ht="15" outlineLevel="1">
      <c r="A250" s="509"/>
      <c r="B250" s="324" t="s">
        <v>244</v>
      </c>
      <c r="C250" s="291" t="s">
        <v>163</v>
      </c>
      <c r="D250" s="295"/>
      <c r="E250" s="295"/>
      <c r="F250" s="295"/>
      <c r="G250" s="295"/>
      <c r="H250" s="295"/>
      <c r="I250" s="295"/>
      <c r="J250" s="295"/>
      <c r="K250" s="295"/>
      <c r="L250" s="295"/>
      <c r="M250" s="295"/>
      <c r="N250" s="295">
        <v>0</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4">Z252</f>
        <v>0</v>
      </c>
      <c r="AA253" s="411">
        <f t="shared" si="4"/>
        <v>0</v>
      </c>
      <c r="AB253" s="411">
        <f t="shared" si="4"/>
        <v>0</v>
      </c>
      <c r="AC253" s="411">
        <f t="shared" si="4"/>
        <v>0</v>
      </c>
      <c r="AD253" s="411">
        <f t="shared" si="4"/>
        <v>0</v>
      </c>
      <c r="AE253" s="411">
        <f t="shared" si="4"/>
        <v>0</v>
      </c>
      <c r="AF253" s="411">
        <f t="shared" si="4"/>
        <v>0</v>
      </c>
      <c r="AG253" s="411">
        <f t="shared" si="4"/>
        <v>0</v>
      </c>
      <c r="AH253" s="411">
        <f t="shared" si="4"/>
        <v>0</v>
      </c>
      <c r="AI253" s="411">
        <f t="shared" si="4"/>
        <v>0</v>
      </c>
      <c r="AJ253" s="411">
        <f t="shared" si="4"/>
        <v>0</v>
      </c>
      <c r="AK253" s="411">
        <f t="shared" si="4"/>
        <v>0</v>
      </c>
      <c r="AL253" s="411">
        <f t="shared" si="4"/>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1483247.2214810243</v>
      </c>
      <c r="E255" s="329"/>
      <c r="F255" s="329"/>
      <c r="G255" s="329"/>
      <c r="H255" s="329"/>
      <c r="I255" s="329"/>
      <c r="J255" s="329"/>
      <c r="K255" s="329"/>
      <c r="L255" s="329"/>
      <c r="M255" s="329"/>
      <c r="N255" s="329"/>
      <c r="O255" s="329">
        <f>SUM(O150:O253)</f>
        <v>345.4422424921047</v>
      </c>
      <c r="P255" s="329"/>
      <c r="Q255" s="329"/>
      <c r="R255" s="329"/>
      <c r="S255" s="329"/>
      <c r="T255" s="329"/>
      <c r="U255" s="329"/>
      <c r="V255" s="329"/>
      <c r="W255" s="329"/>
      <c r="X255" s="329"/>
      <c r="Y255" s="329">
        <f>IF(Y149="kWh",SUMPRODUCT(D150:D253,Y150:Y253))</f>
        <v>120347.01679825217</v>
      </c>
      <c r="Z255" s="329">
        <f>IF(Z149="kWh",SUMPRODUCT(D150:D253,Z150:Z253))</f>
        <v>960251.66992137604</v>
      </c>
      <c r="AA255" s="329">
        <f>IF(AA149="kW",SUMPRODUCT(N150:N253,O150:O253,AA150:AA253),SUMPRODUCT(D150:D253,AA150:AA253))</f>
        <v>806.28147316357285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1219155</v>
      </c>
      <c r="Z256" s="328">
        <f>HLOOKUP(Z148,'2. LRAMVA Threshold'!$B$42:$Q$53,4,FALSE)</f>
        <v>658151</v>
      </c>
      <c r="AA256" s="328">
        <f>HLOOKUP(AA148,'2. LRAMVA Threshold'!$B$42:$Q$53,4,FALSE)</f>
        <v>3236</v>
      </c>
      <c r="AB256" s="328">
        <f>HLOOKUP(AB148,'2. LRAMVA Threshold'!$B$42:$Q$53,4,FALSE)</f>
        <v>2</v>
      </c>
      <c r="AC256" s="328">
        <f>HLOOKUP(AC148,'2. LRAMVA Threshold'!$B$42:$Q$53,4,FALSE)</f>
        <v>81</v>
      </c>
      <c r="AD256" s="328">
        <f>HLOOKUP(AD148,'2. LRAMVA Threshold'!$B$42:$Q$53,4,FALSE)</f>
        <v>1714</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1.38E-2</v>
      </c>
      <c r="Z258" s="341">
        <f>HLOOKUP(Z$20,'3.  Distribution Rates'!$C$122:$P$133,4,FALSE)</f>
        <v>8.3999999999999995E-3</v>
      </c>
      <c r="AA258" s="341">
        <f>HLOOKUP(AA$20,'3.  Distribution Rates'!$C$122:$P$133,4,FALSE)</f>
        <v>1.4072</v>
      </c>
      <c r="AB258" s="341">
        <f>HLOOKUP(AB$20,'3.  Distribution Rates'!$C$122:$P$133,4,FALSE)</f>
        <v>16.886800000000001</v>
      </c>
      <c r="AC258" s="341">
        <f>HLOOKUP(AC$20,'3.  Distribution Rates'!$C$122:$P$133,4,FALSE)</f>
        <v>14.740600000000001</v>
      </c>
      <c r="AD258" s="341">
        <f>HLOOKUP(AD$20,'3.  Distribution Rates'!$C$122:$P$133,4,FALSE)</f>
        <v>8.2000000000000007E-3</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5">Y135*Y258</f>
        <v>2582.5795252807793</v>
      </c>
      <c r="Z259" s="378">
        <f t="shared" si="5"/>
        <v>2151.065604754644</v>
      </c>
      <c r="AA259" s="378">
        <f t="shared" si="5"/>
        <v>202.00413409019038</v>
      </c>
      <c r="AB259" s="378">
        <f t="shared" si="5"/>
        <v>0</v>
      </c>
      <c r="AC259" s="378">
        <f t="shared" si="5"/>
        <v>0</v>
      </c>
      <c r="AD259" s="378">
        <f t="shared" si="5"/>
        <v>0</v>
      </c>
      <c r="AE259" s="378">
        <f t="shared" si="5"/>
        <v>0</v>
      </c>
      <c r="AF259" s="378">
        <f t="shared" si="5"/>
        <v>0</v>
      </c>
      <c r="AG259" s="378">
        <f t="shared" si="5"/>
        <v>0</v>
      </c>
      <c r="AH259" s="378">
        <f t="shared" si="5"/>
        <v>0</v>
      </c>
      <c r="AI259" s="378">
        <f t="shared" si="5"/>
        <v>0</v>
      </c>
      <c r="AJ259" s="378">
        <f t="shared" si="5"/>
        <v>0</v>
      </c>
      <c r="AK259" s="378">
        <f t="shared" si="5"/>
        <v>0</v>
      </c>
      <c r="AL259" s="378">
        <f t="shared" si="5"/>
        <v>0</v>
      </c>
      <c r="AM259" s="629">
        <f>SUM(Y259:AL259)</f>
        <v>4935.6492641256145</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6">Y255*Y258</f>
        <v>1660.7888318158798</v>
      </c>
      <c r="Z260" s="378">
        <f t="shared" si="6"/>
        <v>8066.1140273395586</v>
      </c>
      <c r="AA260" s="379">
        <f t="shared" si="6"/>
        <v>1134.5992890357797</v>
      </c>
      <c r="AB260" s="379">
        <f t="shared" si="6"/>
        <v>0</v>
      </c>
      <c r="AC260" s="379">
        <f t="shared" si="6"/>
        <v>0</v>
      </c>
      <c r="AD260" s="379">
        <f t="shared" si="6"/>
        <v>0</v>
      </c>
      <c r="AE260" s="379">
        <f t="shared" si="6"/>
        <v>0</v>
      </c>
      <c r="AF260" s="379">
        <f t="shared" ref="AF260:AL260" si="7">AF255*AF258</f>
        <v>0</v>
      </c>
      <c r="AG260" s="379">
        <f t="shared" si="7"/>
        <v>0</v>
      </c>
      <c r="AH260" s="379">
        <f t="shared" si="7"/>
        <v>0</v>
      </c>
      <c r="AI260" s="379">
        <f t="shared" si="7"/>
        <v>0</v>
      </c>
      <c r="AJ260" s="379">
        <f t="shared" si="7"/>
        <v>0</v>
      </c>
      <c r="AK260" s="379">
        <f t="shared" si="7"/>
        <v>0</v>
      </c>
      <c r="AL260" s="379">
        <f t="shared" si="7"/>
        <v>0</v>
      </c>
      <c r="AM260" s="629">
        <f>SUM(Y260:AL260)</f>
        <v>10861.502148191217</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4243.3683570966587</v>
      </c>
      <c r="Z261" s="346">
        <f t="shared" ref="Z261:AE261" si="8">SUM(Z259:Z260)</f>
        <v>10217.179632094203</v>
      </c>
      <c r="AA261" s="346">
        <f t="shared" si="8"/>
        <v>1336.60342312597</v>
      </c>
      <c r="AB261" s="346">
        <f t="shared" si="8"/>
        <v>0</v>
      </c>
      <c r="AC261" s="346">
        <f t="shared" si="8"/>
        <v>0</v>
      </c>
      <c r="AD261" s="346">
        <f t="shared" si="8"/>
        <v>0</v>
      </c>
      <c r="AE261" s="346">
        <f t="shared" si="8"/>
        <v>0</v>
      </c>
      <c r="AF261" s="346">
        <f t="shared" ref="AF261:AL261" si="9">SUM(AF259:AF260)</f>
        <v>0</v>
      </c>
      <c r="AG261" s="346">
        <f t="shared" si="9"/>
        <v>0</v>
      </c>
      <c r="AH261" s="346">
        <f t="shared" si="9"/>
        <v>0</v>
      </c>
      <c r="AI261" s="346">
        <f t="shared" si="9"/>
        <v>0</v>
      </c>
      <c r="AJ261" s="346">
        <f t="shared" si="9"/>
        <v>0</v>
      </c>
      <c r="AK261" s="346">
        <f t="shared" si="9"/>
        <v>0</v>
      </c>
      <c r="AL261" s="346">
        <f t="shared" si="9"/>
        <v>0</v>
      </c>
      <c r="AM261" s="407">
        <f>SUM(AM259:AM260)</f>
        <v>15797.151412316831</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Y256*Y258</f>
        <v>16824.339</v>
      </c>
      <c r="Z262" s="347">
        <f t="shared" si="10"/>
        <v>5528.4683999999997</v>
      </c>
      <c r="AA262" s="347">
        <f t="shared" si="10"/>
        <v>4553.6992</v>
      </c>
      <c r="AB262" s="347">
        <f t="shared" si="10"/>
        <v>33.773600000000002</v>
      </c>
      <c r="AC262" s="347">
        <f t="shared" si="10"/>
        <v>1193.9886000000001</v>
      </c>
      <c r="AD262" s="347">
        <f t="shared" si="10"/>
        <v>14.054800000000002</v>
      </c>
      <c r="AE262" s="347">
        <f t="shared" si="10"/>
        <v>0</v>
      </c>
      <c r="AF262" s="347">
        <f t="shared" ref="AF262:AL262" si="11">AF256*AF258</f>
        <v>0</v>
      </c>
      <c r="AG262" s="347">
        <f t="shared" si="11"/>
        <v>0</v>
      </c>
      <c r="AH262" s="347">
        <f t="shared" si="11"/>
        <v>0</v>
      </c>
      <c r="AI262" s="347">
        <f t="shared" si="11"/>
        <v>0</v>
      </c>
      <c r="AJ262" s="347">
        <f t="shared" si="11"/>
        <v>0</v>
      </c>
      <c r="AK262" s="347">
        <f t="shared" si="11"/>
        <v>0</v>
      </c>
      <c r="AL262" s="347">
        <f t="shared" si="11"/>
        <v>0</v>
      </c>
      <c r="AM262" s="407">
        <f>SUM(Y262:AL262)</f>
        <v>28148.3236</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-12351.172187683169</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120347.01678299338</v>
      </c>
      <c r="Z265" s="291">
        <f>SUMPRODUCT(E150:E253,Z150:Z253)</f>
        <v>960251.66992137581</v>
      </c>
      <c r="AA265" s="291">
        <f>IF(AA149="kW",SUMPRODUCT(N150:N253,P150:P253,AA150:AA253),SUMPRODUCT(E150:E253,AA150:AA253))</f>
        <v>806.28147316357285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120347.01678299338</v>
      </c>
      <c r="Z266" s="291">
        <f>SUMPRODUCT(F150:F253,Z150:Z253)</f>
        <v>960238.98992137576</v>
      </c>
      <c r="AA266" s="291">
        <f>IF(AA149="kW",SUMPRODUCT(N150:N253,Q150:Q253,AA150:AA253),SUMPRODUCT(F150:F253,AA150:AA253))</f>
        <v>804.16467316357273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119135.03857850457</v>
      </c>
      <c r="Z267" s="291">
        <f>SUMPRODUCT(G150:G253,Z150:Z253)</f>
        <v>674540.46205909888</v>
      </c>
      <c r="AA267" s="291">
        <f>IF(AA149="kW",SUMPRODUCT(N150:N253,R150:R253,AA150:AA253),SUMPRODUCT(G150:G253,AA150:AA253))</f>
        <v>796.58907109491861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100064.35820428452</v>
      </c>
      <c r="Z268" s="291">
        <f>SUMPRODUCT(H150:H253,Z150:Z253)</f>
        <v>668548.16189909889</v>
      </c>
      <c r="AA268" s="291">
        <f>IF(AA149="kW",SUMPRODUCT(N150:N253,S150:S253,AA150:AA253),SUMPRODUCT(H150:H253,AA150:AA253))</f>
        <v>796.58907109491861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72167.283000823416</v>
      </c>
      <c r="Z269" s="291">
        <f>SUMPRODUCT(I150:I253,Z150:Z253)</f>
        <v>128596.6814841641</v>
      </c>
      <c r="AA269" s="291">
        <f>IF(AA149="kW",SUMPRODUCT(N150:N253,T150:T253,AA150:AA253),SUMPRODUCT(I150:I253,AA150:AA253))</f>
        <v>745.57377633280805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57939.629718117547</v>
      </c>
      <c r="Z270" s="291">
        <f>SUMPRODUCT(J150:J253,Z150:Z253)</f>
        <v>128582.60725912277</v>
      </c>
      <c r="AA270" s="291">
        <f>IF(AA149="kW",SUMPRODUCT(N150:N253,U150:U253,AA150:AA253),SUMPRODUCT(J150:J253,AA150:AA253))</f>
        <v>742.86247301989204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57875.498383082639</v>
      </c>
      <c r="Z271" s="291">
        <f>SUMPRODUCT(K150:K253,Z150:Z253)</f>
        <v>128440.35939516753</v>
      </c>
      <c r="AA271" s="291">
        <f>IF(AA149="kW",SUMPRODUCT(N150:N253,V150:V253,AA150:AA253),SUMPRODUCT(K150:K253,AA150:AA253))</f>
        <v>742.86247301989204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56437.498383082639</v>
      </c>
      <c r="Z272" s="326">
        <f>SUMPRODUCT(L150:L253,Z150:Z253)</f>
        <v>128335.86828105203</v>
      </c>
      <c r="AA272" s="326">
        <f>IF(AA149="kW",SUMPRODUCT(N150:N253,W150:W253,AA150:AA253),SUMPRODUCT(L150:L253,AA150:AA253))</f>
        <v>742.86247301989204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1035" t="s">
        <v>211</v>
      </c>
      <c r="C276" s="1037" t="s">
        <v>33</v>
      </c>
      <c r="D276" s="284" t="s">
        <v>421</v>
      </c>
      <c r="E276" s="1039" t="s">
        <v>209</v>
      </c>
      <c r="F276" s="1040"/>
      <c r="G276" s="1040"/>
      <c r="H276" s="1040"/>
      <c r="I276" s="1040"/>
      <c r="J276" s="1040"/>
      <c r="K276" s="1040"/>
      <c r="L276" s="1040"/>
      <c r="M276" s="1041"/>
      <c r="N276" s="1045" t="s">
        <v>213</v>
      </c>
      <c r="O276" s="284" t="s">
        <v>422</v>
      </c>
      <c r="P276" s="1039" t="s">
        <v>212</v>
      </c>
      <c r="Q276" s="1040"/>
      <c r="R276" s="1040"/>
      <c r="S276" s="1040"/>
      <c r="T276" s="1040"/>
      <c r="U276" s="1040"/>
      <c r="V276" s="1040"/>
      <c r="W276" s="1040"/>
      <c r="X276" s="1041"/>
      <c r="Y276" s="1042" t="s">
        <v>243</v>
      </c>
      <c r="Z276" s="1043"/>
      <c r="AA276" s="1043"/>
      <c r="AB276" s="1043"/>
      <c r="AC276" s="1043"/>
      <c r="AD276" s="1043"/>
      <c r="AE276" s="1043"/>
      <c r="AF276" s="1043"/>
      <c r="AG276" s="1043"/>
      <c r="AH276" s="1043"/>
      <c r="AI276" s="1043"/>
      <c r="AJ276" s="1043"/>
      <c r="AK276" s="1043"/>
      <c r="AL276" s="1043"/>
      <c r="AM276" s="1044"/>
    </row>
    <row r="277" spans="1:39" ht="60.75" customHeight="1">
      <c r="B277" s="1036"/>
      <c r="C277" s="1038"/>
      <c r="D277" s="285">
        <v>2013</v>
      </c>
      <c r="E277" s="285">
        <v>2014</v>
      </c>
      <c r="F277" s="285">
        <v>2015</v>
      </c>
      <c r="G277" s="285">
        <v>2016</v>
      </c>
      <c r="H277" s="285">
        <v>2017</v>
      </c>
      <c r="I277" s="285">
        <v>2018</v>
      </c>
      <c r="J277" s="285">
        <v>2019</v>
      </c>
      <c r="K277" s="285">
        <v>2020</v>
      </c>
      <c r="L277" s="285">
        <v>2021</v>
      </c>
      <c r="M277" s="285">
        <v>2022</v>
      </c>
      <c r="N277" s="1046"/>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Sentinel Lighting</v>
      </c>
      <c r="AC277" s="285" t="str">
        <f>'1.  LRAMVA Summary'!H52</f>
        <v>Street Lighting</v>
      </c>
      <c r="AD277" s="285" t="str">
        <f>'1.  LRAMVA Summary'!I52</f>
        <v>Unmetered Scattered Load</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14247.435780543936</v>
      </c>
      <c r="E279" s="295">
        <v>14247.435780543936</v>
      </c>
      <c r="F279" s="295">
        <v>14247.435780543936</v>
      </c>
      <c r="G279" s="295">
        <v>14247.435780543936</v>
      </c>
      <c r="H279" s="295">
        <v>10329.743726522927</v>
      </c>
      <c r="I279" s="295">
        <v>0</v>
      </c>
      <c r="J279" s="295">
        <v>0</v>
      </c>
      <c r="K279" s="295">
        <v>0</v>
      </c>
      <c r="L279" s="295">
        <v>0</v>
      </c>
      <c r="M279" s="295">
        <v>0</v>
      </c>
      <c r="N279" s="291"/>
      <c r="O279" s="295">
        <v>2.3106263434647141</v>
      </c>
      <c r="P279" s="295">
        <v>2.3106263434647141</v>
      </c>
      <c r="Q279" s="295">
        <v>2.3106263434647141</v>
      </c>
      <c r="R279" s="295">
        <v>2.3106263434647141</v>
      </c>
      <c r="S279" s="295">
        <v>1.5181500447061373</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v>0</v>
      </c>
      <c r="AC280" s="411">
        <v>0</v>
      </c>
      <c r="AD280" s="411">
        <v>0</v>
      </c>
      <c r="AE280" s="411">
        <v>0</v>
      </c>
      <c r="AF280" s="411">
        <v>0</v>
      </c>
      <c r="AG280" s="411">
        <v>0</v>
      </c>
      <c r="AH280" s="411">
        <v>0</v>
      </c>
      <c r="AI280" s="411">
        <v>0</v>
      </c>
      <c r="AJ280" s="411">
        <v>0</v>
      </c>
      <c r="AK280" s="411">
        <v>0</v>
      </c>
      <c r="AL280" s="411">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v>
      </c>
      <c r="E282" s="295">
        <v>3694.39878</v>
      </c>
      <c r="F282" s="295">
        <v>3694.39878</v>
      </c>
      <c r="G282" s="295">
        <v>3694.39878</v>
      </c>
      <c r="H282" s="295">
        <v>0</v>
      </c>
      <c r="I282" s="295">
        <v>0</v>
      </c>
      <c r="J282" s="295">
        <v>0</v>
      </c>
      <c r="K282" s="295">
        <v>0</v>
      </c>
      <c r="L282" s="295">
        <v>0</v>
      </c>
      <c r="M282" s="295">
        <v>0</v>
      </c>
      <c r="N282" s="291"/>
      <c r="O282" s="295">
        <v>2.0719409899999999</v>
      </c>
      <c r="P282" s="295">
        <v>2.0719409899999999</v>
      </c>
      <c r="Q282" s="295">
        <v>2.0719409899999999</v>
      </c>
      <c r="R282" s="295">
        <v>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v>0</v>
      </c>
      <c r="AC283" s="411">
        <v>0</v>
      </c>
      <c r="AD283" s="411">
        <v>0</v>
      </c>
      <c r="AE283" s="411">
        <v>0</v>
      </c>
      <c r="AF283" s="411">
        <v>0</v>
      </c>
      <c r="AG283" s="411">
        <v>0</v>
      </c>
      <c r="AH283" s="411">
        <v>0</v>
      </c>
      <c r="AI283" s="411">
        <v>0</v>
      </c>
      <c r="AJ283" s="411">
        <v>0</v>
      </c>
      <c r="AK283" s="411">
        <v>0</v>
      </c>
      <c r="AL283" s="41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21085.291996071999</v>
      </c>
      <c r="E285" s="295">
        <v>21085.291996071999</v>
      </c>
      <c r="F285" s="295">
        <v>21085.291996071999</v>
      </c>
      <c r="G285" s="295">
        <v>21085.291996071999</v>
      </c>
      <c r="H285" s="295">
        <v>21085.291996071999</v>
      </c>
      <c r="I285" s="295">
        <v>21085.291996071999</v>
      </c>
      <c r="J285" s="295">
        <v>21085.291996071999</v>
      </c>
      <c r="K285" s="295">
        <v>21085.291996071999</v>
      </c>
      <c r="L285" s="295">
        <v>21085.291996071999</v>
      </c>
      <c r="M285" s="295">
        <v>21085.291996071999</v>
      </c>
      <c r="N285" s="291"/>
      <c r="O285" s="295">
        <v>11.567089695</v>
      </c>
      <c r="P285" s="295">
        <v>11.567089695</v>
      </c>
      <c r="Q285" s="295">
        <v>11.567089695</v>
      </c>
      <c r="R285" s="295">
        <v>11.567089695</v>
      </c>
      <c r="S285" s="295">
        <v>11.567089695</v>
      </c>
      <c r="T285" s="295">
        <v>11.567089695</v>
      </c>
      <c r="U285" s="295">
        <v>11.567089695</v>
      </c>
      <c r="V285" s="295">
        <v>11.567089695</v>
      </c>
      <c r="W285" s="295">
        <v>11.567089695</v>
      </c>
      <c r="X285" s="295">
        <v>11.567089695</v>
      </c>
      <c r="Y285" s="410">
        <v>1</v>
      </c>
      <c r="Z285" s="410"/>
      <c r="AA285" s="410"/>
      <c r="AB285" s="410"/>
      <c r="AC285" s="410"/>
      <c r="AD285" s="410"/>
      <c r="AE285" s="410"/>
      <c r="AF285" s="410"/>
      <c r="AG285" s="410"/>
      <c r="AH285" s="410"/>
      <c r="AI285" s="410"/>
      <c r="AJ285" s="410"/>
      <c r="AK285" s="410"/>
      <c r="AL285" s="410"/>
      <c r="AM285" s="296">
        <v>1</v>
      </c>
    </row>
    <row r="286" spans="1:39" ht="15" outlineLevel="1">
      <c r="B286" s="294" t="s">
        <v>249</v>
      </c>
      <c r="C286" s="291" t="s">
        <v>163</v>
      </c>
      <c r="D286" s="295">
        <v>1607.31500809</v>
      </c>
      <c r="E286" s="295">
        <v>1607.31500809</v>
      </c>
      <c r="F286" s="295">
        <v>1607.31500809</v>
      </c>
      <c r="G286" s="295">
        <v>1607.31500809</v>
      </c>
      <c r="H286" s="295">
        <v>1607.31500809</v>
      </c>
      <c r="I286" s="295">
        <v>1607.31500809</v>
      </c>
      <c r="J286" s="295">
        <v>1607.31500809</v>
      </c>
      <c r="K286" s="295">
        <v>1607.31500809</v>
      </c>
      <c r="L286" s="295">
        <v>1607.31500809</v>
      </c>
      <c r="M286" s="295">
        <v>1607.31500809</v>
      </c>
      <c r="N286" s="468"/>
      <c r="O286" s="295">
        <v>0.87341554099999996</v>
      </c>
      <c r="P286" s="295">
        <v>0.87341554099999996</v>
      </c>
      <c r="Q286" s="295">
        <v>0.87341554099999996</v>
      </c>
      <c r="R286" s="295">
        <v>0.87341554099999996</v>
      </c>
      <c r="S286" s="295">
        <v>0.87341554099999996</v>
      </c>
      <c r="T286" s="295">
        <v>0.87341554099999996</v>
      </c>
      <c r="U286" s="295">
        <v>0.87341554099999996</v>
      </c>
      <c r="V286" s="295">
        <v>0.87341554099999996</v>
      </c>
      <c r="W286" s="295">
        <v>0.87341554099999996</v>
      </c>
      <c r="X286" s="295">
        <v>0.87341554099999996</v>
      </c>
      <c r="Y286" s="411">
        <v>1</v>
      </c>
      <c r="Z286" s="411">
        <v>0</v>
      </c>
      <c r="AA286" s="411">
        <v>0</v>
      </c>
      <c r="AB286" s="411">
        <v>0</v>
      </c>
      <c r="AC286" s="411">
        <v>0</v>
      </c>
      <c r="AD286" s="411">
        <v>0</v>
      </c>
      <c r="AE286" s="411">
        <v>0</v>
      </c>
      <c r="AF286" s="411">
        <v>0</v>
      </c>
      <c r="AG286" s="411">
        <v>0</v>
      </c>
      <c r="AH286" s="411">
        <v>0</v>
      </c>
      <c r="AI286" s="411">
        <v>0</v>
      </c>
      <c r="AJ286" s="411">
        <v>0</v>
      </c>
      <c r="AK286" s="411">
        <v>0</v>
      </c>
      <c r="AL286" s="411">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15774.028820031001</v>
      </c>
      <c r="E288" s="295">
        <v>15774.028820031001</v>
      </c>
      <c r="F288" s="295">
        <v>15166.162775788</v>
      </c>
      <c r="G288" s="295">
        <v>12848.869575674</v>
      </c>
      <c r="H288" s="295">
        <v>12848.869575674</v>
      </c>
      <c r="I288" s="295">
        <v>12848.869575674</v>
      </c>
      <c r="J288" s="295">
        <v>12848.869575674</v>
      </c>
      <c r="K288" s="295">
        <v>12838.161391445001</v>
      </c>
      <c r="L288" s="295">
        <v>9335.5011957170009</v>
      </c>
      <c r="M288" s="295">
        <v>9335.5011957170009</v>
      </c>
      <c r="N288" s="291"/>
      <c r="O288" s="295">
        <v>1.057225133</v>
      </c>
      <c r="P288" s="295">
        <v>1.057225133</v>
      </c>
      <c r="Q288" s="295">
        <v>1.0190649439999999</v>
      </c>
      <c r="R288" s="295">
        <v>0.87359153599999995</v>
      </c>
      <c r="S288" s="295">
        <v>0.87359153599999995</v>
      </c>
      <c r="T288" s="295">
        <v>0.87359153599999995</v>
      </c>
      <c r="U288" s="295">
        <v>0.87359153599999995</v>
      </c>
      <c r="V288" s="295">
        <v>0.87236914099999996</v>
      </c>
      <c r="W288" s="295">
        <v>0.65248159400000005</v>
      </c>
      <c r="X288" s="295">
        <v>0.65248159400000005</v>
      </c>
      <c r="Y288" s="410">
        <v>1</v>
      </c>
      <c r="Z288" s="410"/>
      <c r="AA288" s="410"/>
      <c r="AB288" s="410"/>
      <c r="AC288" s="410"/>
      <c r="AD288" s="410"/>
      <c r="AE288" s="410"/>
      <c r="AF288" s="410"/>
      <c r="AG288" s="410"/>
      <c r="AH288" s="410"/>
      <c r="AI288" s="410"/>
      <c r="AJ288" s="410"/>
      <c r="AK288" s="410"/>
      <c r="AL288" s="410"/>
      <c r="AM288" s="296">
        <v>1</v>
      </c>
    </row>
    <row r="289" spans="1:39" ht="15" outlineLevel="1">
      <c r="B289" s="294" t="s">
        <v>249</v>
      </c>
      <c r="C289" s="291" t="s">
        <v>163</v>
      </c>
      <c r="D289" s="295">
        <v>48</v>
      </c>
      <c r="E289" s="295">
        <v>48</v>
      </c>
      <c r="F289" s="295">
        <v>46</v>
      </c>
      <c r="G289" s="295">
        <v>40</v>
      </c>
      <c r="H289" s="295">
        <v>40</v>
      </c>
      <c r="I289" s="295">
        <v>40</v>
      </c>
      <c r="J289" s="295">
        <v>40</v>
      </c>
      <c r="K289" s="295">
        <v>40</v>
      </c>
      <c r="L289" s="295">
        <v>33</v>
      </c>
      <c r="M289" s="295">
        <v>33</v>
      </c>
      <c r="N289" s="468"/>
      <c r="O289" s="295">
        <v>3.0000000000000001E-3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2E-3</v>
      </c>
      <c r="X289" s="295">
        <v>2E-3</v>
      </c>
      <c r="Y289" s="411">
        <v>1</v>
      </c>
      <c r="Z289" s="411">
        <v>0</v>
      </c>
      <c r="AA289" s="411">
        <v>0</v>
      </c>
      <c r="AB289" s="411">
        <v>0</v>
      </c>
      <c r="AC289" s="411">
        <v>0</v>
      </c>
      <c r="AD289" s="411">
        <v>0</v>
      </c>
      <c r="AE289" s="411">
        <v>0</v>
      </c>
      <c r="AF289" s="411">
        <v>0</v>
      </c>
      <c r="AG289" s="411">
        <v>0</v>
      </c>
      <c r="AH289" s="411">
        <v>0</v>
      </c>
      <c r="AI289" s="411">
        <v>0</v>
      </c>
      <c r="AJ289" s="411">
        <v>0</v>
      </c>
      <c r="AK289" s="411">
        <v>0</v>
      </c>
      <c r="AL289" s="411">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35159.616164337</v>
      </c>
      <c r="E291" s="295">
        <v>35159.616164337</v>
      </c>
      <c r="F291" s="295">
        <v>33041.164633148001</v>
      </c>
      <c r="G291" s="295">
        <v>25811.427285113001</v>
      </c>
      <c r="H291" s="295">
        <v>25811.427285113001</v>
      </c>
      <c r="I291" s="295">
        <v>25811.427285113001</v>
      </c>
      <c r="J291" s="295">
        <v>25811.427285113001</v>
      </c>
      <c r="K291" s="295">
        <v>25781.009834257999</v>
      </c>
      <c r="L291" s="295">
        <v>21680.33141594</v>
      </c>
      <c r="M291" s="295">
        <v>21680.33141594</v>
      </c>
      <c r="N291" s="291"/>
      <c r="O291" s="295">
        <v>2.4224372280000002</v>
      </c>
      <c r="P291" s="295">
        <v>2.4224372280000002</v>
      </c>
      <c r="Q291" s="295">
        <v>2.2894465629999998</v>
      </c>
      <c r="R291" s="295">
        <v>1.8355831789999999</v>
      </c>
      <c r="S291" s="295">
        <v>1.8355831789999999</v>
      </c>
      <c r="T291" s="295">
        <v>1.8355831789999999</v>
      </c>
      <c r="U291" s="295">
        <v>1.8355831789999999</v>
      </c>
      <c r="V291" s="295">
        <v>1.832110868</v>
      </c>
      <c r="W291" s="295">
        <v>1.574681352</v>
      </c>
      <c r="X291" s="295">
        <v>1.574681352</v>
      </c>
      <c r="Y291" s="410">
        <v>1</v>
      </c>
      <c r="Z291" s="410"/>
      <c r="AA291" s="410"/>
      <c r="AB291" s="410"/>
      <c r="AC291" s="410"/>
      <c r="AD291" s="410"/>
      <c r="AE291" s="410"/>
      <c r="AF291" s="410"/>
      <c r="AG291" s="410"/>
      <c r="AH291" s="410"/>
      <c r="AI291" s="410"/>
      <c r="AJ291" s="410"/>
      <c r="AK291" s="410"/>
      <c r="AL291" s="410"/>
      <c r="AM291" s="296">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v>0</v>
      </c>
      <c r="AK292" s="411">
        <v>0</v>
      </c>
      <c r="AL292" s="41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v>0</v>
      </c>
      <c r="AK295" s="411">
        <v>0</v>
      </c>
      <c r="AL295" s="411">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v>0</v>
      </c>
      <c r="AK298" s="411">
        <v>0</v>
      </c>
      <c r="AL298" s="411">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v>0</v>
      </c>
      <c r="AC301" s="411">
        <v>0</v>
      </c>
      <c r="AD301" s="411">
        <v>0</v>
      </c>
      <c r="AE301" s="411">
        <v>0</v>
      </c>
      <c r="AF301" s="411">
        <v>0</v>
      </c>
      <c r="AG301" s="411">
        <v>0</v>
      </c>
      <c r="AH301" s="411">
        <v>0</v>
      </c>
      <c r="AI301" s="411">
        <v>0</v>
      </c>
      <c r="AJ301" s="411">
        <v>0</v>
      </c>
      <c r="AK301" s="411">
        <v>0</v>
      </c>
      <c r="AL301" s="411">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v>4102.4340000000002</v>
      </c>
      <c r="E303" s="295">
        <v>4102.4340000000002</v>
      </c>
      <c r="F303" s="295">
        <v>4102.4340000000002</v>
      </c>
      <c r="G303" s="295">
        <v>4102.4340000000002</v>
      </c>
      <c r="H303" s="295">
        <v>4102.4340000000002</v>
      </c>
      <c r="I303" s="295">
        <v>4102.4340000000002</v>
      </c>
      <c r="J303" s="295">
        <v>4102.4340000000002</v>
      </c>
      <c r="K303" s="295">
        <v>4102.4340000000002</v>
      </c>
      <c r="L303" s="295">
        <v>4102.4340000000002</v>
      </c>
      <c r="M303" s="295">
        <v>4102.4340000000002</v>
      </c>
      <c r="N303" s="291"/>
      <c r="O303" s="295">
        <v>0.31170821999999998</v>
      </c>
      <c r="P303" s="295">
        <v>0.31170821999999998</v>
      </c>
      <c r="Q303" s="295">
        <v>0.31170821999999998</v>
      </c>
      <c r="R303" s="295">
        <v>0.31170821999999998</v>
      </c>
      <c r="S303" s="295">
        <v>0.31170821999999998</v>
      </c>
      <c r="T303" s="295">
        <v>0.31170821999999998</v>
      </c>
      <c r="U303" s="295">
        <v>0.31170821999999998</v>
      </c>
      <c r="V303" s="295">
        <v>0.31170821999999998</v>
      </c>
      <c r="W303" s="295">
        <v>0.31170821999999998</v>
      </c>
      <c r="X303" s="295">
        <v>0.31170821999999998</v>
      </c>
      <c r="Y303" s="410">
        <v>1</v>
      </c>
      <c r="Z303" s="410"/>
      <c r="AA303" s="410"/>
      <c r="AB303" s="410"/>
      <c r="AC303" s="410"/>
      <c r="AD303" s="410"/>
      <c r="AE303" s="410"/>
      <c r="AF303" s="410"/>
      <c r="AG303" s="410"/>
      <c r="AH303" s="410"/>
      <c r="AI303" s="410"/>
      <c r="AJ303" s="410"/>
      <c r="AK303" s="410"/>
      <c r="AL303" s="410"/>
      <c r="AM303" s="296">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1</v>
      </c>
      <c r="Z304" s="411">
        <v>0</v>
      </c>
      <c r="AA304" s="411">
        <v>0</v>
      </c>
      <c r="AB304" s="411">
        <v>0</v>
      </c>
      <c r="AC304" s="411">
        <v>0</v>
      </c>
      <c r="AD304" s="411">
        <v>0</v>
      </c>
      <c r="AE304" s="411">
        <v>0</v>
      </c>
      <c r="AF304" s="411">
        <v>0</v>
      </c>
      <c r="AG304" s="411">
        <v>0</v>
      </c>
      <c r="AH304" s="411">
        <v>0</v>
      </c>
      <c r="AI304" s="411">
        <v>0</v>
      </c>
      <c r="AJ304" s="411">
        <v>0</v>
      </c>
      <c r="AK304" s="411">
        <v>0</v>
      </c>
      <c r="AL304" s="411">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109208.978533599</v>
      </c>
      <c r="E307" s="295">
        <v>109099.93602265501</v>
      </c>
      <c r="F307" s="295">
        <v>109099.93602265501</v>
      </c>
      <c r="G307" s="295">
        <v>109099.93602265501</v>
      </c>
      <c r="H307" s="295">
        <v>105162.15508707</v>
      </c>
      <c r="I307" s="295">
        <v>100840.304994135</v>
      </c>
      <c r="J307" s="295">
        <v>100840.304994135</v>
      </c>
      <c r="K307" s="295">
        <v>100726.723487593</v>
      </c>
      <c r="L307" s="295">
        <v>100663.932465351</v>
      </c>
      <c r="M307" s="295">
        <v>69158.700714891005</v>
      </c>
      <c r="N307" s="295">
        <v>12</v>
      </c>
      <c r="O307" s="295">
        <v>24.079357472000002</v>
      </c>
      <c r="P307" s="295">
        <v>24.044550115</v>
      </c>
      <c r="Q307" s="295">
        <v>24.044550115</v>
      </c>
      <c r="R307" s="295">
        <v>24.044550115</v>
      </c>
      <c r="S307" s="295">
        <v>22.787578293999999</v>
      </c>
      <c r="T307" s="295">
        <v>21.764049841999999</v>
      </c>
      <c r="U307" s="295">
        <v>21.764049841999999</v>
      </c>
      <c r="V307" s="295">
        <v>21.762240495</v>
      </c>
      <c r="W307" s="295">
        <v>21.761240237999999</v>
      </c>
      <c r="X307" s="295">
        <v>14.29996777</v>
      </c>
      <c r="Y307" s="415"/>
      <c r="Z307" s="503">
        <v>0.61</v>
      </c>
      <c r="AA307" s="503">
        <v>0.39</v>
      </c>
      <c r="AB307" s="503"/>
      <c r="AC307" s="415"/>
      <c r="AD307" s="415"/>
      <c r="AE307" s="415"/>
      <c r="AF307" s="415"/>
      <c r="AG307" s="415"/>
      <c r="AH307" s="415"/>
      <c r="AI307" s="415"/>
      <c r="AJ307" s="415"/>
      <c r="AK307" s="415"/>
      <c r="AL307" s="415"/>
      <c r="AM307" s="296">
        <v>1</v>
      </c>
    </row>
    <row r="308" spans="1:39" ht="15" outlineLevel="1">
      <c r="B308" s="294" t="s">
        <v>249</v>
      </c>
      <c r="C308" s="291" t="s">
        <v>163</v>
      </c>
      <c r="D308" s="295">
        <v>0</v>
      </c>
      <c r="E308" s="295">
        <v>0</v>
      </c>
      <c r="F308" s="295">
        <v>0</v>
      </c>
      <c r="G308" s="295">
        <v>0</v>
      </c>
      <c r="H308" s="295">
        <v>0</v>
      </c>
      <c r="I308" s="295">
        <v>0</v>
      </c>
      <c r="J308" s="295">
        <v>0</v>
      </c>
      <c r="K308" s="295">
        <v>0</v>
      </c>
      <c r="L308" s="295">
        <v>0</v>
      </c>
      <c r="M308" s="295">
        <v>0</v>
      </c>
      <c r="N308" s="295">
        <v>12</v>
      </c>
      <c r="O308" s="295">
        <v>0</v>
      </c>
      <c r="P308" s="295">
        <v>0</v>
      </c>
      <c r="Q308" s="295">
        <v>0</v>
      </c>
      <c r="R308" s="295">
        <v>0</v>
      </c>
      <c r="S308" s="295">
        <v>0</v>
      </c>
      <c r="T308" s="295">
        <v>0</v>
      </c>
      <c r="U308" s="295">
        <v>0</v>
      </c>
      <c r="V308" s="295">
        <v>0</v>
      </c>
      <c r="W308" s="295">
        <v>0</v>
      </c>
      <c r="X308" s="295">
        <v>0</v>
      </c>
      <c r="Y308" s="411">
        <v>0</v>
      </c>
      <c r="Z308" s="411">
        <v>0.61</v>
      </c>
      <c r="AA308" s="411">
        <v>0.39</v>
      </c>
      <c r="AB308" s="411">
        <v>0</v>
      </c>
      <c r="AC308" s="411">
        <v>0</v>
      </c>
      <c r="AD308" s="411">
        <v>0</v>
      </c>
      <c r="AE308" s="411">
        <v>0</v>
      </c>
      <c r="AF308" s="411">
        <v>0</v>
      </c>
      <c r="AG308" s="411">
        <v>0</v>
      </c>
      <c r="AH308" s="411">
        <v>0</v>
      </c>
      <c r="AI308" s="411">
        <v>0</v>
      </c>
      <c r="AJ308" s="411">
        <v>0</v>
      </c>
      <c r="AK308" s="411">
        <v>0</v>
      </c>
      <c r="AL308" s="411">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384018.91699277703</v>
      </c>
      <c r="E310" s="295">
        <v>384018.91699277703</v>
      </c>
      <c r="F310" s="295">
        <v>378082.87740865001</v>
      </c>
      <c r="G310" s="295">
        <v>265613.39390099799</v>
      </c>
      <c r="H310" s="295">
        <v>50059.728085950999</v>
      </c>
      <c r="I310" s="295">
        <v>50027.636495293998</v>
      </c>
      <c r="J310" s="295">
        <v>50027.636495293998</v>
      </c>
      <c r="K310" s="295">
        <v>48548.591714102004</v>
      </c>
      <c r="L310" s="295">
        <v>48548.591714102004</v>
      </c>
      <c r="M310" s="295">
        <v>48548.591714102004</v>
      </c>
      <c r="N310" s="295">
        <v>12</v>
      </c>
      <c r="O310" s="295">
        <v>107.69694951300001</v>
      </c>
      <c r="P310" s="295">
        <v>107.69694951300001</v>
      </c>
      <c r="Q310" s="295">
        <v>106.12793945</v>
      </c>
      <c r="R310" s="295">
        <v>78.438352788000003</v>
      </c>
      <c r="S310" s="295">
        <v>13.919555409000001</v>
      </c>
      <c r="T310" s="295">
        <v>13.887440932000001</v>
      </c>
      <c r="U310" s="295">
        <v>13.887440932000001</v>
      </c>
      <c r="V310" s="295">
        <v>12.407341339</v>
      </c>
      <c r="W310" s="295">
        <v>12.407341339</v>
      </c>
      <c r="X310" s="295">
        <v>12.407341339</v>
      </c>
      <c r="Y310" s="415"/>
      <c r="Z310" s="503">
        <v>1</v>
      </c>
      <c r="AA310" s="415"/>
      <c r="AB310" s="415"/>
      <c r="AC310" s="415"/>
      <c r="AD310" s="415"/>
      <c r="AE310" s="415"/>
      <c r="AF310" s="415"/>
      <c r="AG310" s="415"/>
      <c r="AH310" s="415"/>
      <c r="AI310" s="415"/>
      <c r="AJ310" s="415"/>
      <c r="AK310" s="415"/>
      <c r="AL310" s="415"/>
      <c r="AM310" s="296">
        <v>1</v>
      </c>
    </row>
    <row r="311" spans="1:39" ht="1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1</v>
      </c>
      <c r="AA311" s="411">
        <v>0</v>
      </c>
      <c r="AB311" s="411">
        <v>0</v>
      </c>
      <c r="AC311" s="411">
        <v>0</v>
      </c>
      <c r="AD311" s="411">
        <v>0</v>
      </c>
      <c r="AE311" s="411">
        <v>0</v>
      </c>
      <c r="AF311" s="411">
        <v>0</v>
      </c>
      <c r="AG311" s="411">
        <v>0</v>
      </c>
      <c r="AH311" s="411">
        <v>0</v>
      </c>
      <c r="AI311" s="411">
        <v>0</v>
      </c>
      <c r="AJ311" s="411">
        <v>0</v>
      </c>
      <c r="AK311" s="411">
        <v>0</v>
      </c>
      <c r="AL311" s="41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v>0</v>
      </c>
    </row>
    <row r="314" spans="1:39" ht="1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v>0</v>
      </c>
    </row>
    <row r="317" spans="1:39" ht="15" outlineLevel="1">
      <c r="B317" s="294" t="s">
        <v>249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v>0</v>
      </c>
      <c r="AK317" s="411">
        <v>0</v>
      </c>
      <c r="AL317" s="411">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v>48450.767796975</v>
      </c>
      <c r="E319" s="295">
        <v>48450.767796975</v>
      </c>
      <c r="F319" s="295">
        <v>48450.767796975</v>
      </c>
      <c r="G319" s="295">
        <v>48450.767796975</v>
      </c>
      <c r="H319" s="295">
        <v>0</v>
      </c>
      <c r="I319" s="295">
        <v>0</v>
      </c>
      <c r="J319" s="295">
        <v>0</v>
      </c>
      <c r="K319" s="295">
        <v>0</v>
      </c>
      <c r="L319" s="295">
        <v>0</v>
      </c>
      <c r="M319" s="295">
        <v>0</v>
      </c>
      <c r="N319" s="295">
        <v>12</v>
      </c>
      <c r="O319" s="295">
        <v>8.8126766229999998</v>
      </c>
      <c r="P319" s="295">
        <v>8.8126766229999998</v>
      </c>
      <c r="Q319" s="295">
        <v>8.8126766229999998</v>
      </c>
      <c r="R319" s="295">
        <v>8.8126766229999998</v>
      </c>
      <c r="S319" s="295">
        <v>0</v>
      </c>
      <c r="T319" s="295">
        <v>0</v>
      </c>
      <c r="U319" s="295">
        <v>0</v>
      </c>
      <c r="V319" s="295">
        <v>0</v>
      </c>
      <c r="W319" s="295">
        <v>0</v>
      </c>
      <c r="X319" s="295">
        <v>0</v>
      </c>
      <c r="Y319" s="415"/>
      <c r="Z319" s="415"/>
      <c r="AA319" s="503">
        <v>1</v>
      </c>
      <c r="AB319" s="415"/>
      <c r="AC319" s="415"/>
      <c r="AD319" s="415"/>
      <c r="AE319" s="415"/>
      <c r="AF319" s="415"/>
      <c r="AG319" s="415"/>
      <c r="AH319" s="415"/>
      <c r="AI319" s="415"/>
      <c r="AJ319" s="415"/>
      <c r="AK319" s="415"/>
      <c r="AL319" s="415"/>
      <c r="AM319" s="296">
        <v>1</v>
      </c>
    </row>
    <row r="320" spans="1:39" ht="15" outlineLevel="1">
      <c r="B320" s="294" t="s">
        <v>249</v>
      </c>
      <c r="C320" s="291" t="s">
        <v>163</v>
      </c>
      <c r="D320" s="295">
        <v>32.135094899999999</v>
      </c>
      <c r="E320" s="295">
        <v>32.135094899999999</v>
      </c>
      <c r="F320" s="295">
        <v>32.135094899999999</v>
      </c>
      <c r="G320" s="295">
        <v>32.135094899999999</v>
      </c>
      <c r="H320" s="295">
        <v>0</v>
      </c>
      <c r="I320" s="295">
        <v>0</v>
      </c>
      <c r="J320" s="295">
        <v>0</v>
      </c>
      <c r="K320" s="295">
        <v>0</v>
      </c>
      <c r="L320" s="295">
        <v>0</v>
      </c>
      <c r="M320" s="295">
        <v>0</v>
      </c>
      <c r="N320" s="295">
        <v>12</v>
      </c>
      <c r="O320" s="295">
        <v>5.8450300000000002E-3</v>
      </c>
      <c r="P320" s="295">
        <v>5.8450300000000002E-3</v>
      </c>
      <c r="Q320" s="295">
        <v>5.8450300000000002E-3</v>
      </c>
      <c r="R320" s="295">
        <v>5.8450300000000002E-3</v>
      </c>
      <c r="S320" s="295">
        <v>0</v>
      </c>
      <c r="T320" s="295">
        <v>0</v>
      </c>
      <c r="U320" s="295">
        <v>0</v>
      </c>
      <c r="V320" s="295">
        <v>0</v>
      </c>
      <c r="W320" s="295">
        <v>0</v>
      </c>
      <c r="X320" s="295">
        <v>0</v>
      </c>
      <c r="Y320" s="411">
        <v>0</v>
      </c>
      <c r="Z320" s="411">
        <v>0</v>
      </c>
      <c r="AA320" s="411">
        <v>1</v>
      </c>
      <c r="AB320" s="411">
        <v>0</v>
      </c>
      <c r="AC320" s="411">
        <v>0</v>
      </c>
      <c r="AD320" s="411">
        <v>0</v>
      </c>
      <c r="AE320" s="411">
        <v>0</v>
      </c>
      <c r="AF320" s="411">
        <v>0</v>
      </c>
      <c r="AG320" s="411">
        <v>0</v>
      </c>
      <c r="AH320" s="411">
        <v>0</v>
      </c>
      <c r="AI320" s="411">
        <v>0</v>
      </c>
      <c r="AJ320" s="411">
        <v>0</v>
      </c>
      <c r="AK320" s="411">
        <v>0</v>
      </c>
      <c r="AL320" s="411">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v>0</v>
      </c>
      <c r="AK323" s="411">
        <v>0</v>
      </c>
      <c r="AL323" s="41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v>0</v>
      </c>
      <c r="AC326" s="411">
        <v>0</v>
      </c>
      <c r="AD326" s="411">
        <v>0</v>
      </c>
      <c r="AE326" s="411">
        <v>0</v>
      </c>
      <c r="AF326" s="411">
        <v>0</v>
      </c>
      <c r="AG326" s="411">
        <v>0</v>
      </c>
      <c r="AH326" s="411">
        <v>0</v>
      </c>
      <c r="AI326" s="411">
        <v>0</v>
      </c>
      <c r="AJ326" s="411">
        <v>0</v>
      </c>
      <c r="AK326" s="411">
        <v>0</v>
      </c>
      <c r="AL326" s="411">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v>0</v>
      </c>
      <c r="AC329" s="411">
        <v>0</v>
      </c>
      <c r="AD329" s="411">
        <v>0</v>
      </c>
      <c r="AE329" s="411">
        <v>0</v>
      </c>
      <c r="AF329" s="411">
        <v>0</v>
      </c>
      <c r="AG329" s="411">
        <v>0</v>
      </c>
      <c r="AH329" s="411">
        <v>0</v>
      </c>
      <c r="AI329" s="411">
        <v>0</v>
      </c>
      <c r="AJ329" s="411">
        <v>0</v>
      </c>
      <c r="AK329" s="411">
        <v>0</v>
      </c>
      <c r="AL329" s="411">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v>0</v>
      </c>
    </row>
    <row r="333" spans="1:39" ht="1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v>0</v>
      </c>
    </row>
    <row r="336" spans="1:39" ht="1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v>0</v>
      </c>
      <c r="Z336" s="411">
        <v>0</v>
      </c>
      <c r="AA336" s="411">
        <v>0</v>
      </c>
      <c r="AB336" s="411">
        <v>0</v>
      </c>
      <c r="AC336" s="411">
        <v>0</v>
      </c>
      <c r="AD336" s="411">
        <v>0</v>
      </c>
      <c r="AE336" s="411">
        <v>0</v>
      </c>
      <c r="AF336" s="411">
        <v>0</v>
      </c>
      <c r="AG336" s="411">
        <v>0</v>
      </c>
      <c r="AH336" s="411">
        <v>0</v>
      </c>
      <c r="AI336" s="411">
        <v>0</v>
      </c>
      <c r="AJ336" s="411">
        <v>0</v>
      </c>
      <c r="AK336" s="411">
        <v>0</v>
      </c>
      <c r="AL336" s="411">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v>0</v>
      </c>
    </row>
    <row r="339" spans="1:39" ht="1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v>0</v>
      </c>
      <c r="Z339" s="411">
        <v>0</v>
      </c>
      <c r="AA339" s="411">
        <v>0</v>
      </c>
      <c r="AB339" s="411">
        <v>0</v>
      </c>
      <c r="AC339" s="411">
        <v>0</v>
      </c>
      <c r="AD339" s="411">
        <v>0</v>
      </c>
      <c r="AE339" s="411">
        <v>0</v>
      </c>
      <c r="AF339" s="411">
        <v>0</v>
      </c>
      <c r="AG339" s="411">
        <v>0</v>
      </c>
      <c r="AH339" s="411">
        <v>0</v>
      </c>
      <c r="AI339" s="411">
        <v>0</v>
      </c>
      <c r="AJ339" s="411">
        <v>0</v>
      </c>
      <c r="AK339" s="411">
        <v>0</v>
      </c>
      <c r="AL339" s="41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v>0</v>
      </c>
    </row>
    <row r="342" spans="1:39" ht="15"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11">
        <v>0</v>
      </c>
      <c r="Z342" s="411">
        <v>0</v>
      </c>
      <c r="AA342" s="411">
        <v>0</v>
      </c>
      <c r="AB342" s="411">
        <v>0</v>
      </c>
      <c r="AC342" s="411">
        <v>0</v>
      </c>
      <c r="AD342" s="411">
        <v>0</v>
      </c>
      <c r="AE342" s="411">
        <v>0</v>
      </c>
      <c r="AF342" s="411">
        <v>0</v>
      </c>
      <c r="AG342" s="411">
        <v>0</v>
      </c>
      <c r="AH342" s="411">
        <v>0</v>
      </c>
      <c r="AI342" s="411">
        <v>0</v>
      </c>
      <c r="AJ342" s="411">
        <v>0</v>
      </c>
      <c r="AK342" s="411">
        <v>0</v>
      </c>
      <c r="AL342" s="41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v>0</v>
      </c>
      <c r="AC345" s="411">
        <v>0</v>
      </c>
      <c r="AD345" s="411">
        <v>0</v>
      </c>
      <c r="AE345" s="411">
        <v>0</v>
      </c>
      <c r="AF345" s="411">
        <v>0</v>
      </c>
      <c r="AG345" s="411">
        <v>0</v>
      </c>
      <c r="AH345" s="411">
        <v>0</v>
      </c>
      <c r="AI345" s="411">
        <v>0</v>
      </c>
      <c r="AJ345" s="411">
        <v>0</v>
      </c>
      <c r="AK345" s="411">
        <v>0</v>
      </c>
      <c r="AL345" s="41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95179.881980895996</v>
      </c>
      <c r="E348" s="295">
        <v>90342.189765930001</v>
      </c>
      <c r="F348" s="295">
        <v>89902.399856567004</v>
      </c>
      <c r="G348" s="295">
        <v>79490.503145217997</v>
      </c>
      <c r="H348" s="295">
        <v>76043.716733933004</v>
      </c>
      <c r="I348" s="295">
        <v>72596.929147720002</v>
      </c>
      <c r="J348" s="295">
        <v>67064.858148575004</v>
      </c>
      <c r="K348" s="295">
        <v>66876.320611953997</v>
      </c>
      <c r="L348" s="295">
        <v>25219.341171265001</v>
      </c>
      <c r="M348" s="295">
        <v>25103.666450500001</v>
      </c>
      <c r="N348" s="291"/>
      <c r="O348" s="295">
        <v>7.1933452410000003</v>
      </c>
      <c r="P348" s="295">
        <v>6.9420451080000003</v>
      </c>
      <c r="Q348" s="295">
        <v>6.9191996150000001</v>
      </c>
      <c r="R348" s="295">
        <v>6.378340262</v>
      </c>
      <c r="S348" s="295">
        <v>6.1992924509999998</v>
      </c>
      <c r="T348" s="295">
        <v>6.0202446439999999</v>
      </c>
      <c r="U348" s="295">
        <v>5.7328741120000002</v>
      </c>
      <c r="V348" s="295">
        <v>5.7328741120000002</v>
      </c>
      <c r="W348" s="295">
        <v>3.568948781</v>
      </c>
      <c r="X348" s="295">
        <v>3.4450918939999999</v>
      </c>
      <c r="Y348" s="470">
        <v>1</v>
      </c>
      <c r="Z348" s="410"/>
      <c r="AA348" s="410"/>
      <c r="AB348" s="410"/>
      <c r="AC348" s="410"/>
      <c r="AD348" s="410"/>
      <c r="AE348" s="410"/>
      <c r="AF348" s="410"/>
      <c r="AG348" s="410"/>
      <c r="AH348" s="410"/>
      <c r="AI348" s="410"/>
      <c r="AJ348" s="410"/>
      <c r="AK348" s="410"/>
      <c r="AL348" s="410"/>
      <c r="AM348" s="296">
        <v>1</v>
      </c>
    </row>
    <row r="349" spans="1:39" ht="15" outlineLevel="1">
      <c r="B349" s="294" t="s">
        <v>249</v>
      </c>
      <c r="C349" s="291" t="s">
        <v>163</v>
      </c>
      <c r="D349" s="295">
        <v>11011.10821</v>
      </c>
      <c r="E349" s="295">
        <v>10495.20304</v>
      </c>
      <c r="F349" s="295">
        <v>10448.302589999999</v>
      </c>
      <c r="G349" s="295">
        <v>9418.1672209999997</v>
      </c>
      <c r="H349" s="295">
        <v>9090.7014849999996</v>
      </c>
      <c r="I349" s="295">
        <v>8763.2356569999993</v>
      </c>
      <c r="J349" s="295">
        <v>8527.0582809999996</v>
      </c>
      <c r="K349" s="295">
        <v>8527.0582809999996</v>
      </c>
      <c r="L349" s="295">
        <v>3200.5049130000002</v>
      </c>
      <c r="M349" s="295">
        <v>3200.5049130000002</v>
      </c>
      <c r="N349" s="468"/>
      <c r="O349" s="295">
        <v>0.88426572999999997</v>
      </c>
      <c r="P349" s="295">
        <v>0.85777330200000002</v>
      </c>
      <c r="Q349" s="295">
        <v>0.85536489800000004</v>
      </c>
      <c r="R349" s="295">
        <v>0.80192733599999999</v>
      </c>
      <c r="S349" s="295">
        <v>0.78484216600000001</v>
      </c>
      <c r="T349" s="295">
        <v>0.767756993</v>
      </c>
      <c r="U349" s="295">
        <v>0.75544562000000004</v>
      </c>
      <c r="V349" s="295">
        <v>0.75544562000000004</v>
      </c>
      <c r="W349" s="295">
        <v>0.47866041399999998</v>
      </c>
      <c r="X349" s="295">
        <v>0.47866041399999998</v>
      </c>
      <c r="Y349" s="411">
        <v>1</v>
      </c>
      <c r="Z349" s="411">
        <v>0</v>
      </c>
      <c r="AA349" s="411">
        <v>0</v>
      </c>
      <c r="AB349" s="411">
        <v>0</v>
      </c>
      <c r="AC349" s="411">
        <v>0</v>
      </c>
      <c r="AD349" s="411">
        <v>0</v>
      </c>
      <c r="AE349" s="411">
        <v>0</v>
      </c>
      <c r="AF349" s="411">
        <v>0</v>
      </c>
      <c r="AG349" s="411">
        <v>0</v>
      </c>
      <c r="AH349" s="411">
        <v>0</v>
      </c>
      <c r="AI349" s="411">
        <v>0</v>
      </c>
      <c r="AJ349" s="411">
        <v>0</v>
      </c>
      <c r="AK349" s="411">
        <v>0</v>
      </c>
      <c r="AL349" s="411">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v>0</v>
      </c>
      <c r="AC353" s="411">
        <v>0</v>
      </c>
      <c r="AD353" s="411">
        <v>0</v>
      </c>
      <c r="AE353" s="411">
        <v>0</v>
      </c>
      <c r="AF353" s="411">
        <v>0</v>
      </c>
      <c r="AG353" s="411">
        <v>0</v>
      </c>
      <c r="AH353" s="411">
        <v>0</v>
      </c>
      <c r="AI353" s="411">
        <v>0</v>
      </c>
      <c r="AJ353" s="411">
        <v>0</v>
      </c>
      <c r="AK353" s="411">
        <v>0</v>
      </c>
      <c r="AL353" s="411">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v>0</v>
      </c>
    </row>
    <row r="356" spans="1:39" s="283" customFormat="1" ht="1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v>0</v>
      </c>
      <c r="Z356" s="411">
        <v>0</v>
      </c>
      <c r="AA356" s="411">
        <v>0</v>
      </c>
      <c r="AB356" s="411">
        <v>0</v>
      </c>
      <c r="AC356" s="411">
        <v>0</v>
      </c>
      <c r="AD356" s="411">
        <v>0</v>
      </c>
      <c r="AE356" s="411">
        <v>0</v>
      </c>
      <c r="AF356" s="411">
        <v>0</v>
      </c>
      <c r="AG356" s="411">
        <v>0</v>
      </c>
      <c r="AH356" s="411">
        <v>0</v>
      </c>
      <c r="AI356" s="411">
        <v>0</v>
      </c>
      <c r="AJ356" s="411">
        <v>0</v>
      </c>
      <c r="AK356" s="411">
        <v>0</v>
      </c>
      <c r="AL356" s="41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v>0</v>
      </c>
    </row>
    <row r="360" spans="1:39" ht="1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v>0</v>
      </c>
      <c r="Z360" s="411">
        <v>0</v>
      </c>
      <c r="AA360" s="411">
        <v>0</v>
      </c>
      <c r="AB360" s="411">
        <v>0</v>
      </c>
      <c r="AC360" s="411">
        <v>0</v>
      </c>
      <c r="AD360" s="411">
        <v>0</v>
      </c>
      <c r="AE360" s="411">
        <v>0</v>
      </c>
      <c r="AF360" s="411">
        <v>0</v>
      </c>
      <c r="AG360" s="411">
        <v>0</v>
      </c>
      <c r="AH360" s="411">
        <v>0</v>
      </c>
      <c r="AI360" s="411">
        <v>0</v>
      </c>
      <c r="AJ360" s="411">
        <v>0</v>
      </c>
      <c r="AK360" s="411">
        <v>0</v>
      </c>
      <c r="AL360" s="411">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v>1</v>
      </c>
      <c r="AA362" s="415"/>
      <c r="AB362" s="415"/>
      <c r="AC362" s="415"/>
      <c r="AD362" s="415"/>
      <c r="AE362" s="415"/>
      <c r="AF362" s="415"/>
      <c r="AG362" s="415"/>
      <c r="AH362" s="415"/>
      <c r="AI362" s="415"/>
      <c r="AJ362" s="415"/>
      <c r="AK362" s="415"/>
      <c r="AL362" s="415"/>
      <c r="AM362" s="296">
        <v>1</v>
      </c>
    </row>
    <row r="363" spans="1:39" ht="15" outlineLevel="1">
      <c r="B363" s="294" t="s">
        <v>249</v>
      </c>
      <c r="C363" s="291" t="s">
        <v>163</v>
      </c>
      <c r="D363" s="295">
        <v>25956.288</v>
      </c>
      <c r="E363" s="295">
        <v>25956.288</v>
      </c>
      <c r="F363" s="295">
        <v>25956.288</v>
      </c>
      <c r="G363" s="295">
        <v>25956.288</v>
      </c>
      <c r="H363" s="295">
        <v>25956.288</v>
      </c>
      <c r="I363" s="295">
        <v>25956.288</v>
      </c>
      <c r="J363" s="295">
        <v>25956.288</v>
      </c>
      <c r="K363" s="295">
        <v>25956.288</v>
      </c>
      <c r="L363" s="295">
        <v>25956.288</v>
      </c>
      <c r="M363" s="295">
        <v>25956.288</v>
      </c>
      <c r="N363" s="295">
        <v>12</v>
      </c>
      <c r="O363" s="295">
        <v>10.853999999999999</v>
      </c>
      <c r="P363" s="295">
        <v>10.853999999999999</v>
      </c>
      <c r="Q363" s="295">
        <v>10.853999999999999</v>
      </c>
      <c r="R363" s="295">
        <v>10.853999999999999</v>
      </c>
      <c r="S363" s="295">
        <v>10.853999999999999</v>
      </c>
      <c r="T363" s="295">
        <v>10.853999999999999</v>
      </c>
      <c r="U363" s="295">
        <v>10.853999999999999</v>
      </c>
      <c r="V363" s="295">
        <v>10.853999999999999</v>
      </c>
      <c r="W363" s="295">
        <v>10.853999999999999</v>
      </c>
      <c r="X363" s="295">
        <v>10.853999999999999</v>
      </c>
      <c r="Y363" s="411">
        <v>0</v>
      </c>
      <c r="Z363" s="411">
        <v>1</v>
      </c>
      <c r="AA363" s="411">
        <v>0</v>
      </c>
      <c r="AB363" s="411">
        <v>0</v>
      </c>
      <c r="AC363" s="411">
        <v>0</v>
      </c>
      <c r="AD363" s="411">
        <v>0</v>
      </c>
      <c r="AE363" s="411">
        <v>0</v>
      </c>
      <c r="AF363" s="411">
        <v>0</v>
      </c>
      <c r="AG363" s="411">
        <v>0</v>
      </c>
      <c r="AH363" s="411">
        <v>0</v>
      </c>
      <c r="AI363" s="411">
        <v>0</v>
      </c>
      <c r="AJ363" s="411">
        <v>0</v>
      </c>
      <c r="AK363" s="411">
        <v>0</v>
      </c>
      <c r="AL363" s="411">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v>0</v>
      </c>
    </row>
    <row r="366" spans="1:39" ht="1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v>0</v>
      </c>
      <c r="Z366" s="411">
        <v>0</v>
      </c>
      <c r="AA366" s="411">
        <v>0</v>
      </c>
      <c r="AB366" s="411">
        <v>0</v>
      </c>
      <c r="AC366" s="411">
        <v>0</v>
      </c>
      <c r="AD366" s="411">
        <v>0</v>
      </c>
      <c r="AE366" s="411">
        <v>0</v>
      </c>
      <c r="AF366" s="411">
        <v>0</v>
      </c>
      <c r="AG366" s="411">
        <v>0</v>
      </c>
      <c r="AH366" s="411">
        <v>0</v>
      </c>
      <c r="AI366" s="411">
        <v>0</v>
      </c>
      <c r="AJ366" s="411">
        <v>0</v>
      </c>
      <c r="AK366" s="411">
        <v>0</v>
      </c>
      <c r="AL366" s="411">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v>0</v>
      </c>
    </row>
    <row r="369" spans="1:39" ht="1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v>0</v>
      </c>
      <c r="Z369" s="411">
        <v>0</v>
      </c>
      <c r="AA369" s="411">
        <v>0</v>
      </c>
      <c r="AB369" s="411">
        <v>0</v>
      </c>
      <c r="AC369" s="411">
        <v>0</v>
      </c>
      <c r="AD369" s="411">
        <v>0</v>
      </c>
      <c r="AE369" s="411">
        <v>0</v>
      </c>
      <c r="AF369" s="411">
        <v>0</v>
      </c>
      <c r="AG369" s="411">
        <v>0</v>
      </c>
      <c r="AH369" s="411">
        <v>0</v>
      </c>
      <c r="AI369" s="411">
        <v>0</v>
      </c>
      <c r="AJ369" s="411">
        <v>0</v>
      </c>
      <c r="AK369" s="411">
        <v>0</v>
      </c>
      <c r="AL369" s="411">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v>0</v>
      </c>
    </row>
    <row r="372" spans="1:39" s="283" customFormat="1" ht="1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v>0</v>
      </c>
      <c r="Z372" s="411">
        <v>0</v>
      </c>
      <c r="AA372" s="411">
        <v>0</v>
      </c>
      <c r="AB372" s="411">
        <v>0</v>
      </c>
      <c r="AC372" s="411">
        <v>0</v>
      </c>
      <c r="AD372" s="411">
        <v>0</v>
      </c>
      <c r="AE372" s="411">
        <v>0</v>
      </c>
      <c r="AF372" s="411">
        <v>0</v>
      </c>
      <c r="AG372" s="411">
        <v>0</v>
      </c>
      <c r="AH372" s="411">
        <v>0</v>
      </c>
      <c r="AI372" s="411">
        <v>0</v>
      </c>
      <c r="AJ372" s="411">
        <v>0</v>
      </c>
      <c r="AK372" s="411">
        <v>0</v>
      </c>
      <c r="AL372" s="411">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v>0</v>
      </c>
    </row>
    <row r="376" spans="1:39" s="283" customFormat="1" ht="1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v>0</v>
      </c>
    </row>
    <row r="379" spans="1:39" s="283" customFormat="1" ht="1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v>0</v>
      </c>
      <c r="Z379" s="411">
        <v>0</v>
      </c>
      <c r="AA379" s="411">
        <v>0</v>
      </c>
      <c r="AB379" s="411">
        <v>0</v>
      </c>
      <c r="AC379" s="411">
        <v>0</v>
      </c>
      <c r="AD379" s="411">
        <v>0</v>
      </c>
      <c r="AE379" s="411">
        <v>0</v>
      </c>
      <c r="AF379" s="411">
        <v>0</v>
      </c>
      <c r="AG379" s="411">
        <v>0</v>
      </c>
      <c r="AH379" s="411">
        <v>0</v>
      </c>
      <c r="AI379" s="411">
        <v>0</v>
      </c>
      <c r="AJ379" s="411">
        <v>0</v>
      </c>
      <c r="AK379" s="411">
        <v>0</v>
      </c>
      <c r="AL379" s="4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2">Z381</f>
        <v>0</v>
      </c>
      <c r="AA382" s="411">
        <f t="shared" si="12"/>
        <v>0</v>
      </c>
      <c r="AB382" s="411">
        <f t="shared" si="12"/>
        <v>0</v>
      </c>
      <c r="AC382" s="411">
        <f t="shared" si="12"/>
        <v>0</v>
      </c>
      <c r="AD382" s="411">
        <f t="shared" si="12"/>
        <v>0</v>
      </c>
      <c r="AE382" s="411">
        <f t="shared" si="12"/>
        <v>0</v>
      </c>
      <c r="AF382" s="411">
        <f t="shared" si="12"/>
        <v>0</v>
      </c>
      <c r="AG382" s="411">
        <f t="shared" si="12"/>
        <v>0</v>
      </c>
      <c r="AH382" s="411">
        <f t="shared" si="12"/>
        <v>0</v>
      </c>
      <c r="AI382" s="411">
        <f t="shared" si="12"/>
        <v>0</v>
      </c>
      <c r="AJ382" s="411">
        <f t="shared" si="12"/>
        <v>0</v>
      </c>
      <c r="AK382" s="411">
        <f t="shared" si="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769576.59715822083</v>
      </c>
      <c r="E384" s="329"/>
      <c r="F384" s="329"/>
      <c r="G384" s="329"/>
      <c r="H384" s="329"/>
      <c r="I384" s="329"/>
      <c r="J384" s="329"/>
      <c r="K384" s="329"/>
      <c r="L384" s="329"/>
      <c r="M384" s="329"/>
      <c r="N384" s="329"/>
      <c r="O384" s="329">
        <f>SUM(O279:O382)</f>
        <v>180.1438827594647</v>
      </c>
      <c r="P384" s="329"/>
      <c r="Q384" s="329"/>
      <c r="R384" s="329"/>
      <c r="S384" s="329"/>
      <c r="T384" s="329"/>
      <c r="U384" s="329"/>
      <c r="V384" s="329"/>
      <c r="W384" s="329"/>
      <c r="X384" s="329"/>
      <c r="Y384" s="329">
        <f>IF(Y278="kWh",SUMPRODUCT(D279:D382,Y279:Y382))</f>
        <v>201909.51073996993</v>
      </c>
      <c r="Z384" s="329">
        <f>IF(Z278="kWh",SUMPRODUCT(D279:D382,Z279:Z382))</f>
        <v>476592.68189827242</v>
      </c>
      <c r="AA384" s="329">
        <f>IF(AA278="kW",SUMPRODUCT(N279:N382,O279:O382,AA279:AA382),SUMPRODUCT(D279:D382,AA279:AA382))</f>
        <v>218.51365280496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1219155</v>
      </c>
      <c r="Z385" s="328">
        <f>HLOOKUP(Z277,'2. LRAMVA Threshold'!$B$42:$Q$53,5,FALSE)</f>
        <v>658151</v>
      </c>
      <c r="AA385" s="328">
        <f>HLOOKUP(AA277,'2. LRAMVA Threshold'!$B$42:$Q$53,5,FALSE)</f>
        <v>3236</v>
      </c>
      <c r="AB385" s="328">
        <f>HLOOKUP(AB277,'2. LRAMVA Threshold'!$B$42:$Q$53,5,FALSE)</f>
        <v>2</v>
      </c>
      <c r="AC385" s="328">
        <f>HLOOKUP(AC277,'2. LRAMVA Threshold'!$B$42:$Q$53,5,FALSE)</f>
        <v>81</v>
      </c>
      <c r="AD385" s="328">
        <f>HLOOKUP(AD277,'2. LRAMVA Threshold'!$B$42:$Q$53,5,FALSE)</f>
        <v>1714</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1.4200000000000001E-2</v>
      </c>
      <c r="Z387" s="341">
        <f>HLOOKUP(Z$20,'3.  Distribution Rates'!$C$122:$P$133,5,FALSE)</f>
        <v>8.6E-3</v>
      </c>
      <c r="AA387" s="341">
        <f>HLOOKUP(AA$20,'3.  Distribution Rates'!$C$122:$P$133,5,FALSE)</f>
        <v>2.2688000000000001</v>
      </c>
      <c r="AB387" s="341">
        <f>HLOOKUP(AB$20,'3.  Distribution Rates'!$C$122:$P$133,5,FALSE)</f>
        <v>19.7273</v>
      </c>
      <c r="AC387" s="341">
        <f>HLOOKUP(AC$20,'3.  Distribution Rates'!$C$122:$P$133,5,FALSE)</f>
        <v>15.1943</v>
      </c>
      <c r="AD387" s="341">
        <f>HLOOKUP(AD$20,'3.  Distribution Rates'!$C$122:$P$133,5,FALSE)</f>
        <v>6.4000000000000003E-3</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3">Y136*Y387</f>
        <v>2657.4369028251499</v>
      </c>
      <c r="Z388" s="378">
        <f t="shared" si="13"/>
        <v>2202.2814524868977</v>
      </c>
      <c r="AA388" s="378">
        <f t="shared" si="13"/>
        <v>325.68716559396245</v>
      </c>
      <c r="AB388" s="378">
        <f t="shared" si="13"/>
        <v>0</v>
      </c>
      <c r="AC388" s="378">
        <f t="shared" si="13"/>
        <v>0</v>
      </c>
      <c r="AD388" s="378">
        <f t="shared" si="13"/>
        <v>0</v>
      </c>
      <c r="AE388" s="378">
        <f t="shared" si="13"/>
        <v>0</v>
      </c>
      <c r="AF388" s="378">
        <f t="shared" si="13"/>
        <v>0</v>
      </c>
      <c r="AG388" s="378">
        <f t="shared" si="13"/>
        <v>0</v>
      </c>
      <c r="AH388" s="378">
        <f t="shared" si="13"/>
        <v>0</v>
      </c>
      <c r="AI388" s="378">
        <f t="shared" si="13"/>
        <v>0</v>
      </c>
      <c r="AJ388" s="378">
        <f t="shared" si="13"/>
        <v>0</v>
      </c>
      <c r="AK388" s="378">
        <f t="shared" si="13"/>
        <v>0</v>
      </c>
      <c r="AL388" s="378">
        <f t="shared" si="13"/>
        <v>0</v>
      </c>
      <c r="AM388" s="629">
        <f>SUM(Y388:AL388)</f>
        <v>5185.4055209060098</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Y265*Y387</f>
        <v>1708.9276383185061</v>
      </c>
      <c r="Z389" s="378">
        <f t="shared" si="14"/>
        <v>8258.1643613238321</v>
      </c>
      <c r="AA389" s="378">
        <f t="shared" si="14"/>
        <v>1829.2914063135142</v>
      </c>
      <c r="AB389" s="378">
        <f t="shared" si="14"/>
        <v>0</v>
      </c>
      <c r="AC389" s="378">
        <f t="shared" si="14"/>
        <v>0</v>
      </c>
      <c r="AD389" s="378">
        <f t="shared" si="14"/>
        <v>0</v>
      </c>
      <c r="AE389" s="378">
        <f t="shared" si="14"/>
        <v>0</v>
      </c>
      <c r="AF389" s="378">
        <f t="shared" si="14"/>
        <v>0</v>
      </c>
      <c r="AG389" s="378">
        <f t="shared" si="14"/>
        <v>0</v>
      </c>
      <c r="AH389" s="378">
        <f t="shared" si="14"/>
        <v>0</v>
      </c>
      <c r="AI389" s="378">
        <f t="shared" si="14"/>
        <v>0</v>
      </c>
      <c r="AJ389" s="378">
        <f t="shared" si="14"/>
        <v>0</v>
      </c>
      <c r="AK389" s="378">
        <f t="shared" si="14"/>
        <v>0</v>
      </c>
      <c r="AL389" s="378">
        <f t="shared" si="14"/>
        <v>0</v>
      </c>
      <c r="AM389" s="629">
        <f>SUM(Y389:AL389)</f>
        <v>11796.383405955852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2867.1150525075732</v>
      </c>
      <c r="Z390" s="378">
        <f t="shared" ref="Z390:AE390" si="15">Z384*Z387</f>
        <v>4098.6970643251425</v>
      </c>
      <c r="AA390" s="378">
        <f t="shared" si="15"/>
        <v>495.76377548389331</v>
      </c>
      <c r="AB390" s="378">
        <f t="shared" si="15"/>
        <v>0</v>
      </c>
      <c r="AC390" s="378">
        <f t="shared" si="15"/>
        <v>0</v>
      </c>
      <c r="AD390" s="378">
        <f t="shared" si="15"/>
        <v>0</v>
      </c>
      <c r="AE390" s="378">
        <f t="shared" si="15"/>
        <v>0</v>
      </c>
      <c r="AF390" s="378">
        <f t="shared" ref="AF390:AL390" si="16">AF384*AF387</f>
        <v>0</v>
      </c>
      <c r="AG390" s="378">
        <f t="shared" si="16"/>
        <v>0</v>
      </c>
      <c r="AH390" s="378">
        <f t="shared" si="16"/>
        <v>0</v>
      </c>
      <c r="AI390" s="378">
        <f t="shared" si="16"/>
        <v>0</v>
      </c>
      <c r="AJ390" s="378">
        <f t="shared" si="16"/>
        <v>0</v>
      </c>
      <c r="AK390" s="378">
        <f t="shared" si="16"/>
        <v>0</v>
      </c>
      <c r="AL390" s="378">
        <f t="shared" si="16"/>
        <v>0</v>
      </c>
      <c r="AM390" s="629">
        <f>SUM(Y390:AL390)</f>
        <v>7461.5758923166095</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7233.4795936512292</v>
      </c>
      <c r="Z391" s="346">
        <f>SUM(Z388:Z390)</f>
        <v>14559.142878135872</v>
      </c>
      <c r="AA391" s="346">
        <f t="shared" ref="AA391:AE391" si="17">SUM(AA388:AA390)</f>
        <v>2650.74234739137</v>
      </c>
      <c r="AB391" s="346">
        <f t="shared" si="17"/>
        <v>0</v>
      </c>
      <c r="AC391" s="346">
        <f t="shared" si="17"/>
        <v>0</v>
      </c>
      <c r="AD391" s="346">
        <f t="shared" si="17"/>
        <v>0</v>
      </c>
      <c r="AE391" s="346">
        <f t="shared" si="17"/>
        <v>0</v>
      </c>
      <c r="AF391" s="346">
        <f t="shared" ref="AF391:AL391" si="18">SUM(AF388:AF390)</f>
        <v>0</v>
      </c>
      <c r="AG391" s="346">
        <f t="shared" si="18"/>
        <v>0</v>
      </c>
      <c r="AH391" s="346">
        <f t="shared" si="18"/>
        <v>0</v>
      </c>
      <c r="AI391" s="346">
        <f t="shared" si="18"/>
        <v>0</v>
      </c>
      <c r="AJ391" s="346">
        <f t="shared" si="18"/>
        <v>0</v>
      </c>
      <c r="AK391" s="346">
        <f t="shared" si="18"/>
        <v>0</v>
      </c>
      <c r="AL391" s="346">
        <f t="shared" si="18"/>
        <v>0</v>
      </c>
      <c r="AM391" s="407">
        <f>SUM(AM388:AM390)</f>
        <v>24443.36481917847</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9">Y385*Y387</f>
        <v>17312.001</v>
      </c>
      <c r="Z392" s="347">
        <f t="shared" si="19"/>
        <v>5660.0986000000003</v>
      </c>
      <c r="AA392" s="347">
        <f t="shared" si="19"/>
        <v>7341.8368</v>
      </c>
      <c r="AB392" s="347">
        <f t="shared" si="19"/>
        <v>39.454599999999999</v>
      </c>
      <c r="AC392" s="347">
        <f t="shared" si="19"/>
        <v>1230.7383</v>
      </c>
      <c r="AD392" s="347">
        <f t="shared" si="19"/>
        <v>10.9696</v>
      </c>
      <c r="AE392" s="347">
        <f t="shared" si="19"/>
        <v>0</v>
      </c>
      <c r="AF392" s="347">
        <f t="shared" ref="AF392:AL392" si="20">AF385*AF387</f>
        <v>0</v>
      </c>
      <c r="AG392" s="347">
        <f t="shared" si="20"/>
        <v>0</v>
      </c>
      <c r="AH392" s="347">
        <f t="shared" si="20"/>
        <v>0</v>
      </c>
      <c r="AI392" s="347">
        <f t="shared" si="20"/>
        <v>0</v>
      </c>
      <c r="AJ392" s="347">
        <f t="shared" si="20"/>
        <v>0</v>
      </c>
      <c r="AK392" s="347">
        <f t="shared" si="20"/>
        <v>0</v>
      </c>
      <c r="AL392" s="347">
        <f t="shared" si="20"/>
        <v>0</v>
      </c>
      <c r="AM392" s="407">
        <f>SUM(Y392:AL392)</f>
        <v>31595.098900000005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-7151.734080821534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196555.91335500393</v>
      </c>
      <c r="Z395" s="291">
        <f>SUMPRODUCT(E279:E382,Z279:Z382)</f>
        <v>476526.16596659657</v>
      </c>
      <c r="AA395" s="291">
        <f>IF(AA278="kW",SUMPRODUCT(N279:N382,P279:P382,AA279:AA382),SUMPRODUCT(E279:E382,AA279:AA382))</f>
        <v>218.35075437420002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193340.90542020896</v>
      </c>
      <c r="Z396" s="291">
        <f>SUMPRODUCT(F279:F382,Z279:Z382)</f>
        <v>470590.12638246955</v>
      </c>
      <c r="AA396" s="291">
        <f>IF(AA278="kW",SUMPRODUCT(N279:N382,Q279:Q382,AA279:AA382),SUMPRODUCT(F279:F382,AA279:AA382))</f>
        <v>218.35075437420002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172345.84279171092</v>
      </c>
      <c r="Z397" s="291">
        <f>SUMPRODUCT(G279:G382,Z279:Z382)</f>
        <v>358120.64287481754</v>
      </c>
      <c r="AA397" s="291">
        <f>IF(AA278="kW",SUMPRODUCT(N279:N382,R279:R382,AA279:AA382),SUMPRODUCT(G279:G382,AA279:AA382))</f>
        <v>218.35075437420002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160959.49981040493</v>
      </c>
      <c r="Z398" s="291">
        <f>SUMPRODUCT(H279:H382,Z279:Z382)</f>
        <v>140164.93068906371</v>
      </c>
      <c r="AA398" s="291">
        <f>IF(AA278="kW",SUMPRODUCT(N279:N382,S279:S382,AA279:AA382),SUMPRODUCT(H279:H382,AA279:AA382))</f>
        <v>106.64586641592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146855.50266966902</v>
      </c>
      <c r="Z399" s="291">
        <f>SUMPRODUCT(I279:I382,Z279:Z382)</f>
        <v>137496.51054171636</v>
      </c>
      <c r="AA399" s="291">
        <f>IF(AA278="kW",SUMPRODUCT(N279:N382,T279:T382,AA279:AA382),SUMPRODUCT(I279:I382,AA279:AA382))</f>
        <v>101.85575326056001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141087.25429452403</v>
      </c>
      <c r="Z400" s="291">
        <f>SUMPRODUCT(J279:J382,Z279:Z382)</f>
        <v>137496.51054171636</v>
      </c>
      <c r="AA400" s="291">
        <f>IF(AA278="kW",SUMPRODUCT(N279:N382,U279:U382,AA279:AA382),SUMPRODUCT(J279:J382,AA279:AA382))</f>
        <v>101.85575326056001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140857.59112281899</v>
      </c>
      <c r="Z401" s="326">
        <f>SUMPRODUCT(K279:K382,Z279:Z382)</f>
        <v>135948.18104153374</v>
      </c>
      <c r="AA401" s="326">
        <f>IF(AA278="kW",SUMPRODUCT(N279:N382,V279:V382,AA279:AA382),SUMPRODUCT(K279:K382,AA279:AA382))</f>
        <v>101.84728551660001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1035" t="s">
        <v>211</v>
      </c>
      <c r="C405" s="1037" t="s">
        <v>33</v>
      </c>
      <c r="D405" s="284" t="s">
        <v>421</v>
      </c>
      <c r="E405" s="1039" t="s">
        <v>209</v>
      </c>
      <c r="F405" s="1040"/>
      <c r="G405" s="1040"/>
      <c r="H405" s="1040"/>
      <c r="I405" s="1040"/>
      <c r="J405" s="1040"/>
      <c r="K405" s="1040"/>
      <c r="L405" s="1040"/>
      <c r="M405" s="1041"/>
      <c r="N405" s="1045" t="s">
        <v>213</v>
      </c>
      <c r="O405" s="284" t="s">
        <v>422</v>
      </c>
      <c r="P405" s="1039" t="s">
        <v>212</v>
      </c>
      <c r="Q405" s="1040"/>
      <c r="R405" s="1040"/>
      <c r="S405" s="1040"/>
      <c r="T405" s="1040"/>
      <c r="U405" s="1040"/>
      <c r="V405" s="1040"/>
      <c r="W405" s="1040"/>
      <c r="X405" s="1041"/>
      <c r="Y405" s="1042" t="s">
        <v>243</v>
      </c>
      <c r="Z405" s="1043"/>
      <c r="AA405" s="1043"/>
      <c r="AB405" s="1043"/>
      <c r="AC405" s="1043"/>
      <c r="AD405" s="1043"/>
      <c r="AE405" s="1043"/>
      <c r="AF405" s="1043"/>
      <c r="AG405" s="1043"/>
      <c r="AH405" s="1043"/>
      <c r="AI405" s="1043"/>
      <c r="AJ405" s="1043"/>
      <c r="AK405" s="1043"/>
      <c r="AL405" s="1043"/>
      <c r="AM405" s="1044"/>
    </row>
    <row r="406" spans="1:40" ht="45.75" customHeight="1">
      <c r="B406" s="1036"/>
      <c r="C406" s="1038"/>
      <c r="D406" s="285">
        <v>2014</v>
      </c>
      <c r="E406" s="285">
        <v>2015</v>
      </c>
      <c r="F406" s="285">
        <v>2016</v>
      </c>
      <c r="G406" s="285">
        <v>2017</v>
      </c>
      <c r="H406" s="285">
        <v>2018</v>
      </c>
      <c r="I406" s="285">
        <v>2019</v>
      </c>
      <c r="J406" s="285">
        <v>2020</v>
      </c>
      <c r="K406" s="285">
        <v>2021</v>
      </c>
      <c r="L406" s="285">
        <v>2022</v>
      </c>
      <c r="M406" s="285">
        <v>2023</v>
      </c>
      <c r="N406" s="1046"/>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Sentinel Lighting</v>
      </c>
      <c r="AC406" s="285" t="str">
        <f>'1.  LRAMVA Summary'!H52</f>
        <v>Street Lighting</v>
      </c>
      <c r="AD406" s="285" t="str">
        <f>'1.  LRAMVA Summary'!I52</f>
        <v>Unmetered Scattered Load</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19972.97545174836</v>
      </c>
      <c r="E408" s="295">
        <v>19972.97545174836</v>
      </c>
      <c r="F408" s="295">
        <v>19972.97545174836</v>
      </c>
      <c r="G408" s="295">
        <v>19972.97545174836</v>
      </c>
      <c r="H408" s="295">
        <v>14295.538825600564</v>
      </c>
      <c r="I408" s="295">
        <v>0</v>
      </c>
      <c r="J408" s="295">
        <v>0</v>
      </c>
      <c r="K408" s="295">
        <v>0</v>
      </c>
      <c r="L408" s="295">
        <v>0</v>
      </c>
      <c r="M408" s="295">
        <v>0</v>
      </c>
      <c r="N408" s="291"/>
      <c r="O408" s="295">
        <v>3.1518551682088156</v>
      </c>
      <c r="P408" s="295">
        <v>3.1518551682088156</v>
      </c>
      <c r="Q408" s="295">
        <v>3.1518551682088156</v>
      </c>
      <c r="R408" s="295">
        <v>3.1518551682088156</v>
      </c>
      <c r="S408" s="295">
        <v>2.1009317493368918</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v>0</v>
      </c>
      <c r="AE409" s="411">
        <v>0</v>
      </c>
      <c r="AF409" s="411">
        <v>0</v>
      </c>
      <c r="AG409" s="411">
        <v>0</v>
      </c>
      <c r="AH409" s="411">
        <v>0</v>
      </c>
      <c r="AI409" s="411">
        <v>0</v>
      </c>
      <c r="AJ409" s="411">
        <v>0</v>
      </c>
      <c r="AK409" s="411">
        <v>0</v>
      </c>
      <c r="AL409" s="411">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6649.9178030000003</v>
      </c>
      <c r="E411" s="295">
        <v>6649.9178030000003</v>
      </c>
      <c r="F411" s="295">
        <v>6649.9178030000003</v>
      </c>
      <c r="G411" s="295">
        <v>6649.9178030000003</v>
      </c>
      <c r="H411" s="295">
        <v>0</v>
      </c>
      <c r="I411" s="295">
        <v>0</v>
      </c>
      <c r="J411" s="295">
        <v>0</v>
      </c>
      <c r="K411" s="295">
        <v>0</v>
      </c>
      <c r="L411" s="295">
        <v>0</v>
      </c>
      <c r="M411" s="295">
        <v>0</v>
      </c>
      <c r="N411" s="291"/>
      <c r="O411" s="295">
        <v>3.7294937830000001</v>
      </c>
      <c r="P411" s="295">
        <v>3.7294937830000001</v>
      </c>
      <c r="Q411" s="295">
        <v>3.7294937830000001</v>
      </c>
      <c r="R411" s="295">
        <v>3.7294937830000001</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v>0</v>
      </c>
      <c r="AE412" s="411">
        <v>0</v>
      </c>
      <c r="AF412" s="411">
        <v>0</v>
      </c>
      <c r="AG412" s="411">
        <v>0</v>
      </c>
      <c r="AH412" s="411">
        <v>0</v>
      </c>
      <c r="AI412" s="411">
        <v>0</v>
      </c>
      <c r="AJ412" s="411">
        <v>0</v>
      </c>
      <c r="AK412" s="411">
        <v>0</v>
      </c>
      <c r="AL412" s="411">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29839.1425132</v>
      </c>
      <c r="E414" s="295">
        <v>29839.1425132</v>
      </c>
      <c r="F414" s="295">
        <v>29839.1425132</v>
      </c>
      <c r="G414" s="295">
        <v>29839.1425132</v>
      </c>
      <c r="H414" s="295">
        <v>29839.1425132</v>
      </c>
      <c r="I414" s="295">
        <v>29839.1425132</v>
      </c>
      <c r="J414" s="295">
        <v>29839.1425132</v>
      </c>
      <c r="K414" s="295">
        <v>29839.1425132</v>
      </c>
      <c r="L414" s="295">
        <v>29839.1425132</v>
      </c>
      <c r="M414" s="295">
        <v>29839.1425132</v>
      </c>
      <c r="N414" s="291"/>
      <c r="O414" s="295">
        <v>15.726592405000003</v>
      </c>
      <c r="P414" s="295">
        <v>15.726592405000003</v>
      </c>
      <c r="Q414" s="295">
        <v>15.726592405000003</v>
      </c>
      <c r="R414" s="295">
        <v>15.726592405000003</v>
      </c>
      <c r="S414" s="295">
        <v>15.726592405000003</v>
      </c>
      <c r="T414" s="295">
        <v>15.726592405000003</v>
      </c>
      <c r="U414" s="295">
        <v>15.726592405000003</v>
      </c>
      <c r="V414" s="295">
        <v>15.726592405000003</v>
      </c>
      <c r="W414" s="295">
        <v>15.726592405000003</v>
      </c>
      <c r="X414" s="295">
        <v>15.726592405000003</v>
      </c>
      <c r="Y414" s="470">
        <v>1</v>
      </c>
      <c r="Z414" s="410"/>
      <c r="AA414" s="410"/>
      <c r="AB414" s="410"/>
      <c r="AC414" s="410"/>
      <c r="AD414" s="410"/>
      <c r="AE414" s="410"/>
      <c r="AF414" s="410"/>
      <c r="AG414" s="410"/>
      <c r="AH414" s="410"/>
      <c r="AI414" s="410"/>
      <c r="AJ414" s="410"/>
      <c r="AK414" s="410"/>
      <c r="AL414" s="410"/>
      <c r="AM414" s="296">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v>0</v>
      </c>
      <c r="AE415" s="411">
        <v>0</v>
      </c>
      <c r="AF415" s="411">
        <v>0</v>
      </c>
      <c r="AG415" s="411">
        <v>0</v>
      </c>
      <c r="AH415" s="411">
        <v>0</v>
      </c>
      <c r="AI415" s="411">
        <v>0</v>
      </c>
      <c r="AJ415" s="411">
        <v>0</v>
      </c>
      <c r="AK415" s="411">
        <v>0</v>
      </c>
      <c r="AL415" s="411">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57693.637990000003</v>
      </c>
      <c r="E417" s="295">
        <v>53726.77289</v>
      </c>
      <c r="F417" s="295">
        <v>51810.875529999998</v>
      </c>
      <c r="G417" s="295">
        <v>51810.875529999998</v>
      </c>
      <c r="H417" s="295">
        <v>51810.875529999998</v>
      </c>
      <c r="I417" s="295">
        <v>51810.875529999998</v>
      </c>
      <c r="J417" s="295">
        <v>51810.875529999998</v>
      </c>
      <c r="K417" s="295">
        <v>51710.28671</v>
      </c>
      <c r="L417" s="295">
        <v>51710.28671</v>
      </c>
      <c r="M417" s="295">
        <v>44253.669809999999</v>
      </c>
      <c r="N417" s="291"/>
      <c r="O417" s="295">
        <v>4.3155428369999997</v>
      </c>
      <c r="P417" s="295">
        <v>4.0665137600000003</v>
      </c>
      <c r="Q417" s="295">
        <v>3.9462388980000003</v>
      </c>
      <c r="R417" s="295">
        <v>3.9462388980000003</v>
      </c>
      <c r="S417" s="295">
        <v>3.9462388980000003</v>
      </c>
      <c r="T417" s="295">
        <v>3.9462388980000003</v>
      </c>
      <c r="U417" s="295">
        <v>3.9462388980000003</v>
      </c>
      <c r="V417" s="295">
        <v>3.9347561560000006</v>
      </c>
      <c r="W417" s="295">
        <v>3.9347561560000006</v>
      </c>
      <c r="X417" s="295">
        <v>3.466649887</v>
      </c>
      <c r="Y417" s="470">
        <v>1</v>
      </c>
      <c r="Z417" s="410"/>
      <c r="AA417" s="410"/>
      <c r="AB417" s="410"/>
      <c r="AC417" s="410"/>
      <c r="AD417" s="410"/>
      <c r="AE417" s="410"/>
      <c r="AF417" s="410"/>
      <c r="AG417" s="410"/>
      <c r="AH417" s="410"/>
      <c r="AI417" s="410"/>
      <c r="AJ417" s="410"/>
      <c r="AK417" s="410"/>
      <c r="AL417" s="410"/>
      <c r="AM417" s="296">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v>0</v>
      </c>
      <c r="AE418" s="411">
        <v>0</v>
      </c>
      <c r="AF418" s="411">
        <v>0</v>
      </c>
      <c r="AG418" s="411">
        <v>0</v>
      </c>
      <c r="AH418" s="411">
        <v>0</v>
      </c>
      <c r="AI418" s="411">
        <v>0</v>
      </c>
      <c r="AJ418" s="411">
        <v>0</v>
      </c>
      <c r="AK418" s="411">
        <v>0</v>
      </c>
      <c r="AL418" s="41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251528.18340000001</v>
      </c>
      <c r="E420" s="295">
        <v>218198.04209999999</v>
      </c>
      <c r="F420" s="295">
        <v>200828.21799999999</v>
      </c>
      <c r="G420" s="295">
        <v>200828.21799999999</v>
      </c>
      <c r="H420" s="295">
        <v>200828.21799999999</v>
      </c>
      <c r="I420" s="295">
        <v>200828.21799999999</v>
      </c>
      <c r="J420" s="295">
        <v>200828.21799999999</v>
      </c>
      <c r="K420" s="295">
        <v>200741.22219999999</v>
      </c>
      <c r="L420" s="295">
        <v>200741.22219999999</v>
      </c>
      <c r="M420" s="295">
        <v>186700.48920000001</v>
      </c>
      <c r="N420" s="291"/>
      <c r="O420" s="295">
        <v>16.461336119999999</v>
      </c>
      <c r="P420" s="295">
        <v>14.368959869999999</v>
      </c>
      <c r="Q420" s="295">
        <v>13.27852923</v>
      </c>
      <c r="R420" s="295">
        <v>13.27852923</v>
      </c>
      <c r="S420" s="295">
        <v>13.27852923</v>
      </c>
      <c r="T420" s="295">
        <v>13.27852923</v>
      </c>
      <c r="U420" s="295">
        <v>13.27852923</v>
      </c>
      <c r="V420" s="295">
        <v>13.26859821</v>
      </c>
      <c r="W420" s="295">
        <v>13.26859821</v>
      </c>
      <c r="X420" s="295">
        <v>12.38715891</v>
      </c>
      <c r="Y420" s="470">
        <v>1</v>
      </c>
      <c r="Z420" s="410"/>
      <c r="AA420" s="410"/>
      <c r="AB420" s="410"/>
      <c r="AC420" s="410"/>
      <c r="AD420" s="410"/>
      <c r="AE420" s="410"/>
      <c r="AF420" s="410"/>
      <c r="AG420" s="410"/>
      <c r="AH420" s="410"/>
      <c r="AI420" s="410"/>
      <c r="AJ420" s="410"/>
      <c r="AK420" s="410"/>
      <c r="AL420" s="410"/>
      <c r="AM420" s="296">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v>0</v>
      </c>
      <c r="AE421" s="411">
        <v>0</v>
      </c>
      <c r="AF421" s="411">
        <v>0</v>
      </c>
      <c r="AG421" s="411">
        <v>0</v>
      </c>
      <c r="AH421" s="411">
        <v>0</v>
      </c>
      <c r="AI421" s="411">
        <v>0</v>
      </c>
      <c r="AJ421" s="411">
        <v>0</v>
      </c>
      <c r="AK421" s="411">
        <v>0</v>
      </c>
      <c r="AL421" s="41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v>0</v>
      </c>
      <c r="AH424" s="411">
        <v>0</v>
      </c>
      <c r="AI424" s="411">
        <v>0</v>
      </c>
      <c r="AJ424" s="411">
        <v>0</v>
      </c>
      <c r="AK424" s="411">
        <v>0</v>
      </c>
      <c r="AL424" s="411">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5.8859750000000002</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v>0</v>
      </c>
      <c r="AC427" s="411">
        <v>0</v>
      </c>
      <c r="AD427" s="411">
        <v>0</v>
      </c>
      <c r="AE427" s="411">
        <v>0</v>
      </c>
      <c r="AF427" s="411">
        <v>0</v>
      </c>
      <c r="AG427" s="411">
        <v>0</v>
      </c>
      <c r="AH427" s="411">
        <v>0</v>
      </c>
      <c r="AI427" s="411">
        <v>0</v>
      </c>
      <c r="AJ427" s="411">
        <v>0</v>
      </c>
      <c r="AK427" s="411">
        <v>0</v>
      </c>
      <c r="AL427" s="411">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7734.42</v>
      </c>
      <c r="E432" s="295">
        <v>7734.42</v>
      </c>
      <c r="F432" s="295">
        <v>7734.42</v>
      </c>
      <c r="G432" s="295">
        <v>7734.42</v>
      </c>
      <c r="H432" s="295">
        <v>7734.42</v>
      </c>
      <c r="I432" s="295">
        <v>7734.42</v>
      </c>
      <c r="J432" s="295">
        <v>7734.42</v>
      </c>
      <c r="K432" s="295">
        <v>7734.42</v>
      </c>
      <c r="L432" s="295">
        <v>7734.42</v>
      </c>
      <c r="M432" s="295">
        <v>7734.42</v>
      </c>
      <c r="N432" s="291"/>
      <c r="O432" s="295">
        <v>0.50674754700000002</v>
      </c>
      <c r="P432" s="295">
        <v>0.50674754700000002</v>
      </c>
      <c r="Q432" s="295">
        <v>0.50674754700000002</v>
      </c>
      <c r="R432" s="295">
        <v>0.50674754700000002</v>
      </c>
      <c r="S432" s="295">
        <v>0.50674754700000002</v>
      </c>
      <c r="T432" s="295">
        <v>0.50674754700000002</v>
      </c>
      <c r="U432" s="295">
        <v>0.50674754700000002</v>
      </c>
      <c r="V432" s="295">
        <v>0.50674754700000002</v>
      </c>
      <c r="W432" s="295">
        <v>0.50674754700000002</v>
      </c>
      <c r="X432" s="295">
        <v>0.50674754700000002</v>
      </c>
      <c r="Y432" s="410">
        <v>1</v>
      </c>
      <c r="Z432" s="410"/>
      <c r="AA432" s="410"/>
      <c r="AB432" s="410"/>
      <c r="AC432" s="410"/>
      <c r="AD432" s="410"/>
      <c r="AE432" s="410"/>
      <c r="AF432" s="410"/>
      <c r="AG432" s="410"/>
      <c r="AH432" s="410"/>
      <c r="AI432" s="410"/>
      <c r="AJ432" s="410"/>
      <c r="AK432" s="410"/>
      <c r="AL432" s="410"/>
      <c r="AM432" s="296">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1</v>
      </c>
      <c r="Z433" s="411">
        <v>0</v>
      </c>
      <c r="AA433" s="411">
        <v>0</v>
      </c>
      <c r="AB433" s="411">
        <v>0</v>
      </c>
      <c r="AC433" s="411">
        <v>0</v>
      </c>
      <c r="AD433" s="411">
        <v>0</v>
      </c>
      <c r="AE433" s="411">
        <v>0</v>
      </c>
      <c r="AF433" s="411">
        <v>0</v>
      </c>
      <c r="AG433" s="411">
        <v>0</v>
      </c>
      <c r="AH433" s="411">
        <v>0</v>
      </c>
      <c r="AI433" s="411">
        <v>0</v>
      </c>
      <c r="AJ433" s="411">
        <v>0</v>
      </c>
      <c r="AK433" s="411">
        <v>0</v>
      </c>
      <c r="AL433" s="411">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1293084.9709999999</v>
      </c>
      <c r="E436" s="295">
        <v>1293084.9709999999</v>
      </c>
      <c r="F436" s="295">
        <v>1293084.9709999999</v>
      </c>
      <c r="G436" s="295">
        <v>1292720.449</v>
      </c>
      <c r="H436" s="295">
        <v>1292720.449</v>
      </c>
      <c r="I436" s="295">
        <v>1292720.449</v>
      </c>
      <c r="J436" s="295">
        <v>1204616.4720000001</v>
      </c>
      <c r="K436" s="295">
        <v>1204616.4720000001</v>
      </c>
      <c r="L436" s="295">
        <v>1190945.0819999999</v>
      </c>
      <c r="M436" s="295">
        <v>817351.66830000002</v>
      </c>
      <c r="N436" s="295">
        <v>12</v>
      </c>
      <c r="O436" s="295">
        <v>151.37413219999999</v>
      </c>
      <c r="P436" s="295">
        <v>151.37413219999999</v>
      </c>
      <c r="Q436" s="295">
        <v>151.37413219999999</v>
      </c>
      <c r="R436" s="295">
        <v>151.27034080000001</v>
      </c>
      <c r="S436" s="295">
        <v>151.27034080000001</v>
      </c>
      <c r="T436" s="295">
        <v>151.27034080000001</v>
      </c>
      <c r="U436" s="295">
        <v>141.89364359999999</v>
      </c>
      <c r="V436" s="295">
        <v>141.89364359999999</v>
      </c>
      <c r="W436" s="295">
        <v>138.32600450000001</v>
      </c>
      <c r="X436" s="295">
        <v>98.601761800000006</v>
      </c>
      <c r="Y436" s="415"/>
      <c r="Z436" s="469">
        <v>0.2</v>
      </c>
      <c r="AA436" s="469">
        <v>0.8</v>
      </c>
      <c r="AB436" s="469"/>
      <c r="AC436" s="415"/>
      <c r="AD436" s="415"/>
      <c r="AE436" s="415"/>
      <c r="AF436" s="415"/>
      <c r="AG436" s="415"/>
      <c r="AH436" s="415"/>
      <c r="AI436" s="415"/>
      <c r="AJ436" s="415"/>
      <c r="AK436" s="415"/>
      <c r="AL436" s="415"/>
      <c r="AM436" s="296">
        <v>1</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0.2</v>
      </c>
      <c r="AA437" s="411">
        <v>0.8</v>
      </c>
      <c r="AB437" s="411">
        <v>0</v>
      </c>
      <c r="AC437" s="411">
        <v>0</v>
      </c>
      <c r="AD437" s="411">
        <v>0</v>
      </c>
      <c r="AE437" s="411">
        <v>0</v>
      </c>
      <c r="AF437" s="411">
        <v>0</v>
      </c>
      <c r="AG437" s="411">
        <v>0</v>
      </c>
      <c r="AH437" s="411">
        <v>0</v>
      </c>
      <c r="AI437" s="411">
        <v>0</v>
      </c>
      <c r="AJ437" s="411">
        <v>0</v>
      </c>
      <c r="AK437" s="411">
        <v>0</v>
      </c>
      <c r="AL437" s="411">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478358.06400000001</v>
      </c>
      <c r="E439" s="295">
        <v>475228.47409999999</v>
      </c>
      <c r="F439" s="295">
        <v>383682.87650000001</v>
      </c>
      <c r="G439" s="295">
        <v>233489.1979</v>
      </c>
      <c r="H439" s="295">
        <v>233489.1979</v>
      </c>
      <c r="I439" s="295">
        <v>233489.1979</v>
      </c>
      <c r="J439" s="295">
        <v>233489.1979</v>
      </c>
      <c r="K439" s="295">
        <v>233489.1979</v>
      </c>
      <c r="L439" s="295">
        <v>233489.1979</v>
      </c>
      <c r="M439" s="295">
        <v>233489.1979</v>
      </c>
      <c r="N439" s="295">
        <v>12</v>
      </c>
      <c r="O439" s="295">
        <v>128.3195929</v>
      </c>
      <c r="P439" s="295">
        <v>127.4300528</v>
      </c>
      <c r="Q439" s="295">
        <v>104.1294329</v>
      </c>
      <c r="R439" s="295">
        <v>60.063868130000003</v>
      </c>
      <c r="S439" s="295">
        <v>60.063868130000003</v>
      </c>
      <c r="T439" s="295">
        <v>60.063868130000003</v>
      </c>
      <c r="U439" s="295">
        <v>60.063868130000003</v>
      </c>
      <c r="V439" s="295">
        <v>60.063868130000003</v>
      </c>
      <c r="W439" s="295">
        <v>60.063868130000003</v>
      </c>
      <c r="X439" s="295">
        <v>60.063868130000003</v>
      </c>
      <c r="Y439" s="415"/>
      <c r="Z439" s="469">
        <v>1</v>
      </c>
      <c r="AA439" s="415"/>
      <c r="AB439" s="415"/>
      <c r="AC439" s="415"/>
      <c r="AD439" s="415"/>
      <c r="AE439" s="415"/>
      <c r="AF439" s="415"/>
      <c r="AG439" s="415"/>
      <c r="AH439" s="415"/>
      <c r="AI439" s="415"/>
      <c r="AJ439" s="415"/>
      <c r="AK439" s="415"/>
      <c r="AL439" s="415"/>
      <c r="AM439" s="296">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v>0</v>
      </c>
      <c r="AE440" s="411">
        <v>0</v>
      </c>
      <c r="AF440" s="411">
        <v>0</v>
      </c>
      <c r="AG440" s="411">
        <v>0</v>
      </c>
      <c r="AH440" s="411">
        <v>0</v>
      </c>
      <c r="AI440" s="411">
        <v>0</v>
      </c>
      <c r="AJ440" s="411">
        <v>0</v>
      </c>
      <c r="AK440" s="411">
        <v>0</v>
      </c>
      <c r="AL440" s="411">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v>0</v>
      </c>
      <c r="AH446" s="411">
        <v>0</v>
      </c>
      <c r="AI446" s="411">
        <v>0</v>
      </c>
      <c r="AJ446" s="411">
        <v>0</v>
      </c>
      <c r="AK446" s="411">
        <v>0</v>
      </c>
      <c r="AL446" s="411">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v>0</v>
      </c>
      <c r="AH449" s="411">
        <v>0</v>
      </c>
      <c r="AI449" s="411">
        <v>0</v>
      </c>
      <c r="AJ449" s="411">
        <v>0</v>
      </c>
      <c r="AK449" s="411">
        <v>0</v>
      </c>
      <c r="AL449" s="41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v>0</v>
      </c>
      <c r="AE452" s="411">
        <v>0</v>
      </c>
      <c r="AF452" s="411">
        <v>0</v>
      </c>
      <c r="AG452" s="411">
        <v>0</v>
      </c>
      <c r="AH452" s="411">
        <v>0</v>
      </c>
      <c r="AI452" s="411">
        <v>0</v>
      </c>
      <c r="AJ452" s="411">
        <v>0</v>
      </c>
      <c r="AK452" s="411">
        <v>0</v>
      </c>
      <c r="AL452" s="411">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v>0</v>
      </c>
      <c r="AE455" s="411">
        <v>0</v>
      </c>
      <c r="AF455" s="411">
        <v>0</v>
      </c>
      <c r="AG455" s="411">
        <v>0</v>
      </c>
      <c r="AH455" s="411">
        <v>0</v>
      </c>
      <c r="AI455" s="411">
        <v>0</v>
      </c>
      <c r="AJ455" s="411">
        <v>0</v>
      </c>
      <c r="AK455" s="411">
        <v>0</v>
      </c>
      <c r="AL455" s="411">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v>0</v>
      </c>
      <c r="AD458" s="411">
        <v>0</v>
      </c>
      <c r="AE458" s="411">
        <v>0</v>
      </c>
      <c r="AF458" s="411">
        <v>0</v>
      </c>
      <c r="AG458" s="411">
        <v>0</v>
      </c>
      <c r="AH458" s="411">
        <v>0</v>
      </c>
      <c r="AI458" s="411">
        <v>0</v>
      </c>
      <c r="AJ458" s="411">
        <v>0</v>
      </c>
      <c r="AK458" s="411">
        <v>0</v>
      </c>
      <c r="AL458" s="411">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v>0</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v>0</v>
      </c>
      <c r="AD462" s="411">
        <v>0</v>
      </c>
      <c r="AE462" s="411">
        <v>0</v>
      </c>
      <c r="AF462" s="411">
        <v>0</v>
      </c>
      <c r="AG462" s="411">
        <v>0</v>
      </c>
      <c r="AH462" s="411">
        <v>0</v>
      </c>
      <c r="AI462" s="411">
        <v>0</v>
      </c>
      <c r="AJ462" s="411">
        <v>0</v>
      </c>
      <c r="AK462" s="411">
        <v>0</v>
      </c>
      <c r="AL462" s="411">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v>0</v>
      </c>
      <c r="AE465" s="411">
        <v>0</v>
      </c>
      <c r="AF465" s="411">
        <v>0</v>
      </c>
      <c r="AG465" s="411">
        <v>0</v>
      </c>
      <c r="AH465" s="411">
        <v>0</v>
      </c>
      <c r="AI465" s="411">
        <v>0</v>
      </c>
      <c r="AJ465" s="411">
        <v>0</v>
      </c>
      <c r="AK465" s="411">
        <v>0</v>
      </c>
      <c r="AL465" s="41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v>3312.576</v>
      </c>
      <c r="E467" s="295">
        <v>3312.576</v>
      </c>
      <c r="F467" s="295">
        <v>3312.576</v>
      </c>
      <c r="G467" s="295">
        <v>3312.576</v>
      </c>
      <c r="H467" s="295">
        <v>3312.576</v>
      </c>
      <c r="I467" s="295">
        <v>3312.576</v>
      </c>
      <c r="J467" s="295">
        <v>3312.576</v>
      </c>
      <c r="K467" s="295">
        <v>3312.576</v>
      </c>
      <c r="L467" s="295">
        <v>3312.576</v>
      </c>
      <c r="M467" s="295">
        <v>3312.576</v>
      </c>
      <c r="N467" s="295">
        <v>12</v>
      </c>
      <c r="O467" s="295">
        <v>0.4914</v>
      </c>
      <c r="P467" s="295">
        <v>0.4914</v>
      </c>
      <c r="Q467" s="295">
        <v>0.4914</v>
      </c>
      <c r="R467" s="295">
        <v>0.4914</v>
      </c>
      <c r="S467" s="295">
        <v>0.4914</v>
      </c>
      <c r="T467" s="295">
        <v>0.4914</v>
      </c>
      <c r="U467" s="295">
        <v>0.4914</v>
      </c>
      <c r="V467" s="295">
        <v>0.4914</v>
      </c>
      <c r="W467" s="295">
        <v>0.4914</v>
      </c>
      <c r="X467" s="295">
        <v>0.4914</v>
      </c>
      <c r="Y467" s="410"/>
      <c r="Z467" s="415">
        <v>1</v>
      </c>
      <c r="AA467" s="415"/>
      <c r="AB467" s="415"/>
      <c r="AC467" s="415"/>
      <c r="AD467" s="415"/>
      <c r="AE467" s="415"/>
      <c r="AF467" s="415"/>
      <c r="AG467" s="415"/>
      <c r="AH467" s="415"/>
      <c r="AI467" s="415"/>
      <c r="AJ467" s="415"/>
      <c r="AK467" s="415"/>
      <c r="AL467" s="415"/>
      <c r="AM467" s="296">
        <v>1</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1</v>
      </c>
      <c r="AA468" s="411">
        <v>0</v>
      </c>
      <c r="AB468" s="411">
        <v>0</v>
      </c>
      <c r="AC468" s="411">
        <v>0</v>
      </c>
      <c r="AD468" s="411">
        <v>0</v>
      </c>
      <c r="AE468" s="411">
        <v>0</v>
      </c>
      <c r="AF468" s="411">
        <v>0</v>
      </c>
      <c r="AG468" s="411">
        <v>0</v>
      </c>
      <c r="AH468" s="411">
        <v>0</v>
      </c>
      <c r="AI468" s="411">
        <v>0</v>
      </c>
      <c r="AJ468" s="411">
        <v>0</v>
      </c>
      <c r="AK468" s="411">
        <v>0</v>
      </c>
      <c r="AL468" s="411">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v>0</v>
      </c>
      <c r="AD471" s="411">
        <v>0</v>
      </c>
      <c r="AE471" s="411">
        <v>0</v>
      </c>
      <c r="AF471" s="411">
        <v>0</v>
      </c>
      <c r="AG471" s="411">
        <v>0</v>
      </c>
      <c r="AH471" s="411">
        <v>0</v>
      </c>
      <c r="AI471" s="411">
        <v>0</v>
      </c>
      <c r="AJ471" s="411">
        <v>0</v>
      </c>
      <c r="AK471" s="411">
        <v>0</v>
      </c>
      <c r="AL471" s="411">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v>0</v>
      </c>
      <c r="AD474" s="411">
        <v>0</v>
      </c>
      <c r="AE474" s="411">
        <v>0</v>
      </c>
      <c r="AF474" s="411">
        <v>0</v>
      </c>
      <c r="AG474" s="411">
        <v>0</v>
      </c>
      <c r="AH474" s="411">
        <v>0</v>
      </c>
      <c r="AI474" s="411">
        <v>0</v>
      </c>
      <c r="AJ474" s="411">
        <v>0</v>
      </c>
      <c r="AK474" s="411">
        <v>0</v>
      </c>
      <c r="AL474" s="411">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10959.48314</v>
      </c>
      <c r="E477" s="295">
        <v>10935.568370000001</v>
      </c>
      <c r="F477" s="295">
        <v>9812.3297000000002</v>
      </c>
      <c r="G477" s="295">
        <v>9346.3694419999993</v>
      </c>
      <c r="H477" s="295">
        <v>8880.4091489999992</v>
      </c>
      <c r="I477" s="295">
        <v>8880.4091489999992</v>
      </c>
      <c r="J477" s="295">
        <v>8615.503815</v>
      </c>
      <c r="K477" s="295">
        <v>8615.503815</v>
      </c>
      <c r="L477" s="295">
        <v>3579.6152339999999</v>
      </c>
      <c r="M477" s="295">
        <v>3579.6152339999999</v>
      </c>
      <c r="N477" s="291"/>
      <c r="O477" s="295">
        <v>0.81935835800000001</v>
      </c>
      <c r="P477" s="295">
        <v>0.81813030200000003</v>
      </c>
      <c r="Q477" s="295">
        <v>0.75968392100000004</v>
      </c>
      <c r="R477" s="295">
        <v>0.73537294499999994</v>
      </c>
      <c r="S477" s="295">
        <v>0.71106197500000001</v>
      </c>
      <c r="T477" s="295">
        <v>0.71106197500000001</v>
      </c>
      <c r="U477" s="295">
        <v>0.69725307999999997</v>
      </c>
      <c r="V477" s="295">
        <v>0.69725307999999997</v>
      </c>
      <c r="W477" s="295">
        <v>0.43506245700000001</v>
      </c>
      <c r="X477" s="295">
        <v>0.43506245700000001</v>
      </c>
      <c r="Y477" s="470">
        <v>1</v>
      </c>
      <c r="Z477" s="410"/>
      <c r="AA477" s="410"/>
      <c r="AB477" s="410"/>
      <c r="AC477" s="410"/>
      <c r="AD477" s="410"/>
      <c r="AE477" s="410"/>
      <c r="AF477" s="410"/>
      <c r="AG477" s="410"/>
      <c r="AH477" s="410"/>
      <c r="AI477" s="410"/>
      <c r="AJ477" s="410"/>
      <c r="AK477" s="410"/>
      <c r="AL477" s="410"/>
      <c r="AM477" s="296">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v>0</v>
      </c>
      <c r="AG478" s="411">
        <v>0</v>
      </c>
      <c r="AH478" s="411">
        <v>0</v>
      </c>
      <c r="AI478" s="411">
        <v>0</v>
      </c>
      <c r="AJ478" s="411">
        <v>0</v>
      </c>
      <c r="AK478" s="411">
        <v>0</v>
      </c>
      <c r="AL478" s="411">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v>0</v>
      </c>
      <c r="AE482" s="411">
        <v>0</v>
      </c>
      <c r="AF482" s="411">
        <v>0</v>
      </c>
      <c r="AG482" s="411">
        <v>0</v>
      </c>
      <c r="AH482" s="411">
        <v>0</v>
      </c>
      <c r="AI482" s="411">
        <v>0</v>
      </c>
      <c r="AJ482" s="411">
        <v>0</v>
      </c>
      <c r="AK482" s="411">
        <v>0</v>
      </c>
      <c r="AL482" s="41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v>0</v>
      </c>
    </row>
    <row r="485" spans="1:39" s="283" customFormat="1" ht="1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v>0</v>
      </c>
      <c r="AH485" s="411">
        <v>0</v>
      </c>
      <c r="AI485" s="411">
        <v>0</v>
      </c>
      <c r="AJ485" s="411">
        <v>0</v>
      </c>
      <c r="AK485" s="411">
        <v>0</v>
      </c>
      <c r="AL485" s="411">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v>0</v>
      </c>
      <c r="AE489" s="411">
        <v>0</v>
      </c>
      <c r="AF489" s="411">
        <v>0</v>
      </c>
      <c r="AG489" s="411">
        <v>0</v>
      </c>
      <c r="AH489" s="411">
        <v>0</v>
      </c>
      <c r="AI489" s="411">
        <v>0</v>
      </c>
      <c r="AJ489" s="411">
        <v>0</v>
      </c>
      <c r="AK489" s="411">
        <v>0</v>
      </c>
      <c r="AL489" s="411">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v>0</v>
      </c>
      <c r="AE492" s="411">
        <v>0</v>
      </c>
      <c r="AF492" s="411">
        <v>0</v>
      </c>
      <c r="AG492" s="411">
        <v>0</v>
      </c>
      <c r="AH492" s="411">
        <v>0</v>
      </c>
      <c r="AI492" s="411">
        <v>0</v>
      </c>
      <c r="AJ492" s="411">
        <v>0</v>
      </c>
      <c r="AK492" s="411">
        <v>0</v>
      </c>
      <c r="AL492" s="411">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v>0</v>
      </c>
      <c r="AE495" s="411">
        <v>0</v>
      </c>
      <c r="AF495" s="411">
        <v>0</v>
      </c>
      <c r="AG495" s="411">
        <v>0</v>
      </c>
      <c r="AH495" s="411">
        <v>0</v>
      </c>
      <c r="AI495" s="411">
        <v>0</v>
      </c>
      <c r="AJ495" s="411">
        <v>0</v>
      </c>
      <c r="AK495" s="411">
        <v>0</v>
      </c>
      <c r="AL495" s="411">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v>0</v>
      </c>
      <c r="AE498" s="411">
        <v>0</v>
      </c>
      <c r="AF498" s="411">
        <v>0</v>
      </c>
      <c r="AG498" s="411">
        <v>0</v>
      </c>
      <c r="AH498" s="411">
        <v>0</v>
      </c>
      <c r="AI498" s="411">
        <v>0</v>
      </c>
      <c r="AJ498" s="411">
        <v>0</v>
      </c>
      <c r="AK498" s="411">
        <v>0</v>
      </c>
      <c r="AL498" s="411">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v>0</v>
      </c>
    </row>
    <row r="501" spans="1:39" s="283" customFormat="1" ht="1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v>0</v>
      </c>
      <c r="AE501" s="411">
        <v>0</v>
      </c>
      <c r="AF501" s="411">
        <v>0</v>
      </c>
      <c r="AG501" s="411">
        <v>0</v>
      </c>
      <c r="AH501" s="411">
        <v>0</v>
      </c>
      <c r="AI501" s="411">
        <v>0</v>
      </c>
      <c r="AJ501" s="411">
        <v>0</v>
      </c>
      <c r="AK501" s="411">
        <v>0</v>
      </c>
      <c r="AL501" s="411">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v>0</v>
      </c>
    </row>
    <row r="505" spans="1:39" s="283" customFormat="1" ht="1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v>0</v>
      </c>
      <c r="AE505" s="411">
        <v>0</v>
      </c>
      <c r="AF505" s="411">
        <v>0</v>
      </c>
      <c r="AG505" s="411">
        <v>0</v>
      </c>
      <c r="AH505" s="411">
        <v>0</v>
      </c>
      <c r="AI505" s="411">
        <v>0</v>
      </c>
      <c r="AJ505" s="411">
        <v>0</v>
      </c>
      <c r="AK505" s="411">
        <v>0</v>
      </c>
      <c r="AL505" s="411">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v>0</v>
      </c>
      <c r="E507" s="295">
        <v>0</v>
      </c>
      <c r="F507" s="295">
        <v>0</v>
      </c>
      <c r="G507" s="295">
        <v>0</v>
      </c>
      <c r="H507" s="295">
        <v>0</v>
      </c>
      <c r="I507" s="295">
        <v>0</v>
      </c>
      <c r="J507" s="295">
        <v>0</v>
      </c>
      <c r="K507" s="295">
        <v>0</v>
      </c>
      <c r="L507" s="295">
        <v>0</v>
      </c>
      <c r="M507" s="295">
        <v>0</v>
      </c>
      <c r="N507" s="295">
        <v>0</v>
      </c>
      <c r="O507" s="295">
        <v>95.580107819999995</v>
      </c>
      <c r="P507" s="295">
        <v>0</v>
      </c>
      <c r="Q507" s="295">
        <v>0</v>
      </c>
      <c r="R507" s="295">
        <v>0</v>
      </c>
      <c r="S507" s="295">
        <v>0</v>
      </c>
      <c r="T507" s="295">
        <v>0</v>
      </c>
      <c r="U507" s="295">
        <v>0</v>
      </c>
      <c r="V507" s="295">
        <v>0</v>
      </c>
      <c r="W507" s="295">
        <v>0</v>
      </c>
      <c r="X507" s="295">
        <v>0</v>
      </c>
      <c r="Y507" s="410">
        <v>1</v>
      </c>
      <c r="Z507" s="410"/>
      <c r="AA507" s="410"/>
      <c r="AB507" s="410"/>
      <c r="AC507" s="410"/>
      <c r="AD507" s="410"/>
      <c r="AE507" s="410"/>
      <c r="AF507" s="410"/>
      <c r="AG507" s="410"/>
      <c r="AH507" s="410"/>
      <c r="AI507" s="410"/>
      <c r="AJ507" s="410"/>
      <c r="AK507" s="410"/>
      <c r="AL507" s="410"/>
      <c r="AM507" s="296">
        <v>1</v>
      </c>
    </row>
    <row r="508" spans="1:39" s="283" customFormat="1" ht="1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1</v>
      </c>
      <c r="Z508" s="411">
        <v>0</v>
      </c>
      <c r="AA508" s="411">
        <v>0</v>
      </c>
      <c r="AB508" s="411">
        <v>0</v>
      </c>
      <c r="AC508" s="411">
        <v>0</v>
      </c>
      <c r="AD508" s="411">
        <v>0</v>
      </c>
      <c r="AE508" s="411">
        <v>0</v>
      </c>
      <c r="AF508" s="411">
        <v>0</v>
      </c>
      <c r="AG508" s="411">
        <v>0</v>
      </c>
      <c r="AH508" s="411">
        <v>0</v>
      </c>
      <c r="AI508" s="411">
        <v>0</v>
      </c>
      <c r="AJ508" s="411">
        <v>0</v>
      </c>
      <c r="AK508" s="411">
        <v>0</v>
      </c>
      <c r="AL508" s="411">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1">Z510</f>
        <v>0</v>
      </c>
      <c r="AA511" s="411">
        <f t="shared" si="21"/>
        <v>0</v>
      </c>
      <c r="AB511" s="411">
        <f t="shared" si="21"/>
        <v>0</v>
      </c>
      <c r="AC511" s="411">
        <f t="shared" si="21"/>
        <v>0</v>
      </c>
      <c r="AD511" s="411">
        <f t="shared" si="21"/>
        <v>0</v>
      </c>
      <c r="AE511" s="411">
        <f t="shared" si="21"/>
        <v>0</v>
      </c>
      <c r="AF511" s="411">
        <f t="shared" si="21"/>
        <v>0</v>
      </c>
      <c r="AG511" s="411">
        <f t="shared" si="21"/>
        <v>0</v>
      </c>
      <c r="AH511" s="411">
        <f t="shared" si="21"/>
        <v>0</v>
      </c>
      <c r="AI511" s="411">
        <f t="shared" si="21"/>
        <v>0</v>
      </c>
      <c r="AJ511" s="411">
        <f t="shared" si="21"/>
        <v>0</v>
      </c>
      <c r="AK511" s="411">
        <f t="shared" si="21"/>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2159133.3712979485</v>
      </c>
      <c r="E513" s="329"/>
      <c r="F513" s="329"/>
      <c r="G513" s="329"/>
      <c r="H513" s="329"/>
      <c r="I513" s="329"/>
      <c r="J513" s="329"/>
      <c r="K513" s="329"/>
      <c r="L513" s="329"/>
      <c r="M513" s="329"/>
      <c r="N513" s="329"/>
      <c r="O513" s="329">
        <f>SUM(O408:O511)</f>
        <v>426.36213413820883</v>
      </c>
      <c r="P513" s="329"/>
      <c r="Q513" s="329"/>
      <c r="R513" s="329"/>
      <c r="S513" s="329"/>
      <c r="T513" s="329"/>
      <c r="U513" s="329"/>
      <c r="V513" s="329"/>
      <c r="W513" s="329"/>
      <c r="X513" s="329"/>
      <c r="Y513" s="329">
        <f>IF(Y407="kWh",SUMPRODUCT(D408:D511,Y408:Y511))</f>
        <v>384377.76029794838</v>
      </c>
      <c r="Z513" s="329">
        <f>IF(Z407="kWh",SUMPRODUCT(D408:D511,Z408:Z511))</f>
        <v>740287.63419999997</v>
      </c>
      <c r="AA513" s="329">
        <f>IF(AA407="kW",SUMPRODUCT(N408:N511,O408:O511,AA408:AA511),SUMPRODUCT(D408:D511,AA408:AA511))</f>
        <v>1453.1916691200001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1219155</v>
      </c>
      <c r="Z514" s="328">
        <f>HLOOKUP(Z406,'2. LRAMVA Threshold'!$B$42:$Q$53,6,FALSE)</f>
        <v>658151</v>
      </c>
      <c r="AA514" s="328">
        <f>HLOOKUP(AA406,'2. LRAMVA Threshold'!$B$42:$Q$53,6,FALSE)</f>
        <v>3236</v>
      </c>
      <c r="AB514" s="328">
        <f>HLOOKUP(AB406,'2. LRAMVA Threshold'!$B$42:$Q$53,6,FALSE)</f>
        <v>2</v>
      </c>
      <c r="AC514" s="328">
        <f>HLOOKUP(AC406,'2. LRAMVA Threshold'!$B$42:$Q$53,6,FALSE)</f>
        <v>81</v>
      </c>
      <c r="AD514" s="328">
        <f>HLOOKUP(AD406,'2. LRAMVA Threshold'!$B$42:$Q$53,6,FALSE)</f>
        <v>1714</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1.4500000000000001E-2</v>
      </c>
      <c r="Z516" s="341">
        <f>HLOOKUP(Z$20,'3.  Distribution Rates'!$C$122:$P$133,6,FALSE)</f>
        <v>8.8000000000000005E-3</v>
      </c>
      <c r="AA516" s="341">
        <f>HLOOKUP(AA$20,'3.  Distribution Rates'!$C$122:$P$133,6,FALSE)</f>
        <v>2.7227999999999999</v>
      </c>
      <c r="AB516" s="341">
        <f>HLOOKUP(AB$20,'3.  Distribution Rates'!$C$122:$P$133,6,FALSE)</f>
        <v>21.32</v>
      </c>
      <c r="AC516" s="341">
        <f>HLOOKUP(AC$20,'3.  Distribution Rates'!$C$122:$P$133,6,FALSE)</f>
        <v>15.5433</v>
      </c>
      <c r="AD516" s="341">
        <f>HLOOKUP(AD$20,'3.  Distribution Rates'!$C$122:$P$133,6,FALSE)</f>
        <v>5.5999999999999999E-3</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2706.1459438173765</v>
      </c>
      <c r="Z517" s="378">
        <f t="shared" ref="Z517:AL517" si="22">Z137*Z516</f>
        <v>2147.2468529424955</v>
      </c>
      <c r="AA517" s="378">
        <f t="shared" si="22"/>
        <v>390.85905081066682</v>
      </c>
      <c r="AB517" s="378">
        <f t="shared" si="22"/>
        <v>0</v>
      </c>
      <c r="AC517" s="378">
        <f t="shared" si="22"/>
        <v>0</v>
      </c>
      <c r="AD517" s="378">
        <f t="shared" si="22"/>
        <v>0</v>
      </c>
      <c r="AE517" s="378">
        <f t="shared" si="22"/>
        <v>0</v>
      </c>
      <c r="AF517" s="378">
        <f t="shared" si="22"/>
        <v>0</v>
      </c>
      <c r="AG517" s="378">
        <f t="shared" si="22"/>
        <v>0</v>
      </c>
      <c r="AH517" s="378">
        <f t="shared" si="22"/>
        <v>0</v>
      </c>
      <c r="AI517" s="378">
        <f t="shared" si="22"/>
        <v>0</v>
      </c>
      <c r="AJ517" s="378">
        <f t="shared" si="22"/>
        <v>0</v>
      </c>
      <c r="AK517" s="378">
        <f t="shared" si="22"/>
        <v>0</v>
      </c>
      <c r="AL517" s="378">
        <f t="shared" si="22"/>
        <v>0</v>
      </c>
      <c r="AM517" s="629">
        <f>SUM(Y517:AL517)</f>
        <v>5244.2518475705392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1745.0317433534042</v>
      </c>
      <c r="Z518" s="378">
        <f t="shared" ref="Z518:AL518" si="23">Z266*Z516</f>
        <v>8450.1031113081081</v>
      </c>
      <c r="AA518" s="378">
        <f t="shared" si="23"/>
        <v>2189.5795720897759</v>
      </c>
      <c r="AB518" s="378">
        <f t="shared" si="23"/>
        <v>0</v>
      </c>
      <c r="AC518" s="378">
        <f t="shared" si="23"/>
        <v>0</v>
      </c>
      <c r="AD518" s="378">
        <f t="shared" si="23"/>
        <v>0</v>
      </c>
      <c r="AE518" s="378">
        <f t="shared" si="23"/>
        <v>0</v>
      </c>
      <c r="AF518" s="378">
        <f t="shared" si="23"/>
        <v>0</v>
      </c>
      <c r="AG518" s="378">
        <f t="shared" si="23"/>
        <v>0</v>
      </c>
      <c r="AH518" s="378">
        <f t="shared" si="23"/>
        <v>0</v>
      </c>
      <c r="AI518" s="378">
        <f t="shared" si="23"/>
        <v>0</v>
      </c>
      <c r="AJ518" s="378">
        <f t="shared" si="23"/>
        <v>0</v>
      </c>
      <c r="AK518" s="378">
        <f t="shared" si="23"/>
        <v>0</v>
      </c>
      <c r="AL518" s="378">
        <f t="shared" si="23"/>
        <v>0</v>
      </c>
      <c r="AM518" s="629">
        <f>SUM(Y518:AL518)</f>
        <v>12384.714426751289</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2850.060743647557</v>
      </c>
      <c r="Z519" s="378">
        <f t="shared" ref="Z519:AL519" si="24">Z395*Z516</f>
        <v>4193.4302605060502</v>
      </c>
      <c r="AA519" s="378">
        <f t="shared" si="24"/>
        <v>594.52543401007176</v>
      </c>
      <c r="AB519" s="378">
        <f t="shared" si="24"/>
        <v>0</v>
      </c>
      <c r="AC519" s="378">
        <f t="shared" si="24"/>
        <v>0</v>
      </c>
      <c r="AD519" s="378">
        <f t="shared" si="24"/>
        <v>0</v>
      </c>
      <c r="AE519" s="378">
        <f t="shared" si="24"/>
        <v>0</v>
      </c>
      <c r="AF519" s="378">
        <f t="shared" si="24"/>
        <v>0</v>
      </c>
      <c r="AG519" s="378">
        <f t="shared" si="24"/>
        <v>0</v>
      </c>
      <c r="AH519" s="378">
        <f t="shared" si="24"/>
        <v>0</v>
      </c>
      <c r="AI519" s="378">
        <f t="shared" si="24"/>
        <v>0</v>
      </c>
      <c r="AJ519" s="378">
        <f t="shared" si="24"/>
        <v>0</v>
      </c>
      <c r="AK519" s="378">
        <f t="shared" si="24"/>
        <v>0</v>
      </c>
      <c r="AL519" s="378">
        <f t="shared" si="24"/>
        <v>0</v>
      </c>
      <c r="AM519" s="629">
        <f>SUM(Y519:AL519)</f>
        <v>7638.0164381636796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5573.4775243202521</v>
      </c>
      <c r="Z520" s="378">
        <f t="shared" ref="Z520:AK520" si="25">Z513*Z516</f>
        <v>6514.5311809599998</v>
      </c>
      <c r="AA520" s="378">
        <f t="shared" si="25"/>
        <v>3956.7502766799362</v>
      </c>
      <c r="AB520" s="378">
        <f t="shared" si="25"/>
        <v>0</v>
      </c>
      <c r="AC520" s="378">
        <f t="shared" si="25"/>
        <v>0</v>
      </c>
      <c r="AD520" s="378">
        <f t="shared" si="25"/>
        <v>0</v>
      </c>
      <c r="AE520" s="378">
        <f t="shared" si="25"/>
        <v>0</v>
      </c>
      <c r="AF520" s="378">
        <f t="shared" si="25"/>
        <v>0</v>
      </c>
      <c r="AG520" s="378">
        <f t="shared" si="25"/>
        <v>0</v>
      </c>
      <c r="AH520" s="378">
        <f t="shared" si="25"/>
        <v>0</v>
      </c>
      <c r="AI520" s="378">
        <f>AI513*AI516</f>
        <v>0</v>
      </c>
      <c r="AJ520" s="378">
        <f t="shared" si="25"/>
        <v>0</v>
      </c>
      <c r="AK520" s="378">
        <f t="shared" si="25"/>
        <v>0</v>
      </c>
      <c r="AL520" s="378">
        <f>AL513*AL516</f>
        <v>0</v>
      </c>
      <c r="AM520" s="629">
        <f>SUM(Y520:AL520)</f>
        <v>16044.758981960189</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12874.715955138588</v>
      </c>
      <c r="Z521" s="346">
        <f t="shared" ref="Z521:AK521" si="26">SUM(Z517:Z520)</f>
        <v>21305.311405716653</v>
      </c>
      <c r="AA521" s="346">
        <f t="shared" si="26"/>
        <v>7131.7143335904511</v>
      </c>
      <c r="AB521" s="346">
        <f t="shared" si="26"/>
        <v>0</v>
      </c>
      <c r="AC521" s="346">
        <f t="shared" si="26"/>
        <v>0</v>
      </c>
      <c r="AD521" s="346">
        <f t="shared" si="26"/>
        <v>0</v>
      </c>
      <c r="AE521" s="346">
        <f t="shared" si="26"/>
        <v>0</v>
      </c>
      <c r="AF521" s="346">
        <f t="shared" si="26"/>
        <v>0</v>
      </c>
      <c r="AG521" s="346">
        <f t="shared" si="26"/>
        <v>0</v>
      </c>
      <c r="AH521" s="346">
        <f t="shared" si="26"/>
        <v>0</v>
      </c>
      <c r="AI521" s="346">
        <f t="shared" si="26"/>
        <v>0</v>
      </c>
      <c r="AJ521" s="346">
        <f t="shared" si="26"/>
        <v>0</v>
      </c>
      <c r="AK521" s="346">
        <f t="shared" si="26"/>
        <v>0</v>
      </c>
      <c r="AL521" s="346">
        <f>SUM(AL517:AL520)</f>
        <v>0</v>
      </c>
      <c r="AM521" s="407">
        <f>SUM(AM517:AM520)</f>
        <v>41311.741694445693</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17677.747500000001</v>
      </c>
      <c r="Z522" s="347">
        <f t="shared" ref="Z522:AJ522" si="27">Z514*Z516</f>
        <v>5791.7288000000008</v>
      </c>
      <c r="AA522" s="347">
        <f>AA514*AA516</f>
        <v>8810.9807999999994</v>
      </c>
      <c r="AB522" s="347">
        <f t="shared" si="27"/>
        <v>42.64</v>
      </c>
      <c r="AC522" s="347">
        <f t="shared" si="27"/>
        <v>1259.0073</v>
      </c>
      <c r="AD522" s="347">
        <f>AD514*AD516</f>
        <v>9.5983999999999998</v>
      </c>
      <c r="AE522" s="347">
        <f t="shared" si="27"/>
        <v>0</v>
      </c>
      <c r="AF522" s="347">
        <f t="shared" si="27"/>
        <v>0</v>
      </c>
      <c r="AG522" s="347">
        <f t="shared" si="27"/>
        <v>0</v>
      </c>
      <c r="AH522" s="347">
        <f t="shared" si="27"/>
        <v>0</v>
      </c>
      <c r="AI522" s="347">
        <f t="shared" si="27"/>
        <v>0</v>
      </c>
      <c r="AJ522" s="347">
        <f t="shared" si="27"/>
        <v>0</v>
      </c>
      <c r="AK522" s="347">
        <f>AK514*AK516</f>
        <v>0</v>
      </c>
      <c r="AL522" s="347">
        <f>AL514*AL516</f>
        <v>0</v>
      </c>
      <c r="AM522" s="407">
        <f>SUM(Y522:AL522)</f>
        <v>33591.702799999999</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7720.0388944456936</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347056.83912794833</v>
      </c>
      <c r="Z526" s="291">
        <f>SUMPRODUCT(E408:E511,Z408:Z511)</f>
        <v>737158.04429999995</v>
      </c>
      <c r="AA526" s="291">
        <f>IF(AA407="kW",SUMPRODUCT(N408:N511,P408:P511,AA408:AA511),SUMPRODUCT(E408:E511,AA408:AA511))</f>
        <v>1453.1916691200001</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326647.87899794831</v>
      </c>
      <c r="Z527" s="291">
        <f>SUMPRODUCT(F408:F511,Z408:Z511)</f>
        <v>645612.44669999997</v>
      </c>
      <c r="AA527" s="291">
        <f>IF(AA407="kW",SUMPRODUCT(N408:N511,Q408:Q511,AA408:AA511),SUMPRODUCT(F408:F511,AA408:AA511))</f>
        <v>1453.1916691200001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326181.91873994831</v>
      </c>
      <c r="Z528" s="291">
        <f>SUMPRODUCT(G408:G511,Z408:Z511)</f>
        <v>495345.86369999999</v>
      </c>
      <c r="AA528" s="291">
        <f>IF(AA407="kW",SUMPRODUCT(N408:N511,R408:R511,AA408:AA511),SUMPRODUCT(G408:G511,AA408:AA511))</f>
        <v>1452.1952716800004</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313388.60401780054</v>
      </c>
      <c r="Z529" s="291">
        <f>SUMPRODUCT(H408:H511,Z408:Z511)</f>
        <v>495345.86369999999</v>
      </c>
      <c r="AA529" s="291">
        <f>IF(AA407="kW",SUMPRODUCT(N408:N511,S408:S511,AA408:AA511),SUMPRODUCT(H408:H511,AA408:AA511))</f>
        <v>1452.1952716800004</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299093.06519220001</v>
      </c>
      <c r="Z530" s="291">
        <f>SUMPRODUCT(I408:I511,Z408:Z511)</f>
        <v>495345.86369999999</v>
      </c>
      <c r="AA530" s="291">
        <f>IF(AA407="kW",SUMPRODUCT(N408:N511,T408:T511,AA408:AA511),SUMPRODUCT(I408:I511,AA408:AA511))</f>
        <v>1452.1952716800004</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298828.1598582</v>
      </c>
      <c r="Z531" s="326">
        <f>SUMPRODUCT(J408:J511,Z408:Z511)</f>
        <v>477725.06830000004</v>
      </c>
      <c r="AA531" s="326">
        <f>IF(AA407="kW",SUMPRODUCT(N408:N511,U408:U511,AA408:AA511),SUMPRODUCT(J408:J511,AA408:AA511))</f>
        <v>1362.1789785599999</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912" zoomScale="70" zoomScaleNormal="70" workbookViewId="0">
      <pane xSplit="2" topLeftCell="C1" activePane="topRight" state="frozen"/>
      <selection pane="topRight" activeCell="I941" sqref="I941"/>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103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3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33"/>
      <c r="C16" s="1030" t="s">
        <v>550</v>
      </c>
      <c r="D16" s="103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33" t="s">
        <v>504</v>
      </c>
      <c r="C18" s="1034" t="s">
        <v>686</v>
      </c>
      <c r="D18" s="1034"/>
      <c r="E18" s="1034"/>
      <c r="F18" s="1034"/>
      <c r="G18" s="1034"/>
      <c r="H18" s="1034"/>
      <c r="I18" s="1034"/>
      <c r="J18" s="1034"/>
      <c r="K18" s="1034"/>
      <c r="L18" s="1034"/>
      <c r="M18" s="1034"/>
      <c r="N18" s="1034"/>
      <c r="O18" s="1034"/>
      <c r="P18" s="1034"/>
      <c r="Q18" s="1034"/>
      <c r="R18" s="1034"/>
      <c r="S18" s="1034"/>
      <c r="T18" s="1034"/>
      <c r="U18" s="1034"/>
      <c r="V18" s="1034"/>
      <c r="W18" s="1034"/>
      <c r="X18" s="1034"/>
      <c r="Y18" s="606"/>
      <c r="Z18" s="606"/>
      <c r="AA18" s="606"/>
      <c r="AB18" s="606"/>
      <c r="AC18" s="606"/>
      <c r="AD18" s="606"/>
      <c r="AE18" s="270"/>
      <c r="AF18" s="265"/>
      <c r="AG18" s="265"/>
      <c r="AH18" s="265"/>
      <c r="AI18" s="265"/>
      <c r="AJ18" s="265"/>
      <c r="AK18" s="265"/>
      <c r="AL18" s="265"/>
      <c r="AM18" s="265"/>
    </row>
    <row r="19" spans="2:39" ht="45.75" customHeight="1">
      <c r="B19" s="1033"/>
      <c r="C19" s="1034" t="s">
        <v>565</v>
      </c>
      <c r="D19" s="1034"/>
      <c r="E19" s="1034"/>
      <c r="F19" s="1034"/>
      <c r="G19" s="1034"/>
      <c r="H19" s="1034"/>
      <c r="I19" s="1034"/>
      <c r="J19" s="1034"/>
      <c r="K19" s="1034"/>
      <c r="L19" s="1034"/>
      <c r="M19" s="1034"/>
      <c r="N19" s="1034"/>
      <c r="O19" s="1034"/>
      <c r="P19" s="1034"/>
      <c r="Q19" s="1034"/>
      <c r="R19" s="1034"/>
      <c r="S19" s="1034"/>
      <c r="T19" s="1034"/>
      <c r="U19" s="1034"/>
      <c r="V19" s="1034"/>
      <c r="W19" s="1034"/>
      <c r="X19" s="1034"/>
      <c r="Y19" s="606"/>
      <c r="Z19" s="606"/>
      <c r="AA19" s="606"/>
      <c r="AB19" s="606"/>
      <c r="AC19" s="606"/>
      <c r="AD19" s="606"/>
      <c r="AE19" s="270"/>
      <c r="AF19" s="265"/>
      <c r="AG19" s="265"/>
      <c r="AH19" s="265"/>
      <c r="AI19" s="265"/>
      <c r="AJ19" s="265"/>
      <c r="AK19" s="265"/>
      <c r="AL19" s="265"/>
      <c r="AM19" s="265"/>
    </row>
    <row r="20" spans="2:39" ht="62.25" customHeight="1">
      <c r="B20" s="273"/>
      <c r="C20" s="1034" t="s">
        <v>563</v>
      </c>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606"/>
      <c r="Z20" s="606"/>
      <c r="AA20" s="606"/>
      <c r="AB20" s="606"/>
      <c r="AC20" s="606"/>
      <c r="AD20" s="606"/>
      <c r="AE20" s="428"/>
      <c r="AF20" s="265"/>
      <c r="AG20" s="265"/>
      <c r="AH20" s="265"/>
      <c r="AI20" s="265"/>
      <c r="AJ20" s="265"/>
      <c r="AK20" s="265"/>
      <c r="AL20" s="265"/>
      <c r="AM20" s="265"/>
    </row>
    <row r="21" spans="2:39" ht="37.5" customHeight="1">
      <c r="B21" s="273"/>
      <c r="C21" s="1034" t="s">
        <v>629</v>
      </c>
      <c r="D21" s="1034"/>
      <c r="E21" s="1034"/>
      <c r="F21" s="1034"/>
      <c r="G21" s="1034"/>
      <c r="H21" s="1034"/>
      <c r="I21" s="1034"/>
      <c r="J21" s="1034"/>
      <c r="K21" s="1034"/>
      <c r="L21" s="1034"/>
      <c r="M21" s="1034"/>
      <c r="N21" s="1034"/>
      <c r="O21" s="1034"/>
      <c r="P21" s="1034"/>
      <c r="Q21" s="1034"/>
      <c r="R21" s="1034"/>
      <c r="S21" s="1034"/>
      <c r="T21" s="1034"/>
      <c r="U21" s="1034"/>
      <c r="V21" s="1034"/>
      <c r="W21" s="1034"/>
      <c r="X21" s="1034"/>
      <c r="Y21" s="606"/>
      <c r="Z21" s="606"/>
      <c r="AA21" s="606"/>
      <c r="AB21" s="606"/>
      <c r="AC21" s="606"/>
      <c r="AD21" s="606"/>
      <c r="AE21" s="276"/>
      <c r="AF21" s="265"/>
      <c r="AG21" s="265"/>
      <c r="AH21" s="265"/>
      <c r="AI21" s="265"/>
      <c r="AJ21" s="265"/>
      <c r="AK21" s="265"/>
      <c r="AL21" s="265"/>
      <c r="AM21" s="265"/>
    </row>
    <row r="22" spans="2:39" ht="54.75" customHeight="1">
      <c r="B22" s="273"/>
      <c r="C22" s="1034" t="s">
        <v>613</v>
      </c>
      <c r="D22" s="1034"/>
      <c r="E22" s="1034"/>
      <c r="F22" s="1034"/>
      <c r="G22" s="1034"/>
      <c r="H22" s="1034"/>
      <c r="I22" s="1034"/>
      <c r="J22" s="1034"/>
      <c r="K22" s="1034"/>
      <c r="L22" s="1034"/>
      <c r="M22" s="1034"/>
      <c r="N22" s="1034"/>
      <c r="O22" s="1034"/>
      <c r="P22" s="1034"/>
      <c r="Q22" s="1034"/>
      <c r="R22" s="1034"/>
      <c r="S22" s="1034"/>
      <c r="T22" s="1034"/>
      <c r="U22" s="1034"/>
      <c r="V22" s="1034"/>
      <c r="W22" s="1034"/>
      <c r="X22" s="1034"/>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1033"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1033"/>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35" t="s">
        <v>211</v>
      </c>
      <c r="C34" s="1037" t="s">
        <v>33</v>
      </c>
      <c r="D34" s="284" t="s">
        <v>421</v>
      </c>
      <c r="E34" s="1039" t="s">
        <v>209</v>
      </c>
      <c r="F34" s="1040"/>
      <c r="G34" s="1040"/>
      <c r="H34" s="1040"/>
      <c r="I34" s="1040"/>
      <c r="J34" s="1040"/>
      <c r="K34" s="1040"/>
      <c r="L34" s="1040"/>
      <c r="M34" s="1041"/>
      <c r="N34" s="1045" t="s">
        <v>213</v>
      </c>
      <c r="O34" s="284" t="s">
        <v>422</v>
      </c>
      <c r="P34" s="1039" t="s">
        <v>212</v>
      </c>
      <c r="Q34" s="1040"/>
      <c r="R34" s="1040"/>
      <c r="S34" s="1040"/>
      <c r="T34" s="1040"/>
      <c r="U34" s="1040"/>
      <c r="V34" s="1040"/>
      <c r="W34" s="1040"/>
      <c r="X34" s="1041"/>
      <c r="Y34" s="1042" t="s">
        <v>243</v>
      </c>
      <c r="Z34" s="1043"/>
      <c r="AA34" s="1043"/>
      <c r="AB34" s="1043"/>
      <c r="AC34" s="1043"/>
      <c r="AD34" s="1043"/>
      <c r="AE34" s="1043"/>
      <c r="AF34" s="1043"/>
      <c r="AG34" s="1043"/>
      <c r="AH34" s="1043"/>
      <c r="AI34" s="1043"/>
      <c r="AJ34" s="1043"/>
      <c r="AK34" s="1043"/>
      <c r="AL34" s="1043"/>
      <c r="AM34" s="1044"/>
    </row>
    <row r="35" spans="1:39" ht="65.25" customHeight="1">
      <c r="B35" s="1036"/>
      <c r="C35" s="1038"/>
      <c r="D35" s="285">
        <v>2015</v>
      </c>
      <c r="E35" s="285">
        <v>2016</v>
      </c>
      <c r="F35" s="285">
        <v>2017</v>
      </c>
      <c r="G35" s="285">
        <v>2018</v>
      </c>
      <c r="H35" s="285">
        <v>2019</v>
      </c>
      <c r="I35" s="285">
        <v>2020</v>
      </c>
      <c r="J35" s="285">
        <v>2021</v>
      </c>
      <c r="K35" s="285">
        <v>2022</v>
      </c>
      <c r="L35" s="285">
        <v>2023</v>
      </c>
      <c r="M35" s="429">
        <v>2024</v>
      </c>
      <c r="N35" s="1046"/>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Sentinel Lighting</v>
      </c>
      <c r="AC35" s="285" t="str">
        <f>'1.  LRAMVA Summary'!H52</f>
        <v>Street Lighting</v>
      </c>
      <c r="AD35" s="285" t="str">
        <f>'1.  LRAMVA Summary'!I52</f>
        <v>Unmetered Scattered Load</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145141.66197794076</v>
      </c>
      <c r="E38" s="295">
        <v>143820.63261091211</v>
      </c>
      <c r="F38" s="295">
        <v>143820.63261091211</v>
      </c>
      <c r="G38" s="295">
        <v>143820.63261091211</v>
      </c>
      <c r="H38" s="295">
        <v>143820.63261091211</v>
      </c>
      <c r="I38" s="295">
        <v>143820.63261091211</v>
      </c>
      <c r="J38" s="295">
        <v>143820.63261091211</v>
      </c>
      <c r="K38" s="295">
        <v>143789.31634083536</v>
      </c>
      <c r="L38" s="295">
        <v>143789.31634083536</v>
      </c>
      <c r="M38" s="295">
        <v>143789.31634083536</v>
      </c>
      <c r="N38" s="291"/>
      <c r="O38" s="295">
        <v>9.4336920394272088</v>
      </c>
      <c r="P38" s="295">
        <v>9.3507613838025421</v>
      </c>
      <c r="Q38" s="295">
        <v>9.3507613838025421</v>
      </c>
      <c r="R38" s="295">
        <v>9.3507613838025421</v>
      </c>
      <c r="S38" s="295">
        <v>9.3507613838025421</v>
      </c>
      <c r="T38" s="295">
        <v>9.3507613838025421</v>
      </c>
      <c r="U38" s="295">
        <v>9.3507613838025421</v>
      </c>
      <c r="V38" s="295">
        <v>9.3471864671271128</v>
      </c>
      <c r="W38" s="295">
        <v>9.3471864671271128</v>
      </c>
      <c r="X38" s="295">
        <v>9.3471864671271128</v>
      </c>
      <c r="Y38" s="410">
        <v>1</v>
      </c>
      <c r="Z38" s="410"/>
      <c r="AA38" s="410"/>
      <c r="AB38" s="410"/>
      <c r="AC38" s="410"/>
      <c r="AD38" s="410"/>
      <c r="AE38" s="410"/>
      <c r="AF38" s="410"/>
      <c r="AG38" s="410"/>
      <c r="AH38" s="410"/>
      <c r="AI38" s="410"/>
      <c r="AJ38" s="410"/>
      <c r="AK38" s="410"/>
      <c r="AL38" s="410"/>
      <c r="AM38" s="296">
        <v>1</v>
      </c>
    </row>
    <row r="39" spans="1:39" outlineLevel="1">
      <c r="B39" s="294" t="s">
        <v>267</v>
      </c>
      <c r="C39" s="291" t="s">
        <v>163</v>
      </c>
      <c r="D39" s="295">
        <v>24240.403957729424</v>
      </c>
      <c r="E39" s="295">
        <v>23891.64259217463</v>
      </c>
      <c r="F39" s="295">
        <v>23891.64259217463</v>
      </c>
      <c r="G39" s="295">
        <v>23891.64259217463</v>
      </c>
      <c r="H39" s="295">
        <v>23891.64259217463</v>
      </c>
      <c r="I39" s="295">
        <v>23891.64259217463</v>
      </c>
      <c r="J39" s="295">
        <v>23891.64259217463</v>
      </c>
      <c r="K39" s="295">
        <v>23881.923749737016</v>
      </c>
      <c r="L39" s="295">
        <v>23881.923749737016</v>
      </c>
      <c r="M39" s="295">
        <v>23881.923749737016</v>
      </c>
      <c r="N39" s="468"/>
      <c r="O39" s="295">
        <v>1.5548183654131269</v>
      </c>
      <c r="P39" s="295">
        <v>1.5329240688714314</v>
      </c>
      <c r="Q39" s="295">
        <v>1.5329240688714314</v>
      </c>
      <c r="R39" s="295">
        <v>1.5329240688714314</v>
      </c>
      <c r="S39" s="295">
        <v>1.5329240688714314</v>
      </c>
      <c r="T39" s="295">
        <v>1.5329240688714314</v>
      </c>
      <c r="U39" s="295">
        <v>1.5329240688714314</v>
      </c>
      <c r="V39" s="295">
        <v>1.5318146119721603</v>
      </c>
      <c r="W39" s="295">
        <v>1.5318146119721603</v>
      </c>
      <c r="X39" s="295">
        <v>1.5318146119721603</v>
      </c>
      <c r="Y39" s="411">
        <v>1</v>
      </c>
      <c r="Z39" s="411">
        <v>0</v>
      </c>
      <c r="AA39" s="411">
        <v>0</v>
      </c>
      <c r="AB39" s="411">
        <v>0</v>
      </c>
      <c r="AC39" s="411">
        <v>0</v>
      </c>
      <c r="AD39" s="411">
        <v>0</v>
      </c>
      <c r="AE39" s="411">
        <v>0</v>
      </c>
      <c r="AF39" s="411">
        <v>0</v>
      </c>
      <c r="AG39" s="411">
        <v>0</v>
      </c>
      <c r="AH39" s="411">
        <v>0</v>
      </c>
      <c r="AI39" s="411">
        <v>0</v>
      </c>
      <c r="AJ39" s="411">
        <v>0</v>
      </c>
      <c r="AK39" s="411">
        <v>0</v>
      </c>
      <c r="AL39" s="41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268139.10644202412</v>
      </c>
      <c r="E41" s="295">
        <v>263373.62140415551</v>
      </c>
      <c r="F41" s="295">
        <v>263373.62140415551</v>
      </c>
      <c r="G41" s="295">
        <v>263373.62140415551</v>
      </c>
      <c r="H41" s="295">
        <v>263373.62140415551</v>
      </c>
      <c r="I41" s="295">
        <v>263373.62140415551</v>
      </c>
      <c r="J41" s="295">
        <v>263373.62140415551</v>
      </c>
      <c r="K41" s="295">
        <v>263235.75782439229</v>
      </c>
      <c r="L41" s="295">
        <v>263235.75782439229</v>
      </c>
      <c r="M41" s="295">
        <v>263235.75782439229</v>
      </c>
      <c r="N41" s="291"/>
      <c r="O41" s="295">
        <v>18.095978877256879</v>
      </c>
      <c r="P41" s="295">
        <v>17.796814597927565</v>
      </c>
      <c r="Q41" s="295">
        <v>17.796814597927565</v>
      </c>
      <c r="R41" s="295">
        <v>17.796814597927565</v>
      </c>
      <c r="S41" s="295">
        <v>17.796814597927565</v>
      </c>
      <c r="T41" s="295">
        <v>17.796814597927565</v>
      </c>
      <c r="U41" s="295">
        <v>17.796814597927565</v>
      </c>
      <c r="V41" s="295">
        <v>17.781076746356423</v>
      </c>
      <c r="W41" s="295">
        <v>17.781076746356423</v>
      </c>
      <c r="X41" s="295">
        <v>17.781076746356423</v>
      </c>
      <c r="Y41" s="410">
        <v>1</v>
      </c>
      <c r="Z41" s="410"/>
      <c r="AA41" s="410"/>
      <c r="AB41" s="410"/>
      <c r="AC41" s="410"/>
      <c r="AD41" s="410"/>
      <c r="AE41" s="410"/>
      <c r="AF41" s="410"/>
      <c r="AG41" s="410"/>
      <c r="AH41" s="410"/>
      <c r="AI41" s="410"/>
      <c r="AJ41" s="410"/>
      <c r="AK41" s="410"/>
      <c r="AL41" s="410"/>
      <c r="AM41" s="296">
        <v>1</v>
      </c>
    </row>
    <row r="42" spans="1:39" outlineLevel="1">
      <c r="B42" s="294" t="s">
        <v>267</v>
      </c>
      <c r="C42" s="291" t="s">
        <v>163</v>
      </c>
      <c r="D42" s="295">
        <v>2773.5461502152789</v>
      </c>
      <c r="E42" s="295">
        <v>2740.9925670028724</v>
      </c>
      <c r="F42" s="295">
        <v>2740.9925670028724</v>
      </c>
      <c r="G42" s="295">
        <v>2740.9925670028724</v>
      </c>
      <c r="H42" s="295">
        <v>2740.9925670028724</v>
      </c>
      <c r="I42" s="295">
        <v>2740.9925670028724</v>
      </c>
      <c r="J42" s="295">
        <v>2740.9925670028724</v>
      </c>
      <c r="K42" s="295">
        <v>2734.1533818977987</v>
      </c>
      <c r="L42" s="295">
        <v>2734.1533818977987</v>
      </c>
      <c r="M42" s="295">
        <v>2734.1533818977987</v>
      </c>
      <c r="N42" s="468"/>
      <c r="O42" s="295">
        <v>0.17801844719688092</v>
      </c>
      <c r="P42" s="295">
        <v>0.17597482116848359</v>
      </c>
      <c r="Q42" s="295">
        <v>0.17597482116848359</v>
      </c>
      <c r="R42" s="295">
        <v>0.17597482116848359</v>
      </c>
      <c r="S42" s="295">
        <v>0.17597482116848359</v>
      </c>
      <c r="T42" s="295">
        <v>0.17597482116848359</v>
      </c>
      <c r="U42" s="295">
        <v>0.17597482116848359</v>
      </c>
      <c r="V42" s="295">
        <v>0.17519409227521035</v>
      </c>
      <c r="W42" s="295">
        <v>0.17519409227521035</v>
      </c>
      <c r="X42" s="295">
        <v>0.17519409227521035</v>
      </c>
      <c r="Y42" s="411">
        <v>1</v>
      </c>
      <c r="Z42" s="411">
        <v>0</v>
      </c>
      <c r="AA42" s="411">
        <v>0</v>
      </c>
      <c r="AB42" s="411">
        <v>0</v>
      </c>
      <c r="AC42" s="411">
        <v>0</v>
      </c>
      <c r="AD42" s="411">
        <v>0</v>
      </c>
      <c r="AE42" s="411">
        <v>0</v>
      </c>
      <c r="AF42" s="411">
        <v>0</v>
      </c>
      <c r="AG42" s="411">
        <v>0</v>
      </c>
      <c r="AH42" s="411">
        <v>0</v>
      </c>
      <c r="AI42" s="411">
        <v>0</v>
      </c>
      <c r="AJ42" s="411">
        <v>0</v>
      </c>
      <c r="AK42" s="411">
        <v>0</v>
      </c>
      <c r="AL42" s="411">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14466.955357365281</v>
      </c>
      <c r="E44" s="295">
        <v>14466.955357365281</v>
      </c>
      <c r="F44" s="295">
        <v>14466.955357365281</v>
      </c>
      <c r="G44" s="295">
        <v>14258.139264149942</v>
      </c>
      <c r="H44" s="295">
        <v>9360.4272584636674</v>
      </c>
      <c r="I44" s="295">
        <v>0</v>
      </c>
      <c r="J44" s="295">
        <v>0</v>
      </c>
      <c r="K44" s="295">
        <v>0</v>
      </c>
      <c r="L44" s="295">
        <v>0</v>
      </c>
      <c r="M44" s="295">
        <v>0</v>
      </c>
      <c r="N44" s="291"/>
      <c r="O44" s="295">
        <v>2.4189866265166629</v>
      </c>
      <c r="P44" s="295">
        <v>2.4189866265166629</v>
      </c>
      <c r="Q44" s="295">
        <v>2.4189866265166629</v>
      </c>
      <c r="R44" s="295">
        <v>2.1854780315682851</v>
      </c>
      <c r="S44" s="295">
        <v>1.3756472598342819</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v>0</v>
      </c>
      <c r="AD45" s="411">
        <v>0</v>
      </c>
      <c r="AE45" s="411">
        <v>0</v>
      </c>
      <c r="AF45" s="411">
        <v>0</v>
      </c>
      <c r="AG45" s="411">
        <v>0</v>
      </c>
      <c r="AH45" s="411">
        <v>0</v>
      </c>
      <c r="AI45" s="411">
        <v>0</v>
      </c>
      <c r="AJ45" s="411">
        <v>0</v>
      </c>
      <c r="AK45" s="411">
        <v>0</v>
      </c>
      <c r="AL45" s="411">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672</v>
      </c>
      <c r="C47" s="291" t="s">
        <v>25</v>
      </c>
      <c r="D47" s="295">
        <v>32577.099036435397</v>
      </c>
      <c r="E47" s="295">
        <v>32577.099036435397</v>
      </c>
      <c r="F47" s="295">
        <v>32577.099036435397</v>
      </c>
      <c r="G47" s="295">
        <v>32577.099036435397</v>
      </c>
      <c r="H47" s="295">
        <v>32577.099036435397</v>
      </c>
      <c r="I47" s="295">
        <v>32577.099036435397</v>
      </c>
      <c r="J47" s="295">
        <v>32577.099036435397</v>
      </c>
      <c r="K47" s="295">
        <v>32577.099036435397</v>
      </c>
      <c r="L47" s="295">
        <v>32577.099036435397</v>
      </c>
      <c r="M47" s="295">
        <v>32577.099036435397</v>
      </c>
      <c r="N47" s="291"/>
      <c r="O47" s="295">
        <v>16.417373917595231</v>
      </c>
      <c r="P47" s="295">
        <v>16.417373917595231</v>
      </c>
      <c r="Q47" s="295">
        <v>16.417373917595231</v>
      </c>
      <c r="R47" s="295">
        <v>16.417373917595231</v>
      </c>
      <c r="S47" s="295">
        <v>16.417373917595231</v>
      </c>
      <c r="T47" s="295">
        <v>16.417373917595231</v>
      </c>
      <c r="U47" s="295">
        <v>16.417373917595231</v>
      </c>
      <c r="V47" s="295">
        <v>16.417373917595231</v>
      </c>
      <c r="W47" s="295">
        <v>16.417373917595231</v>
      </c>
      <c r="X47" s="295">
        <v>16.417373917595231</v>
      </c>
      <c r="Y47" s="410">
        <v>1</v>
      </c>
      <c r="Z47" s="410"/>
      <c r="AA47" s="410"/>
      <c r="AB47" s="410"/>
      <c r="AC47" s="410"/>
      <c r="AD47" s="410"/>
      <c r="AE47" s="410"/>
      <c r="AF47" s="410"/>
      <c r="AG47" s="410"/>
      <c r="AH47" s="410"/>
      <c r="AI47" s="410"/>
      <c r="AJ47" s="410"/>
      <c r="AK47" s="410"/>
      <c r="AL47" s="410"/>
      <c r="AM47" s="296">
        <v>1</v>
      </c>
    </row>
    <row r="48" spans="1:39" outlineLevel="1">
      <c r="B48" s="294" t="s">
        <v>267</v>
      </c>
      <c r="C48" s="291" t="s">
        <v>163</v>
      </c>
      <c r="D48" s="295">
        <v>1976.4355773283157</v>
      </c>
      <c r="E48" s="295">
        <v>1976.4355773283157</v>
      </c>
      <c r="F48" s="295">
        <v>1976.4355773283157</v>
      </c>
      <c r="G48" s="295">
        <v>1976.4355773283157</v>
      </c>
      <c r="H48" s="295">
        <v>1976.4355773283157</v>
      </c>
      <c r="I48" s="295">
        <v>1976.4355773283157</v>
      </c>
      <c r="J48" s="295">
        <v>1976.4355773283157</v>
      </c>
      <c r="K48" s="295">
        <v>1976.4355773283157</v>
      </c>
      <c r="L48" s="295">
        <v>1976.4355773283157</v>
      </c>
      <c r="M48" s="295">
        <v>1976.4355773283157</v>
      </c>
      <c r="N48" s="468"/>
      <c r="O48" s="295">
        <v>1.0111030222480766</v>
      </c>
      <c r="P48" s="295">
        <v>1.0111030222480766</v>
      </c>
      <c r="Q48" s="295">
        <v>1.0111030222480766</v>
      </c>
      <c r="R48" s="295">
        <v>1.0111030222480766</v>
      </c>
      <c r="S48" s="295">
        <v>1.0111030222480766</v>
      </c>
      <c r="T48" s="295">
        <v>1.0111030222480766</v>
      </c>
      <c r="U48" s="295">
        <v>1.0111030222480766</v>
      </c>
      <c r="V48" s="295">
        <v>1.0111030222480766</v>
      </c>
      <c r="W48" s="295">
        <v>1.0111030222480766</v>
      </c>
      <c r="X48" s="295">
        <v>1.0111030222480766</v>
      </c>
      <c r="Y48" s="411">
        <v>1</v>
      </c>
      <c r="Z48" s="411">
        <v>0</v>
      </c>
      <c r="AA48" s="411">
        <v>0</v>
      </c>
      <c r="AB48" s="411">
        <v>0</v>
      </c>
      <c r="AC48" s="411">
        <v>0</v>
      </c>
      <c r="AD48" s="411">
        <v>0</v>
      </c>
      <c r="AE48" s="411">
        <v>0</v>
      </c>
      <c r="AF48" s="411">
        <v>0</v>
      </c>
      <c r="AG48" s="411">
        <v>0</v>
      </c>
      <c r="AH48" s="411">
        <v>0</v>
      </c>
      <c r="AI48" s="411">
        <v>0</v>
      </c>
      <c r="AJ48" s="411">
        <v>0</v>
      </c>
      <c r="AK48" s="411">
        <v>0</v>
      </c>
      <c r="AL48" s="411">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153.87631699999997</v>
      </c>
      <c r="E50" s="295">
        <v>153.87631699999997</v>
      </c>
      <c r="F50" s="295">
        <v>153.87631699999997</v>
      </c>
      <c r="G50" s="295">
        <v>153.87631699999997</v>
      </c>
      <c r="H50" s="295">
        <v>153.87631699999997</v>
      </c>
      <c r="I50" s="295">
        <v>153.87631699999997</v>
      </c>
      <c r="J50" s="295">
        <v>153.87631699999997</v>
      </c>
      <c r="K50" s="295">
        <v>153.87631699999997</v>
      </c>
      <c r="L50" s="295">
        <v>153.87631699999997</v>
      </c>
      <c r="M50" s="295">
        <v>153.87631699999997</v>
      </c>
      <c r="N50" s="291"/>
      <c r="O50" s="295">
        <v>8.7356219999999998E-2</v>
      </c>
      <c r="P50" s="295">
        <v>8.7356219999999998E-2</v>
      </c>
      <c r="Q50" s="295">
        <v>8.7356219999999998E-2</v>
      </c>
      <c r="R50" s="295">
        <v>8.7356219999999998E-2</v>
      </c>
      <c r="S50" s="295">
        <v>8.7356219999999998E-2</v>
      </c>
      <c r="T50" s="295">
        <v>8.7356219999999998E-2</v>
      </c>
      <c r="U50" s="295">
        <v>8.7356219999999998E-2</v>
      </c>
      <c r="V50" s="295">
        <v>8.7356219999999998E-2</v>
      </c>
      <c r="W50" s="295">
        <v>8.7356219999999998E-2</v>
      </c>
      <c r="X50" s="295">
        <v>8.7356219999999998E-2</v>
      </c>
      <c r="Y50" s="410">
        <v>1</v>
      </c>
      <c r="Z50" s="410"/>
      <c r="AA50" s="410"/>
      <c r="AB50" s="410"/>
      <c r="AC50" s="410"/>
      <c r="AD50" s="410"/>
      <c r="AE50" s="410"/>
      <c r="AF50" s="410"/>
      <c r="AG50" s="410"/>
      <c r="AH50" s="410"/>
      <c r="AI50" s="410"/>
      <c r="AJ50" s="410"/>
      <c r="AK50" s="410"/>
      <c r="AL50" s="410"/>
      <c r="AM50" s="296">
        <v>1</v>
      </c>
    </row>
    <row r="51" spans="1:39" outlineLevel="1">
      <c r="B51" s="294" t="s">
        <v>267</v>
      </c>
      <c r="C51" s="291" t="s">
        <v>163</v>
      </c>
      <c r="D51" s="295">
        <v>2442.65</v>
      </c>
      <c r="E51" s="295">
        <v>2442.65</v>
      </c>
      <c r="F51" s="295">
        <v>2442.65</v>
      </c>
      <c r="G51" s="295">
        <v>2442.65</v>
      </c>
      <c r="H51" s="295">
        <v>2442.65</v>
      </c>
      <c r="I51" s="295">
        <v>2442.65</v>
      </c>
      <c r="J51" s="295">
        <v>2442.65</v>
      </c>
      <c r="K51" s="295">
        <v>2442.65</v>
      </c>
      <c r="L51" s="295">
        <v>2442.65</v>
      </c>
      <c r="M51" s="295">
        <v>2442.65</v>
      </c>
      <c r="N51" s="468"/>
      <c r="O51" s="295">
        <v>0.11563999999999999</v>
      </c>
      <c r="P51" s="295">
        <v>0.11563999999999999</v>
      </c>
      <c r="Q51" s="295">
        <v>0.11563999999999999</v>
      </c>
      <c r="R51" s="295">
        <v>0.11563999999999999</v>
      </c>
      <c r="S51" s="295">
        <v>0.11563999999999999</v>
      </c>
      <c r="T51" s="295">
        <v>0.11563999999999999</v>
      </c>
      <c r="U51" s="295">
        <v>0.11563999999999999</v>
      </c>
      <c r="V51" s="295">
        <v>0.11563999999999999</v>
      </c>
      <c r="W51" s="295">
        <v>0.11563999999999999</v>
      </c>
      <c r="X51" s="295">
        <v>0.11563999999999999</v>
      </c>
      <c r="Y51" s="411">
        <v>1</v>
      </c>
      <c r="Z51" s="411">
        <v>0</v>
      </c>
      <c r="AA51" s="411">
        <v>0</v>
      </c>
      <c r="AB51" s="411">
        <v>0</v>
      </c>
      <c r="AC51" s="411">
        <v>0</v>
      </c>
      <c r="AD51" s="411">
        <v>0</v>
      </c>
      <c r="AE51" s="411">
        <v>0</v>
      </c>
      <c r="AF51" s="411">
        <v>0</v>
      </c>
      <c r="AG51" s="411">
        <v>0</v>
      </c>
      <c r="AH51" s="411">
        <v>0</v>
      </c>
      <c r="AI51" s="411">
        <v>0</v>
      </c>
      <c r="AJ51" s="411">
        <v>0</v>
      </c>
      <c r="AK51" s="411">
        <v>0</v>
      </c>
      <c r="AL51" s="411">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367255.38245388109</v>
      </c>
      <c r="E54" s="295">
        <v>367255.38245388109</v>
      </c>
      <c r="F54" s="295">
        <v>367255.38245388109</v>
      </c>
      <c r="G54" s="295">
        <v>367255.38245388109</v>
      </c>
      <c r="H54" s="295">
        <v>0</v>
      </c>
      <c r="I54" s="295">
        <v>0</v>
      </c>
      <c r="J54" s="295">
        <v>0</v>
      </c>
      <c r="K54" s="295">
        <v>0</v>
      </c>
      <c r="L54" s="295">
        <v>0</v>
      </c>
      <c r="M54" s="295">
        <v>0</v>
      </c>
      <c r="N54" s="295">
        <v>12</v>
      </c>
      <c r="O54" s="295">
        <v>78.281616016322161</v>
      </c>
      <c r="P54" s="295">
        <v>78.281616016322161</v>
      </c>
      <c r="Q54" s="295">
        <v>78.281616016322161</v>
      </c>
      <c r="R54" s="295">
        <v>78.281616016322161</v>
      </c>
      <c r="S54" s="295">
        <v>0</v>
      </c>
      <c r="T54" s="295">
        <v>0</v>
      </c>
      <c r="U54" s="295">
        <v>0</v>
      </c>
      <c r="V54" s="295">
        <v>0</v>
      </c>
      <c r="W54" s="295">
        <v>0</v>
      </c>
      <c r="X54" s="295">
        <v>0</v>
      </c>
      <c r="Y54" s="415"/>
      <c r="Z54" s="410">
        <v>0.33</v>
      </c>
      <c r="AA54" s="410">
        <v>0.67</v>
      </c>
      <c r="AB54" s="410"/>
      <c r="AC54" s="410"/>
      <c r="AD54" s="410"/>
      <c r="AE54" s="410"/>
      <c r="AF54" s="415"/>
      <c r="AG54" s="415"/>
      <c r="AH54" s="415"/>
      <c r="AI54" s="415"/>
      <c r="AJ54" s="415"/>
      <c r="AK54" s="415"/>
      <c r="AL54" s="415"/>
      <c r="AM54" s="296">
        <v>1</v>
      </c>
    </row>
    <row r="55" spans="1:39" outlineLevel="1">
      <c r="B55" s="294" t="s">
        <v>267</v>
      </c>
      <c r="C55" s="291" t="s">
        <v>163</v>
      </c>
      <c r="D55" s="295">
        <v>24713.027688641909</v>
      </c>
      <c r="E55" s="295">
        <v>24713.027688641909</v>
      </c>
      <c r="F55" s="295">
        <v>24713.027688641909</v>
      </c>
      <c r="G55" s="295">
        <v>24713.027688641909</v>
      </c>
      <c r="H55" s="295">
        <v>391969.0694710603</v>
      </c>
      <c r="I55" s="295">
        <v>391969.0694710603</v>
      </c>
      <c r="J55" s="295">
        <v>391969.0694710603</v>
      </c>
      <c r="K55" s="295">
        <v>391969.0694710603</v>
      </c>
      <c r="L55" s="295">
        <v>391969.0694710603</v>
      </c>
      <c r="M55" s="295">
        <v>391969.0694710603</v>
      </c>
      <c r="N55" s="295">
        <v>12</v>
      </c>
      <c r="O55" s="295">
        <v>5.2227161232970456</v>
      </c>
      <c r="P55" s="295">
        <v>5.2227161232970456</v>
      </c>
      <c r="Q55" s="295">
        <v>5.2227161232970456</v>
      </c>
      <c r="R55" s="295">
        <v>5.2227161232970456</v>
      </c>
      <c r="S55" s="295">
        <v>83.56345797275273</v>
      </c>
      <c r="T55" s="295">
        <v>83.56345797275273</v>
      </c>
      <c r="U55" s="295">
        <v>83.56345797275273</v>
      </c>
      <c r="V55" s="295">
        <v>83.56345797275273</v>
      </c>
      <c r="W55" s="295">
        <v>83.56345797275273</v>
      </c>
      <c r="X55" s="295">
        <v>83.56345797275273</v>
      </c>
      <c r="Y55" s="411">
        <v>0</v>
      </c>
      <c r="Z55" s="411">
        <v>0.33</v>
      </c>
      <c r="AA55" s="411">
        <v>0.67</v>
      </c>
      <c r="AB55" s="411">
        <v>0</v>
      </c>
      <c r="AC55" s="411">
        <v>0</v>
      </c>
      <c r="AD55" s="411">
        <v>0</v>
      </c>
      <c r="AE55" s="411">
        <v>0</v>
      </c>
      <c r="AF55" s="411">
        <v>0</v>
      </c>
      <c r="AG55" s="411">
        <v>0</v>
      </c>
      <c r="AH55" s="411">
        <v>0</v>
      </c>
      <c r="AI55" s="411">
        <v>0</v>
      </c>
      <c r="AJ55" s="411">
        <v>0</v>
      </c>
      <c r="AK55" s="411">
        <v>0</v>
      </c>
      <c r="AL55" s="411">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2642643.6573933167</v>
      </c>
      <c r="E57" s="295">
        <v>2642643.6573933167</v>
      </c>
      <c r="F57" s="295">
        <v>2633086.5052218302</v>
      </c>
      <c r="G57" s="295">
        <v>2633086.5052218302</v>
      </c>
      <c r="H57" s="295">
        <v>2633086.5052218302</v>
      </c>
      <c r="I57" s="295">
        <v>2633086.5052218302</v>
      </c>
      <c r="J57" s="295">
        <v>2513914.0874414169</v>
      </c>
      <c r="K57" s="295">
        <v>2513914.0874414169</v>
      </c>
      <c r="L57" s="295">
        <v>2504760.178066602</v>
      </c>
      <c r="M57" s="295">
        <v>2114456.3778052181</v>
      </c>
      <c r="N57" s="295">
        <v>12</v>
      </c>
      <c r="O57" s="295">
        <v>238.12473638690179</v>
      </c>
      <c r="P57" s="295">
        <v>238.12473638690179</v>
      </c>
      <c r="Q57" s="295">
        <v>235.10034279794382</v>
      </c>
      <c r="R57" s="295">
        <v>235.10034279794382</v>
      </c>
      <c r="S57" s="295">
        <v>235.10034279794382</v>
      </c>
      <c r="T57" s="295">
        <v>235.10034279794382</v>
      </c>
      <c r="U57" s="295">
        <v>216.96074575601463</v>
      </c>
      <c r="V57" s="295">
        <v>216.96074575601463</v>
      </c>
      <c r="W57" s="295">
        <v>215.61017764377539</v>
      </c>
      <c r="X57" s="295">
        <v>156.48407154083142</v>
      </c>
      <c r="Y57" s="533"/>
      <c r="Z57" s="533">
        <v>0.49</v>
      </c>
      <c r="AA57" s="533">
        <v>0.47</v>
      </c>
      <c r="AB57" s="410"/>
      <c r="AC57" s="533">
        <v>0.02</v>
      </c>
      <c r="AD57" s="410">
        <v>0.02</v>
      </c>
      <c r="AE57" s="410"/>
      <c r="AF57" s="415"/>
      <c r="AG57" s="415"/>
      <c r="AH57" s="415"/>
      <c r="AI57" s="415"/>
      <c r="AJ57" s="415"/>
      <c r="AK57" s="415"/>
      <c r="AL57" s="415"/>
      <c r="AM57" s="296">
        <v>1</v>
      </c>
    </row>
    <row r="58" spans="1:39" outlineLevel="1">
      <c r="B58" s="294" t="s">
        <v>267</v>
      </c>
      <c r="C58" s="291" t="s">
        <v>163</v>
      </c>
      <c r="D58" s="295">
        <v>537097.60188615392</v>
      </c>
      <c r="E58" s="295">
        <v>537097.60188615392</v>
      </c>
      <c r="F58" s="295">
        <v>544552.18057991366</v>
      </c>
      <c r="G58" s="295">
        <v>544552.18057991366</v>
      </c>
      <c r="H58" s="295">
        <v>544552.18057991366</v>
      </c>
      <c r="I58" s="295">
        <v>544552.18057991366</v>
      </c>
      <c r="J58" s="295">
        <v>648471.28074908326</v>
      </c>
      <c r="K58" s="295">
        <v>648471.28074908326</v>
      </c>
      <c r="L58" s="295">
        <v>652282.42594303074</v>
      </c>
      <c r="M58" s="295">
        <v>500671.43959377892</v>
      </c>
      <c r="N58" s="295">
        <v>12</v>
      </c>
      <c r="O58" s="295">
        <v>56.360331494662589</v>
      </c>
      <c r="P58" s="295">
        <v>56.360331494662589</v>
      </c>
      <c r="Q58" s="295">
        <v>58.7193584940498</v>
      </c>
      <c r="R58" s="295">
        <v>58.7193584940498</v>
      </c>
      <c r="S58" s="295">
        <v>58.7193584940498</v>
      </c>
      <c r="T58" s="295">
        <v>58.7193584940498</v>
      </c>
      <c r="U58" s="295">
        <v>73.853385719232818</v>
      </c>
      <c r="V58" s="295">
        <v>73.853385719232818</v>
      </c>
      <c r="W58" s="295">
        <v>73.853385719232818</v>
      </c>
      <c r="X58" s="295">
        <v>47.99972528966692</v>
      </c>
      <c r="Y58" s="411">
        <v>0</v>
      </c>
      <c r="Z58" s="411">
        <v>0.49</v>
      </c>
      <c r="AA58" s="411">
        <v>0.47</v>
      </c>
      <c r="AB58" s="411">
        <v>0</v>
      </c>
      <c r="AC58" s="411">
        <v>0.02</v>
      </c>
      <c r="AD58" s="411">
        <v>0.02</v>
      </c>
      <c r="AE58" s="411">
        <v>0</v>
      </c>
      <c r="AF58" s="411">
        <v>0</v>
      </c>
      <c r="AG58" s="411">
        <v>0</v>
      </c>
      <c r="AH58" s="411">
        <v>0</v>
      </c>
      <c r="AI58" s="411">
        <v>0</v>
      </c>
      <c r="AJ58" s="411">
        <v>0</v>
      </c>
      <c r="AK58" s="411">
        <v>0</v>
      </c>
      <c r="AL58" s="411">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144108.18518393696</v>
      </c>
      <c r="E60" s="295">
        <v>117529.86441352483</v>
      </c>
      <c r="F60" s="295">
        <v>112462.98048377711</v>
      </c>
      <c r="G60" s="295">
        <v>109766.6731055428</v>
      </c>
      <c r="H60" s="295">
        <v>109766.6731055428</v>
      </c>
      <c r="I60" s="295">
        <v>109766.6731055428</v>
      </c>
      <c r="J60" s="295">
        <v>109766.6731055428</v>
      </c>
      <c r="K60" s="295">
        <v>109766.6731055428</v>
      </c>
      <c r="L60" s="295">
        <v>109766.6731055428</v>
      </c>
      <c r="M60" s="295">
        <v>109766.6731055428</v>
      </c>
      <c r="N60" s="295">
        <v>12</v>
      </c>
      <c r="O60" s="295">
        <v>32.157849935263677</v>
      </c>
      <c r="P60" s="295">
        <v>26.159948596767936</v>
      </c>
      <c r="Q60" s="295">
        <v>24.763458653920615</v>
      </c>
      <c r="R60" s="295">
        <v>24.122055850498597</v>
      </c>
      <c r="S60" s="295">
        <v>24.122055850498597</v>
      </c>
      <c r="T60" s="295">
        <v>24.122055850498597</v>
      </c>
      <c r="U60" s="295">
        <v>24.122055850498597</v>
      </c>
      <c r="V60" s="295">
        <v>24.122055850498597</v>
      </c>
      <c r="W60" s="295">
        <v>24.122055850498597</v>
      </c>
      <c r="X60" s="295">
        <v>24.122055850498597</v>
      </c>
      <c r="Y60" s="415"/>
      <c r="Z60" s="533">
        <v>1</v>
      </c>
      <c r="AA60" s="410"/>
      <c r="AB60" s="410"/>
      <c r="AC60" s="410"/>
      <c r="AD60" s="410"/>
      <c r="AE60" s="410"/>
      <c r="AF60" s="415"/>
      <c r="AG60" s="415"/>
      <c r="AH60" s="415"/>
      <c r="AI60" s="415"/>
      <c r="AJ60" s="415"/>
      <c r="AK60" s="415"/>
      <c r="AL60" s="415"/>
      <c r="AM60" s="296">
        <v>1</v>
      </c>
    </row>
    <row r="61" spans="1:39" outlineLevel="1">
      <c r="B61" s="294" t="s">
        <v>267</v>
      </c>
      <c r="C61" s="291" t="s">
        <v>163</v>
      </c>
      <c r="D61" s="295">
        <v>-30983.209249427404</v>
      </c>
      <c r="E61" s="295">
        <v>-7859.1494342711476</v>
      </c>
      <c r="F61" s="295">
        <v>-3785.3083962228011</v>
      </c>
      <c r="G61" s="295">
        <v>1854.0135689445883</v>
      </c>
      <c r="H61" s="295">
        <v>1854.0135689445883</v>
      </c>
      <c r="I61" s="295">
        <v>1854.0135689445883</v>
      </c>
      <c r="J61" s="295">
        <v>1854.0135689445883</v>
      </c>
      <c r="K61" s="295">
        <v>1854.0135689445883</v>
      </c>
      <c r="L61" s="295">
        <v>1854.0135689445883</v>
      </c>
      <c r="M61" s="295">
        <v>1854.0135689445883</v>
      </c>
      <c r="N61" s="295">
        <v>12</v>
      </c>
      <c r="O61" s="295">
        <v>-7.2005603725830971</v>
      </c>
      <c r="P61" s="295">
        <v>-1.9009983495761702</v>
      </c>
      <c r="Q61" s="295">
        <v>-0.80483668219703941</v>
      </c>
      <c r="R61" s="295">
        <v>0.48323886089289009</v>
      </c>
      <c r="S61" s="295">
        <v>0.48323886089289009</v>
      </c>
      <c r="T61" s="295">
        <v>0.48323886089289009</v>
      </c>
      <c r="U61" s="295">
        <v>0.48323886089289009</v>
      </c>
      <c r="V61" s="295">
        <v>0.48323886089289009</v>
      </c>
      <c r="W61" s="295">
        <v>0.48323886089289009</v>
      </c>
      <c r="X61" s="295">
        <v>0.48323886089289009</v>
      </c>
      <c r="Y61" s="411">
        <v>0</v>
      </c>
      <c r="Z61" s="411">
        <v>1</v>
      </c>
      <c r="AA61" s="411">
        <v>0</v>
      </c>
      <c r="AB61" s="411">
        <v>0</v>
      </c>
      <c r="AC61" s="411">
        <v>0</v>
      </c>
      <c r="AD61" s="411">
        <v>0</v>
      </c>
      <c r="AE61" s="411">
        <v>0</v>
      </c>
      <c r="AF61" s="411">
        <v>0</v>
      </c>
      <c r="AG61" s="411">
        <v>0</v>
      </c>
      <c r="AH61" s="411">
        <v>0</v>
      </c>
      <c r="AI61" s="411">
        <v>0</v>
      </c>
      <c r="AJ61" s="411">
        <v>0</v>
      </c>
      <c r="AK61" s="411">
        <v>0</v>
      </c>
      <c r="AL61" s="411">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v>0</v>
      </c>
    </row>
    <row r="64" spans="1:39"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v>0</v>
      </c>
      <c r="AD64" s="411">
        <v>0</v>
      </c>
      <c r="AE64" s="411">
        <v>0</v>
      </c>
      <c r="AF64" s="411">
        <v>0</v>
      </c>
      <c r="AG64" s="411">
        <v>0</v>
      </c>
      <c r="AH64" s="411">
        <v>0</v>
      </c>
      <c r="AI64" s="411">
        <v>0</v>
      </c>
      <c r="AJ64" s="411">
        <v>0</v>
      </c>
      <c r="AK64" s="411">
        <v>0</v>
      </c>
      <c r="AL64" s="411">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v>0</v>
      </c>
    </row>
    <row r="67" spans="1:39"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v>0</v>
      </c>
      <c r="AD67" s="411">
        <v>0</v>
      </c>
      <c r="AE67" s="411">
        <v>0</v>
      </c>
      <c r="AF67" s="411">
        <v>0</v>
      </c>
      <c r="AG67" s="411">
        <v>0</v>
      </c>
      <c r="AH67" s="411">
        <v>0</v>
      </c>
      <c r="AI67" s="411">
        <v>0</v>
      </c>
      <c r="AJ67" s="411">
        <v>0</v>
      </c>
      <c r="AK67" s="411">
        <v>0</v>
      </c>
      <c r="AL67" s="411">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v>0</v>
      </c>
    </row>
    <row r="71" spans="1:39"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v>0</v>
      </c>
      <c r="AD71" s="411">
        <v>0</v>
      </c>
      <c r="AE71" s="411">
        <v>0</v>
      </c>
      <c r="AF71" s="411">
        <v>0</v>
      </c>
      <c r="AG71" s="411">
        <v>0</v>
      </c>
      <c r="AH71" s="411">
        <v>0</v>
      </c>
      <c r="AI71" s="411">
        <v>0</v>
      </c>
      <c r="AJ71" s="411">
        <v>0</v>
      </c>
      <c r="AK71" s="411">
        <v>0</v>
      </c>
      <c r="AL71" s="411">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v>0</v>
      </c>
    </row>
    <row r="74" spans="1:39"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v>0</v>
      </c>
      <c r="AF74" s="411">
        <v>0</v>
      </c>
      <c r="AG74" s="411">
        <v>0</v>
      </c>
      <c r="AH74" s="411">
        <v>0</v>
      </c>
      <c r="AI74" s="411">
        <v>0</v>
      </c>
      <c r="AJ74" s="411">
        <v>0</v>
      </c>
      <c r="AK74" s="411">
        <v>0</v>
      </c>
      <c r="AL74" s="411">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0</v>
      </c>
      <c r="E76" s="295">
        <v>0</v>
      </c>
      <c r="F76" s="295">
        <v>0</v>
      </c>
      <c r="G76" s="295">
        <v>0</v>
      </c>
      <c r="H76" s="295">
        <v>0</v>
      </c>
      <c r="I76" s="295">
        <v>0</v>
      </c>
      <c r="J76" s="295">
        <v>0</v>
      </c>
      <c r="K76" s="295">
        <v>0</v>
      </c>
      <c r="L76" s="295">
        <v>0</v>
      </c>
      <c r="M76" s="295">
        <v>0</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v>1</v>
      </c>
    </row>
    <row r="77" spans="1:39"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1</v>
      </c>
      <c r="AB77" s="411">
        <v>0</v>
      </c>
      <c r="AC77" s="411">
        <v>0</v>
      </c>
      <c r="AD77" s="411">
        <v>0</v>
      </c>
      <c r="AE77" s="411">
        <v>0</v>
      </c>
      <c r="AF77" s="411">
        <v>0</v>
      </c>
      <c r="AG77" s="411">
        <v>0</v>
      </c>
      <c r="AH77" s="411">
        <v>0</v>
      </c>
      <c r="AI77" s="411">
        <v>0</v>
      </c>
      <c r="AJ77" s="411">
        <v>0</v>
      </c>
      <c r="AK77" s="411">
        <v>0</v>
      </c>
      <c r="AL77" s="411">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84933.993465423584</v>
      </c>
      <c r="E80" s="295">
        <v>61552.004341125488</v>
      </c>
      <c r="F80" s="295">
        <v>58109.382982254028</v>
      </c>
      <c r="G80" s="295">
        <v>54666.759592056274</v>
      </c>
      <c r="H80" s="295">
        <v>54666.759592056274</v>
      </c>
      <c r="I80" s="295">
        <v>54666.759592056274</v>
      </c>
      <c r="J80" s="295">
        <v>48365.684412002563</v>
      </c>
      <c r="K80" s="295">
        <v>48365.684412002563</v>
      </c>
      <c r="L80" s="295">
        <v>14012.887134552002</v>
      </c>
      <c r="M80" s="295">
        <v>13904.825595855713</v>
      </c>
      <c r="N80" s="295">
        <v>12</v>
      </c>
      <c r="O80" s="295">
        <v>6.1002579281339422</v>
      </c>
      <c r="P80" s="295">
        <v>4.8856501178815961</v>
      </c>
      <c r="Q80" s="295">
        <v>4.7068186567630619</v>
      </c>
      <c r="R80" s="295">
        <v>4.5279871401144192</v>
      </c>
      <c r="S80" s="295">
        <v>4.5279871401144192</v>
      </c>
      <c r="T80" s="295">
        <v>4.5279871401144192</v>
      </c>
      <c r="U80" s="295">
        <v>4.200669605168514</v>
      </c>
      <c r="V80" s="295">
        <v>4.200669605168514</v>
      </c>
      <c r="W80" s="295">
        <v>2.4161688550375402</v>
      </c>
      <c r="X80" s="295">
        <v>2.3004636629484594</v>
      </c>
      <c r="Y80" s="533">
        <v>1</v>
      </c>
      <c r="Z80" s="410"/>
      <c r="AA80" s="410"/>
      <c r="AB80" s="410"/>
      <c r="AC80" s="410"/>
      <c r="AD80" s="410"/>
      <c r="AE80" s="410"/>
      <c r="AF80" s="410"/>
      <c r="AG80" s="410"/>
      <c r="AH80" s="410"/>
      <c r="AI80" s="410"/>
      <c r="AJ80" s="410"/>
      <c r="AK80" s="410"/>
      <c r="AL80" s="410"/>
      <c r="AM80" s="296">
        <v>1</v>
      </c>
    </row>
    <row r="81" spans="1:40"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v>0</v>
      </c>
      <c r="AD81" s="411">
        <v>0</v>
      </c>
      <c r="AE81" s="411">
        <v>0</v>
      </c>
      <c r="AF81" s="411">
        <v>0</v>
      </c>
      <c r="AG81" s="411">
        <v>0</v>
      </c>
      <c r="AH81" s="411">
        <v>0</v>
      </c>
      <c r="AI81" s="411">
        <v>0</v>
      </c>
      <c r="AJ81" s="411">
        <v>0</v>
      </c>
      <c r="AK81" s="411">
        <v>0</v>
      </c>
      <c r="AL81" s="411">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v>0</v>
      </c>
    </row>
    <row r="85" spans="1:40"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v>0</v>
      </c>
      <c r="AH85" s="411">
        <v>0</v>
      </c>
      <c r="AI85" s="411">
        <v>0</v>
      </c>
      <c r="AJ85" s="411">
        <v>0</v>
      </c>
      <c r="AK85" s="411">
        <v>0</v>
      </c>
      <c r="AL85" s="411">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v>0</v>
      </c>
    </row>
    <row r="88" spans="1:40" s="283" customFormat="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v>0</v>
      </c>
      <c r="AH88" s="411">
        <v>0</v>
      </c>
      <c r="AI88" s="411">
        <v>0</v>
      </c>
      <c r="AJ88" s="411">
        <v>0</v>
      </c>
      <c r="AK88" s="411">
        <v>0</v>
      </c>
      <c r="AL88" s="411">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v>0</v>
      </c>
    </row>
    <row r="92" spans="1:40" outlineLevel="1">
      <c r="B92" s="294" t="s">
        <v>267</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v>0</v>
      </c>
      <c r="AH92" s="411">
        <v>0</v>
      </c>
      <c r="AI92" s="411">
        <v>0</v>
      </c>
      <c r="AJ92" s="411">
        <v>0</v>
      </c>
      <c r="AK92" s="411">
        <v>0</v>
      </c>
      <c r="AL92" s="411">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v>0</v>
      </c>
    </row>
    <row r="95" spans="1:40"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v>0</v>
      </c>
      <c r="AD95" s="411">
        <v>0</v>
      </c>
      <c r="AE95" s="411">
        <v>0</v>
      </c>
      <c r="AF95" s="411">
        <v>0</v>
      </c>
      <c r="AG95" s="411">
        <v>0</v>
      </c>
      <c r="AH95" s="411">
        <v>0</v>
      </c>
      <c r="AI95" s="411">
        <v>0</v>
      </c>
      <c r="AJ95" s="411">
        <v>0</v>
      </c>
      <c r="AK95" s="411">
        <v>0</v>
      </c>
      <c r="AL95" s="411">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v>0</v>
      </c>
    </row>
    <row r="98" spans="1:39"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v>0</v>
      </c>
      <c r="AD98" s="411">
        <v>0</v>
      </c>
      <c r="AE98" s="411">
        <v>0</v>
      </c>
      <c r="AF98" s="411">
        <v>0</v>
      </c>
      <c r="AG98" s="411">
        <v>0</v>
      </c>
      <c r="AH98" s="411">
        <v>0</v>
      </c>
      <c r="AI98" s="411">
        <v>0</v>
      </c>
      <c r="AJ98" s="411">
        <v>0</v>
      </c>
      <c r="AK98" s="411">
        <v>0</v>
      </c>
      <c r="AL98" s="411">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v>0</v>
      </c>
    </row>
    <row r="101" spans="1:39" outlineLevel="1">
      <c r="B101" s="294" t="s">
        <v>267</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v>0</v>
      </c>
      <c r="AD101" s="411">
        <v>0</v>
      </c>
      <c r="AE101" s="411">
        <v>0</v>
      </c>
      <c r="AF101" s="411">
        <v>0</v>
      </c>
      <c r="AG101" s="411">
        <v>0</v>
      </c>
      <c r="AH101" s="411">
        <v>0</v>
      </c>
      <c r="AI101" s="411">
        <v>0</v>
      </c>
      <c r="AJ101" s="411">
        <v>0</v>
      </c>
      <c r="AK101" s="411">
        <v>0</v>
      </c>
      <c r="AL101" s="411">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v>0</v>
      </c>
      <c r="AF106" s="411">
        <v>0</v>
      </c>
      <c r="AG106" s="411">
        <v>0</v>
      </c>
      <c r="AH106" s="411">
        <v>0</v>
      </c>
      <c r="AI106" s="411">
        <v>0</v>
      </c>
      <c r="AJ106" s="411">
        <v>0</v>
      </c>
      <c r="AK106" s="411">
        <v>0</v>
      </c>
      <c r="AL106" s="411">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v>0</v>
      </c>
      <c r="AH109" s="411">
        <v>0</v>
      </c>
      <c r="AI109" s="411">
        <v>0</v>
      </c>
      <c r="AJ109" s="411">
        <v>0</v>
      </c>
      <c r="AK109" s="411">
        <v>0</v>
      </c>
      <c r="AL109" s="411">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v>0</v>
      </c>
      <c r="AH112" s="411">
        <v>0</v>
      </c>
      <c r="AI112" s="411">
        <v>0</v>
      </c>
      <c r="AJ112" s="411">
        <v>0</v>
      </c>
      <c r="AK112" s="411">
        <v>0</v>
      </c>
      <c r="AL112" s="411">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v>0</v>
      </c>
      <c r="AH115" s="411">
        <v>0</v>
      </c>
      <c r="AI115" s="411">
        <v>0</v>
      </c>
      <c r="AJ115" s="411">
        <v>0</v>
      </c>
      <c r="AK115" s="411">
        <v>0</v>
      </c>
      <c r="AL115" s="411">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v>0</v>
      </c>
    </row>
    <row r="119" spans="1:39"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v>0</v>
      </c>
      <c r="AH119" s="411">
        <v>0</v>
      </c>
      <c r="AI119" s="411">
        <v>0</v>
      </c>
      <c r="AJ119" s="411">
        <v>0</v>
      </c>
      <c r="AK119" s="411">
        <v>0</v>
      </c>
      <c r="AL119" s="411">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v>0</v>
      </c>
    </row>
    <row r="122" spans="1:39"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v>0</v>
      </c>
      <c r="AH122" s="411">
        <v>0</v>
      </c>
      <c r="AI122" s="411">
        <v>0</v>
      </c>
      <c r="AJ122" s="411">
        <v>0</v>
      </c>
      <c r="AK122" s="411">
        <v>0</v>
      </c>
      <c r="AL122" s="411">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v>0</v>
      </c>
    </row>
    <row r="125" spans="1:39"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v>0</v>
      </c>
      <c r="AH125" s="411">
        <v>0</v>
      </c>
      <c r="AI125" s="411">
        <v>0</v>
      </c>
      <c r="AJ125" s="411">
        <v>0</v>
      </c>
      <c r="AK125" s="411">
        <v>0</v>
      </c>
      <c r="AL125" s="411">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v>0</v>
      </c>
    </row>
    <row r="128" spans="1:39"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v>0</v>
      </c>
      <c r="AF128" s="411">
        <v>0</v>
      </c>
      <c r="AG128" s="411">
        <v>0</v>
      </c>
      <c r="AH128" s="411">
        <v>0</v>
      </c>
      <c r="AI128" s="411">
        <v>0</v>
      </c>
      <c r="AJ128" s="411">
        <v>0</v>
      </c>
      <c r="AK128" s="411">
        <v>0</v>
      </c>
      <c r="AL128" s="411">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v>0</v>
      </c>
    </row>
    <row r="131" spans="1:39"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v>0</v>
      </c>
      <c r="AF131" s="411">
        <v>0</v>
      </c>
      <c r="AG131" s="411">
        <v>0</v>
      </c>
      <c r="AH131" s="411">
        <v>0</v>
      </c>
      <c r="AI131" s="411">
        <v>0</v>
      </c>
      <c r="AJ131" s="411">
        <v>0</v>
      </c>
      <c r="AK131" s="411">
        <v>0</v>
      </c>
      <c r="AL131" s="411">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v>0</v>
      </c>
    </row>
    <row r="134" spans="1:39"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v>0</v>
      </c>
      <c r="AF134" s="411">
        <v>0</v>
      </c>
      <c r="AG134" s="411">
        <v>0</v>
      </c>
      <c r="AH134" s="411">
        <v>0</v>
      </c>
      <c r="AI134" s="411">
        <v>0</v>
      </c>
      <c r="AJ134" s="411">
        <v>0</v>
      </c>
      <c r="AK134" s="411">
        <v>0</v>
      </c>
      <c r="AL134" s="411">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v>0</v>
      </c>
    </row>
    <row r="137" spans="1:39"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v>0</v>
      </c>
      <c r="AF137" s="411">
        <v>0</v>
      </c>
      <c r="AG137" s="411">
        <v>0</v>
      </c>
      <c r="AH137" s="411">
        <v>0</v>
      </c>
      <c r="AI137" s="411">
        <v>0</v>
      </c>
      <c r="AJ137" s="411">
        <v>0</v>
      </c>
      <c r="AK137" s="411">
        <v>0</v>
      </c>
      <c r="AL137" s="411">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v>0</v>
      </c>
    </row>
    <row r="140" spans="1:39"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v>0</v>
      </c>
      <c r="AF140" s="411">
        <v>0</v>
      </c>
      <c r="AG140" s="411">
        <v>0</v>
      </c>
      <c r="AH140" s="411">
        <v>0</v>
      </c>
      <c r="AI140" s="411">
        <v>0</v>
      </c>
      <c r="AJ140" s="411">
        <v>0</v>
      </c>
      <c r="AK140" s="411">
        <v>0</v>
      </c>
      <c r="AL140" s="411">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v>0</v>
      </c>
    </row>
    <row r="144" spans="1:39"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v>0</v>
      </c>
      <c r="AF144" s="411">
        <v>0</v>
      </c>
      <c r="AG144" s="411">
        <v>0</v>
      </c>
      <c r="AH144" s="411">
        <v>0</v>
      </c>
      <c r="AI144" s="411">
        <v>0</v>
      </c>
      <c r="AJ144" s="411">
        <v>0</v>
      </c>
      <c r="AK144" s="411">
        <v>0</v>
      </c>
      <c r="AL144" s="411">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v>0</v>
      </c>
    </row>
    <row r="147" spans="1:39"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v>0</v>
      </c>
      <c r="AF147" s="411">
        <v>0</v>
      </c>
      <c r="AG147" s="411">
        <v>0</v>
      </c>
      <c r="AH147" s="411">
        <v>0</v>
      </c>
      <c r="AI147" s="411">
        <v>0</v>
      </c>
      <c r="AJ147" s="411">
        <v>0</v>
      </c>
      <c r="AK147" s="411">
        <v>0</v>
      </c>
      <c r="AL147" s="411">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v>0</v>
      </c>
    </row>
    <row r="150" spans="1:39"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v>0</v>
      </c>
      <c r="AF150" s="411">
        <v>0</v>
      </c>
      <c r="AG150" s="411">
        <v>0</v>
      </c>
      <c r="AH150" s="411">
        <v>0</v>
      </c>
      <c r="AI150" s="411">
        <v>0</v>
      </c>
      <c r="AJ150" s="411">
        <v>0</v>
      </c>
      <c r="AK150" s="411">
        <v>0</v>
      </c>
      <c r="AL150" s="411">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v>0</v>
      </c>
    </row>
    <row r="154" spans="1:39"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v>0</v>
      </c>
      <c r="AD154" s="411">
        <v>0</v>
      </c>
      <c r="AE154" s="411">
        <v>0</v>
      </c>
      <c r="AF154" s="411">
        <v>0</v>
      </c>
      <c r="AG154" s="411">
        <v>0</v>
      </c>
      <c r="AH154" s="411">
        <v>0</v>
      </c>
      <c r="AI154" s="411">
        <v>0</v>
      </c>
      <c r="AJ154" s="411">
        <v>0</v>
      </c>
      <c r="AK154" s="411">
        <v>0</v>
      </c>
      <c r="AL154" s="411">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v>0</v>
      </c>
    </row>
    <row r="157" spans="1:39" outlineLevel="1">
      <c r="B157" s="294" t="s">
        <v>267</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v>0</v>
      </c>
      <c r="AD157" s="411">
        <v>0</v>
      </c>
      <c r="AE157" s="411">
        <v>0</v>
      </c>
      <c r="AF157" s="411">
        <v>0</v>
      </c>
      <c r="AG157" s="411">
        <v>0</v>
      </c>
      <c r="AH157" s="411">
        <v>0</v>
      </c>
      <c r="AI157" s="411">
        <v>0</v>
      </c>
      <c r="AJ157" s="411">
        <v>0</v>
      </c>
      <c r="AK157" s="411">
        <v>0</v>
      </c>
      <c r="AL157" s="411">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v>0</v>
      </c>
    </row>
    <row r="160" spans="1:39" outlineLevel="1">
      <c r="B160" s="294" t="s">
        <v>267</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v>0</v>
      </c>
      <c r="AD160" s="411">
        <v>0</v>
      </c>
      <c r="AE160" s="411">
        <v>0</v>
      </c>
      <c r="AF160" s="411">
        <v>0</v>
      </c>
      <c r="AG160" s="411">
        <v>0</v>
      </c>
      <c r="AH160" s="411">
        <v>0</v>
      </c>
      <c r="AI160" s="411">
        <v>0</v>
      </c>
      <c r="AJ160" s="411">
        <v>0</v>
      </c>
      <c r="AK160" s="411">
        <v>0</v>
      </c>
      <c r="AL160" s="411">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v>0</v>
      </c>
    </row>
    <row r="163" spans="1:39" outlineLevel="1">
      <c r="B163" s="294" t="s">
        <v>267</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v>0</v>
      </c>
      <c r="AD163" s="411">
        <v>0</v>
      </c>
      <c r="AE163" s="411">
        <v>0</v>
      </c>
      <c r="AF163" s="411">
        <v>0</v>
      </c>
      <c r="AG163" s="411">
        <v>0</v>
      </c>
      <c r="AH163" s="411">
        <v>0</v>
      </c>
      <c r="AI163" s="411">
        <v>0</v>
      </c>
      <c r="AJ163" s="411">
        <v>0</v>
      </c>
      <c r="AK163" s="411">
        <v>0</v>
      </c>
      <c r="AL163" s="411">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v>0</v>
      </c>
    </row>
    <row r="166" spans="1:39" outlineLevel="1">
      <c r="B166" s="294" t="s">
        <v>267</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v>0</v>
      </c>
      <c r="AH166" s="411">
        <v>0</v>
      </c>
      <c r="AI166" s="411">
        <v>0</v>
      </c>
      <c r="AJ166" s="411">
        <v>0</v>
      </c>
      <c r="AK166" s="411">
        <v>0</v>
      </c>
      <c r="AL166" s="411">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v>0</v>
      </c>
    </row>
    <row r="169" spans="1:39" outlineLevel="1">
      <c r="B169" s="294" t="s">
        <v>267</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v>0</v>
      </c>
      <c r="AH169" s="411">
        <v>0</v>
      </c>
      <c r="AI169" s="411">
        <v>0</v>
      </c>
      <c r="AJ169" s="411">
        <v>0</v>
      </c>
      <c r="AK169" s="411">
        <v>0</v>
      </c>
      <c r="AL169" s="411">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v>0</v>
      </c>
      <c r="AH172" s="411">
        <v>0</v>
      </c>
      <c r="AI172" s="411">
        <v>0</v>
      </c>
      <c r="AJ172" s="411">
        <v>0</v>
      </c>
      <c r="AK172" s="411">
        <v>0</v>
      </c>
      <c r="AL172" s="411">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v>0</v>
      </c>
    </row>
    <row r="175" spans="1:39" outlineLevel="1">
      <c r="B175" s="294" t="s">
        <v>267</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v>0</v>
      </c>
      <c r="AD175" s="411">
        <v>0</v>
      </c>
      <c r="AE175" s="411">
        <v>0</v>
      </c>
      <c r="AF175" s="411">
        <v>0</v>
      </c>
      <c r="AG175" s="411">
        <v>0</v>
      </c>
      <c r="AH175" s="411">
        <v>0</v>
      </c>
      <c r="AI175" s="411">
        <v>0</v>
      </c>
      <c r="AJ175" s="411">
        <v>0</v>
      </c>
      <c r="AK175" s="411">
        <v>0</v>
      </c>
      <c r="AL175" s="411">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v>0</v>
      </c>
    </row>
    <row r="178" spans="1:39" outlineLevel="1">
      <c r="B178" s="294" t="s">
        <v>267</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v>0</v>
      </c>
      <c r="AD178" s="411">
        <v>0</v>
      </c>
      <c r="AE178" s="411">
        <v>0</v>
      </c>
      <c r="AF178" s="411">
        <v>0</v>
      </c>
      <c r="AG178" s="411">
        <v>0</v>
      </c>
      <c r="AH178" s="411">
        <v>0</v>
      </c>
      <c r="AI178" s="411">
        <v>0</v>
      </c>
      <c r="AJ178" s="411">
        <v>0</v>
      </c>
      <c r="AK178" s="411">
        <v>0</v>
      </c>
      <c r="AL178" s="411">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v>0</v>
      </c>
    </row>
    <row r="181" spans="1:39" outlineLevel="1">
      <c r="B181" s="294" t="s">
        <v>267</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v>0</v>
      </c>
      <c r="AD181" s="411">
        <v>0</v>
      </c>
      <c r="AE181" s="411">
        <v>0</v>
      </c>
      <c r="AF181" s="411">
        <v>0</v>
      </c>
      <c r="AG181" s="411">
        <v>0</v>
      </c>
      <c r="AH181" s="411">
        <v>0</v>
      </c>
      <c r="AI181" s="411">
        <v>0</v>
      </c>
      <c r="AJ181" s="411">
        <v>0</v>
      </c>
      <c r="AK181" s="411">
        <v>0</v>
      </c>
      <c r="AL181" s="411">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v>0</v>
      </c>
    </row>
    <row r="184" spans="1:39" outlineLevel="1">
      <c r="B184" s="294" t="s">
        <v>267</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v>0</v>
      </c>
      <c r="AD184" s="411">
        <v>0</v>
      </c>
      <c r="AE184" s="411">
        <v>0</v>
      </c>
      <c r="AF184" s="411">
        <v>0</v>
      </c>
      <c r="AG184" s="411">
        <v>0</v>
      </c>
      <c r="AH184" s="411">
        <v>0</v>
      </c>
      <c r="AI184" s="411">
        <v>0</v>
      </c>
      <c r="AJ184" s="411">
        <v>0</v>
      </c>
      <c r="AK184" s="411">
        <v>0</v>
      </c>
      <c r="AL184" s="411">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v>0</v>
      </c>
    </row>
    <row r="187" spans="1:39" outlineLevel="1">
      <c r="B187" s="294" t="s">
        <v>267</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v>0</v>
      </c>
      <c r="AD187" s="411">
        <v>0</v>
      </c>
      <c r="AE187" s="411">
        <v>0</v>
      </c>
      <c r="AF187" s="411">
        <v>0</v>
      </c>
      <c r="AG187" s="411">
        <v>0</v>
      </c>
      <c r="AH187" s="411">
        <v>0</v>
      </c>
      <c r="AI187" s="411">
        <v>0</v>
      </c>
      <c r="AJ187" s="411">
        <v>0</v>
      </c>
      <c r="AK187" s="411">
        <v>0</v>
      </c>
      <c r="AL187" s="411">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v>0</v>
      </c>
    </row>
    <row r="190" spans="1:39" outlineLevel="1">
      <c r="B190" s="294" t="s">
        <v>267</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v>0</v>
      </c>
      <c r="AD190" s="411">
        <v>0</v>
      </c>
      <c r="AE190" s="411">
        <v>0</v>
      </c>
      <c r="AF190" s="411">
        <v>0</v>
      </c>
      <c r="AG190" s="411">
        <v>0</v>
      </c>
      <c r="AH190" s="411">
        <v>0</v>
      </c>
      <c r="AI190" s="411">
        <v>0</v>
      </c>
      <c r="AJ190" s="411">
        <v>0</v>
      </c>
      <c r="AK190" s="411">
        <v>0</v>
      </c>
      <c r="AL190" s="411">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v>0</v>
      </c>
    </row>
    <row r="193" spans="2:39" outlineLevel="1">
      <c r="B193" s="294" t="s">
        <v>267</v>
      </c>
      <c r="C193" s="291" t="s">
        <v>163</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411">
        <v>0</v>
      </c>
      <c r="Z193" s="411">
        <v>0</v>
      </c>
      <c r="AA193" s="411">
        <v>0</v>
      </c>
      <c r="AB193" s="411">
        <v>0</v>
      </c>
      <c r="AC193" s="411">
        <v>0</v>
      </c>
      <c r="AD193" s="411">
        <v>0</v>
      </c>
      <c r="AE193" s="411">
        <v>0</v>
      </c>
      <c r="AF193" s="411">
        <v>0</v>
      </c>
      <c r="AG193" s="411">
        <v>0</v>
      </c>
      <c r="AH193" s="411">
        <v>0</v>
      </c>
      <c r="AI193" s="411">
        <v>0</v>
      </c>
      <c r="AJ193" s="411">
        <v>0</v>
      </c>
      <c r="AK193" s="411">
        <v>0</v>
      </c>
      <c r="AL193" s="411">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4261680.3736379649</v>
      </c>
      <c r="E195" s="329"/>
      <c r="F195" s="329"/>
      <c r="G195" s="329"/>
      <c r="H195" s="329"/>
      <c r="I195" s="329"/>
      <c r="J195" s="329"/>
      <c r="K195" s="329"/>
      <c r="L195" s="329"/>
      <c r="M195" s="329"/>
      <c r="N195" s="329"/>
      <c r="O195" s="329">
        <f>SUM(O38:O193)</f>
        <v>458.35991502765222</v>
      </c>
      <c r="P195" s="329"/>
      <c r="Q195" s="329"/>
      <c r="R195" s="329"/>
      <c r="S195" s="329"/>
      <c r="T195" s="329"/>
      <c r="U195" s="329"/>
      <c r="V195" s="329"/>
      <c r="W195" s="329"/>
      <c r="X195" s="329"/>
      <c r="Y195" s="329">
        <f>IF(Y36="kWh",SUMPRODUCT(D38:D193,Y38:Y193))</f>
        <v>576845.7282814621</v>
      </c>
      <c r="Z195" s="329">
        <f>IF(Z36="kWh",SUMPRODUCT(D38:D193,Z38:Z193))</f>
        <v>1800547.768328483</v>
      </c>
      <c r="AA195" s="329">
        <f>IF(AA36="kw",SUMPRODUCT(N38:N193,O38:O193,AA38:AA193),SUMPRODUCT(D38:D193,AA38:AA193))</f>
        <v>2332.2706132545613</v>
      </c>
      <c r="AB195" s="329">
        <f>IF(AB36="kw",SUMPRODUCT(N38:N193,O38:O193,AB38:AB193),SUMPRODUCT(D38:D193,AB38:AB193))</f>
        <v>0</v>
      </c>
      <c r="AC195" s="329">
        <f>IF(AC36="kw",SUMPRODUCT(N38:N193,O38:O193,AC38:AC193),SUMPRODUCT(D38:D193,AC38:AC193))</f>
        <v>70.67641629157545</v>
      </c>
      <c r="AD195" s="329">
        <f>IF(AD36="kw",SUMPRODUCT(N38:N193,O38:O193,AD38:AD193),SUMPRODUCT(D38:D193,AD38:AD193))</f>
        <v>63594.82518558942</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1219155</v>
      </c>
      <c r="Z196" s="392">
        <f>HLOOKUP(Z35,'2. LRAMVA Threshold'!$B$42:$Q$53,7,FALSE)</f>
        <v>658151</v>
      </c>
      <c r="AA196" s="392">
        <f>HLOOKUP(AA35,'2. LRAMVA Threshold'!$B$42:$Q$53,7,FALSE)</f>
        <v>3236</v>
      </c>
      <c r="AB196" s="392">
        <f>HLOOKUP(AB35,'2. LRAMVA Threshold'!$B$42:$Q$53,7,FALSE)</f>
        <v>2</v>
      </c>
      <c r="AC196" s="392">
        <f>HLOOKUP(AC35,'2. LRAMVA Threshold'!$B$42:$Q$53,7,FALSE)</f>
        <v>81</v>
      </c>
      <c r="AD196" s="392">
        <f>HLOOKUP(AD35,'2. LRAMVA Threshold'!$B$42:$Q$53,7,FALSE)</f>
        <v>1714</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1.47E-2</v>
      </c>
      <c r="Z198" s="341">
        <f>HLOOKUP(Z$35,'3.  Distribution Rates'!$C$122:$P$133,7,FALSE)</f>
        <v>8.8999999999999999E-3</v>
      </c>
      <c r="AA198" s="341">
        <f>HLOOKUP(AA$35,'3.  Distribution Rates'!$C$122:$P$133,7,FALSE)</f>
        <v>2.7608999999999999</v>
      </c>
      <c r="AB198" s="341">
        <f>HLOOKUP(AB$35,'3.  Distribution Rates'!$C$122:$P$133,7,FALSE)</f>
        <v>21.618500000000001</v>
      </c>
      <c r="AC198" s="341">
        <f>HLOOKUP(AC$35,'3.  Distribution Rates'!$C$122:$P$133,7,FALSE)</f>
        <v>15.760899999999999</v>
      </c>
      <c r="AD198" s="341">
        <f>HLOOKUP(AD$35,'3.  Distribution Rates'!$C$122:$P$133,7,FALSE)</f>
        <v>5.7000000000000002E-3</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2434.841673700615</v>
      </c>
      <c r="Z199" s="378">
        <f>'4.  2011-2014 LRAM'!Z138*Z198</f>
        <v>2171.6473853622965</v>
      </c>
      <c r="AA199" s="378">
        <f>'4.  2011-2014 LRAM'!AA138*AA198</f>
        <v>396.32832135418317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5002.8173804170947</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1751.2850671040171</v>
      </c>
      <c r="Z200" s="378">
        <f>'4.  2011-2014 LRAM'!Z267*Z198</f>
        <v>6003.4101123259798</v>
      </c>
      <c r="AA200" s="378">
        <f>'4.  2011-2014 LRAM'!AA267*AA198</f>
        <v>2199.3027663859607</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9953.9979458159578</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2842.1113096770719</v>
      </c>
      <c r="Z201" s="378">
        <f>'4.  2011-2014 LRAM'!Z396*Z198</f>
        <v>4188.2521248039793</v>
      </c>
      <c r="AA201" s="378">
        <f>'4.  2011-2014 LRAM'!AA396*AA198</f>
        <v>602.84459775172877</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7633.2080322327793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5101.7355351808401</v>
      </c>
      <c r="Z202" s="378">
        <f>'4.  2011-2014 LRAM'!Z526*Z198</f>
        <v>6560.7065942699992</v>
      </c>
      <c r="AA202" s="378">
        <f>'4.  2011-2014 LRAM'!AA526*AA198</f>
        <v>4012.1168792734084</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15674.559008724247</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8479.6322057374928</v>
      </c>
      <c r="Z203" s="378">
        <f>Z195*Z198</f>
        <v>16024.875138123498</v>
      </c>
      <c r="AA203" s="378">
        <f>AA195*AA198</f>
        <v>6439.1659361345182</v>
      </c>
      <c r="AB203" s="378">
        <f t="shared" ref="AB203:AL203" si="0">AB195*AB198</f>
        <v>0</v>
      </c>
      <c r="AC203" s="378">
        <f t="shared" si="0"/>
        <v>1113.9239295298914</v>
      </c>
      <c r="AD203" s="378">
        <f t="shared" si="0"/>
        <v>362.49050355785971</v>
      </c>
      <c r="AE203" s="378">
        <f t="shared" si="0"/>
        <v>0</v>
      </c>
      <c r="AF203" s="378">
        <f t="shared" si="0"/>
        <v>0</v>
      </c>
      <c r="AG203" s="378">
        <f t="shared" si="0"/>
        <v>0</v>
      </c>
      <c r="AH203" s="378">
        <f t="shared" si="0"/>
        <v>0</v>
      </c>
      <c r="AI203" s="378">
        <f t="shared" si="0"/>
        <v>0</v>
      </c>
      <c r="AJ203" s="378">
        <f t="shared" si="0"/>
        <v>0</v>
      </c>
      <c r="AK203" s="378">
        <f t="shared" si="0"/>
        <v>0</v>
      </c>
      <c r="AL203" s="378">
        <f t="shared" si="0"/>
        <v>0</v>
      </c>
      <c r="AM203" s="629">
        <f>SUM(Y203:AL203)</f>
        <v>32420.08771308326</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20609.605791400038</v>
      </c>
      <c r="Z204" s="346">
        <f>SUM(Z199:Z203)</f>
        <v>34948.891354885753</v>
      </c>
      <c r="AA204" s="346">
        <f t="shared" ref="AA204:AE204" si="1">SUM(AA199:AA203)</f>
        <v>13649.758500899799</v>
      </c>
      <c r="AB204" s="346">
        <f t="shared" si="1"/>
        <v>0</v>
      </c>
      <c r="AC204" s="346">
        <f t="shared" si="1"/>
        <v>1113.9239295298914</v>
      </c>
      <c r="AD204" s="346">
        <f t="shared" si="1"/>
        <v>362.49050355785971</v>
      </c>
      <c r="AE204" s="346">
        <f t="shared" si="1"/>
        <v>0</v>
      </c>
      <c r="AF204" s="346">
        <f>SUM(AF199:AF203)</f>
        <v>0</v>
      </c>
      <c r="AG204" s="346">
        <f>SUM(AG199:AG203)</f>
        <v>0</v>
      </c>
      <c r="AH204" s="346">
        <f t="shared" ref="AH204:AL204" si="2">SUM(AH199:AH203)</f>
        <v>0</v>
      </c>
      <c r="AI204" s="346">
        <f t="shared" si="2"/>
        <v>0</v>
      </c>
      <c r="AJ204" s="346">
        <f t="shared" si="2"/>
        <v>0</v>
      </c>
      <c r="AK204" s="346">
        <f t="shared" si="2"/>
        <v>0</v>
      </c>
      <c r="AL204" s="346">
        <f t="shared" si="2"/>
        <v>0</v>
      </c>
      <c r="AM204" s="407">
        <f>SUM(AM199:AM203)</f>
        <v>70684.670080273339</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17921.5785</v>
      </c>
      <c r="Z205" s="347">
        <f t="shared" ref="Z205:AE205" si="3">Z196*Z198</f>
        <v>5857.5438999999997</v>
      </c>
      <c r="AA205" s="347">
        <f t="shared" si="3"/>
        <v>8934.2723999999998</v>
      </c>
      <c r="AB205" s="347">
        <f t="shared" si="3"/>
        <v>43.237000000000002</v>
      </c>
      <c r="AC205" s="347">
        <f t="shared" si="3"/>
        <v>1276.6329000000001</v>
      </c>
      <c r="AD205" s="347">
        <f t="shared" si="3"/>
        <v>9.7698</v>
      </c>
      <c r="AE205" s="347">
        <f t="shared" si="3"/>
        <v>0</v>
      </c>
      <c r="AF205" s="347">
        <f>AF196*AF198</f>
        <v>0</v>
      </c>
      <c r="AG205" s="347">
        <f t="shared" ref="AG205:AL205" si="4">AG196*AG198</f>
        <v>0</v>
      </c>
      <c r="AH205" s="347">
        <f t="shared" si="4"/>
        <v>0</v>
      </c>
      <c r="AI205" s="347">
        <f t="shared" si="4"/>
        <v>0</v>
      </c>
      <c r="AJ205" s="347">
        <f t="shared" si="4"/>
        <v>0</v>
      </c>
      <c r="AK205" s="347">
        <f t="shared" si="4"/>
        <v>0</v>
      </c>
      <c r="AL205" s="347">
        <f t="shared" si="4"/>
        <v>0</v>
      </c>
      <c r="AM205" s="407">
        <f>SUM(Y205:AL205)</f>
        <v>34043.034500000002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36641.635580273338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546995.9098034997</v>
      </c>
      <c r="Z208" s="291">
        <f>SUMPRODUCT(E38:E193,Z38:Z193)</f>
        <v>1797093.507373227</v>
      </c>
      <c r="AA208" s="291">
        <f>IF(AA36="kw",SUMPRODUCT(N38:N193,P38:P193,AA38:AA193),SUMPRODUCT(E38:E193,AA38:AA193))</f>
        <v>2332.2706132545613</v>
      </c>
      <c r="AB208" s="291">
        <f>IF(AB36="kw",SUMPRODUCT(N38:N193,P38:P193,AB38:AB193),SUMPRODUCT(E38:E193,AB38:AB193))</f>
        <v>0</v>
      </c>
      <c r="AC208" s="291">
        <f>IF(AC36="kw",SUMPRODUCT(N38:N193,P38:P193,AC38:AC193),SUMPRODUCT(E38:E193,AC38:AC193))</f>
        <v>70.67641629157545</v>
      </c>
      <c r="AD208" s="291">
        <f>IF(AD36="kw",SUMPRODUCT(N38:N193,P38:P193,AD38:AD193),SUMPRODUCT(E38:E193,AD38:AD193))</f>
        <v>63594.82518558942</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543553.28844462824</v>
      </c>
      <c r="Z209" s="291">
        <f>SUMPRODUCT(F38:F193,Z38:Z193)</f>
        <v>1795070.2034774413</v>
      </c>
      <c r="AA209" s="291">
        <f>IF(AA36="kw",SUMPRODUCT(N38:N193,Q38:Q193,AA38:AA193),SUMPRODUCT(F38:F193,AA38:AA193))</f>
        <v>2328.517945689382</v>
      </c>
      <c r="AB209" s="291">
        <f>IF(AB36="kw",SUMPRODUCT(N38:N193,Q38:Q193,AB38:AB193),SUMPRODUCT(F38:F193,AB38:AB193))</f>
        <v>0</v>
      </c>
      <c r="AC209" s="291">
        <f>IF(AC36="kw",SUMPRODUCT(N38:N193,Q38:Q193,AC38:AC193),SUMPRODUCT(F38:F193,AC38:AC193))</f>
        <v>70.516728310078477</v>
      </c>
      <c r="AD209" s="291">
        <f>IF(AD36="kw",SUMPRODUCT(N38:N193,Q38:Q193,AD38:AD193),SUMPRODUCT(F38:F193,AD38:AD193))</f>
        <v>63552.773716034877</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539901.84896121523</v>
      </c>
      <c r="Z210" s="291">
        <f>SUMPRODUCT(G38:G193,Z38:Z193)</f>
        <v>1798013.2180643743</v>
      </c>
      <c r="AA210" s="291">
        <f>IF(AA36="kw",SUMPRODUCT(N38:N193,R38:R193,AA38:AA193),SUMPRODUCT(G38:G193,AA38:AA193))</f>
        <v>2328.517945689382</v>
      </c>
      <c r="AB210" s="291">
        <f>IF(AB36="kw",SUMPRODUCT(N38:N193,R38:R193,AB38:AB193),SUMPRODUCT(G38:G193,AB38:AB193))</f>
        <v>0</v>
      </c>
      <c r="AC210" s="291">
        <f>IF(AC36="kw",SUMPRODUCT(N38:N193,R38:R193,AC38:AC193),SUMPRODUCT(G38:G193,AC38:AC193))</f>
        <v>70.516728310078477</v>
      </c>
      <c r="AD210" s="291">
        <f>IF(AD36="kw",SUMPRODUCT(N38:N193,R38:R193,AD38:AD193),SUMPRODUCT(G38:G193,AD38:AD193))</f>
        <v>63552.773716034877</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535004.13695552899</v>
      </c>
      <c r="Z211" s="291">
        <f>SUMPRODUCT(H38:H193,Z38:Z193)</f>
        <v>1798013.4356427919</v>
      </c>
      <c r="AA211" s="291">
        <f>IF(AA36="kw",SUMPRODUCT(N38:N193,S38:S193,AA38:AA193),SUMPRODUCT(H38:H193,AA38:AA193))</f>
        <v>2328.9933173877762</v>
      </c>
      <c r="AB211" s="291">
        <f>IF(AB36="kw",SUMPRODUCT(N38:N193,S38:S193,AB38:AB193),SUMPRODUCT(H38:H193,AB38:AB193))</f>
        <v>0</v>
      </c>
      <c r="AC211" s="291">
        <f>IF(AC36="kw",SUMPRODUCT(N38:N193,S38:S193,AC38:AC193),SUMPRODUCT(H38:H193,AC38:AC193))</f>
        <v>70.516728310078477</v>
      </c>
      <c r="AD211" s="291">
        <f>IF(AD36="kw",SUMPRODUCT(N38:N193,S38:S193,AD38:AD193),SUMPRODUCT(H38:H193,AD38:AD193))</f>
        <v>63552.773716034877</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525643.70969706518</v>
      </c>
      <c r="Z212" s="326">
        <f>SUMPRODUCT(I38:I193,Z38:Z193)</f>
        <v>1798013.4356427919</v>
      </c>
      <c r="AA212" s="326">
        <f>IF(AA36="kw",SUMPRODUCT(N38:N193,T38:T193,AA38:AA193),SUMPRODUCT(I38:I193,AA38:AA193))</f>
        <v>2328.9933173877762</v>
      </c>
      <c r="AB212" s="326">
        <f>IF(AB36="kw",SUMPRODUCT(N38:N193,T38:T193,AB38:AB193),SUMPRODUCT(I38:I193,AB38:AB193))</f>
        <v>0</v>
      </c>
      <c r="AC212" s="326">
        <f>IF(AC36="kw",SUMPRODUCT(N38:N193,T38:T193,AC38:AC193),SUMPRODUCT(I38:I193,AC38:AC193))</f>
        <v>70.516728310078477</v>
      </c>
      <c r="AD212" s="326">
        <f>IF(AD36="kw",SUMPRODUCT(N38:N193,T38:T193,AD38:AD193),SUMPRODUCT(I38:I193,AD38:AD193))</f>
        <v>63552.773716034877</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35" t="s">
        <v>211</v>
      </c>
      <c r="C217" s="1037" t="s">
        <v>33</v>
      </c>
      <c r="D217" s="284" t="s">
        <v>421</v>
      </c>
      <c r="E217" s="1039" t="s">
        <v>209</v>
      </c>
      <c r="F217" s="1040"/>
      <c r="G217" s="1040"/>
      <c r="H217" s="1040"/>
      <c r="I217" s="1040"/>
      <c r="J217" s="1040"/>
      <c r="K217" s="1040"/>
      <c r="L217" s="1040"/>
      <c r="M217" s="1041"/>
      <c r="N217" s="1045" t="s">
        <v>213</v>
      </c>
      <c r="O217" s="284" t="s">
        <v>422</v>
      </c>
      <c r="P217" s="1039" t="s">
        <v>212</v>
      </c>
      <c r="Q217" s="1040"/>
      <c r="R217" s="1040"/>
      <c r="S217" s="1040"/>
      <c r="T217" s="1040"/>
      <c r="U217" s="1040"/>
      <c r="V217" s="1040"/>
      <c r="W217" s="1040"/>
      <c r="X217" s="1041"/>
      <c r="Y217" s="1042" t="s">
        <v>243</v>
      </c>
      <c r="Z217" s="1043"/>
      <c r="AA217" s="1043"/>
      <c r="AB217" s="1043"/>
      <c r="AC217" s="1043"/>
      <c r="AD217" s="1043"/>
      <c r="AE217" s="1043"/>
      <c r="AF217" s="1043"/>
      <c r="AG217" s="1043"/>
      <c r="AH217" s="1043"/>
      <c r="AI217" s="1043"/>
      <c r="AJ217" s="1043"/>
      <c r="AK217" s="1043"/>
      <c r="AL217" s="1043"/>
      <c r="AM217" s="1044"/>
    </row>
    <row r="218" spans="1:39" ht="60.75" customHeight="1">
      <c r="B218" s="1036"/>
      <c r="C218" s="1038"/>
      <c r="D218" s="285">
        <v>2016</v>
      </c>
      <c r="E218" s="285">
        <v>2017</v>
      </c>
      <c r="F218" s="285">
        <v>2018</v>
      </c>
      <c r="G218" s="285">
        <v>2019</v>
      </c>
      <c r="H218" s="285">
        <v>2020</v>
      </c>
      <c r="I218" s="285">
        <v>2021</v>
      </c>
      <c r="J218" s="285">
        <v>2022</v>
      </c>
      <c r="K218" s="285">
        <v>2023</v>
      </c>
      <c r="L218" s="285">
        <v>2024</v>
      </c>
      <c r="M218" s="285">
        <v>2025</v>
      </c>
      <c r="N218" s="1046"/>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Sentinel Lighting</v>
      </c>
      <c r="AC218" s="285" t="str">
        <f>'1.  LRAMVA Summary'!H52</f>
        <v>Street Lighting</v>
      </c>
      <c r="AD218" s="285" t="str">
        <f>'1.  LRAMVA Summary'!I52</f>
        <v>Unmetered Scattered Load</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v>0</v>
      </c>
      <c r="AK222" s="411">
        <v>0</v>
      </c>
      <c r="AL222" s="411">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v>0</v>
      </c>
      <c r="AK225" s="411">
        <v>0</v>
      </c>
      <c r="AL225" s="411">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v>0</v>
      </c>
      <c r="AK228" s="411">
        <v>0</v>
      </c>
      <c r="AL228" s="411">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v>0</v>
      </c>
      <c r="AK234" s="411">
        <v>0</v>
      </c>
      <c r="AL234" s="411">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v>0</v>
      </c>
    </row>
    <row r="238" spans="1:39"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v>0</v>
      </c>
      <c r="AK238" s="411">
        <v>0</v>
      </c>
      <c r="AL238" s="411">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v>0</v>
      </c>
    </row>
    <row r="241" spans="1:39"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v>0</v>
      </c>
      <c r="AK241" s="411">
        <v>0</v>
      </c>
      <c r="AL241" s="411">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v>0</v>
      </c>
    </row>
    <row r="244" spans="1:39"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v>0</v>
      </c>
      <c r="AK244" s="411">
        <v>0</v>
      </c>
      <c r="AL244" s="411">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v>0</v>
      </c>
    </row>
    <row r="247" spans="1:39"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v>0</v>
      </c>
    </row>
    <row r="250" spans="1:39"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v>0</v>
      </c>
    </row>
    <row r="254" spans="1:39"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v>0</v>
      </c>
      <c r="AK254" s="411">
        <v>0</v>
      </c>
      <c r="AL254" s="411">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v>0</v>
      </c>
    </row>
    <row r="257" spans="1:40"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v>0</v>
      </c>
      <c r="AK257" s="411">
        <v>0</v>
      </c>
      <c r="AL257" s="411">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v>0</v>
      </c>
    </row>
    <row r="260" spans="1:40"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v>0</v>
      </c>
      <c r="AK260" s="411">
        <v>0</v>
      </c>
      <c r="AL260" s="411">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v>0</v>
      </c>
    </row>
    <row r="264" spans="1:40"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v>0</v>
      </c>
      <c r="AK264" s="411">
        <v>0</v>
      </c>
      <c r="AL264" s="411">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v>0</v>
      </c>
    </row>
    <row r="268" spans="1:40"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v>0</v>
      </c>
      <c r="AK268" s="411">
        <v>0</v>
      </c>
      <c r="AL268" s="411">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v>0</v>
      </c>
    </row>
    <row r="271" spans="1:40" s="283" customFormat="1" outlineLevel="1">
      <c r="A271" s="522"/>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v>0</v>
      </c>
      <c r="AK271" s="411">
        <v>0</v>
      </c>
      <c r="AL271" s="41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v>536.76819085587715</v>
      </c>
      <c r="E274" s="295">
        <v>536.76819085587715</v>
      </c>
      <c r="F274" s="295">
        <v>536.76819085587715</v>
      </c>
      <c r="G274" s="295">
        <v>536.76819085587715</v>
      </c>
      <c r="H274" s="295">
        <v>536.76819085587715</v>
      </c>
      <c r="I274" s="295">
        <v>536.76819085587715</v>
      </c>
      <c r="J274" s="295">
        <v>536.76819085587715</v>
      </c>
      <c r="K274" s="295">
        <v>536.76819085587715</v>
      </c>
      <c r="L274" s="295">
        <v>536.76819085587715</v>
      </c>
      <c r="M274" s="295">
        <v>536.76819085587715</v>
      </c>
      <c r="N274" s="295">
        <v>12</v>
      </c>
      <c r="O274" s="295">
        <v>7.7687302598165281E-2</v>
      </c>
      <c r="P274" s="295">
        <v>7.7687302598165281E-2</v>
      </c>
      <c r="Q274" s="295">
        <v>7.7687302598165281E-2</v>
      </c>
      <c r="R274" s="295">
        <v>7.7687302598165281E-2</v>
      </c>
      <c r="S274" s="295">
        <v>7.7687302598165281E-2</v>
      </c>
      <c r="T274" s="295">
        <v>7.7687302598165281E-2</v>
      </c>
      <c r="U274" s="295">
        <v>7.7687302598165281E-2</v>
      </c>
      <c r="V274" s="295">
        <v>7.7687302598165281E-2</v>
      </c>
      <c r="W274" s="295">
        <v>7.7687302598165281E-2</v>
      </c>
      <c r="X274" s="295">
        <v>7.7687302598165281E-2</v>
      </c>
      <c r="Y274" s="426">
        <v>1</v>
      </c>
      <c r="Z274" s="410"/>
      <c r="AA274" s="410"/>
      <c r="AB274" s="410"/>
      <c r="AC274" s="410"/>
      <c r="AD274" s="410"/>
      <c r="AE274" s="410"/>
      <c r="AF274" s="415"/>
      <c r="AG274" s="415"/>
      <c r="AH274" s="415"/>
      <c r="AI274" s="415"/>
      <c r="AJ274" s="415"/>
      <c r="AK274" s="415"/>
      <c r="AL274" s="415"/>
      <c r="AM274" s="296">
        <v>1</v>
      </c>
    </row>
    <row r="275" spans="1:39"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1</v>
      </c>
      <c r="Z275" s="411">
        <v>0</v>
      </c>
      <c r="AA275" s="411">
        <v>0</v>
      </c>
      <c r="AB275" s="411">
        <v>0</v>
      </c>
      <c r="AC275" s="411">
        <v>0</v>
      </c>
      <c r="AD275" s="411">
        <v>0</v>
      </c>
      <c r="AE275" s="411">
        <v>0</v>
      </c>
      <c r="AF275" s="411">
        <v>0</v>
      </c>
      <c r="AG275" s="411">
        <v>0</v>
      </c>
      <c r="AH275" s="411">
        <v>0</v>
      </c>
      <c r="AI275" s="411">
        <v>0</v>
      </c>
      <c r="AJ275" s="411">
        <v>0</v>
      </c>
      <c r="AK275" s="411">
        <v>0</v>
      </c>
      <c r="AL275" s="411">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v>0</v>
      </c>
    </row>
    <row r="278" spans="1:39"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v>0</v>
      </c>
      <c r="AD278" s="411">
        <v>0</v>
      </c>
      <c r="AE278" s="411">
        <v>0</v>
      </c>
      <c r="AF278" s="411">
        <v>0</v>
      </c>
      <c r="AG278" s="411">
        <v>0</v>
      </c>
      <c r="AH278" s="411">
        <v>0</v>
      </c>
      <c r="AI278" s="411">
        <v>0</v>
      </c>
      <c r="AJ278" s="411">
        <v>0</v>
      </c>
      <c r="AK278" s="411">
        <v>0</v>
      </c>
      <c r="AL278" s="411">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v>0</v>
      </c>
    </row>
    <row r="281" spans="1:39"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v>0</v>
      </c>
      <c r="AD281" s="411">
        <v>0</v>
      </c>
      <c r="AE281" s="411">
        <v>0</v>
      </c>
      <c r="AF281" s="411">
        <v>0</v>
      </c>
      <c r="AG281" s="411">
        <v>0</v>
      </c>
      <c r="AH281" s="411">
        <v>0</v>
      </c>
      <c r="AI281" s="411">
        <v>0</v>
      </c>
      <c r="AJ281" s="411">
        <v>0</v>
      </c>
      <c r="AK281" s="411">
        <v>0</v>
      </c>
      <c r="AL281" s="411">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v>0</v>
      </c>
    </row>
    <row r="284" spans="1:39"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v>0</v>
      </c>
      <c r="AK284" s="411">
        <v>0</v>
      </c>
      <c r="AL284" s="411">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720083.76447592198</v>
      </c>
      <c r="E288" s="295">
        <v>720083.76447592198</v>
      </c>
      <c r="F288" s="295">
        <v>720083.76447592198</v>
      </c>
      <c r="G288" s="295">
        <v>720083.76447592198</v>
      </c>
      <c r="H288" s="295">
        <v>720083.76447592198</v>
      </c>
      <c r="I288" s="295">
        <v>720083.76447592198</v>
      </c>
      <c r="J288" s="295">
        <v>720083.76447592198</v>
      </c>
      <c r="K288" s="295">
        <v>719978.10279471672</v>
      </c>
      <c r="L288" s="295">
        <v>719978.10279471672</v>
      </c>
      <c r="M288" s="295">
        <v>716678.98889022367</v>
      </c>
      <c r="N288" s="291"/>
      <c r="O288" s="295">
        <v>46.742182209799218</v>
      </c>
      <c r="P288" s="295">
        <v>46.742182209799218</v>
      </c>
      <c r="Q288" s="295">
        <v>46.742182209799218</v>
      </c>
      <c r="R288" s="295">
        <v>46.742182209799218</v>
      </c>
      <c r="S288" s="295">
        <v>46.742182209799218</v>
      </c>
      <c r="T288" s="295">
        <v>46.742182209799218</v>
      </c>
      <c r="U288" s="295">
        <v>46.742182209799218</v>
      </c>
      <c r="V288" s="295">
        <v>46.741232788375683</v>
      </c>
      <c r="W288" s="295">
        <v>46.741232788375683</v>
      </c>
      <c r="X288" s="295">
        <v>46.534123328201098</v>
      </c>
      <c r="Y288" s="410">
        <v>1</v>
      </c>
      <c r="Z288" s="410"/>
      <c r="AA288" s="410"/>
      <c r="AB288" s="410"/>
      <c r="AC288" s="410"/>
      <c r="AD288" s="410"/>
      <c r="AE288" s="410"/>
      <c r="AF288" s="410"/>
      <c r="AG288" s="410"/>
      <c r="AH288" s="410"/>
      <c r="AI288" s="410"/>
      <c r="AJ288" s="410"/>
      <c r="AK288" s="410"/>
      <c r="AL288" s="410"/>
      <c r="AM288" s="296">
        <v>1</v>
      </c>
    </row>
    <row r="289" spans="1:39" outlineLevel="1">
      <c r="B289" s="294" t="s">
        <v>289</v>
      </c>
      <c r="C289" s="291" t="s">
        <v>163</v>
      </c>
      <c r="D289" s="295">
        <v>79815.93275005286</v>
      </c>
      <c r="E289" s="295">
        <v>79815.93275005286</v>
      </c>
      <c r="F289" s="295">
        <v>79815.93275005286</v>
      </c>
      <c r="G289" s="295">
        <v>79815.93275005286</v>
      </c>
      <c r="H289" s="295">
        <v>79815.93275005286</v>
      </c>
      <c r="I289" s="295">
        <v>79815.93275005286</v>
      </c>
      <c r="J289" s="295">
        <v>79815.93275005286</v>
      </c>
      <c r="K289" s="295">
        <v>79810.062656652561</v>
      </c>
      <c r="L289" s="295">
        <v>79810.062656652561</v>
      </c>
      <c r="M289" s="295">
        <v>79927.407465204684</v>
      </c>
      <c r="N289" s="291"/>
      <c r="O289" s="295">
        <v>5.0591164028200666</v>
      </c>
      <c r="P289" s="295">
        <v>5.0591164028200666</v>
      </c>
      <c r="Q289" s="295">
        <v>5.0591164028200666</v>
      </c>
      <c r="R289" s="295">
        <v>5.0591164028200666</v>
      </c>
      <c r="S289" s="295">
        <v>5.0591164028200666</v>
      </c>
      <c r="T289" s="295">
        <v>5.0591164028200666</v>
      </c>
      <c r="U289" s="295">
        <v>5.0591164028200666</v>
      </c>
      <c r="V289" s="295">
        <v>5.0590636571854253</v>
      </c>
      <c r="W289" s="295">
        <v>5.0590636571854253</v>
      </c>
      <c r="X289" s="295">
        <v>5.0664302473235896</v>
      </c>
      <c r="Y289" s="411">
        <v>1</v>
      </c>
      <c r="Z289" s="411">
        <v>0</v>
      </c>
      <c r="AA289" s="411">
        <v>0</v>
      </c>
      <c r="AB289" s="411">
        <v>0</v>
      </c>
      <c r="AC289" s="411">
        <v>0</v>
      </c>
      <c r="AD289" s="411">
        <v>0</v>
      </c>
      <c r="AE289" s="411">
        <v>0</v>
      </c>
      <c r="AF289" s="411">
        <v>0</v>
      </c>
      <c r="AG289" s="411">
        <v>0</v>
      </c>
      <c r="AH289" s="411">
        <v>0</v>
      </c>
      <c r="AI289" s="411">
        <v>0</v>
      </c>
      <c r="AJ289" s="411">
        <v>0</v>
      </c>
      <c r="AK289" s="411">
        <v>0</v>
      </c>
      <c r="AL289" s="411">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53101.000000000029</v>
      </c>
      <c r="E291" s="295">
        <v>53101.000000000029</v>
      </c>
      <c r="F291" s="295">
        <v>53101.000000000029</v>
      </c>
      <c r="G291" s="295">
        <v>53101.000000000029</v>
      </c>
      <c r="H291" s="295">
        <v>53101.000000000029</v>
      </c>
      <c r="I291" s="295">
        <v>53101.000000000029</v>
      </c>
      <c r="J291" s="295">
        <v>53101.000000000029</v>
      </c>
      <c r="K291" s="295">
        <v>53101.000000000029</v>
      </c>
      <c r="L291" s="295">
        <v>53101.000000000029</v>
      </c>
      <c r="M291" s="295">
        <v>53101.000000000029</v>
      </c>
      <c r="N291" s="291"/>
      <c r="O291" s="295">
        <v>15.042999999999996</v>
      </c>
      <c r="P291" s="295">
        <v>15.042999999999996</v>
      </c>
      <c r="Q291" s="295">
        <v>15.042999999999996</v>
      </c>
      <c r="R291" s="295">
        <v>15.042999999999996</v>
      </c>
      <c r="S291" s="295">
        <v>15.042999999999996</v>
      </c>
      <c r="T291" s="295">
        <v>15.042999999999996</v>
      </c>
      <c r="U291" s="295">
        <v>15.042999999999996</v>
      </c>
      <c r="V291" s="295">
        <v>15.042999999999996</v>
      </c>
      <c r="W291" s="295">
        <v>15.042999999999996</v>
      </c>
      <c r="X291" s="295">
        <v>15.042999999999996</v>
      </c>
      <c r="Y291" s="410">
        <v>1</v>
      </c>
      <c r="Z291" s="410"/>
      <c r="AA291" s="410"/>
      <c r="AB291" s="410"/>
      <c r="AC291" s="410"/>
      <c r="AD291" s="410"/>
      <c r="AE291" s="410"/>
      <c r="AF291" s="410"/>
      <c r="AG291" s="410"/>
      <c r="AH291" s="410"/>
      <c r="AI291" s="410"/>
      <c r="AJ291" s="410"/>
      <c r="AK291" s="410"/>
      <c r="AL291" s="410"/>
      <c r="AM291" s="296">
        <v>1</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v>0</v>
      </c>
      <c r="AK292" s="411">
        <v>0</v>
      </c>
      <c r="AL292" s="411">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v>0</v>
      </c>
      <c r="AK295" s="411">
        <v>0</v>
      </c>
      <c r="AL295" s="411">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v>0</v>
      </c>
      <c r="AK298" s="411">
        <v>0</v>
      </c>
      <c r="AL298" s="411">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v>13142.640539737338</v>
      </c>
      <c r="E301" s="295">
        <v>13142.640539737338</v>
      </c>
      <c r="F301" s="295">
        <v>13142.640539737338</v>
      </c>
      <c r="G301" s="295">
        <v>13142.640539737338</v>
      </c>
      <c r="H301" s="295">
        <v>13142.640539737338</v>
      </c>
      <c r="I301" s="295">
        <v>13142.640539737338</v>
      </c>
      <c r="J301" s="295">
        <v>13142.640539737338</v>
      </c>
      <c r="K301" s="295">
        <v>13142.640539737338</v>
      </c>
      <c r="L301" s="295">
        <v>13142.640539737338</v>
      </c>
      <c r="M301" s="295">
        <v>13142.640539737338</v>
      </c>
      <c r="N301" s="295">
        <v>12</v>
      </c>
      <c r="O301" s="295">
        <v>1.7149847194239736</v>
      </c>
      <c r="P301" s="295">
        <v>1.7149847194239736</v>
      </c>
      <c r="Q301" s="295">
        <v>1.7149847194239736</v>
      </c>
      <c r="R301" s="295">
        <v>1.7149847194239736</v>
      </c>
      <c r="S301" s="295">
        <v>1.7149847194239736</v>
      </c>
      <c r="T301" s="295">
        <v>1.7149847194239736</v>
      </c>
      <c r="U301" s="295">
        <v>1.7149847194239736</v>
      </c>
      <c r="V301" s="295">
        <v>1.7149847194239736</v>
      </c>
      <c r="W301" s="295">
        <v>1.7149847194239736</v>
      </c>
      <c r="X301" s="295">
        <v>1.7149847194239736</v>
      </c>
      <c r="Y301" s="426"/>
      <c r="Z301" s="410"/>
      <c r="AA301" s="410">
        <v>1</v>
      </c>
      <c r="AB301" s="410"/>
      <c r="AC301" s="410"/>
      <c r="AD301" s="410"/>
      <c r="AE301" s="410"/>
      <c r="AF301" s="410"/>
      <c r="AG301" s="415"/>
      <c r="AH301" s="415"/>
      <c r="AI301" s="415"/>
      <c r="AJ301" s="415"/>
      <c r="AK301" s="415"/>
      <c r="AL301" s="415"/>
      <c r="AM301" s="296">
        <v>1</v>
      </c>
    </row>
    <row r="302" spans="1:39"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1</v>
      </c>
      <c r="AB302" s="411">
        <v>0</v>
      </c>
      <c r="AC302" s="411">
        <v>0</v>
      </c>
      <c r="AD302" s="411">
        <v>0</v>
      </c>
      <c r="AE302" s="411">
        <v>0</v>
      </c>
      <c r="AF302" s="411">
        <v>0</v>
      </c>
      <c r="AG302" s="411">
        <v>0</v>
      </c>
      <c r="AH302" s="411">
        <v>0</v>
      </c>
      <c r="AI302" s="411">
        <v>0</v>
      </c>
      <c r="AJ302" s="411">
        <v>0</v>
      </c>
      <c r="AK302" s="411">
        <v>0</v>
      </c>
      <c r="AL302" s="411">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1104460.0381776886</v>
      </c>
      <c r="E304" s="295">
        <v>1092233.618178569</v>
      </c>
      <c r="F304" s="295">
        <v>1092233.618178569</v>
      </c>
      <c r="G304" s="295">
        <v>1092233.618178569</v>
      </c>
      <c r="H304" s="295">
        <v>1092233.618178569</v>
      </c>
      <c r="I304" s="295">
        <v>1092233.618178569</v>
      </c>
      <c r="J304" s="295">
        <v>1092233.618178569</v>
      </c>
      <c r="K304" s="295">
        <v>1092233.618178569</v>
      </c>
      <c r="L304" s="295">
        <v>1092233.618178569</v>
      </c>
      <c r="M304" s="295">
        <v>1092233.618178569</v>
      </c>
      <c r="N304" s="295">
        <v>12</v>
      </c>
      <c r="O304" s="295">
        <v>233.20449393453441</v>
      </c>
      <c r="P304" s="295">
        <v>230.9946573517463</v>
      </c>
      <c r="Q304" s="295">
        <v>230.9946573517463</v>
      </c>
      <c r="R304" s="295">
        <v>230.9946573517463</v>
      </c>
      <c r="S304" s="295">
        <v>230.9946573517463</v>
      </c>
      <c r="T304" s="295">
        <v>230.9946573517463</v>
      </c>
      <c r="U304" s="295">
        <v>230.9946573517463</v>
      </c>
      <c r="V304" s="295">
        <v>230.9946573517463</v>
      </c>
      <c r="W304" s="295">
        <v>230.9946573517463</v>
      </c>
      <c r="X304" s="295">
        <v>230.9946573517463</v>
      </c>
      <c r="Y304" s="426">
        <v>1.4999999999999999E-2</v>
      </c>
      <c r="Z304" s="410">
        <v>3.3000000000000002E-2</v>
      </c>
      <c r="AA304" s="410">
        <v>0.90100000000000002</v>
      </c>
      <c r="AB304" s="410"/>
      <c r="AC304" s="410">
        <v>5.0999999999999997E-2</v>
      </c>
      <c r="AD304" s="410"/>
      <c r="AE304" s="410"/>
      <c r="AF304" s="410"/>
      <c r="AG304" s="415"/>
      <c r="AH304" s="415"/>
      <c r="AI304" s="415"/>
      <c r="AJ304" s="415"/>
      <c r="AK304" s="415"/>
      <c r="AL304" s="415"/>
      <c r="AM304" s="296">
        <v>1</v>
      </c>
    </row>
    <row r="305" spans="1:39" outlineLevel="1">
      <c r="B305" s="294" t="s">
        <v>289</v>
      </c>
      <c r="C305" s="291" t="s">
        <v>163</v>
      </c>
      <c r="D305" s="295">
        <v>15390.672907391332</v>
      </c>
      <c r="E305" s="295">
        <v>30745.712821827125</v>
      </c>
      <c r="F305" s="295">
        <v>31034.712099352779</v>
      </c>
      <c r="G305" s="295">
        <v>31034.712099352779</v>
      </c>
      <c r="H305" s="295">
        <v>31034.712099352779</v>
      </c>
      <c r="I305" s="295">
        <v>31034.712099352779</v>
      </c>
      <c r="J305" s="295">
        <v>31034.712099352779</v>
      </c>
      <c r="K305" s="295">
        <v>31034.712099352779</v>
      </c>
      <c r="L305" s="295">
        <v>31034.712099352779</v>
      </c>
      <c r="M305" s="295">
        <v>31034.712099352779</v>
      </c>
      <c r="N305" s="295">
        <v>12</v>
      </c>
      <c r="O305" s="295">
        <v>5.1510573585039374</v>
      </c>
      <c r="P305" s="295">
        <v>8.0502594233566835</v>
      </c>
      <c r="Q305" s="295">
        <v>8.0837757102138674</v>
      </c>
      <c r="R305" s="295">
        <v>8.0837757102138674</v>
      </c>
      <c r="S305" s="295">
        <v>8.0837757102138674</v>
      </c>
      <c r="T305" s="295">
        <v>8.0837757102138674</v>
      </c>
      <c r="U305" s="295">
        <v>8.0837757102138674</v>
      </c>
      <c r="V305" s="295">
        <v>8.0837757102138674</v>
      </c>
      <c r="W305" s="295">
        <v>8.0837757102138674</v>
      </c>
      <c r="X305" s="295">
        <v>8.0837757102138674</v>
      </c>
      <c r="Y305" s="411">
        <v>1.4999999999999999E-2</v>
      </c>
      <c r="Z305" s="411">
        <v>3.3000000000000002E-2</v>
      </c>
      <c r="AA305" s="411">
        <v>0.90100000000000002</v>
      </c>
      <c r="AB305" s="411">
        <v>0</v>
      </c>
      <c r="AC305" s="411">
        <v>5.0999999999999997E-2</v>
      </c>
      <c r="AD305" s="411">
        <v>0</v>
      </c>
      <c r="AE305" s="411">
        <v>0</v>
      </c>
      <c r="AF305" s="411">
        <v>0</v>
      </c>
      <c r="AG305" s="411">
        <v>0</v>
      </c>
      <c r="AH305" s="411">
        <v>0</v>
      </c>
      <c r="AI305" s="411">
        <v>0</v>
      </c>
      <c r="AJ305" s="411">
        <v>0</v>
      </c>
      <c r="AK305" s="411">
        <v>0</v>
      </c>
      <c r="AL305" s="411">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115783.54334829756</v>
      </c>
      <c r="E307" s="295">
        <v>115783.54334829756</v>
      </c>
      <c r="F307" s="295">
        <v>115783.54334829756</v>
      </c>
      <c r="G307" s="295">
        <v>115783.54334829756</v>
      </c>
      <c r="H307" s="295">
        <v>111924.76598420591</v>
      </c>
      <c r="I307" s="295">
        <v>80234.513599274665</v>
      </c>
      <c r="J307" s="295">
        <v>69200.881822586816</v>
      </c>
      <c r="K307" s="295">
        <v>55443.852885483058</v>
      </c>
      <c r="L307" s="295">
        <v>33656.893055678556</v>
      </c>
      <c r="M307" s="295">
        <v>20747.696483533899</v>
      </c>
      <c r="N307" s="295">
        <v>12</v>
      </c>
      <c r="O307" s="295">
        <v>22.917315563129705</v>
      </c>
      <c r="P307" s="295">
        <v>22.917315563129705</v>
      </c>
      <c r="Q307" s="295">
        <v>22.917315563129705</v>
      </c>
      <c r="R307" s="295">
        <v>22.917315563129705</v>
      </c>
      <c r="S307" s="295">
        <v>22.421062705804211</v>
      </c>
      <c r="T307" s="295">
        <v>18.104752611562446</v>
      </c>
      <c r="U307" s="295">
        <v>16.253101015332113</v>
      </c>
      <c r="V307" s="295">
        <v>13.622902908463454</v>
      </c>
      <c r="W307" s="295">
        <v>8.845520112417141</v>
      </c>
      <c r="X307" s="295">
        <v>5.6015965425777985</v>
      </c>
      <c r="Y307" s="426"/>
      <c r="Z307" s="410">
        <v>0.92100000000000004</v>
      </c>
      <c r="AA307" s="410">
        <v>7.0999999999999994E-2</v>
      </c>
      <c r="AB307" s="410"/>
      <c r="AC307" s="410"/>
      <c r="AD307" s="410"/>
      <c r="AE307" s="410"/>
      <c r="AF307" s="410"/>
      <c r="AG307" s="415"/>
      <c r="AH307" s="415"/>
      <c r="AI307" s="415"/>
      <c r="AJ307" s="415"/>
      <c r="AK307" s="415"/>
      <c r="AL307" s="415"/>
      <c r="AM307" s="296">
        <v>0.99199999999999999</v>
      </c>
    </row>
    <row r="308" spans="1:39" outlineLevel="1">
      <c r="B308" s="294" t="s">
        <v>289</v>
      </c>
      <c r="C308" s="291" t="s">
        <v>163</v>
      </c>
      <c r="D308" s="295">
        <v>27427.310653644556</v>
      </c>
      <c r="E308" s="295">
        <v>27427.310653644556</v>
      </c>
      <c r="F308" s="295">
        <v>27427.310653644556</v>
      </c>
      <c r="G308" s="295">
        <v>27427.310653644556</v>
      </c>
      <c r="H308" s="295">
        <v>26158.272467761311</v>
      </c>
      <c r="I308" s="295">
        <v>18424.674187338605</v>
      </c>
      <c r="J308" s="295">
        <v>15815.368164928157</v>
      </c>
      <c r="K308" s="295">
        <v>11425.799668503967</v>
      </c>
      <c r="L308" s="295">
        <v>6275.0128326674403</v>
      </c>
      <c r="M308" s="295">
        <v>4551.8822449740101</v>
      </c>
      <c r="N308" s="295">
        <v>12</v>
      </c>
      <c r="O308" s="295">
        <v>5.2561154597335635</v>
      </c>
      <c r="P308" s="295">
        <v>5.2561154597335635</v>
      </c>
      <c r="Q308" s="295">
        <v>5.2561154597335635</v>
      </c>
      <c r="R308" s="295">
        <v>5.2561154597335635</v>
      </c>
      <c r="S308" s="295">
        <v>5.0966316965890766</v>
      </c>
      <c r="T308" s="295">
        <v>4.0503974123127593</v>
      </c>
      <c r="U308" s="295">
        <v>3.6144623354737315</v>
      </c>
      <c r="V308" s="295">
        <v>2.7613507427769677</v>
      </c>
      <c r="W308" s="295">
        <v>1.6719572896632642</v>
      </c>
      <c r="X308" s="295">
        <v>1.2268207902325274</v>
      </c>
      <c r="Y308" s="411">
        <v>0</v>
      </c>
      <c r="Z308" s="411">
        <v>0.92100000000000004</v>
      </c>
      <c r="AA308" s="411">
        <v>7.0999999999999994E-2</v>
      </c>
      <c r="AB308" s="411">
        <v>0</v>
      </c>
      <c r="AC308" s="411">
        <v>0</v>
      </c>
      <c r="AD308" s="411">
        <v>0</v>
      </c>
      <c r="AE308" s="411">
        <v>0</v>
      </c>
      <c r="AF308" s="411">
        <v>0</v>
      </c>
      <c r="AG308" s="411">
        <v>0</v>
      </c>
      <c r="AH308" s="411">
        <v>0</v>
      </c>
      <c r="AI308" s="411">
        <v>0</v>
      </c>
      <c r="AJ308" s="411">
        <v>0</v>
      </c>
      <c r="AK308" s="411">
        <v>0</v>
      </c>
      <c r="AL308" s="411">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106003.28592668868</v>
      </c>
      <c r="E310" s="295">
        <v>106003.28592668868</v>
      </c>
      <c r="F310" s="295">
        <v>106003.28592668868</v>
      </c>
      <c r="G310" s="295">
        <v>106003.28592668868</v>
      </c>
      <c r="H310" s="295">
        <v>106003.28592668868</v>
      </c>
      <c r="I310" s="295">
        <v>106003.28592668868</v>
      </c>
      <c r="J310" s="295">
        <v>106003.28592668868</v>
      </c>
      <c r="K310" s="295">
        <v>106003.28592668868</v>
      </c>
      <c r="L310" s="295">
        <v>106003.28592668868</v>
      </c>
      <c r="M310" s="295">
        <v>106003.28592668868</v>
      </c>
      <c r="N310" s="295">
        <v>12</v>
      </c>
      <c r="O310" s="295">
        <v>12.403097192943251</v>
      </c>
      <c r="P310" s="295">
        <v>12.403097192943251</v>
      </c>
      <c r="Q310" s="295">
        <v>12.403097192943251</v>
      </c>
      <c r="R310" s="295">
        <v>12.403097192943251</v>
      </c>
      <c r="S310" s="295">
        <v>12.403097192943251</v>
      </c>
      <c r="T310" s="295">
        <v>12.403097192943251</v>
      </c>
      <c r="U310" s="295">
        <v>12.403097192943251</v>
      </c>
      <c r="V310" s="295">
        <v>12.403097192943251</v>
      </c>
      <c r="W310" s="295">
        <v>12.403097192943251</v>
      </c>
      <c r="X310" s="295">
        <v>12.403097192943251</v>
      </c>
      <c r="Y310" s="426"/>
      <c r="Z310" s="410"/>
      <c r="AA310" s="410">
        <v>1</v>
      </c>
      <c r="AB310" s="410"/>
      <c r="AC310" s="410"/>
      <c r="AD310" s="410"/>
      <c r="AE310" s="410"/>
      <c r="AF310" s="410"/>
      <c r="AG310" s="415"/>
      <c r="AH310" s="415"/>
      <c r="AI310" s="415"/>
      <c r="AJ310" s="415"/>
      <c r="AK310" s="415"/>
      <c r="AL310" s="415"/>
      <c r="AM310" s="296">
        <v>1</v>
      </c>
    </row>
    <row r="311" spans="1:39"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1</v>
      </c>
      <c r="AB311" s="411">
        <v>0</v>
      </c>
      <c r="AC311" s="411">
        <v>0</v>
      </c>
      <c r="AD311" s="411">
        <v>0</v>
      </c>
      <c r="AE311" s="411">
        <v>0</v>
      </c>
      <c r="AF311" s="411">
        <v>0</v>
      </c>
      <c r="AG311" s="411">
        <v>0</v>
      </c>
      <c r="AH311" s="411">
        <v>0</v>
      </c>
      <c r="AI311" s="411">
        <v>0</v>
      </c>
      <c r="AJ311" s="411">
        <v>0</v>
      </c>
      <c r="AK311" s="411">
        <v>0</v>
      </c>
      <c r="AL311" s="411">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v>0</v>
      </c>
    </row>
    <row r="314" spans="1:39"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v>0</v>
      </c>
    </row>
    <row r="317" spans="1:39"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v>0</v>
      </c>
      <c r="AK317" s="411">
        <v>0</v>
      </c>
      <c r="AL317" s="411">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v>0</v>
      </c>
    </row>
    <row r="320" spans="1:39"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v>0</v>
      </c>
      <c r="AK320" s="411">
        <v>0</v>
      </c>
      <c r="AL320" s="411">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v>1</v>
      </c>
    </row>
    <row r="323" spans="1:39" outlineLevel="1">
      <c r="B323" s="294" t="s">
        <v>289</v>
      </c>
      <c r="C323" s="291" t="s">
        <v>163</v>
      </c>
      <c r="D323" s="295">
        <v>8354.4588199999998</v>
      </c>
      <c r="E323" s="295">
        <v>8354.4588199999998</v>
      </c>
      <c r="F323" s="295">
        <v>8354.4588199999998</v>
      </c>
      <c r="G323" s="295">
        <v>8354.4588199999998</v>
      </c>
      <c r="H323" s="295">
        <v>8354.4588199999998</v>
      </c>
      <c r="I323" s="295">
        <v>8354.4588199999998</v>
      </c>
      <c r="J323" s="295">
        <v>8354.4588199999998</v>
      </c>
      <c r="K323" s="295">
        <v>8354.4588199999998</v>
      </c>
      <c r="L323" s="295">
        <v>8354.4588199999998</v>
      </c>
      <c r="M323" s="295">
        <v>8354.4588199999998</v>
      </c>
      <c r="N323" s="295">
        <v>12</v>
      </c>
      <c r="O323" s="295">
        <v>0</v>
      </c>
      <c r="P323" s="295">
        <v>0</v>
      </c>
      <c r="Q323" s="295">
        <v>0</v>
      </c>
      <c r="R323" s="295">
        <v>0</v>
      </c>
      <c r="S323" s="295">
        <v>0</v>
      </c>
      <c r="T323" s="295">
        <v>0</v>
      </c>
      <c r="U323" s="295">
        <v>0</v>
      </c>
      <c r="V323" s="295">
        <v>0</v>
      </c>
      <c r="W323" s="295">
        <v>0</v>
      </c>
      <c r="X323" s="295">
        <v>0</v>
      </c>
      <c r="Y323" s="411">
        <v>0</v>
      </c>
      <c r="Z323" s="411">
        <v>0</v>
      </c>
      <c r="AA323" s="411">
        <v>1</v>
      </c>
      <c r="AB323" s="411">
        <v>0</v>
      </c>
      <c r="AC323" s="411">
        <v>0</v>
      </c>
      <c r="AD323" s="411">
        <v>0</v>
      </c>
      <c r="AE323" s="411">
        <v>0</v>
      </c>
      <c r="AF323" s="411">
        <v>0</v>
      </c>
      <c r="AG323" s="411">
        <v>0</v>
      </c>
      <c r="AH323" s="411">
        <v>0</v>
      </c>
      <c r="AI323" s="411">
        <v>0</v>
      </c>
      <c r="AJ323" s="411">
        <v>0</v>
      </c>
      <c r="AK323" s="411">
        <v>0</v>
      </c>
      <c r="AL323" s="411">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v>0</v>
      </c>
    </row>
    <row r="327" spans="1:39"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v>0</v>
      </c>
      <c r="AG327" s="411">
        <v>0</v>
      </c>
      <c r="AH327" s="411">
        <v>0</v>
      </c>
      <c r="AI327" s="411">
        <v>0</v>
      </c>
      <c r="AJ327" s="411">
        <v>0</v>
      </c>
      <c r="AK327" s="411">
        <v>0</v>
      </c>
      <c r="AL327" s="411">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v>0</v>
      </c>
    </row>
    <row r="330" spans="1:39"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v>0</v>
      </c>
      <c r="AG330" s="411">
        <v>0</v>
      </c>
      <c r="AH330" s="411">
        <v>0</v>
      </c>
      <c r="AI330" s="411">
        <v>0</v>
      </c>
      <c r="AJ330" s="411">
        <v>0</v>
      </c>
      <c r="AK330" s="411">
        <v>0</v>
      </c>
      <c r="AL330" s="411">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v>0</v>
      </c>
    </row>
    <row r="337" spans="1:39"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v>0</v>
      </c>
      <c r="AD337" s="411">
        <v>0</v>
      </c>
      <c r="AE337" s="411">
        <v>0</v>
      </c>
      <c r="AF337" s="411">
        <v>0</v>
      </c>
      <c r="AG337" s="411">
        <v>0</v>
      </c>
      <c r="AH337" s="411">
        <v>0</v>
      </c>
      <c r="AI337" s="411">
        <v>0</v>
      </c>
      <c r="AJ337" s="411">
        <v>0</v>
      </c>
      <c r="AK337" s="411">
        <v>0</v>
      </c>
      <c r="AL337" s="411">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v>0</v>
      </c>
    </row>
    <row r="340" spans="1:39"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v>0</v>
      </c>
      <c r="AG340" s="411">
        <v>0</v>
      </c>
      <c r="AH340" s="411">
        <v>0</v>
      </c>
      <c r="AI340" s="411">
        <v>0</v>
      </c>
      <c r="AJ340" s="411">
        <v>0</v>
      </c>
      <c r="AK340" s="411">
        <v>0</v>
      </c>
      <c r="AL340" s="411">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v>0</v>
      </c>
    </row>
    <row r="343" spans="1:39"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v>0</v>
      </c>
      <c r="AK343" s="411">
        <v>0</v>
      </c>
      <c r="AL343" s="411">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v>0</v>
      </c>
    </row>
    <row r="346" spans="1:39"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v>0</v>
      </c>
      <c r="AK346" s="411">
        <v>0</v>
      </c>
      <c r="AL346" s="411">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v>0</v>
      </c>
    </row>
    <row r="349" spans="1:39"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v>0</v>
      </c>
      <c r="AK349" s="411">
        <v>0</v>
      </c>
      <c r="AL349" s="411">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v>0</v>
      </c>
    </row>
    <row r="352" spans="1:39"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v>0</v>
      </c>
      <c r="AK352" s="411">
        <v>0</v>
      </c>
      <c r="AL352" s="411">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v>0</v>
      </c>
      <c r="AK355" s="411">
        <v>0</v>
      </c>
      <c r="AL355" s="411">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v>0</v>
      </c>
    </row>
    <row r="358" spans="1:39"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v>0</v>
      </c>
      <c r="AK358" s="411">
        <v>0</v>
      </c>
      <c r="AL358" s="411">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v>0</v>
      </c>
    </row>
    <row r="361" spans="1:39"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v>0</v>
      </c>
      <c r="AK361" s="411">
        <v>0</v>
      </c>
      <c r="AL361" s="411">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v>0</v>
      </c>
    </row>
    <row r="364" spans="1:39"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v>0</v>
      </c>
      <c r="AK364" s="411">
        <v>0</v>
      </c>
      <c r="AL364" s="411">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v>0</v>
      </c>
    </row>
    <row r="367" spans="1:39"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v>0</v>
      </c>
      <c r="AK367" s="411">
        <v>0</v>
      </c>
      <c r="AL367" s="411">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v>0</v>
      </c>
    </row>
    <row r="370" spans="1:42"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v>0</v>
      </c>
      <c r="AK370" s="411">
        <v>0</v>
      </c>
      <c r="AL370" s="411">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v>0</v>
      </c>
    </row>
    <row r="373" spans="1:42"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v>0</v>
      </c>
      <c r="AK373" s="411">
        <v>0</v>
      </c>
      <c r="AL373" s="411">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v>0</v>
      </c>
    </row>
    <row r="376" spans="1:42"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2244099.4157902785</v>
      </c>
      <c r="E378" s="329"/>
      <c r="F378" s="329"/>
      <c r="G378" s="329"/>
      <c r="H378" s="329"/>
      <c r="I378" s="329"/>
      <c r="J378" s="329"/>
      <c r="K378" s="329"/>
      <c r="L378" s="329"/>
      <c r="M378" s="329"/>
      <c r="N378" s="329"/>
      <c r="O378" s="329">
        <f>SUM(O221:O376)</f>
        <v>347.56905014348632</v>
      </c>
      <c r="P378" s="329"/>
      <c r="Q378" s="329"/>
      <c r="R378" s="329"/>
      <c r="S378" s="329"/>
      <c r="T378" s="329"/>
      <c r="U378" s="329"/>
      <c r="V378" s="329"/>
      <c r="W378" s="329"/>
      <c r="X378" s="329"/>
      <c r="Y378" s="329">
        <f>IF(Y219="kWh",SUMPRODUCT(D221:D376,Y221:Y376))</f>
        <v>870335.22608310683</v>
      </c>
      <c r="Z378" s="329">
        <f>IF(Z219="kWh",SUMPRODUCT(D221:D376,Z221:Z376))</f>
        <v>168852.27000159633</v>
      </c>
      <c r="AA378" s="329">
        <f>IF(AA219="kw",SUMPRODUCT(N221:N376,O221:O376,AA221:AA376),SUMPRODUCT(D221:D376,AA221:AA376))</f>
        <v>2770.5209667602167</v>
      </c>
      <c r="AB378" s="329">
        <f>IF(AB219="kw",SUMPRODUCT(N221:N376,O221:O376,AB221:AB376),SUMPRODUCT(D221:D376,AB221:AB376))</f>
        <v>0</v>
      </c>
      <c r="AC378" s="329">
        <f>IF(AC219="kw",SUMPRODUCT(N221:N376,O221:O376,AC221:AC376),SUMPRODUCT(D221:D376,AC221:AC376))</f>
        <v>145.87359739133944</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1219155</v>
      </c>
      <c r="Z379" s="392">
        <f>HLOOKUP(Z218,'2. LRAMVA Threshold'!$B$42:$Q$53,8,FALSE)</f>
        <v>658151</v>
      </c>
      <c r="AA379" s="392">
        <f>HLOOKUP(AA218,'2. LRAMVA Threshold'!$B$42:$Q$53,8,FALSE)</f>
        <v>3236</v>
      </c>
      <c r="AB379" s="392">
        <f>HLOOKUP(AB218,'2. LRAMVA Threshold'!$B$42:$Q$53,8,FALSE)</f>
        <v>2</v>
      </c>
      <c r="AC379" s="392">
        <f>HLOOKUP(AC218,'2. LRAMVA Threshold'!$B$42:$Q$53,8,FALSE)</f>
        <v>81</v>
      </c>
      <c r="AD379" s="392">
        <f>HLOOKUP(AD218,'2. LRAMVA Threshold'!$B$42:$Q$53,8,FALSE)</f>
        <v>1714</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1.2500000000000001E-2</v>
      </c>
      <c r="Z381" s="341">
        <f>HLOOKUP(Z$35,'3.  Distribution Rates'!$C$122:$P$133,8,FALSE)</f>
        <v>8.9999999999999993E-3</v>
      </c>
      <c r="AA381" s="341">
        <f>HLOOKUP(AA$35,'3.  Distribution Rates'!$C$122:$P$133,8,FALSE)</f>
        <v>2.8079999999999998</v>
      </c>
      <c r="AB381" s="341">
        <f>HLOOKUP(AB$35,'3.  Distribution Rates'!$C$122:$P$133,8,FALSE)</f>
        <v>21.9864</v>
      </c>
      <c r="AC381" s="341">
        <f>HLOOKUP(AC$35,'3.  Distribution Rates'!$C$122:$P$133,8,FALSE)</f>
        <v>16.0291</v>
      </c>
      <c r="AD381" s="341">
        <f>HLOOKUP(AD$35,'3.  Distribution Rates'!$C$122:$P$133,8,FALSE)</f>
        <v>5.7999999999999996E-3</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1402.5758325660411</v>
      </c>
      <c r="Z382" s="378">
        <f>'4.  2011-2014 LRAM'!Z139*Z381</f>
        <v>2195.2539855078171</v>
      </c>
      <c r="AA382" s="378">
        <f>'4.  2011-2014 LRAM'!AA139*AA381</f>
        <v>403.08954556939636</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4000.9193636432547</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1250.8044775535566</v>
      </c>
      <c r="Z383" s="378">
        <f>'4.  2011-2014 LRAM'!Z268*Z381</f>
        <v>6016.93345709189</v>
      </c>
      <c r="AA383" s="378">
        <f>'4.  2011-2014 LRAM'!AA268*AA381</f>
        <v>2236.8221116345312</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9504.5600462799775</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2154.3230348963866</v>
      </c>
      <c r="Z384" s="378">
        <f>'4.  2011-2014 LRAM'!Z397*Z381</f>
        <v>3223.0857858733575</v>
      </c>
      <c r="AA384" s="378">
        <f>'4.  2011-2014 LRAM'!AA397*AA381</f>
        <v>613.1289182827536</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5990.5377390524973</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4083.098487474354</v>
      </c>
      <c r="Z385" s="378">
        <f>'4.  2011-2014 LRAM'!Z527*Z381</f>
        <v>5810.5120202999997</v>
      </c>
      <c r="AA385" s="378">
        <f>'4.  2011-2014 LRAM'!AA527*AA381</f>
        <v>4080.5622068889602</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5">SUM(Y385:AL385)</f>
        <v>13974.172714663315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6">Y208*Y381</f>
        <v>6837.4488725437468</v>
      </c>
      <c r="Z386" s="378">
        <f t="shared" si="6"/>
        <v>16173.841566359042</v>
      </c>
      <c r="AA386" s="378">
        <f t="shared" si="6"/>
        <v>6549.015882018808</v>
      </c>
      <c r="AB386" s="378">
        <f t="shared" si="6"/>
        <v>0</v>
      </c>
      <c r="AC386" s="378">
        <f t="shared" si="6"/>
        <v>1132.879344379292</v>
      </c>
      <c r="AD386" s="378">
        <f t="shared" si="6"/>
        <v>368.84998607641859</v>
      </c>
      <c r="AE386" s="378">
        <f t="shared" si="6"/>
        <v>0</v>
      </c>
      <c r="AF386" s="378">
        <f t="shared" si="6"/>
        <v>0</v>
      </c>
      <c r="AG386" s="378">
        <f t="shared" si="6"/>
        <v>0</v>
      </c>
      <c r="AH386" s="378">
        <f t="shared" si="6"/>
        <v>0</v>
      </c>
      <c r="AI386" s="378">
        <f t="shared" si="6"/>
        <v>0</v>
      </c>
      <c r="AJ386" s="378">
        <f t="shared" si="6"/>
        <v>0</v>
      </c>
      <c r="AK386" s="378">
        <f t="shared" si="6"/>
        <v>0</v>
      </c>
      <c r="AL386" s="378">
        <f t="shared" si="6"/>
        <v>0</v>
      </c>
      <c r="AM386" s="629">
        <f t="shared" si="5"/>
        <v>31062.035651377308</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10879.190326038835</v>
      </c>
      <c r="Z387" s="378">
        <f t="shared" ref="Z387:AL387" si="7">Z378*Z381</f>
        <v>1519.670430014367</v>
      </c>
      <c r="AA387" s="378">
        <f t="shared" si="7"/>
        <v>7779.6228746626875</v>
      </c>
      <c r="AB387" s="378">
        <f t="shared" si="7"/>
        <v>0</v>
      </c>
      <c r="AC387" s="378">
        <f t="shared" si="7"/>
        <v>2338.2224799455189</v>
      </c>
      <c r="AD387" s="378">
        <f t="shared" si="7"/>
        <v>0</v>
      </c>
      <c r="AE387" s="378">
        <f t="shared" si="7"/>
        <v>0</v>
      </c>
      <c r="AF387" s="378">
        <f t="shared" si="7"/>
        <v>0</v>
      </c>
      <c r="AG387" s="378">
        <f t="shared" si="7"/>
        <v>0</v>
      </c>
      <c r="AH387" s="378">
        <f t="shared" si="7"/>
        <v>0</v>
      </c>
      <c r="AI387" s="378">
        <f t="shared" si="7"/>
        <v>0</v>
      </c>
      <c r="AJ387" s="378">
        <f t="shared" si="7"/>
        <v>0</v>
      </c>
      <c r="AK387" s="378">
        <f t="shared" si="7"/>
        <v>0</v>
      </c>
      <c r="AL387" s="378">
        <f t="shared" si="7"/>
        <v>0</v>
      </c>
      <c r="AM387" s="629">
        <f t="shared" si="5"/>
        <v>22516.706110661409</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26607.441031072922</v>
      </c>
      <c r="Z388" s="346">
        <f t="shared" ref="Z388:AE388" si="8">SUM(Z382:Z387)</f>
        <v>34939.297245146474</v>
      </c>
      <c r="AA388" s="346">
        <f t="shared" si="8"/>
        <v>21662.241539057137</v>
      </c>
      <c r="AB388" s="346">
        <f t="shared" si="8"/>
        <v>0</v>
      </c>
      <c r="AC388" s="346">
        <f t="shared" si="8"/>
        <v>3471.1018243248109</v>
      </c>
      <c r="AD388" s="346">
        <f t="shared" si="8"/>
        <v>368.84998607641859</v>
      </c>
      <c r="AE388" s="346">
        <f t="shared" si="8"/>
        <v>0</v>
      </c>
      <c r="AF388" s="346">
        <f>SUM(AF382:AF387)</f>
        <v>0</v>
      </c>
      <c r="AG388" s="346">
        <f t="shared" ref="AG388:AL388" si="9">SUM(AG382:AG387)</f>
        <v>0</v>
      </c>
      <c r="AH388" s="346">
        <f t="shared" si="9"/>
        <v>0</v>
      </c>
      <c r="AI388" s="346">
        <f t="shared" si="9"/>
        <v>0</v>
      </c>
      <c r="AJ388" s="346">
        <f t="shared" si="9"/>
        <v>0</v>
      </c>
      <c r="AK388" s="346">
        <f t="shared" si="9"/>
        <v>0</v>
      </c>
      <c r="AL388" s="346">
        <f t="shared" si="9"/>
        <v>0</v>
      </c>
      <c r="AM388" s="407">
        <f>SUM(AM382:AM387)</f>
        <v>87048.931625677753</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15239.4375</v>
      </c>
      <c r="Z389" s="347">
        <f t="shared" ref="Z389:AE389" si="10">Z379*Z381</f>
        <v>5923.3589999999995</v>
      </c>
      <c r="AA389" s="347">
        <f t="shared" si="10"/>
        <v>9086.6880000000001</v>
      </c>
      <c r="AB389" s="347">
        <f t="shared" si="10"/>
        <v>43.972799999999999</v>
      </c>
      <c r="AC389" s="347">
        <f t="shared" si="10"/>
        <v>1298.3570999999999</v>
      </c>
      <c r="AD389" s="347">
        <f t="shared" si="10"/>
        <v>9.9411999999999985</v>
      </c>
      <c r="AE389" s="347">
        <f t="shared" si="10"/>
        <v>0</v>
      </c>
      <c r="AF389" s="347">
        <f>AF379*AF381</f>
        <v>0</v>
      </c>
      <c r="AG389" s="347">
        <f t="shared" ref="AG389:AL389" si="11">AG379*AG381</f>
        <v>0</v>
      </c>
      <c r="AH389" s="347">
        <f t="shared" si="11"/>
        <v>0</v>
      </c>
      <c r="AI389" s="347">
        <f t="shared" si="11"/>
        <v>0</v>
      </c>
      <c r="AJ389" s="347">
        <f t="shared" si="11"/>
        <v>0</v>
      </c>
      <c r="AK389" s="347">
        <f t="shared" si="11"/>
        <v>0</v>
      </c>
      <c r="AL389" s="347">
        <f t="shared" si="11"/>
        <v>0</v>
      </c>
      <c r="AM389" s="407">
        <f>SUM(Y389:AL389)</f>
        <v>31601.7556</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55447.176025677749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870382.1553818367</v>
      </c>
      <c r="Z392" s="291">
        <f>SUMPRODUCT(E221:E376,Z221:Z376)</f>
        <v>168955.51445880177</v>
      </c>
      <c r="AA392" s="291">
        <f t="shared" ref="AA392:AL392" si="12">IF(AA219="kw",SUMPRODUCT($N$221:$N$376,$P$221:$P$376,AA221:AA376),SUMPRODUCT($E$221:$E$376,AA221:AA376))</f>
        <v>2777.974386352299</v>
      </c>
      <c r="AB392" s="291">
        <f t="shared" si="12"/>
        <v>0</v>
      </c>
      <c r="AC392" s="291">
        <f t="shared" si="12"/>
        <v>146.29548906636302</v>
      </c>
      <c r="AD392" s="291">
        <f t="shared" si="12"/>
        <v>0</v>
      </c>
      <c r="AE392" s="291">
        <f t="shared" si="12"/>
        <v>0</v>
      </c>
      <c r="AF392" s="291">
        <f t="shared" si="12"/>
        <v>0</v>
      </c>
      <c r="AG392" s="291">
        <f t="shared" si="12"/>
        <v>0</v>
      </c>
      <c r="AH392" s="291">
        <f t="shared" si="12"/>
        <v>0</v>
      </c>
      <c r="AI392" s="291">
        <f t="shared" si="12"/>
        <v>0</v>
      </c>
      <c r="AJ392" s="291">
        <f t="shared" si="12"/>
        <v>0</v>
      </c>
      <c r="AK392" s="291">
        <f t="shared" si="12"/>
        <v>0</v>
      </c>
      <c r="AL392" s="291">
        <f t="shared" si="12"/>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870386.49037099956</v>
      </c>
      <c r="Z393" s="291">
        <f>SUMPRODUCT(F221:F376,Z221:Z376)</f>
        <v>168965.0514349601</v>
      </c>
      <c r="AA393" s="291">
        <f t="shared" ref="AA393:AL393" si="13">IF(AA219="kw",SUMPRODUCT($N$221:$N$376,$Q$221:$Q$376,AA221:AA376),SUMPRODUCT($F$221:$F$376,AA221:AA376))</f>
        <v>2778.336764445799</v>
      </c>
      <c r="AB393" s="291">
        <f t="shared" si="13"/>
        <v>0</v>
      </c>
      <c r="AC393" s="291">
        <f t="shared" si="13"/>
        <v>146.3160010339196</v>
      </c>
      <c r="AD393" s="291">
        <f t="shared" si="13"/>
        <v>0</v>
      </c>
      <c r="AE393" s="291">
        <f t="shared" si="13"/>
        <v>0</v>
      </c>
      <c r="AF393" s="291">
        <f t="shared" si="13"/>
        <v>0</v>
      </c>
      <c r="AG393" s="291">
        <f t="shared" si="13"/>
        <v>0</v>
      </c>
      <c r="AH393" s="291">
        <f t="shared" si="13"/>
        <v>0</v>
      </c>
      <c r="AI393" s="291">
        <f t="shared" si="13"/>
        <v>0</v>
      </c>
      <c r="AJ393" s="291">
        <f t="shared" si="13"/>
        <v>0</v>
      </c>
      <c r="AK393" s="291">
        <f t="shared" si="13"/>
        <v>0</v>
      </c>
      <c r="AL393" s="291">
        <f t="shared" si="13"/>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870386.49037099956</v>
      </c>
      <c r="Z394" s="291">
        <f>SUMPRODUCT(G221:G376,Z221:Z376)</f>
        <v>168965.0514349601</v>
      </c>
      <c r="AA394" s="291">
        <f t="shared" ref="AA394:AL394" si="14">IF(AA219="kw",SUMPRODUCT($N$221:$N$376,$R$221:$R$376,AA221:AA376),SUMPRODUCT($G$221:$G$376,AA221:AA376))</f>
        <v>2778.336764445799</v>
      </c>
      <c r="AB394" s="291">
        <f t="shared" si="14"/>
        <v>0</v>
      </c>
      <c r="AC394" s="291">
        <f t="shared" si="14"/>
        <v>146.3160010339196</v>
      </c>
      <c r="AD394" s="291">
        <f t="shared" si="14"/>
        <v>0</v>
      </c>
      <c r="AE394" s="291">
        <f t="shared" si="14"/>
        <v>0</v>
      </c>
      <c r="AF394" s="291">
        <f t="shared" si="14"/>
        <v>0</v>
      </c>
      <c r="AG394" s="291">
        <f t="shared" si="14"/>
        <v>0</v>
      </c>
      <c r="AH394" s="291">
        <f t="shared" si="14"/>
        <v>0</v>
      </c>
      <c r="AI394" s="291">
        <f t="shared" si="14"/>
        <v>0</v>
      </c>
      <c r="AJ394" s="291">
        <f t="shared" si="14"/>
        <v>0</v>
      </c>
      <c r="AK394" s="291">
        <f t="shared" si="14"/>
        <v>0</v>
      </c>
      <c r="AL394" s="291">
        <f t="shared" si="14"/>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870386.49037099956</v>
      </c>
      <c r="Z395" s="326">
        <f>SUMPRODUCT(H221:H376,Z221:Z376)</f>
        <v>164242.33331343325</v>
      </c>
      <c r="AA395" s="326">
        <f t="shared" ref="AA395:AL395" si="15">IF(AA219="kw",SUMPRODUCT($N$221:$N$376,$S$221:$S$376,AA221:AA376),SUMPRODUCT($H$221:$H$376,AA221:AA376))</f>
        <v>2777.7780768451589</v>
      </c>
      <c r="AB395" s="326">
        <f t="shared" si="15"/>
        <v>0</v>
      </c>
      <c r="AC395" s="326">
        <f t="shared" si="15"/>
        <v>146.3160010339196</v>
      </c>
      <c r="AD395" s="326">
        <f t="shared" si="15"/>
        <v>0</v>
      </c>
      <c r="AE395" s="326">
        <f t="shared" si="15"/>
        <v>0</v>
      </c>
      <c r="AF395" s="326">
        <f t="shared" si="15"/>
        <v>0</v>
      </c>
      <c r="AG395" s="326">
        <f t="shared" si="15"/>
        <v>0</v>
      </c>
      <c r="AH395" s="326">
        <f t="shared" si="15"/>
        <v>0</v>
      </c>
      <c r="AI395" s="326">
        <f t="shared" si="15"/>
        <v>0</v>
      </c>
      <c r="AJ395" s="326">
        <f t="shared" si="15"/>
        <v>0</v>
      </c>
      <c r="AK395" s="326">
        <f t="shared" si="15"/>
        <v>0</v>
      </c>
      <c r="AL395" s="326">
        <f t="shared" si="15"/>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1035" t="s">
        <v>211</v>
      </c>
      <c r="C400" s="1037" t="s">
        <v>33</v>
      </c>
      <c r="D400" s="284" t="s">
        <v>421</v>
      </c>
      <c r="E400" s="1039" t="s">
        <v>209</v>
      </c>
      <c r="F400" s="1040"/>
      <c r="G400" s="1040"/>
      <c r="H400" s="1040"/>
      <c r="I400" s="1040"/>
      <c r="J400" s="1040"/>
      <c r="K400" s="1040"/>
      <c r="L400" s="1040"/>
      <c r="M400" s="1041"/>
      <c r="N400" s="1045" t="s">
        <v>213</v>
      </c>
      <c r="O400" s="284" t="s">
        <v>422</v>
      </c>
      <c r="P400" s="1039" t="s">
        <v>212</v>
      </c>
      <c r="Q400" s="1040"/>
      <c r="R400" s="1040"/>
      <c r="S400" s="1040"/>
      <c r="T400" s="1040"/>
      <c r="U400" s="1040"/>
      <c r="V400" s="1040"/>
      <c r="W400" s="1040"/>
      <c r="X400" s="1041"/>
      <c r="Y400" s="1042" t="s">
        <v>243</v>
      </c>
      <c r="Z400" s="1043"/>
      <c r="AA400" s="1043"/>
      <c r="AB400" s="1043"/>
      <c r="AC400" s="1043"/>
      <c r="AD400" s="1043"/>
      <c r="AE400" s="1043"/>
      <c r="AF400" s="1043"/>
      <c r="AG400" s="1043"/>
      <c r="AH400" s="1043"/>
      <c r="AI400" s="1043"/>
      <c r="AJ400" s="1043"/>
      <c r="AK400" s="1043"/>
      <c r="AL400" s="1043"/>
      <c r="AM400" s="1044"/>
    </row>
    <row r="401" spans="1:39" ht="61.5" customHeight="1">
      <c r="B401" s="1036"/>
      <c r="C401" s="1038"/>
      <c r="D401" s="285">
        <v>2017</v>
      </c>
      <c r="E401" s="285">
        <v>2018</v>
      </c>
      <c r="F401" s="285">
        <v>2019</v>
      </c>
      <c r="G401" s="285">
        <v>2020</v>
      </c>
      <c r="H401" s="285">
        <v>2021</v>
      </c>
      <c r="I401" s="285">
        <v>2022</v>
      </c>
      <c r="J401" s="285">
        <v>2023</v>
      </c>
      <c r="K401" s="285">
        <v>2024</v>
      </c>
      <c r="L401" s="285">
        <v>2025</v>
      </c>
      <c r="M401" s="285">
        <v>2026</v>
      </c>
      <c r="N401" s="1046"/>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Sentinel Lighting</v>
      </c>
      <c r="AC401" s="285" t="str">
        <f>'1.  LRAMVA Summary'!H52</f>
        <v>Street Lighting</v>
      </c>
      <c r="AD401" s="285" t="str">
        <f>'1.  LRAMVA Summary'!I52</f>
        <v>Unmetered Scattered Load</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kWh</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v>0</v>
      </c>
      <c r="AD405" s="411">
        <v>0</v>
      </c>
      <c r="AE405" s="411">
        <v>0</v>
      </c>
      <c r="AF405" s="411">
        <v>0</v>
      </c>
      <c r="AG405" s="411">
        <v>0</v>
      </c>
      <c r="AH405" s="411">
        <v>0</v>
      </c>
      <c r="AI405" s="411">
        <v>0</v>
      </c>
      <c r="AJ405" s="411">
        <v>0</v>
      </c>
      <c r="AK405" s="411">
        <v>0</v>
      </c>
      <c r="AL405" s="411">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v>0</v>
      </c>
      <c r="AD408" s="411">
        <v>0</v>
      </c>
      <c r="AE408" s="411">
        <v>0</v>
      </c>
      <c r="AF408" s="411">
        <v>0</v>
      </c>
      <c r="AG408" s="411">
        <v>0</v>
      </c>
      <c r="AH408" s="411">
        <v>0</v>
      </c>
      <c r="AI408" s="411">
        <v>0</v>
      </c>
      <c r="AJ408" s="411">
        <v>0</v>
      </c>
      <c r="AK408" s="411">
        <v>0</v>
      </c>
      <c r="AL408" s="411">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v>0</v>
      </c>
      <c r="AF411" s="411">
        <v>0</v>
      </c>
      <c r="AG411" s="411">
        <v>0</v>
      </c>
      <c r="AH411" s="411">
        <v>0</v>
      </c>
      <c r="AI411" s="411">
        <v>0</v>
      </c>
      <c r="AJ411" s="411">
        <v>0</v>
      </c>
      <c r="AK411" s="411">
        <v>0</v>
      </c>
      <c r="AL411" s="411">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672</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v>0</v>
      </c>
      <c r="AF414" s="411">
        <v>0</v>
      </c>
      <c r="AG414" s="411">
        <v>0</v>
      </c>
      <c r="AH414" s="411">
        <v>0</v>
      </c>
      <c r="AI414" s="411">
        <v>0</v>
      </c>
      <c r="AJ414" s="411">
        <v>0</v>
      </c>
      <c r="AK414" s="411">
        <v>0</v>
      </c>
      <c r="AL414" s="411">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v>0</v>
      </c>
      <c r="AF417" s="411">
        <v>0</v>
      </c>
      <c r="AG417" s="411">
        <v>0</v>
      </c>
      <c r="AH417" s="411">
        <v>0</v>
      </c>
      <c r="AI417" s="411">
        <v>0</v>
      </c>
      <c r="AJ417" s="411">
        <v>0</v>
      </c>
      <c r="AK417" s="411">
        <v>0</v>
      </c>
      <c r="AL417" s="411">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v>0</v>
      </c>
    </row>
    <row r="421" spans="1:39"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v>0</v>
      </c>
      <c r="AD421" s="411">
        <v>0</v>
      </c>
      <c r="AE421" s="411">
        <v>0</v>
      </c>
      <c r="AF421" s="411">
        <v>0</v>
      </c>
      <c r="AG421" s="411">
        <v>0</v>
      </c>
      <c r="AH421" s="411">
        <v>0</v>
      </c>
      <c r="AI421" s="411">
        <v>0</v>
      </c>
      <c r="AJ421" s="411">
        <v>0</v>
      </c>
      <c r="AK421" s="411">
        <v>0</v>
      </c>
      <c r="AL421" s="411">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v>0</v>
      </c>
    </row>
    <row r="424" spans="1:39"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v>0</v>
      </c>
      <c r="AH424" s="411">
        <v>0</v>
      </c>
      <c r="AI424" s="411">
        <v>0</v>
      </c>
      <c r="AJ424" s="411">
        <v>0</v>
      </c>
      <c r="AK424" s="411">
        <v>0</v>
      </c>
      <c r="AL424" s="411">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v>0</v>
      </c>
    </row>
    <row r="427" spans="1:39"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v>0</v>
      </c>
      <c r="AH427" s="411">
        <v>0</v>
      </c>
      <c r="AI427" s="411">
        <v>0</v>
      </c>
      <c r="AJ427" s="411">
        <v>0</v>
      </c>
      <c r="AK427" s="411">
        <v>0</v>
      </c>
      <c r="AL427" s="411">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v>0</v>
      </c>
    </row>
    <row r="430" spans="1:39"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v>0</v>
      </c>
    </row>
    <row r="433" spans="1:40"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v>0</v>
      </c>
      <c r="AD433" s="411">
        <v>0</v>
      </c>
      <c r="AE433" s="411">
        <v>0</v>
      </c>
      <c r="AF433" s="411">
        <v>0</v>
      </c>
      <c r="AG433" s="411">
        <v>0</v>
      </c>
      <c r="AH433" s="411">
        <v>0</v>
      </c>
      <c r="AI433" s="411">
        <v>0</v>
      </c>
      <c r="AJ433" s="411">
        <v>0</v>
      </c>
      <c r="AK433" s="411">
        <v>0</v>
      </c>
      <c r="AL433" s="411">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v>0</v>
      </c>
    </row>
    <row r="437" spans="1:40"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v>0</v>
      </c>
      <c r="AE437" s="411">
        <v>0</v>
      </c>
      <c r="AF437" s="411">
        <v>0</v>
      </c>
      <c r="AG437" s="411">
        <v>0</v>
      </c>
      <c r="AH437" s="411">
        <v>0</v>
      </c>
      <c r="AI437" s="411">
        <v>0</v>
      </c>
      <c r="AJ437" s="411">
        <v>0</v>
      </c>
      <c r="AK437" s="411">
        <v>0</v>
      </c>
      <c r="AL437" s="411">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v>0</v>
      </c>
    </row>
    <row r="440" spans="1:40"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v>0</v>
      </c>
      <c r="AD440" s="411">
        <v>0</v>
      </c>
      <c r="AE440" s="411">
        <v>0</v>
      </c>
      <c r="AF440" s="411">
        <v>0</v>
      </c>
      <c r="AG440" s="411">
        <v>0</v>
      </c>
      <c r="AH440" s="411">
        <v>0</v>
      </c>
      <c r="AI440" s="411">
        <v>0</v>
      </c>
      <c r="AJ440" s="411">
        <v>0</v>
      </c>
      <c r="AK440" s="411">
        <v>0</v>
      </c>
      <c r="AL440" s="411">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v>0</v>
      </c>
    </row>
    <row r="443" spans="1:40"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v>0</v>
      </c>
    </row>
    <row r="447" spans="1:40"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v>0</v>
      </c>
      <c r="AD447" s="411">
        <v>0</v>
      </c>
      <c r="AE447" s="411">
        <v>0</v>
      </c>
      <c r="AF447" s="411">
        <v>0</v>
      </c>
      <c r="AG447" s="411">
        <v>0</v>
      </c>
      <c r="AH447" s="411">
        <v>0</v>
      </c>
      <c r="AI447" s="411">
        <v>0</v>
      </c>
      <c r="AJ447" s="411">
        <v>0</v>
      </c>
      <c r="AK447" s="411">
        <v>0</v>
      </c>
      <c r="AL447" s="411">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v>0</v>
      </c>
    </row>
    <row r="451" spans="1:40"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v>0</v>
      </c>
      <c r="AD451" s="411">
        <v>0</v>
      </c>
      <c r="AE451" s="411">
        <v>0</v>
      </c>
      <c r="AF451" s="411">
        <v>0</v>
      </c>
      <c r="AG451" s="411">
        <v>0</v>
      </c>
      <c r="AH451" s="411">
        <v>0</v>
      </c>
      <c r="AI451" s="411">
        <v>0</v>
      </c>
      <c r="AJ451" s="411">
        <v>0</v>
      </c>
      <c r="AK451" s="411">
        <v>0</v>
      </c>
      <c r="AL451" s="411">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v>0</v>
      </c>
    </row>
    <row r="454" spans="1:40" s="283" customFormat="1"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v>0</v>
      </c>
      <c r="AD454" s="411">
        <v>0</v>
      </c>
      <c r="AE454" s="411">
        <v>0</v>
      </c>
      <c r="AF454" s="411">
        <v>0</v>
      </c>
      <c r="AG454" s="411">
        <v>0</v>
      </c>
      <c r="AH454" s="411">
        <v>0</v>
      </c>
      <c r="AI454" s="411">
        <v>0</v>
      </c>
      <c r="AJ454" s="411">
        <v>0</v>
      </c>
      <c r="AK454" s="411">
        <v>0</v>
      </c>
      <c r="AL454" s="411">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v>0</v>
      </c>
    </row>
    <row r="458" spans="1:40" outlineLevel="1">
      <c r="A458" s="532"/>
      <c r="B458" s="431"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v>0</v>
      </c>
      <c r="AD458" s="411">
        <v>0</v>
      </c>
      <c r="AE458" s="411">
        <v>0</v>
      </c>
      <c r="AF458" s="411">
        <v>0</v>
      </c>
      <c r="AG458" s="411">
        <v>0</v>
      </c>
      <c r="AH458" s="411">
        <v>0</v>
      </c>
      <c r="AI458" s="411">
        <v>0</v>
      </c>
      <c r="AJ458" s="411">
        <v>0</v>
      </c>
      <c r="AK458" s="411">
        <v>0</v>
      </c>
      <c r="AL458" s="411">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v>0</v>
      </c>
    </row>
    <row r="461" spans="1:40" outlineLevel="1">
      <c r="A461" s="532"/>
      <c r="B461" s="431"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v>0</v>
      </c>
      <c r="AD461" s="411">
        <v>0</v>
      </c>
      <c r="AE461" s="411">
        <v>0</v>
      </c>
      <c r="AF461" s="411">
        <v>0</v>
      </c>
      <c r="AG461" s="411">
        <v>0</v>
      </c>
      <c r="AH461" s="411">
        <v>0</v>
      </c>
      <c r="AI461" s="411">
        <v>0</v>
      </c>
      <c r="AJ461" s="411">
        <v>0</v>
      </c>
      <c r="AK461" s="411">
        <v>0</v>
      </c>
      <c r="AL461" s="411">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v>0</v>
      </c>
    </row>
    <row r="464" spans="1:40" outlineLevel="1">
      <c r="A464" s="532"/>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v>0</v>
      </c>
      <c r="AF464" s="411">
        <v>0</v>
      </c>
      <c r="AG464" s="411">
        <v>0</v>
      </c>
      <c r="AH464" s="411">
        <v>0</v>
      </c>
      <c r="AI464" s="411">
        <v>0</v>
      </c>
      <c r="AJ464" s="411">
        <v>0</v>
      </c>
      <c r="AK464" s="411">
        <v>0</v>
      </c>
      <c r="AL464" s="411">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v>0</v>
      </c>
    </row>
    <row r="467" spans="1:39" outlineLevel="1">
      <c r="A467" s="532"/>
      <c r="B467" s="431"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v>0</v>
      </c>
      <c r="AD467" s="411">
        <v>0</v>
      </c>
      <c r="AE467" s="411">
        <v>0</v>
      </c>
      <c r="AF467" s="411">
        <v>0</v>
      </c>
      <c r="AG467" s="411">
        <v>0</v>
      </c>
      <c r="AH467" s="411">
        <v>0</v>
      </c>
      <c r="AI467" s="411">
        <v>0</v>
      </c>
      <c r="AJ467" s="411">
        <v>0</v>
      </c>
      <c r="AK467" s="411">
        <v>0</v>
      </c>
      <c r="AL467" s="41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640272.05000000005</v>
      </c>
      <c r="E471" s="295">
        <v>640272.04533788597</v>
      </c>
      <c r="F471" s="295">
        <v>640272.04533788597</v>
      </c>
      <c r="G471" s="295">
        <v>640272.04533788597</v>
      </c>
      <c r="H471" s="295">
        <v>640272.04533788597</v>
      </c>
      <c r="I471" s="295">
        <v>640272.04533788597</v>
      </c>
      <c r="J471" s="295">
        <v>640272.04533788597</v>
      </c>
      <c r="K471" s="295">
        <v>640265.36866711301</v>
      </c>
      <c r="L471" s="295">
        <v>640265.36866711301</v>
      </c>
      <c r="M471" s="295">
        <v>638677.65325485321</v>
      </c>
      <c r="N471" s="291"/>
      <c r="O471" s="295">
        <v>44.75</v>
      </c>
      <c r="P471" s="295">
        <v>44.745928934980917</v>
      </c>
      <c r="Q471" s="295">
        <v>44.745928934980917</v>
      </c>
      <c r="R471" s="295">
        <v>44.745928934980917</v>
      </c>
      <c r="S471" s="295">
        <v>44.745928934980917</v>
      </c>
      <c r="T471" s="295">
        <v>44.745928934980917</v>
      </c>
      <c r="U471" s="295">
        <v>44.745928934980917</v>
      </c>
      <c r="V471" s="295">
        <v>44.745261267903622</v>
      </c>
      <c r="W471" s="295">
        <v>44.745261267903622</v>
      </c>
      <c r="X471" s="295">
        <v>44.638814127153651</v>
      </c>
      <c r="Y471" s="410">
        <v>1</v>
      </c>
      <c r="Z471" s="410"/>
      <c r="AA471" s="410"/>
      <c r="AB471" s="410"/>
      <c r="AC471" s="410"/>
      <c r="AD471" s="410"/>
      <c r="AE471" s="410"/>
      <c r="AF471" s="410"/>
      <c r="AG471" s="410"/>
      <c r="AH471" s="410"/>
      <c r="AI471" s="410"/>
      <c r="AJ471" s="410"/>
      <c r="AK471" s="410"/>
      <c r="AL471" s="410"/>
      <c r="AM471" s="296">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v>0</v>
      </c>
      <c r="AD472" s="411">
        <v>0</v>
      </c>
      <c r="AE472" s="411">
        <v>0</v>
      </c>
      <c r="AF472" s="411">
        <v>0</v>
      </c>
      <c r="AG472" s="411">
        <v>0</v>
      </c>
      <c r="AH472" s="411">
        <v>0</v>
      </c>
      <c r="AI472" s="411">
        <v>0</v>
      </c>
      <c r="AJ472" s="411">
        <v>0</v>
      </c>
      <c r="AK472" s="411">
        <v>0</v>
      </c>
      <c r="AL472" s="411">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65573.59</v>
      </c>
      <c r="E474" s="295">
        <v>65573.58500000005</v>
      </c>
      <c r="F474" s="295">
        <v>65573.58500000005</v>
      </c>
      <c r="G474" s="295">
        <v>65573.58500000005</v>
      </c>
      <c r="H474" s="295">
        <v>65573.58500000005</v>
      </c>
      <c r="I474" s="295">
        <v>65573.58500000005</v>
      </c>
      <c r="J474" s="295">
        <v>65573.58500000005</v>
      </c>
      <c r="K474" s="295">
        <v>65573.58500000005</v>
      </c>
      <c r="L474" s="295">
        <v>65573.58500000005</v>
      </c>
      <c r="M474" s="295">
        <v>65573.58500000005</v>
      </c>
      <c r="N474" s="291"/>
      <c r="O474" s="295">
        <v>16.7</v>
      </c>
      <c r="P474" s="295">
        <v>16.701300000000018</v>
      </c>
      <c r="Q474" s="295">
        <v>16.701300000000018</v>
      </c>
      <c r="R474" s="295">
        <v>16.701300000000018</v>
      </c>
      <c r="S474" s="295">
        <v>16.701300000000018</v>
      </c>
      <c r="T474" s="295">
        <v>16.701300000000018</v>
      </c>
      <c r="U474" s="295">
        <v>16.701300000000018</v>
      </c>
      <c r="V474" s="295">
        <v>16.701300000000018</v>
      </c>
      <c r="W474" s="295">
        <v>16.701300000000018</v>
      </c>
      <c r="X474" s="295">
        <v>16.701300000000018</v>
      </c>
      <c r="Y474" s="410">
        <v>1</v>
      </c>
      <c r="Z474" s="410"/>
      <c r="AA474" s="410"/>
      <c r="AB474" s="410"/>
      <c r="AC474" s="410"/>
      <c r="AD474" s="410"/>
      <c r="AE474" s="410"/>
      <c r="AF474" s="410"/>
      <c r="AG474" s="410"/>
      <c r="AH474" s="410"/>
      <c r="AI474" s="410"/>
      <c r="AJ474" s="410"/>
      <c r="AK474" s="410"/>
      <c r="AL474" s="410"/>
      <c r="AM474" s="296">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v>0</v>
      </c>
      <c r="AD475" s="411">
        <v>0</v>
      </c>
      <c r="AE475" s="411">
        <v>0</v>
      </c>
      <c r="AF475" s="411">
        <v>0</v>
      </c>
      <c r="AG475" s="411">
        <v>0</v>
      </c>
      <c r="AH475" s="411">
        <v>0</v>
      </c>
      <c r="AI475" s="411">
        <v>0</v>
      </c>
      <c r="AJ475" s="411">
        <v>0</v>
      </c>
      <c r="AK475" s="411">
        <v>0</v>
      </c>
      <c r="AL475" s="411">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v>0</v>
      </c>
      <c r="AD478" s="411">
        <v>0</v>
      </c>
      <c r="AE478" s="411">
        <v>0</v>
      </c>
      <c r="AF478" s="411">
        <v>0</v>
      </c>
      <c r="AG478" s="411">
        <v>0</v>
      </c>
      <c r="AH478" s="411">
        <v>0</v>
      </c>
      <c r="AI478" s="411">
        <v>0</v>
      </c>
      <c r="AJ478" s="411">
        <v>0</v>
      </c>
      <c r="AK478" s="411">
        <v>0</v>
      </c>
      <c r="AL478" s="411">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33537.03</v>
      </c>
      <c r="E480" s="295">
        <v>33537.033676500003</v>
      </c>
      <c r="F480" s="295">
        <v>33537.033676500003</v>
      </c>
      <c r="G480" s="295">
        <v>33537.033676500003</v>
      </c>
      <c r="H480" s="295">
        <v>33537.033676500003</v>
      </c>
      <c r="I480" s="295">
        <v>33537.033676500003</v>
      </c>
      <c r="J480" s="295">
        <v>33537.033676500003</v>
      </c>
      <c r="K480" s="295">
        <v>33537.033676500003</v>
      </c>
      <c r="L480" s="295">
        <v>33537.033676500003</v>
      </c>
      <c r="M480" s="295">
        <v>33537.033676500003</v>
      </c>
      <c r="N480" s="291"/>
      <c r="O480" s="295">
        <v>4.66</v>
      </c>
      <c r="P480" s="295">
        <v>4.6557283000000025</v>
      </c>
      <c r="Q480" s="295">
        <v>4.6557283000000025</v>
      </c>
      <c r="R480" s="295">
        <v>4.6557283000000025</v>
      </c>
      <c r="S480" s="295">
        <v>4.6557283000000025</v>
      </c>
      <c r="T480" s="295">
        <v>4.6557283000000025</v>
      </c>
      <c r="U480" s="295">
        <v>4.6557283000000025</v>
      </c>
      <c r="V480" s="295">
        <v>4.6557283000000025</v>
      </c>
      <c r="W480" s="295">
        <v>4.6557283000000025</v>
      </c>
      <c r="X480" s="295">
        <v>4.6557283000000025</v>
      </c>
      <c r="Y480" s="410">
        <v>1</v>
      </c>
      <c r="Z480" s="410"/>
      <c r="AA480" s="410"/>
      <c r="AB480" s="410"/>
      <c r="AC480" s="410"/>
      <c r="AD480" s="410"/>
      <c r="AE480" s="410"/>
      <c r="AF480" s="410"/>
      <c r="AG480" s="410"/>
      <c r="AH480" s="410"/>
      <c r="AI480" s="410"/>
      <c r="AJ480" s="410"/>
      <c r="AK480" s="410"/>
      <c r="AL480" s="410"/>
      <c r="AM480" s="296">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v>0</v>
      </c>
      <c r="AF481" s="411">
        <v>0</v>
      </c>
      <c r="AG481" s="411">
        <v>0</v>
      </c>
      <c r="AH481" s="411">
        <v>0</v>
      </c>
      <c r="AI481" s="411">
        <v>0</v>
      </c>
      <c r="AJ481" s="411">
        <v>0</v>
      </c>
      <c r="AK481" s="411">
        <v>0</v>
      </c>
      <c r="AL481" s="411">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v>0</v>
      </c>
    </row>
    <row r="485" spans="1:39"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v>0</v>
      </c>
      <c r="AH485" s="411">
        <v>0</v>
      </c>
      <c r="AI485" s="411">
        <v>0</v>
      </c>
      <c r="AJ485" s="411">
        <v>0</v>
      </c>
      <c r="AK485" s="411">
        <v>0</v>
      </c>
      <c r="AL485" s="411">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897171.32</v>
      </c>
      <c r="E487" s="295">
        <v>897171.32444667886</v>
      </c>
      <c r="F487" s="295">
        <v>897171.32444667886</v>
      </c>
      <c r="G487" s="295">
        <v>897171.32444667886</v>
      </c>
      <c r="H487" s="295">
        <v>897171.32444667886</v>
      </c>
      <c r="I487" s="295">
        <v>733215.27240183286</v>
      </c>
      <c r="J487" s="295">
        <v>733215.27240183286</v>
      </c>
      <c r="K487" s="295">
        <v>733215.27240183286</v>
      </c>
      <c r="L487" s="295">
        <v>728349.8538705426</v>
      </c>
      <c r="M487" s="295">
        <v>728349.8538705426</v>
      </c>
      <c r="N487" s="295">
        <v>12</v>
      </c>
      <c r="O487" s="295">
        <v>210.52</v>
      </c>
      <c r="P487" s="295">
        <v>210.52195887115988</v>
      </c>
      <c r="Q487" s="295">
        <v>210.52195887115988</v>
      </c>
      <c r="R487" s="295">
        <v>210.52195887115988</v>
      </c>
      <c r="S487" s="295">
        <v>210.52195887115988</v>
      </c>
      <c r="T487" s="295">
        <v>177.42511575842917</v>
      </c>
      <c r="U487" s="295">
        <v>177.42511575842917</v>
      </c>
      <c r="V487" s="295">
        <v>177.42511575842917</v>
      </c>
      <c r="W487" s="295">
        <v>177.42511575842917</v>
      </c>
      <c r="X487" s="295">
        <v>177.42511575842917</v>
      </c>
      <c r="Y487" s="426"/>
      <c r="Z487" s="410">
        <v>0.34</v>
      </c>
      <c r="AA487" s="410">
        <v>0.66</v>
      </c>
      <c r="AB487" s="410"/>
      <c r="AC487" s="410"/>
      <c r="AD487" s="410"/>
      <c r="AE487" s="410"/>
      <c r="AF487" s="415"/>
      <c r="AG487" s="415"/>
      <c r="AH487" s="415"/>
      <c r="AI487" s="415"/>
      <c r="AJ487" s="415"/>
      <c r="AK487" s="415"/>
      <c r="AL487" s="415"/>
      <c r="AM487" s="296">
        <v>1</v>
      </c>
    </row>
    <row r="488" spans="1:39" outlineLevel="1">
      <c r="A488" s="532"/>
      <c r="B488" s="431" t="s">
        <v>308</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0.34</v>
      </c>
      <c r="AA488" s="411">
        <v>0.66</v>
      </c>
      <c r="AB488" s="411">
        <v>0</v>
      </c>
      <c r="AC488" s="411">
        <v>0</v>
      </c>
      <c r="AD488" s="411">
        <v>0</v>
      </c>
      <c r="AE488" s="411">
        <v>0</v>
      </c>
      <c r="AF488" s="411">
        <v>0</v>
      </c>
      <c r="AG488" s="411">
        <v>0</v>
      </c>
      <c r="AH488" s="411">
        <v>0</v>
      </c>
      <c r="AI488" s="411">
        <v>0</v>
      </c>
      <c r="AJ488" s="411">
        <v>0</v>
      </c>
      <c r="AK488" s="411">
        <v>0</v>
      </c>
      <c r="AL488" s="411">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408124.99</v>
      </c>
      <c r="E490" s="295">
        <v>434944.9861651751</v>
      </c>
      <c r="F490" s="295">
        <v>430973.69346661482</v>
      </c>
      <c r="G490" s="295">
        <v>408124.99248599261</v>
      </c>
      <c r="H490" s="295">
        <v>395089.8248848074</v>
      </c>
      <c r="I490" s="295">
        <v>316710.91383550718</v>
      </c>
      <c r="J490" s="295">
        <v>204169.60592639176</v>
      </c>
      <c r="K490" s="295">
        <v>148233.44671299955</v>
      </c>
      <c r="L490" s="295">
        <v>106567.91475932131</v>
      </c>
      <c r="M490" s="295">
        <v>54750.866710707407</v>
      </c>
      <c r="N490" s="295">
        <v>12</v>
      </c>
      <c r="O490" s="295">
        <v>85.81</v>
      </c>
      <c r="P490" s="295">
        <v>88.188356356426567</v>
      </c>
      <c r="Q490" s="295">
        <v>87.835887131918028</v>
      </c>
      <c r="R490" s="295">
        <v>85.807967125269599</v>
      </c>
      <c r="S490" s="295">
        <v>83.96013666144664</v>
      </c>
      <c r="T490" s="295">
        <v>72.942323510801089</v>
      </c>
      <c r="U490" s="295">
        <v>57.215651011657158</v>
      </c>
      <c r="V490" s="295">
        <v>44.916850706200776</v>
      </c>
      <c r="W490" s="295">
        <v>34.585646068875356</v>
      </c>
      <c r="X490" s="295">
        <v>20.158370675718409</v>
      </c>
      <c r="Y490" s="426"/>
      <c r="Z490" s="410">
        <v>0.96</v>
      </c>
      <c r="AA490" s="410">
        <v>0.04</v>
      </c>
      <c r="AB490" s="410"/>
      <c r="AC490" s="410"/>
      <c r="AD490" s="410"/>
      <c r="AE490" s="410"/>
      <c r="AF490" s="415"/>
      <c r="AG490" s="415"/>
      <c r="AH490" s="415"/>
      <c r="AI490" s="415"/>
      <c r="AJ490" s="415"/>
      <c r="AK490" s="415"/>
      <c r="AL490" s="415"/>
      <c r="AM490" s="296">
        <v>1</v>
      </c>
    </row>
    <row r="491" spans="1:39"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0.96</v>
      </c>
      <c r="AA491" s="411">
        <v>0.04</v>
      </c>
      <c r="AB491" s="411">
        <v>0</v>
      </c>
      <c r="AC491" s="411">
        <v>0</v>
      </c>
      <c r="AD491" s="411">
        <v>0</v>
      </c>
      <c r="AE491" s="411">
        <v>0</v>
      </c>
      <c r="AF491" s="411">
        <v>0</v>
      </c>
      <c r="AG491" s="411">
        <v>0</v>
      </c>
      <c r="AH491" s="411">
        <v>0</v>
      </c>
      <c r="AI491" s="411">
        <v>0</v>
      </c>
      <c r="AJ491" s="411">
        <v>0</v>
      </c>
      <c r="AK491" s="411">
        <v>0</v>
      </c>
      <c r="AL491" s="411">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v>0</v>
      </c>
    </row>
    <row r="494" spans="1:39"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v>0</v>
      </c>
      <c r="AF494" s="411">
        <v>0</v>
      </c>
      <c r="AG494" s="411">
        <v>0</v>
      </c>
      <c r="AH494" s="411">
        <v>0</v>
      </c>
      <c r="AI494" s="411">
        <v>0</v>
      </c>
      <c r="AJ494" s="411">
        <v>0</v>
      </c>
      <c r="AK494" s="411">
        <v>0</v>
      </c>
      <c r="AL494" s="411">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v>0</v>
      </c>
    </row>
    <row r="497" spans="1:39"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v>0</v>
      </c>
      <c r="AF497" s="411">
        <v>0</v>
      </c>
      <c r="AG497" s="411">
        <v>0</v>
      </c>
      <c r="AH497" s="411">
        <v>0</v>
      </c>
      <c r="AI497" s="411">
        <v>0</v>
      </c>
      <c r="AJ497" s="411">
        <v>0</v>
      </c>
      <c r="AK497" s="411">
        <v>0</v>
      </c>
      <c r="AL497" s="411">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v>0</v>
      </c>
    </row>
    <row r="500" spans="1:39"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v>0</v>
      </c>
      <c r="AF500" s="411">
        <v>0</v>
      </c>
      <c r="AG500" s="411">
        <v>0</v>
      </c>
      <c r="AH500" s="411">
        <v>0</v>
      </c>
      <c r="AI500" s="411">
        <v>0</v>
      </c>
      <c r="AJ500" s="411">
        <v>0</v>
      </c>
      <c r="AK500" s="411">
        <v>0</v>
      </c>
      <c r="AL500" s="411">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v>0</v>
      </c>
    </row>
    <row r="503" spans="1:39"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v>0</v>
      </c>
      <c r="AF503" s="411">
        <v>0</v>
      </c>
      <c r="AG503" s="411">
        <v>0</v>
      </c>
      <c r="AH503" s="411">
        <v>0</v>
      </c>
      <c r="AI503" s="411">
        <v>0</v>
      </c>
      <c r="AJ503" s="411">
        <v>0</v>
      </c>
      <c r="AK503" s="411">
        <v>0</v>
      </c>
      <c r="AL503" s="411">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v>3263.43</v>
      </c>
      <c r="E505" s="295">
        <v>5221.487074178619</v>
      </c>
      <c r="F505" s="295">
        <v>5221.487074178619</v>
      </c>
      <c r="G505" s="295">
        <v>3263.4294213616367</v>
      </c>
      <c r="H505" s="295">
        <v>3263.4294213616367</v>
      </c>
      <c r="I505" s="295">
        <v>3263.4294213616367</v>
      </c>
      <c r="J505" s="295">
        <v>3263.4294213616367</v>
      </c>
      <c r="K505" s="295">
        <v>3263.4294213616367</v>
      </c>
      <c r="L505" s="295">
        <v>3263.4294213616367</v>
      </c>
      <c r="M505" s="295">
        <v>3263.4294213616367</v>
      </c>
      <c r="N505" s="295">
        <v>12</v>
      </c>
      <c r="O505" s="295">
        <v>0</v>
      </c>
      <c r="P505" s="295">
        <v>0</v>
      </c>
      <c r="Q505" s="295">
        <v>0</v>
      </c>
      <c r="R505" s="295">
        <v>0</v>
      </c>
      <c r="S505" s="295">
        <v>0</v>
      </c>
      <c r="T505" s="295">
        <v>0</v>
      </c>
      <c r="U505" s="295">
        <v>0</v>
      </c>
      <c r="V505" s="295">
        <v>0</v>
      </c>
      <c r="W505" s="295">
        <v>0</v>
      </c>
      <c r="X505" s="295">
        <v>0</v>
      </c>
      <c r="Y505" s="426"/>
      <c r="Z505" s="410"/>
      <c r="AA505" s="410">
        <v>1</v>
      </c>
      <c r="AB505" s="410"/>
      <c r="AC505" s="410"/>
      <c r="AD505" s="410"/>
      <c r="AE505" s="410"/>
      <c r="AF505" s="415"/>
      <c r="AG505" s="415"/>
      <c r="AH505" s="415"/>
      <c r="AI505" s="415"/>
      <c r="AJ505" s="415"/>
      <c r="AK505" s="415"/>
      <c r="AL505" s="415"/>
      <c r="AM505" s="296">
        <v>1</v>
      </c>
    </row>
    <row r="506" spans="1:39"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1</v>
      </c>
      <c r="AB506" s="411">
        <v>0</v>
      </c>
      <c r="AC506" s="411">
        <v>0</v>
      </c>
      <c r="AD506" s="411">
        <v>0</v>
      </c>
      <c r="AE506" s="411">
        <v>0</v>
      </c>
      <c r="AF506" s="411">
        <v>0</v>
      </c>
      <c r="AG506" s="411">
        <v>0</v>
      </c>
      <c r="AH506" s="411">
        <v>0</v>
      </c>
      <c r="AI506" s="411">
        <v>0</v>
      </c>
      <c r="AJ506" s="411">
        <v>0</v>
      </c>
      <c r="AK506" s="411">
        <v>0</v>
      </c>
      <c r="AL506" s="411">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v>0</v>
      </c>
    </row>
    <row r="510" spans="1:39"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v>0</v>
      </c>
      <c r="AD510" s="411">
        <v>0</v>
      </c>
      <c r="AE510" s="411">
        <v>0</v>
      </c>
      <c r="AF510" s="411">
        <v>0</v>
      </c>
      <c r="AG510" s="411">
        <v>0</v>
      </c>
      <c r="AH510" s="411">
        <v>0</v>
      </c>
      <c r="AI510" s="411">
        <v>0</v>
      </c>
      <c r="AJ510" s="411">
        <v>0</v>
      </c>
      <c r="AK510" s="411">
        <v>0</v>
      </c>
      <c r="AL510" s="411">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v>0</v>
      </c>
    </row>
    <row r="513" spans="1:39"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v>0</v>
      </c>
      <c r="AF513" s="411">
        <v>0</v>
      </c>
      <c r="AG513" s="411">
        <v>0</v>
      </c>
      <c r="AH513" s="411">
        <v>0</v>
      </c>
      <c r="AI513" s="411">
        <v>0</v>
      </c>
      <c r="AJ513" s="411">
        <v>0</v>
      </c>
      <c r="AK513" s="411">
        <v>0</v>
      </c>
      <c r="AL513" s="411">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v>0</v>
      </c>
    </row>
    <row r="516" spans="1:39"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v>0</v>
      </c>
      <c r="AF516" s="411">
        <v>0</v>
      </c>
      <c r="AG516" s="411">
        <v>0</v>
      </c>
      <c r="AH516" s="411">
        <v>0</v>
      </c>
      <c r="AI516" s="411">
        <v>0</v>
      </c>
      <c r="AJ516" s="411">
        <v>0</v>
      </c>
      <c r="AK516" s="411">
        <v>0</v>
      </c>
      <c r="AL516" s="411">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v>542842.67000000004</v>
      </c>
      <c r="E519" s="295">
        <v>542842.66786741337</v>
      </c>
      <c r="F519" s="295">
        <v>542842.66786741337</v>
      </c>
      <c r="G519" s="295">
        <v>542842.66786741337</v>
      </c>
      <c r="H519" s="295">
        <v>542842.66786741337</v>
      </c>
      <c r="I519" s="295">
        <v>542842.66786741337</v>
      </c>
      <c r="J519" s="295">
        <v>542842.66786741337</v>
      </c>
      <c r="K519" s="295">
        <v>542832.16812982003</v>
      </c>
      <c r="L519" s="295">
        <v>542832.16812982003</v>
      </c>
      <c r="M519" s="295">
        <v>542832.16812982003</v>
      </c>
      <c r="N519" s="295">
        <v>12</v>
      </c>
      <c r="O519" s="295">
        <v>37.549999999999997</v>
      </c>
      <c r="P519" s="295">
        <v>37.546684981138917</v>
      </c>
      <c r="Q519" s="295">
        <v>37.546684981138917</v>
      </c>
      <c r="R519" s="295">
        <v>37.546684981138917</v>
      </c>
      <c r="S519" s="295">
        <v>37.546684981138917</v>
      </c>
      <c r="T519" s="295">
        <v>37.546684981138917</v>
      </c>
      <c r="U519" s="295">
        <v>37.546684981138917</v>
      </c>
      <c r="V519" s="295">
        <v>37.54563500737958</v>
      </c>
      <c r="W519" s="295">
        <v>37.54563500737958</v>
      </c>
      <c r="X519" s="295">
        <v>37.54563500737958</v>
      </c>
      <c r="Y519" s="426">
        <v>1</v>
      </c>
      <c r="Z519" s="410"/>
      <c r="AA519" s="410"/>
      <c r="AB519" s="410"/>
      <c r="AC519" s="410"/>
      <c r="AD519" s="410"/>
      <c r="AE519" s="410"/>
      <c r="AF519" s="415"/>
      <c r="AG519" s="415"/>
      <c r="AH519" s="415"/>
      <c r="AI519" s="415"/>
      <c r="AJ519" s="415"/>
      <c r="AK519" s="415"/>
      <c r="AL519" s="415"/>
      <c r="AM519" s="296">
        <v>1</v>
      </c>
    </row>
    <row r="520" spans="1:39" outlineLevel="1">
      <c r="A520" s="532"/>
      <c r="B520" s="431"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1</v>
      </c>
      <c r="Z520" s="411">
        <v>0</v>
      </c>
      <c r="AA520" s="411">
        <v>0</v>
      </c>
      <c r="AB520" s="411">
        <v>0</v>
      </c>
      <c r="AC520" s="411">
        <v>0</v>
      </c>
      <c r="AD520" s="411">
        <v>0</v>
      </c>
      <c r="AE520" s="411">
        <v>0</v>
      </c>
      <c r="AF520" s="411">
        <v>0</v>
      </c>
      <c r="AG520" s="411">
        <v>0</v>
      </c>
      <c r="AH520" s="411">
        <v>0</v>
      </c>
      <c r="AI520" s="411">
        <v>0</v>
      </c>
      <c r="AJ520" s="411">
        <v>0</v>
      </c>
      <c r="AK520" s="411">
        <v>0</v>
      </c>
      <c r="AL520" s="411">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v>4163.17</v>
      </c>
      <c r="E522" s="295">
        <v>4163.1660000000002</v>
      </c>
      <c r="F522" s="295">
        <v>4163.1660000000002</v>
      </c>
      <c r="G522" s="295">
        <v>4163.1660000000002</v>
      </c>
      <c r="H522" s="295">
        <v>4163.1660000000002</v>
      </c>
      <c r="I522" s="295">
        <v>3667.6620000000003</v>
      </c>
      <c r="J522" s="295">
        <v>3667.6620000000003</v>
      </c>
      <c r="K522" s="295">
        <v>3667.6620000000003</v>
      </c>
      <c r="L522" s="295">
        <v>3667.6620000000003</v>
      </c>
      <c r="M522" s="295">
        <v>3667.6620000000003</v>
      </c>
      <c r="N522" s="295">
        <v>12</v>
      </c>
      <c r="O522" s="295">
        <v>0.35</v>
      </c>
      <c r="P522" s="295">
        <v>0.34690747194068888</v>
      </c>
      <c r="Q522" s="295">
        <v>0.34690747194068888</v>
      </c>
      <c r="R522" s="295">
        <v>0.34690747194068888</v>
      </c>
      <c r="S522" s="295">
        <v>0.34690747194068888</v>
      </c>
      <c r="T522" s="295">
        <v>0.28175874310291465</v>
      </c>
      <c r="U522" s="295">
        <v>0.28175874310291465</v>
      </c>
      <c r="V522" s="295">
        <v>0.28175874310291465</v>
      </c>
      <c r="W522" s="295">
        <v>0.28175874310291465</v>
      </c>
      <c r="X522" s="295">
        <v>0.28175874310291465</v>
      </c>
      <c r="Y522" s="426">
        <v>1</v>
      </c>
      <c r="Z522" s="410"/>
      <c r="AA522" s="410"/>
      <c r="AB522" s="410"/>
      <c r="AC522" s="410"/>
      <c r="AD522" s="410"/>
      <c r="AE522" s="410"/>
      <c r="AF522" s="415"/>
      <c r="AG522" s="415"/>
      <c r="AH522" s="415"/>
      <c r="AI522" s="415"/>
      <c r="AJ522" s="415"/>
      <c r="AK522" s="415"/>
      <c r="AL522" s="415"/>
      <c r="AM522" s="296">
        <v>1</v>
      </c>
    </row>
    <row r="523" spans="1:39" outlineLevel="1">
      <c r="A523" s="532"/>
      <c r="B523" s="431"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1</v>
      </c>
      <c r="Z523" s="411">
        <v>0</v>
      </c>
      <c r="AA523" s="411">
        <v>0</v>
      </c>
      <c r="AB523" s="411">
        <v>0</v>
      </c>
      <c r="AC523" s="411">
        <v>0</v>
      </c>
      <c r="AD523" s="411">
        <v>0</v>
      </c>
      <c r="AE523" s="411">
        <v>0</v>
      </c>
      <c r="AF523" s="411">
        <v>0</v>
      </c>
      <c r="AG523" s="411">
        <v>0</v>
      </c>
      <c r="AH523" s="411">
        <v>0</v>
      </c>
      <c r="AI523" s="411">
        <v>0</v>
      </c>
      <c r="AJ523" s="411">
        <v>0</v>
      </c>
      <c r="AK523" s="411">
        <v>0</v>
      </c>
      <c r="AL523" s="411">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v>0</v>
      </c>
    </row>
    <row r="526" spans="1:39" outlineLevel="1">
      <c r="A526" s="532"/>
      <c r="B526" s="431"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v>0</v>
      </c>
      <c r="AD526" s="411">
        <v>0</v>
      </c>
      <c r="AE526" s="411">
        <v>0</v>
      </c>
      <c r="AF526" s="411">
        <v>0</v>
      </c>
      <c r="AG526" s="411">
        <v>0</v>
      </c>
      <c r="AH526" s="411">
        <v>0</v>
      </c>
      <c r="AI526" s="411">
        <v>0</v>
      </c>
      <c r="AJ526" s="411">
        <v>0</v>
      </c>
      <c r="AK526" s="411">
        <v>0</v>
      </c>
      <c r="AL526" s="411">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v>0</v>
      </c>
    </row>
    <row r="529" spans="1:39" outlineLevel="1">
      <c r="A529" s="532"/>
      <c r="B529" s="431"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v>0</v>
      </c>
      <c r="AD529" s="411">
        <v>0</v>
      </c>
      <c r="AE529" s="411">
        <v>0</v>
      </c>
      <c r="AF529" s="411">
        <v>0</v>
      </c>
      <c r="AG529" s="411">
        <v>0</v>
      </c>
      <c r="AH529" s="411">
        <v>0</v>
      </c>
      <c r="AI529" s="411">
        <v>0</v>
      </c>
      <c r="AJ529" s="411">
        <v>0</v>
      </c>
      <c r="AK529" s="411">
        <v>0</v>
      </c>
      <c r="AL529" s="411">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v>0</v>
      </c>
    </row>
    <row r="532" spans="1:39" outlineLevel="1">
      <c r="A532" s="532"/>
      <c r="B532" s="431"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v>0</v>
      </c>
      <c r="AD532" s="411">
        <v>0</v>
      </c>
      <c r="AE532" s="411">
        <v>0</v>
      </c>
      <c r="AF532" s="411">
        <v>0</v>
      </c>
      <c r="AG532" s="411">
        <v>0</v>
      </c>
      <c r="AH532" s="411">
        <v>0</v>
      </c>
      <c r="AI532" s="411">
        <v>0</v>
      </c>
      <c r="AJ532" s="411">
        <v>0</v>
      </c>
      <c r="AK532" s="411">
        <v>0</v>
      </c>
      <c r="AL532" s="411">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v>0</v>
      </c>
    </row>
    <row r="535" spans="1:39" outlineLevel="1">
      <c r="A535" s="532"/>
      <c r="B535" s="431"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v>0</v>
      </c>
      <c r="AD535" s="411">
        <v>0</v>
      </c>
      <c r="AE535" s="411">
        <v>0</v>
      </c>
      <c r="AF535" s="411">
        <v>0</v>
      </c>
      <c r="AG535" s="411">
        <v>0</v>
      </c>
      <c r="AH535" s="411">
        <v>0</v>
      </c>
      <c r="AI535" s="411">
        <v>0</v>
      </c>
      <c r="AJ535" s="411">
        <v>0</v>
      </c>
      <c r="AK535" s="411">
        <v>0</v>
      </c>
      <c r="AL535" s="411">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v>0</v>
      </c>
      <c r="AF538" s="411">
        <v>0</v>
      </c>
      <c r="AG538" s="411">
        <v>0</v>
      </c>
      <c r="AH538" s="411">
        <v>0</v>
      </c>
      <c r="AI538" s="411">
        <v>0</v>
      </c>
      <c r="AJ538" s="411">
        <v>0</v>
      </c>
      <c r="AK538" s="411">
        <v>0</v>
      </c>
      <c r="AL538" s="411">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v>0</v>
      </c>
    </row>
    <row r="541" spans="1:39" outlineLevel="1">
      <c r="A541" s="532"/>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v>0</v>
      </c>
      <c r="AG541" s="411">
        <v>0</v>
      </c>
      <c r="AH541" s="411">
        <v>0</v>
      </c>
      <c r="AI541" s="411">
        <v>0</v>
      </c>
      <c r="AJ541" s="411">
        <v>0</v>
      </c>
      <c r="AK541" s="411">
        <v>0</v>
      </c>
      <c r="AL541" s="411">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v>0</v>
      </c>
    </row>
    <row r="544" spans="1:39" outlineLevel="1">
      <c r="A544" s="532"/>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v>0</v>
      </c>
      <c r="AG544" s="411">
        <v>0</v>
      </c>
      <c r="AH544" s="411">
        <v>0</v>
      </c>
      <c r="AI544" s="411">
        <v>0</v>
      </c>
      <c r="AJ544" s="411">
        <v>0</v>
      </c>
      <c r="AK544" s="411">
        <v>0</v>
      </c>
      <c r="AL544" s="411">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v>0</v>
      </c>
    </row>
    <row r="547" spans="1:39" outlineLevel="1">
      <c r="A547" s="532"/>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v>0</v>
      </c>
      <c r="AG547" s="411">
        <v>0</v>
      </c>
      <c r="AH547" s="411">
        <v>0</v>
      </c>
      <c r="AI547" s="411">
        <v>0</v>
      </c>
      <c r="AJ547" s="411">
        <v>0</v>
      </c>
      <c r="AK547" s="411">
        <v>0</v>
      </c>
      <c r="AL547" s="411">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v>0</v>
      </c>
    </row>
    <row r="550" spans="1:39" outlineLevel="1">
      <c r="A550" s="532"/>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v>0</v>
      </c>
      <c r="AG550" s="411">
        <v>0</v>
      </c>
      <c r="AH550" s="411">
        <v>0</v>
      </c>
      <c r="AI550" s="411">
        <v>0</v>
      </c>
      <c r="AJ550" s="411">
        <v>0</v>
      </c>
      <c r="AK550" s="411">
        <v>0</v>
      </c>
      <c r="AL550" s="411">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v>0</v>
      </c>
    </row>
    <row r="553" spans="1:39" outlineLevel="1">
      <c r="A553" s="532"/>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v>0</v>
      </c>
      <c r="AG553" s="411">
        <v>0</v>
      </c>
      <c r="AH553" s="411">
        <v>0</v>
      </c>
      <c r="AI553" s="411">
        <v>0</v>
      </c>
      <c r="AJ553" s="411">
        <v>0</v>
      </c>
      <c r="AK553" s="411">
        <v>0</v>
      </c>
      <c r="AL553" s="411">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v>0</v>
      </c>
    </row>
    <row r="556" spans="1:39" outlineLevel="1">
      <c r="A556" s="532"/>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v>0</v>
      </c>
      <c r="AG556" s="411">
        <v>0</v>
      </c>
      <c r="AH556" s="411">
        <v>0</v>
      </c>
      <c r="AI556" s="411">
        <v>0</v>
      </c>
      <c r="AJ556" s="411">
        <v>0</v>
      </c>
      <c r="AK556" s="411">
        <v>0</v>
      </c>
      <c r="AL556" s="411">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v>0</v>
      </c>
    </row>
    <row r="559" spans="1:39" outlineLevel="1">
      <c r="A559" s="532"/>
      <c r="B559" s="431" t="s">
        <v>308</v>
      </c>
      <c r="C559" s="291" t="s">
        <v>163</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v>0</v>
      </c>
      <c r="AG559" s="411">
        <v>0</v>
      </c>
      <c r="AH559" s="411">
        <v>0</v>
      </c>
      <c r="AI559" s="411">
        <v>0</v>
      </c>
      <c r="AJ559" s="411">
        <v>0</v>
      </c>
      <c r="AK559" s="411">
        <v>0</v>
      </c>
      <c r="AL559" s="411">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2594948.25</v>
      </c>
      <c r="E561" s="329"/>
      <c r="F561" s="329"/>
      <c r="G561" s="329"/>
      <c r="H561" s="329"/>
      <c r="I561" s="329"/>
      <c r="J561" s="329"/>
      <c r="K561" s="329"/>
      <c r="L561" s="329"/>
      <c r="M561" s="329"/>
      <c r="N561" s="329"/>
      <c r="O561" s="329">
        <f>SUM(O404:O559)</f>
        <v>400.34000000000003</v>
      </c>
      <c r="P561" s="329"/>
      <c r="Q561" s="329"/>
      <c r="R561" s="329"/>
      <c r="S561" s="329"/>
      <c r="T561" s="329"/>
      <c r="U561" s="329"/>
      <c r="V561" s="329"/>
      <c r="W561" s="329"/>
      <c r="X561" s="329"/>
      <c r="Y561" s="329">
        <f>IF(Y402="kWh",SUMPRODUCT(D404:D559,Y404:Y559))</f>
        <v>1286388.51</v>
      </c>
      <c r="Z561" s="329">
        <f>IF(Z402="kWh",SUMPRODUCT(D404:D559,Z404:Z559))</f>
        <v>696838.23919999995</v>
      </c>
      <c r="AA561" s="329">
        <f>IF(AA402="kw",SUMPRODUCT(N404:N559,O404:O559,AA404:AA559),SUMPRODUCT(D404:D559,AA404:AA559))</f>
        <v>1708.5072000000002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1219155</v>
      </c>
      <c r="Z562" s="392">
        <f>HLOOKUP(Z218,'2. LRAMVA Threshold'!$B$42:$Q$53,9,FALSE)</f>
        <v>658151</v>
      </c>
      <c r="AA562" s="392">
        <f>HLOOKUP(AA218,'2. LRAMVA Threshold'!$B$42:$Q$53,9,FALSE)</f>
        <v>3236</v>
      </c>
      <c r="AB562" s="392">
        <f>HLOOKUP(AB218,'2. LRAMVA Threshold'!$B$42:$Q$53,9,FALSE)</f>
        <v>2</v>
      </c>
      <c r="AC562" s="392">
        <f>HLOOKUP(AC218,'2. LRAMVA Threshold'!$B$42:$Q$53,9,FALSE)</f>
        <v>81</v>
      </c>
      <c r="AD562" s="392">
        <f>HLOOKUP(AD218,'2. LRAMVA Threshold'!$B$42:$Q$53,9,FALSE)</f>
        <v>1714</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8.8000000000000005E-3</v>
      </c>
      <c r="Z564" s="341">
        <f>HLOOKUP(Z$35,'3.  Distribution Rates'!$C$122:$P$133,9,FALSE)</f>
        <v>9.1999999999999998E-3</v>
      </c>
      <c r="AA564" s="341">
        <f>HLOOKUP(AA$35,'3.  Distribution Rates'!$C$122:$P$133,9,FALSE)</f>
        <v>2.8552</v>
      </c>
      <c r="AB564" s="341">
        <f>HLOOKUP(AB$35,'3.  Distribution Rates'!$C$122:$P$133,9,FALSE)</f>
        <v>22.356200000000001</v>
      </c>
      <c r="AC564" s="341">
        <f>HLOOKUP(AC$35,'3.  Distribution Rates'!$C$122:$P$133,9,FALSE)</f>
        <v>16.2987</v>
      </c>
      <c r="AD564" s="341">
        <f>HLOOKUP(AD$35,'3.  Distribution Rates'!$C$122:$P$133,9,FALSE)</f>
        <v>5.8999999999999999E-3</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798.11331526536685</v>
      </c>
      <c r="Z565" s="378">
        <f>'4.  2011-2014 LRAM'!Z140*Z564</f>
        <v>1198.010001649129</v>
      </c>
      <c r="AA565" s="378">
        <f>'4.  2011-2014 LRAM'!AA140*AA564</f>
        <v>409.86512482540616</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SUM(Y565:AL565)</f>
        <v>2405.9884417399016</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635.07209040724615</v>
      </c>
      <c r="Z566" s="378">
        <f>'4.  2011-2014 LRAM'!Z269*Z564</f>
        <v>1183.0894696543098</v>
      </c>
      <c r="AA566" s="378">
        <f>'4.  2011-2014 LRAM'!AA269*AA564</f>
        <v>2128.7622461854335</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
        <v>3946.9238062469894</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1416.4435983315634</v>
      </c>
      <c r="Z567" s="378">
        <f>'4.  2011-2014 LRAM'!Z398*Z564</f>
        <v>1289.5173623393862</v>
      </c>
      <c r="AA567" s="378">
        <f>'4.  2011-2014 LRAM'!AA398*AA564</f>
        <v>304.49527779073475</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
        <v>3010.4562384616843</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2870.4008849115453</v>
      </c>
      <c r="Z568" s="378">
        <f>'4.  2011-2014 LRAM'!Z528*Z564</f>
        <v>4557.1819460400002</v>
      </c>
      <c r="AA568" s="378">
        <f>'4.  2011-2014 LRAM'!AA528*AA564</f>
        <v>4146.3079397007368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
        <v>11573.890770652282</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Y209*Y564</f>
        <v>4783.268938312729</v>
      </c>
      <c r="Z569" s="378">
        <f t="shared" si="17"/>
        <v>16514.645871992459</v>
      </c>
      <c r="AA569" s="378">
        <f t="shared" si="17"/>
        <v>6648.3844385323237</v>
      </c>
      <c r="AB569" s="378">
        <f>AB209*AB564</f>
        <v>0</v>
      </c>
      <c r="AC569" s="378">
        <f t="shared" si="17"/>
        <v>1149.3309997074762</v>
      </c>
      <c r="AD569" s="378">
        <f t="shared" si="17"/>
        <v>374.96136492460579</v>
      </c>
      <c r="AE569" s="378">
        <f t="shared" si="17"/>
        <v>0</v>
      </c>
      <c r="AF569" s="378">
        <f t="shared" si="17"/>
        <v>0</v>
      </c>
      <c r="AG569" s="378">
        <f t="shared" si="17"/>
        <v>0</v>
      </c>
      <c r="AH569" s="378">
        <f t="shared" si="17"/>
        <v>0</v>
      </c>
      <c r="AI569" s="378">
        <f t="shared" si="17"/>
        <v>0</v>
      </c>
      <c r="AJ569" s="378">
        <f t="shared" si="17"/>
        <v>0</v>
      </c>
      <c r="AK569" s="378">
        <f t="shared" si="17"/>
        <v>0</v>
      </c>
      <c r="AL569" s="378">
        <f t="shared" si="17"/>
        <v>0</v>
      </c>
      <c r="AM569" s="629">
        <f t="shared" si="16"/>
        <v>29470.591613469594</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7659.3629673601636</v>
      </c>
      <c r="Z570" s="378">
        <f>Z392*Z564</f>
        <v>1554.3907330209763</v>
      </c>
      <c r="AA570" s="378">
        <f t="shared" ref="AA570:AL570" si="18">AA392*AA564</f>
        <v>7931.6724679130839</v>
      </c>
      <c r="AB570" s="378">
        <f>AB392*AB564</f>
        <v>0</v>
      </c>
      <c r="AC570" s="378">
        <f t="shared" si="18"/>
        <v>2384.4262876459311</v>
      </c>
      <c r="AD570" s="378">
        <f t="shared" si="18"/>
        <v>0</v>
      </c>
      <c r="AE570" s="378">
        <f t="shared" si="18"/>
        <v>0</v>
      </c>
      <c r="AF570" s="378">
        <f t="shared" si="18"/>
        <v>0</v>
      </c>
      <c r="AG570" s="378">
        <f t="shared" si="18"/>
        <v>0</v>
      </c>
      <c r="AH570" s="378">
        <f t="shared" si="18"/>
        <v>0</v>
      </c>
      <c r="AI570" s="378">
        <f t="shared" si="18"/>
        <v>0</v>
      </c>
      <c r="AJ570" s="378">
        <f t="shared" si="18"/>
        <v>0</v>
      </c>
      <c r="AK570" s="378">
        <f t="shared" si="18"/>
        <v>0</v>
      </c>
      <c r="AL570" s="378">
        <f t="shared" si="18"/>
        <v>0</v>
      </c>
      <c r="AM570" s="629">
        <f t="shared" si="16"/>
        <v>19529.852455940156</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11320.218888000001</v>
      </c>
      <c r="Z571" s="378">
        <f t="shared" ref="Z571:AL571" si="19">Z561*Z564</f>
        <v>6410.9118006399995</v>
      </c>
      <c r="AA571" s="378">
        <f t="shared" si="19"/>
        <v>4878.1297574400005</v>
      </c>
      <c r="AB571" s="378">
        <f t="shared" si="19"/>
        <v>0</v>
      </c>
      <c r="AC571" s="378">
        <f t="shared" si="19"/>
        <v>0</v>
      </c>
      <c r="AD571" s="378">
        <f t="shared" si="19"/>
        <v>0</v>
      </c>
      <c r="AE571" s="378">
        <f t="shared" si="19"/>
        <v>0</v>
      </c>
      <c r="AF571" s="378">
        <f t="shared" si="19"/>
        <v>0</v>
      </c>
      <c r="AG571" s="378">
        <f t="shared" si="19"/>
        <v>0</v>
      </c>
      <c r="AH571" s="378">
        <f t="shared" si="19"/>
        <v>0</v>
      </c>
      <c r="AI571" s="378">
        <f t="shared" si="19"/>
        <v>0</v>
      </c>
      <c r="AJ571" s="378">
        <f t="shared" si="19"/>
        <v>0</v>
      </c>
      <c r="AK571" s="378">
        <f t="shared" si="19"/>
        <v>0</v>
      </c>
      <c r="AL571" s="378">
        <f t="shared" si="19"/>
        <v>0</v>
      </c>
      <c r="AM571" s="629">
        <f t="shared" si="16"/>
        <v>22609.260446080003</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29482.880682588613</v>
      </c>
      <c r="Z572" s="346">
        <f>SUM(Z565:Z571)</f>
        <v>32707.747185336262</v>
      </c>
      <c r="AA572" s="346">
        <f t="shared" ref="AA572:AE572" si="20">SUM(AA565:AA571)</f>
        <v>26447.617252387718</v>
      </c>
      <c r="AB572" s="346">
        <f t="shared" si="20"/>
        <v>0</v>
      </c>
      <c r="AC572" s="346">
        <f t="shared" si="20"/>
        <v>3533.7572873534073</v>
      </c>
      <c r="AD572" s="346">
        <f>SUM(AD565:AD571)</f>
        <v>374.96136492460579</v>
      </c>
      <c r="AE572" s="346">
        <f t="shared" si="20"/>
        <v>0</v>
      </c>
      <c r="AF572" s="346">
        <f>SUM(AF565:AF571)</f>
        <v>0</v>
      </c>
      <c r="AG572" s="346">
        <f>SUM(AG565:AG571)</f>
        <v>0</v>
      </c>
      <c r="AH572" s="346">
        <f t="shared" ref="AH572:AL572" si="21">SUM(AH565:AH571)</f>
        <v>0</v>
      </c>
      <c r="AI572" s="346">
        <f t="shared" si="21"/>
        <v>0</v>
      </c>
      <c r="AJ572" s="346">
        <f>SUM(AJ565:AJ571)</f>
        <v>0</v>
      </c>
      <c r="AK572" s="346">
        <f t="shared" si="21"/>
        <v>0</v>
      </c>
      <c r="AL572" s="346">
        <f t="shared" si="21"/>
        <v>0</v>
      </c>
      <c r="AM572" s="407">
        <f>SUM(AM565:AM571)</f>
        <v>92546.963772590621</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10728.564</v>
      </c>
      <c r="Z573" s="347">
        <f t="shared" ref="Z573:AE573" si="22">Z562*Z564</f>
        <v>6054.9892</v>
      </c>
      <c r="AA573" s="347">
        <f t="shared" si="22"/>
        <v>9239.4272000000001</v>
      </c>
      <c r="AB573" s="347">
        <f t="shared" si="22"/>
        <v>44.712400000000002</v>
      </c>
      <c r="AC573" s="347">
        <f t="shared" si="22"/>
        <v>1320.1947</v>
      </c>
      <c r="AD573" s="347">
        <f>AD562*AD564</f>
        <v>10.1126</v>
      </c>
      <c r="AE573" s="347">
        <f t="shared" si="22"/>
        <v>0</v>
      </c>
      <c r="AF573" s="347">
        <f>AF562*AF564</f>
        <v>0</v>
      </c>
      <c r="AG573" s="347">
        <f t="shared" ref="AG573:AL573" si="23">AG562*AG564</f>
        <v>0</v>
      </c>
      <c r="AH573" s="347">
        <f t="shared" si="23"/>
        <v>0</v>
      </c>
      <c r="AI573" s="347">
        <f t="shared" si="23"/>
        <v>0</v>
      </c>
      <c r="AJ573" s="347">
        <f>AJ562*AJ564</f>
        <v>0</v>
      </c>
      <c r="AK573" s="347">
        <f>AK562*AK564</f>
        <v>0</v>
      </c>
      <c r="AL573" s="347">
        <f t="shared" si="23"/>
        <v>0</v>
      </c>
      <c r="AM573" s="407">
        <f>SUM(Y573:AL573)</f>
        <v>27398.000100000001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65148.963672590617</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1286388.4978817992</v>
      </c>
      <c r="Z576" s="291">
        <f>SUMPRODUCT(E404:E559,Z404:Z559)</f>
        <v>722585.43703043892</v>
      </c>
      <c r="AA576" s="291">
        <f>IF(AA402="kw",SUMPRODUCT($N$404:$N$559,$P$404:$P$559,AA404:AA559),SUMPRODUCT($E$404:$E$559,AA404:AA559))</f>
        <v>1709.6643253106713</v>
      </c>
      <c r="AB576" s="291">
        <f>IF(AB402="kw",SUMPRODUCT($N$404:$N$559,$P$404:$P$559,AB404:AB559),SUMPRODUCT($E$404:$E$559,AB404:AB559))</f>
        <v>0</v>
      </c>
      <c r="AC576" s="291">
        <f>IF(AC402="kw",SUMPRODUCT($N$404:$N$559,$P$404:$P$559,AC404:AC559),SUMPRODUCT($E$404:$E$559,AC404:AC559))</f>
        <v>0</v>
      </c>
      <c r="AD576" s="291">
        <f t="shared" ref="AD576:AL576" si="24">IF(AD402="kw",SUMPRODUCT($N$404:$N$559,$P$404:$P$559,AD404:AD559),SUMPRODUCT($E$404:$E$559,AD404:AD559))</f>
        <v>0</v>
      </c>
      <c r="AE576" s="291">
        <f t="shared" si="24"/>
        <v>0</v>
      </c>
      <c r="AF576" s="291">
        <f t="shared" si="24"/>
        <v>0</v>
      </c>
      <c r="AG576" s="291">
        <f t="shared" si="24"/>
        <v>0</v>
      </c>
      <c r="AH576" s="291">
        <f t="shared" si="24"/>
        <v>0</v>
      </c>
      <c r="AI576" s="291">
        <f t="shared" si="24"/>
        <v>0</v>
      </c>
      <c r="AJ576" s="291">
        <f t="shared" si="24"/>
        <v>0</v>
      </c>
      <c r="AK576" s="291">
        <f t="shared" si="24"/>
        <v>0</v>
      </c>
      <c r="AL576" s="291">
        <f t="shared" si="24"/>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1286388.4978817992</v>
      </c>
      <c r="Z577" s="291">
        <f>SUMPRODUCT(F404:F559,Z404:Z559)</f>
        <v>718772.99603982107</v>
      </c>
      <c r="AA577" s="291">
        <f t="shared" ref="AA577:AL577" si="25">IF(AA402="kw",SUMPRODUCT($N$404:$N$559,$Q$404:$Q$559,AA404:AA559),SUMPRODUCT($F$404:$F$559,AA404:AA559))</f>
        <v>1709.495140082907</v>
      </c>
      <c r="AB577" s="291">
        <f t="shared" si="25"/>
        <v>0</v>
      </c>
      <c r="AC577" s="291">
        <f>IF(AC402="kw",SUMPRODUCT($N$404:$N$559,$Q$404:$Q$559,AC404:AC559),SUMPRODUCT($F$404:$F$559,AC404:AC559))</f>
        <v>0</v>
      </c>
      <c r="AD577" s="291">
        <f t="shared" si="25"/>
        <v>0</v>
      </c>
      <c r="AE577" s="291">
        <f t="shared" si="25"/>
        <v>0</v>
      </c>
      <c r="AF577" s="291">
        <f t="shared" si="25"/>
        <v>0</v>
      </c>
      <c r="AG577" s="291">
        <f t="shared" si="25"/>
        <v>0</v>
      </c>
      <c r="AH577" s="291">
        <f t="shared" si="25"/>
        <v>0</v>
      </c>
      <c r="AI577" s="291">
        <f t="shared" si="25"/>
        <v>0</v>
      </c>
      <c r="AJ577" s="291">
        <f t="shared" si="25"/>
        <v>0</v>
      </c>
      <c r="AK577" s="291">
        <f t="shared" si="25"/>
        <v>0</v>
      </c>
      <c r="AL577" s="291">
        <f t="shared" si="25"/>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1286388.4978817992</v>
      </c>
      <c r="Z578" s="326">
        <f>SUMPRODUCT(G404:G559,Z404:Z559)</f>
        <v>696838.2430984237</v>
      </c>
      <c r="AA578" s="326">
        <f t="shared" ref="AA578:AL578" si="26">IF(AA402="kw",SUMPRODUCT($N$404:$N$559,$R$404:$R$559,AA404:AA559),SUMPRODUCT($G$404:$G$559,AA404:AA559))</f>
        <v>1708.5217384797159</v>
      </c>
      <c r="AB578" s="326">
        <f t="shared" si="26"/>
        <v>0</v>
      </c>
      <c r="AC578" s="326">
        <f>IF(AC402="kw",SUMPRODUCT($N$404:$N$559,$R$404:$R$559,AC404:AC559),SUMPRODUCT($G$404:$G$559,AC404:AC559))</f>
        <v>0</v>
      </c>
      <c r="AD578" s="326">
        <f t="shared" si="26"/>
        <v>0</v>
      </c>
      <c r="AE578" s="326">
        <f t="shared" si="26"/>
        <v>0</v>
      </c>
      <c r="AF578" s="326">
        <f t="shared" si="26"/>
        <v>0</v>
      </c>
      <c r="AG578" s="326">
        <f t="shared" si="26"/>
        <v>0</v>
      </c>
      <c r="AH578" s="326">
        <f t="shared" si="26"/>
        <v>0</v>
      </c>
      <c r="AI578" s="326">
        <f t="shared" si="26"/>
        <v>0</v>
      </c>
      <c r="AJ578" s="326">
        <f t="shared" si="26"/>
        <v>0</v>
      </c>
      <c r="AK578" s="326">
        <f t="shared" si="26"/>
        <v>0</v>
      </c>
      <c r="AL578" s="326">
        <f t="shared" si="26"/>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1035" t="s">
        <v>211</v>
      </c>
      <c r="C583" s="1037" t="s">
        <v>33</v>
      </c>
      <c r="D583" s="284" t="s">
        <v>421</v>
      </c>
      <c r="E583" s="1039" t="s">
        <v>209</v>
      </c>
      <c r="F583" s="1040"/>
      <c r="G583" s="1040"/>
      <c r="H583" s="1040"/>
      <c r="I583" s="1040"/>
      <c r="J583" s="1040"/>
      <c r="K583" s="1040"/>
      <c r="L583" s="1040"/>
      <c r="M583" s="1041"/>
      <c r="N583" s="1045" t="s">
        <v>213</v>
      </c>
      <c r="O583" s="284" t="s">
        <v>422</v>
      </c>
      <c r="P583" s="1039" t="s">
        <v>212</v>
      </c>
      <c r="Q583" s="1040"/>
      <c r="R583" s="1040"/>
      <c r="S583" s="1040"/>
      <c r="T583" s="1040"/>
      <c r="U583" s="1040"/>
      <c r="V583" s="1040"/>
      <c r="W583" s="1040"/>
      <c r="X583" s="1041"/>
      <c r="Y583" s="1042" t="s">
        <v>243</v>
      </c>
      <c r="Z583" s="1043"/>
      <c r="AA583" s="1043"/>
      <c r="AB583" s="1043"/>
      <c r="AC583" s="1043"/>
      <c r="AD583" s="1043"/>
      <c r="AE583" s="1043"/>
      <c r="AF583" s="1043"/>
      <c r="AG583" s="1043"/>
      <c r="AH583" s="1043"/>
      <c r="AI583" s="1043"/>
      <c r="AJ583" s="1043"/>
      <c r="AK583" s="1043"/>
      <c r="AL583" s="1043"/>
      <c r="AM583" s="1044"/>
    </row>
    <row r="584" spans="1:39" ht="68.25" customHeight="1">
      <c r="B584" s="1036"/>
      <c r="C584" s="1038"/>
      <c r="D584" s="285">
        <v>2018</v>
      </c>
      <c r="E584" s="285">
        <v>2019</v>
      </c>
      <c r="F584" s="285">
        <v>2020</v>
      </c>
      <c r="G584" s="285">
        <v>2021</v>
      </c>
      <c r="H584" s="285">
        <v>2022</v>
      </c>
      <c r="I584" s="285">
        <v>2023</v>
      </c>
      <c r="J584" s="285">
        <v>2024</v>
      </c>
      <c r="K584" s="285">
        <v>2025</v>
      </c>
      <c r="L584" s="285">
        <v>2026</v>
      </c>
      <c r="M584" s="285">
        <v>2027</v>
      </c>
      <c r="N584" s="1046"/>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Sentinel Lighting</v>
      </c>
      <c r="AC584" s="285" t="str">
        <f>'1.  LRAMVA Summary'!H52</f>
        <v>Street Lighting</v>
      </c>
      <c r="AD584" s="285" t="str">
        <f>'1.  LRAMVA Summary'!I52</f>
        <v>Unmetered Scattered Load</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kWh</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v>0</v>
      </c>
      <c r="Z588" s="411">
        <v>0</v>
      </c>
      <c r="AA588" s="411">
        <v>0</v>
      </c>
      <c r="AB588" s="411">
        <v>0</v>
      </c>
      <c r="AC588" s="411">
        <v>0</v>
      </c>
      <c r="AD588" s="411">
        <v>0</v>
      </c>
      <c r="AE588" s="411">
        <v>0</v>
      </c>
      <c r="AF588" s="411">
        <v>0</v>
      </c>
      <c r="AG588" s="411">
        <v>0</v>
      </c>
      <c r="AH588" s="411">
        <v>0</v>
      </c>
      <c r="AI588" s="411">
        <v>0</v>
      </c>
      <c r="AJ588" s="411">
        <v>0</v>
      </c>
      <c r="AK588" s="411">
        <v>0</v>
      </c>
      <c r="AL588" s="411">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v>0</v>
      </c>
      <c r="Z591" s="411">
        <v>0</v>
      </c>
      <c r="AA591" s="411">
        <v>0</v>
      </c>
      <c r="AB591" s="411">
        <v>0</v>
      </c>
      <c r="AC591" s="411">
        <v>0</v>
      </c>
      <c r="AD591" s="411">
        <v>0</v>
      </c>
      <c r="AE591" s="411">
        <v>0</v>
      </c>
      <c r="AF591" s="411">
        <v>0</v>
      </c>
      <c r="AG591" s="411">
        <v>0</v>
      </c>
      <c r="AH591" s="411">
        <v>0</v>
      </c>
      <c r="AI591" s="411">
        <v>0</v>
      </c>
      <c r="AJ591" s="411">
        <v>0</v>
      </c>
      <c r="AK591" s="411">
        <v>0</v>
      </c>
      <c r="AL591" s="411">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v>0</v>
      </c>
      <c r="Z594" s="411">
        <v>0</v>
      </c>
      <c r="AA594" s="411">
        <v>0</v>
      </c>
      <c r="AB594" s="411">
        <v>0</v>
      </c>
      <c r="AC594" s="411">
        <v>0</v>
      </c>
      <c r="AD594" s="411">
        <v>0</v>
      </c>
      <c r="AE594" s="411">
        <v>0</v>
      </c>
      <c r="AF594" s="411">
        <v>0</v>
      </c>
      <c r="AG594" s="411">
        <v>0</v>
      </c>
      <c r="AH594" s="411">
        <v>0</v>
      </c>
      <c r="AI594" s="411">
        <v>0</v>
      </c>
      <c r="AJ594" s="411">
        <v>0</v>
      </c>
      <c r="AK594" s="411">
        <v>0</v>
      </c>
      <c r="AL594" s="411">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v>0</v>
      </c>
      <c r="Z597" s="411">
        <v>0</v>
      </c>
      <c r="AA597" s="411">
        <v>0</v>
      </c>
      <c r="AB597" s="411">
        <v>0</v>
      </c>
      <c r="AC597" s="411">
        <v>0</v>
      </c>
      <c r="AD597" s="411">
        <v>0</v>
      </c>
      <c r="AE597" s="411">
        <v>0</v>
      </c>
      <c r="AF597" s="411">
        <v>0</v>
      </c>
      <c r="AG597" s="411">
        <v>0</v>
      </c>
      <c r="AH597" s="411">
        <v>0</v>
      </c>
      <c r="AI597" s="411">
        <v>0</v>
      </c>
      <c r="AJ597" s="411">
        <v>0</v>
      </c>
      <c r="AK597" s="411">
        <v>0</v>
      </c>
      <c r="AL597" s="411">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v>0</v>
      </c>
      <c r="Z600" s="411">
        <v>0</v>
      </c>
      <c r="AA600" s="411">
        <v>0</v>
      </c>
      <c r="AB600" s="411">
        <v>0</v>
      </c>
      <c r="AC600" s="411">
        <v>0</v>
      </c>
      <c r="AD600" s="411">
        <v>0</v>
      </c>
      <c r="AE600" s="411">
        <v>0</v>
      </c>
      <c r="AF600" s="411">
        <v>0</v>
      </c>
      <c r="AG600" s="411">
        <v>0</v>
      </c>
      <c r="AH600" s="411">
        <v>0</v>
      </c>
      <c r="AI600" s="411">
        <v>0</v>
      </c>
      <c r="AJ600" s="411">
        <v>0</v>
      </c>
      <c r="AK600" s="411">
        <v>0</v>
      </c>
      <c r="AL600" s="411">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v>0</v>
      </c>
    </row>
    <row r="604" spans="1:39" outlineLevel="1">
      <c r="A604" s="532"/>
      <c r="B604" s="294" t="s">
        <v>310</v>
      </c>
      <c r="C604" s="291" t="s">
        <v>163</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411">
        <v>0</v>
      </c>
      <c r="Z604" s="411">
        <v>0</v>
      </c>
      <c r="AA604" s="411">
        <v>0</v>
      </c>
      <c r="AB604" s="411">
        <v>0</v>
      </c>
      <c r="AC604" s="411">
        <v>0</v>
      </c>
      <c r="AD604" s="411">
        <v>0</v>
      </c>
      <c r="AE604" s="411">
        <v>0</v>
      </c>
      <c r="AF604" s="411">
        <v>0</v>
      </c>
      <c r="AG604" s="411">
        <v>0</v>
      </c>
      <c r="AH604" s="411">
        <v>0</v>
      </c>
      <c r="AI604" s="411">
        <v>0</v>
      </c>
      <c r="AJ604" s="411">
        <v>0</v>
      </c>
      <c r="AK604" s="411">
        <v>0</v>
      </c>
      <c r="AL604" s="411">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v>0</v>
      </c>
    </row>
    <row r="607" spans="1:39" outlineLevel="1">
      <c r="A607" s="532"/>
      <c r="B607" s="294" t="s">
        <v>310</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411">
        <v>0</v>
      </c>
      <c r="Z607" s="411">
        <v>0</v>
      </c>
      <c r="AA607" s="411">
        <v>0</v>
      </c>
      <c r="AB607" s="411">
        <v>0</v>
      </c>
      <c r="AC607" s="411">
        <v>0</v>
      </c>
      <c r="AD607" s="411">
        <v>0</v>
      </c>
      <c r="AE607" s="411">
        <v>0</v>
      </c>
      <c r="AF607" s="411">
        <v>0</v>
      </c>
      <c r="AG607" s="411">
        <v>0</v>
      </c>
      <c r="AH607" s="411">
        <v>0</v>
      </c>
      <c r="AI607" s="411">
        <v>0</v>
      </c>
      <c r="AJ607" s="411">
        <v>0</v>
      </c>
      <c r="AK607" s="411">
        <v>0</v>
      </c>
      <c r="AL607" s="411">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v>0</v>
      </c>
    </row>
    <row r="610" spans="1:39" outlineLevel="1">
      <c r="A610" s="532"/>
      <c r="B610" s="294" t="s">
        <v>310</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1">
        <v>0</v>
      </c>
      <c r="Z610" s="411">
        <v>0</v>
      </c>
      <c r="AA610" s="411">
        <v>0</v>
      </c>
      <c r="AB610" s="411">
        <v>0</v>
      </c>
      <c r="AC610" s="411">
        <v>0</v>
      </c>
      <c r="AD610" s="411">
        <v>0</v>
      </c>
      <c r="AE610" s="411">
        <v>0</v>
      </c>
      <c r="AF610" s="411">
        <v>0</v>
      </c>
      <c r="AG610" s="411">
        <v>0</v>
      </c>
      <c r="AH610" s="411">
        <v>0</v>
      </c>
      <c r="AI610" s="411">
        <v>0</v>
      </c>
      <c r="AJ610" s="411">
        <v>0</v>
      </c>
      <c r="AK610" s="411">
        <v>0</v>
      </c>
      <c r="AL610" s="411">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v>0</v>
      </c>
    </row>
    <row r="613" spans="1:39" outlineLevel="1">
      <c r="A613" s="532"/>
      <c r="B613" s="294" t="s">
        <v>310</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1">
        <v>0</v>
      </c>
      <c r="Z613" s="411">
        <v>0</v>
      </c>
      <c r="AA613" s="411">
        <v>0</v>
      </c>
      <c r="AB613" s="411">
        <v>0</v>
      </c>
      <c r="AC613" s="411">
        <v>0</v>
      </c>
      <c r="AD613" s="411">
        <v>0</v>
      </c>
      <c r="AE613" s="411">
        <v>0</v>
      </c>
      <c r="AF613" s="411">
        <v>0</v>
      </c>
      <c r="AG613" s="411">
        <v>0</v>
      </c>
      <c r="AH613" s="411">
        <v>0</v>
      </c>
      <c r="AI613" s="411">
        <v>0</v>
      </c>
      <c r="AJ613" s="411">
        <v>0</v>
      </c>
      <c r="AK613" s="411">
        <v>0</v>
      </c>
      <c r="AL613" s="411">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v>0</v>
      </c>
    </row>
    <row r="616" spans="1:39" outlineLevel="1">
      <c r="A616" s="532"/>
      <c r="B616" s="294" t="s">
        <v>310</v>
      </c>
      <c r="C616" s="291" t="s">
        <v>163</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411">
        <v>0</v>
      </c>
      <c r="Z616" s="411">
        <v>0</v>
      </c>
      <c r="AA616" s="411">
        <v>0</v>
      </c>
      <c r="AB616" s="411">
        <v>0</v>
      </c>
      <c r="AC616" s="411">
        <v>0</v>
      </c>
      <c r="AD616" s="411">
        <v>0</v>
      </c>
      <c r="AE616" s="411">
        <v>0</v>
      </c>
      <c r="AF616" s="411">
        <v>0</v>
      </c>
      <c r="AG616" s="411">
        <v>0</v>
      </c>
      <c r="AH616" s="411">
        <v>0</v>
      </c>
      <c r="AI616" s="411">
        <v>0</v>
      </c>
      <c r="AJ616" s="411">
        <v>0</v>
      </c>
      <c r="AK616" s="411">
        <v>0</v>
      </c>
      <c r="AL616" s="411">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v>0</v>
      </c>
    </row>
    <row r="620" spans="1:39" outlineLevel="1">
      <c r="A620" s="532"/>
      <c r="B620" s="294" t="s">
        <v>310</v>
      </c>
      <c r="C620" s="291" t="s">
        <v>163</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1">
        <v>0</v>
      </c>
      <c r="Z620" s="411">
        <v>0</v>
      </c>
      <c r="AA620" s="411">
        <v>0</v>
      </c>
      <c r="AB620" s="411">
        <v>0</v>
      </c>
      <c r="AC620" s="411">
        <v>0</v>
      </c>
      <c r="AD620" s="411">
        <v>0</v>
      </c>
      <c r="AE620" s="411">
        <v>0</v>
      </c>
      <c r="AF620" s="411">
        <v>0</v>
      </c>
      <c r="AG620" s="411">
        <v>0</v>
      </c>
      <c r="AH620" s="411">
        <v>0</v>
      </c>
      <c r="AI620" s="411">
        <v>0</v>
      </c>
      <c r="AJ620" s="411">
        <v>0</v>
      </c>
      <c r="AK620" s="411">
        <v>0</v>
      </c>
      <c r="AL620" s="411">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v>0</v>
      </c>
    </row>
    <row r="623" spans="1:39" outlineLevel="1">
      <c r="A623" s="532"/>
      <c r="B623" s="294" t="s">
        <v>310</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1">
        <v>0</v>
      </c>
      <c r="Z623" s="411">
        <v>0</v>
      </c>
      <c r="AA623" s="411">
        <v>0</v>
      </c>
      <c r="AB623" s="411">
        <v>0</v>
      </c>
      <c r="AC623" s="411">
        <v>0</v>
      </c>
      <c r="AD623" s="411">
        <v>0</v>
      </c>
      <c r="AE623" s="411">
        <v>0</v>
      </c>
      <c r="AF623" s="411">
        <v>0</v>
      </c>
      <c r="AG623" s="411">
        <v>0</v>
      </c>
      <c r="AH623" s="411">
        <v>0</v>
      </c>
      <c r="AI623" s="411">
        <v>0</v>
      </c>
      <c r="AJ623" s="411">
        <v>0</v>
      </c>
      <c r="AK623" s="411">
        <v>0</v>
      </c>
      <c r="AL623" s="411">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v>0</v>
      </c>
    </row>
    <row r="626" spans="1:40" outlineLevel="1">
      <c r="A626" s="532"/>
      <c r="B626" s="294" t="s">
        <v>310</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1">
        <v>0</v>
      </c>
      <c r="Z626" s="411">
        <v>0</v>
      </c>
      <c r="AA626" s="411">
        <v>0</v>
      </c>
      <c r="AB626" s="411">
        <v>0</v>
      </c>
      <c r="AC626" s="411">
        <v>0</v>
      </c>
      <c r="AD626" s="411">
        <v>0</v>
      </c>
      <c r="AE626" s="411">
        <v>0</v>
      </c>
      <c r="AF626" s="411">
        <v>0</v>
      </c>
      <c r="AG626" s="411">
        <v>0</v>
      </c>
      <c r="AH626" s="411">
        <v>0</v>
      </c>
      <c r="AI626" s="411">
        <v>0</v>
      </c>
      <c r="AJ626" s="411">
        <v>0</v>
      </c>
      <c r="AK626" s="411">
        <v>0</v>
      </c>
      <c r="AL626" s="411">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v>0</v>
      </c>
    </row>
    <row r="630" spans="1:40" outlineLevel="1">
      <c r="A630" s="532"/>
      <c r="B630" s="294" t="s">
        <v>310</v>
      </c>
      <c r="C630" s="291" t="s">
        <v>163</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1">
        <v>0</v>
      </c>
      <c r="Z630" s="411">
        <v>0</v>
      </c>
      <c r="AA630" s="411">
        <v>0</v>
      </c>
      <c r="AB630" s="411">
        <v>0</v>
      </c>
      <c r="AC630" s="411">
        <v>0</v>
      </c>
      <c r="AD630" s="411">
        <v>0</v>
      </c>
      <c r="AE630" s="411">
        <v>0</v>
      </c>
      <c r="AF630" s="411">
        <v>0</v>
      </c>
      <c r="AG630" s="411">
        <v>0</v>
      </c>
      <c r="AH630" s="411">
        <v>0</v>
      </c>
      <c r="AI630" s="411">
        <v>0</v>
      </c>
      <c r="AJ630" s="411">
        <v>0</v>
      </c>
      <c r="AK630" s="411">
        <v>0</v>
      </c>
      <c r="AL630" s="411">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v>0</v>
      </c>
    </row>
    <row r="634" spans="1:40" outlineLevel="1">
      <c r="A634" s="532"/>
      <c r="B634" s="294" t="s">
        <v>310</v>
      </c>
      <c r="C634" s="291" t="s">
        <v>163</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411">
        <v>0</v>
      </c>
      <c r="Z634" s="411">
        <v>0</v>
      </c>
      <c r="AA634" s="411">
        <v>0</v>
      </c>
      <c r="AB634" s="411">
        <v>0</v>
      </c>
      <c r="AC634" s="411">
        <v>0</v>
      </c>
      <c r="AD634" s="411">
        <v>0</v>
      </c>
      <c r="AE634" s="411">
        <v>0</v>
      </c>
      <c r="AF634" s="411">
        <v>0</v>
      </c>
      <c r="AG634" s="411">
        <v>0</v>
      </c>
      <c r="AH634" s="411">
        <v>0</v>
      </c>
      <c r="AI634" s="411">
        <v>0</v>
      </c>
      <c r="AJ634" s="411">
        <v>0</v>
      </c>
      <c r="AK634" s="411">
        <v>0</v>
      </c>
      <c r="AL634" s="411">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v>0</v>
      </c>
    </row>
    <row r="637" spans="1:40" s="283" customFormat="1" outlineLevel="1">
      <c r="A637" s="532"/>
      <c r="B637" s="294" t="s">
        <v>310</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411">
        <v>0</v>
      </c>
      <c r="Z637" s="411">
        <v>0</v>
      </c>
      <c r="AA637" s="411">
        <v>0</v>
      </c>
      <c r="AB637" s="411">
        <v>0</v>
      </c>
      <c r="AC637" s="411">
        <v>0</v>
      </c>
      <c r="AD637" s="411">
        <v>0</v>
      </c>
      <c r="AE637" s="411">
        <v>0</v>
      </c>
      <c r="AF637" s="411">
        <v>0</v>
      </c>
      <c r="AG637" s="411">
        <v>0</v>
      </c>
      <c r="AH637" s="411">
        <v>0</v>
      </c>
      <c r="AI637" s="411">
        <v>0</v>
      </c>
      <c r="AJ637" s="411">
        <v>0</v>
      </c>
      <c r="AK637" s="411">
        <v>0</v>
      </c>
      <c r="AL637" s="411">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v>0</v>
      </c>
    </row>
    <row r="641" spans="1:39" outlineLevel="1">
      <c r="A641" s="532"/>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1">
        <v>0</v>
      </c>
      <c r="Z641" s="411">
        <v>0</v>
      </c>
      <c r="AA641" s="411">
        <v>0</v>
      </c>
      <c r="AB641" s="411">
        <v>0</v>
      </c>
      <c r="AC641" s="411">
        <v>0</v>
      </c>
      <c r="AD641" s="411">
        <v>0</v>
      </c>
      <c r="AE641" s="411">
        <v>0</v>
      </c>
      <c r="AF641" s="411">
        <v>0</v>
      </c>
      <c r="AG641" s="411">
        <v>0</v>
      </c>
      <c r="AH641" s="411">
        <v>0</v>
      </c>
      <c r="AI641" s="411">
        <v>0</v>
      </c>
      <c r="AJ641" s="411">
        <v>0</v>
      </c>
      <c r="AK641" s="411">
        <v>0</v>
      </c>
      <c r="AL641" s="411">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v>0</v>
      </c>
    </row>
    <row r="644" spans="1:39" outlineLevel="1">
      <c r="A644" s="532"/>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11">
        <v>0</v>
      </c>
      <c r="Z644" s="411">
        <v>0</v>
      </c>
      <c r="AA644" s="411">
        <v>0</v>
      </c>
      <c r="AB644" s="411">
        <v>0</v>
      </c>
      <c r="AC644" s="411">
        <v>0</v>
      </c>
      <c r="AD644" s="411">
        <v>0</v>
      </c>
      <c r="AE644" s="411">
        <v>0</v>
      </c>
      <c r="AF644" s="411">
        <v>0</v>
      </c>
      <c r="AG644" s="411">
        <v>0</v>
      </c>
      <c r="AH644" s="411">
        <v>0</v>
      </c>
      <c r="AI644" s="411">
        <v>0</v>
      </c>
      <c r="AJ644" s="411">
        <v>0</v>
      </c>
      <c r="AK644" s="411">
        <v>0</v>
      </c>
      <c r="AL644" s="411">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v>0</v>
      </c>
    </row>
    <row r="647" spans="1:39" outlineLevel="1">
      <c r="A647" s="532"/>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11">
        <v>0</v>
      </c>
      <c r="Z647" s="411">
        <v>0</v>
      </c>
      <c r="AA647" s="411">
        <v>0</v>
      </c>
      <c r="AB647" s="411">
        <v>0</v>
      </c>
      <c r="AC647" s="411">
        <v>0</v>
      </c>
      <c r="AD647" s="411">
        <v>0</v>
      </c>
      <c r="AE647" s="411">
        <v>0</v>
      </c>
      <c r="AF647" s="411">
        <v>0</v>
      </c>
      <c r="AG647" s="411">
        <v>0</v>
      </c>
      <c r="AH647" s="411">
        <v>0</v>
      </c>
      <c r="AI647" s="411">
        <v>0</v>
      </c>
      <c r="AJ647" s="411">
        <v>0</v>
      </c>
      <c r="AK647" s="411">
        <v>0</v>
      </c>
      <c r="AL647" s="411">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v>0</v>
      </c>
    </row>
    <row r="650" spans="1:39" outlineLevel="1">
      <c r="A650" s="532"/>
      <c r="B650" s="294" t="s">
        <v>310</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1">
        <v>0</v>
      </c>
      <c r="Z650" s="411">
        <v>0</v>
      </c>
      <c r="AA650" s="411">
        <v>0</v>
      </c>
      <c r="AB650" s="411">
        <v>0</v>
      </c>
      <c r="AC650" s="411">
        <v>0</v>
      </c>
      <c r="AD650" s="411">
        <v>0</v>
      </c>
      <c r="AE650" s="411">
        <v>0</v>
      </c>
      <c r="AF650" s="411">
        <v>0</v>
      </c>
      <c r="AG650" s="411">
        <v>0</v>
      </c>
      <c r="AH650" s="411">
        <v>0</v>
      </c>
      <c r="AI650" s="411">
        <v>0</v>
      </c>
      <c r="AJ650" s="411">
        <v>0</v>
      </c>
      <c r="AK650" s="411">
        <v>0</v>
      </c>
      <c r="AL650" s="411">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v>296108.77999999997</v>
      </c>
      <c r="E654" s="295">
        <v>296108.77999999997</v>
      </c>
      <c r="F654" s="295"/>
      <c r="G654" s="295"/>
      <c r="H654" s="295"/>
      <c r="I654" s="295"/>
      <c r="J654" s="295"/>
      <c r="K654" s="295"/>
      <c r="L654" s="295"/>
      <c r="M654" s="295"/>
      <c r="N654" s="291"/>
      <c r="O654" s="295">
        <v>22.94</v>
      </c>
      <c r="P654" s="295">
        <v>22.94</v>
      </c>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v>1</v>
      </c>
    </row>
    <row r="655" spans="1:39" outlineLevel="1">
      <c r="A655" s="532"/>
      <c r="B655" s="294" t="s">
        <v>310</v>
      </c>
      <c r="C655" s="291" t="s">
        <v>163</v>
      </c>
      <c r="D655" s="295">
        <v>25151.77</v>
      </c>
      <c r="E655" s="295">
        <v>25151.77</v>
      </c>
      <c r="F655" s="295"/>
      <c r="G655" s="295"/>
      <c r="H655" s="295"/>
      <c r="I655" s="295"/>
      <c r="J655" s="295"/>
      <c r="K655" s="295"/>
      <c r="L655" s="295"/>
      <c r="M655" s="295"/>
      <c r="N655" s="291"/>
      <c r="O655" s="295">
        <v>1.89</v>
      </c>
      <c r="P655" s="295">
        <v>1.89</v>
      </c>
      <c r="Q655" s="295"/>
      <c r="R655" s="295"/>
      <c r="S655" s="295"/>
      <c r="T655" s="295"/>
      <c r="U655" s="295"/>
      <c r="V655" s="295"/>
      <c r="W655" s="295"/>
      <c r="X655" s="295"/>
      <c r="Y655" s="411">
        <v>1</v>
      </c>
      <c r="Z655" s="411">
        <v>0</v>
      </c>
      <c r="AA655" s="411">
        <v>0</v>
      </c>
      <c r="AB655" s="411">
        <v>0</v>
      </c>
      <c r="AC655" s="411">
        <v>0</v>
      </c>
      <c r="AD655" s="411">
        <v>0</v>
      </c>
      <c r="AE655" s="411">
        <v>0</v>
      </c>
      <c r="AF655" s="411">
        <v>0</v>
      </c>
      <c r="AG655" s="411">
        <v>0</v>
      </c>
      <c r="AH655" s="411">
        <v>0</v>
      </c>
      <c r="AI655" s="411">
        <v>0</v>
      </c>
      <c r="AJ655" s="411">
        <v>0</v>
      </c>
      <c r="AK655" s="411">
        <v>0</v>
      </c>
      <c r="AL655" s="411">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59893</v>
      </c>
      <c r="E657" s="295">
        <v>59893</v>
      </c>
      <c r="F657" s="295"/>
      <c r="G657" s="295"/>
      <c r="H657" s="295"/>
      <c r="I657" s="295"/>
      <c r="J657" s="295"/>
      <c r="K657" s="295"/>
      <c r="L657" s="295"/>
      <c r="M657" s="295"/>
      <c r="N657" s="291"/>
      <c r="O657" s="295">
        <v>17</v>
      </c>
      <c r="P657" s="295">
        <v>17</v>
      </c>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v>1</v>
      </c>
    </row>
    <row r="658" spans="1:39" outlineLevel="1">
      <c r="A658" s="532"/>
      <c r="B658" s="294" t="s">
        <v>310</v>
      </c>
      <c r="C658" s="291" t="s">
        <v>163</v>
      </c>
      <c r="D658" s="295">
        <v>21079.97</v>
      </c>
      <c r="E658" s="295">
        <v>21079.97</v>
      </c>
      <c r="F658" s="295"/>
      <c r="G658" s="295"/>
      <c r="H658" s="295"/>
      <c r="I658" s="295"/>
      <c r="J658" s="295"/>
      <c r="K658" s="295"/>
      <c r="L658" s="295"/>
      <c r="M658" s="295"/>
      <c r="N658" s="291"/>
      <c r="O658" s="295">
        <v>7.18</v>
      </c>
      <c r="P658" s="295">
        <v>7.18</v>
      </c>
      <c r="Q658" s="295"/>
      <c r="R658" s="295"/>
      <c r="S658" s="295"/>
      <c r="T658" s="295"/>
      <c r="U658" s="295"/>
      <c r="V658" s="295"/>
      <c r="W658" s="295"/>
      <c r="X658" s="295"/>
      <c r="Y658" s="411">
        <v>1</v>
      </c>
      <c r="Z658" s="411">
        <v>0</v>
      </c>
      <c r="AA658" s="411">
        <v>0</v>
      </c>
      <c r="AB658" s="411">
        <v>0</v>
      </c>
      <c r="AC658" s="411">
        <v>0</v>
      </c>
      <c r="AD658" s="411">
        <v>0</v>
      </c>
      <c r="AE658" s="411">
        <v>0</v>
      </c>
      <c r="AF658" s="411">
        <v>0</v>
      </c>
      <c r="AG658" s="411">
        <v>0</v>
      </c>
      <c r="AH658" s="411">
        <v>0</v>
      </c>
      <c r="AI658" s="411">
        <v>0</v>
      </c>
      <c r="AJ658" s="411">
        <v>0</v>
      </c>
      <c r="AK658" s="411">
        <v>0</v>
      </c>
      <c r="AL658" s="411">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1697</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v>0</v>
      </c>
    </row>
    <row r="661" spans="1:39" outlineLevel="1">
      <c r="A661" s="532"/>
      <c r="B661" s="294" t="s">
        <v>310</v>
      </c>
      <c r="C661" s="291" t="s">
        <v>163</v>
      </c>
      <c r="D661" s="295">
        <v>7020</v>
      </c>
      <c r="E661" s="295">
        <v>7020</v>
      </c>
      <c r="F661" s="295"/>
      <c r="G661" s="295"/>
      <c r="H661" s="295"/>
      <c r="I661" s="295"/>
      <c r="J661" s="295"/>
      <c r="K661" s="295"/>
      <c r="L661" s="295"/>
      <c r="M661" s="295"/>
      <c r="N661" s="291"/>
      <c r="O661" s="295">
        <v>0</v>
      </c>
      <c r="P661" s="295">
        <v>0</v>
      </c>
      <c r="Q661" s="295"/>
      <c r="R661" s="295"/>
      <c r="S661" s="295"/>
      <c r="T661" s="295"/>
      <c r="U661" s="295"/>
      <c r="V661" s="295"/>
      <c r="W661" s="295"/>
      <c r="X661" s="295"/>
      <c r="Y661" s="411">
        <v>1</v>
      </c>
      <c r="Z661" s="411">
        <v>0</v>
      </c>
      <c r="AA661" s="411">
        <v>0</v>
      </c>
      <c r="AB661" s="411">
        <v>0</v>
      </c>
      <c r="AC661" s="411">
        <v>0</v>
      </c>
      <c r="AD661" s="411">
        <v>0</v>
      </c>
      <c r="AE661" s="411">
        <v>0</v>
      </c>
      <c r="AF661" s="411">
        <v>0</v>
      </c>
      <c r="AG661" s="411">
        <v>0</v>
      </c>
      <c r="AH661" s="411">
        <v>0</v>
      </c>
      <c r="AI661" s="411">
        <v>0</v>
      </c>
      <c r="AJ661" s="411">
        <v>0</v>
      </c>
      <c r="AK661" s="411">
        <v>0</v>
      </c>
      <c r="AL661" s="411">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v>0</v>
      </c>
      <c r="Z664" s="411">
        <v>0</v>
      </c>
      <c r="AA664" s="411">
        <v>0</v>
      </c>
      <c r="AB664" s="411">
        <v>0</v>
      </c>
      <c r="AC664" s="411">
        <v>0</v>
      </c>
      <c r="AD664" s="411">
        <v>0</v>
      </c>
      <c r="AE664" s="411">
        <v>0</v>
      </c>
      <c r="AF664" s="411">
        <v>0</v>
      </c>
      <c r="AG664" s="411">
        <v>0</v>
      </c>
      <c r="AH664" s="411">
        <v>0</v>
      </c>
      <c r="AI664" s="411">
        <v>0</v>
      </c>
      <c r="AJ664" s="411">
        <v>0</v>
      </c>
      <c r="AK664" s="411">
        <v>0</v>
      </c>
      <c r="AL664" s="411">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v>0</v>
      </c>
    </row>
    <row r="668" spans="1:39"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v>0</v>
      </c>
      <c r="AG668" s="411">
        <v>0</v>
      </c>
      <c r="AH668" s="411">
        <v>0</v>
      </c>
      <c r="AI668" s="411">
        <v>0</v>
      </c>
      <c r="AJ668" s="411">
        <v>0</v>
      </c>
      <c r="AK668" s="411">
        <v>0</v>
      </c>
      <c r="AL668" s="411">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765592.90583582292</v>
      </c>
      <c r="E670" s="295">
        <v>765592.90583582292</v>
      </c>
      <c r="F670" s="295"/>
      <c r="G670" s="295"/>
      <c r="H670" s="295"/>
      <c r="I670" s="295"/>
      <c r="J670" s="295"/>
      <c r="K670" s="295"/>
      <c r="L670" s="295"/>
      <c r="M670" s="295"/>
      <c r="N670" s="295">
        <v>12</v>
      </c>
      <c r="O670" s="295">
        <v>109.31</v>
      </c>
      <c r="P670" s="295">
        <v>109.31</v>
      </c>
      <c r="Q670" s="295"/>
      <c r="R670" s="295"/>
      <c r="S670" s="295"/>
      <c r="T670" s="295"/>
      <c r="U670" s="295"/>
      <c r="V670" s="295"/>
      <c r="W670" s="295"/>
      <c r="X670" s="295"/>
      <c r="Y670" s="426"/>
      <c r="Z670" s="410">
        <v>0.65</v>
      </c>
      <c r="AA670" s="410">
        <v>0.35</v>
      </c>
      <c r="AB670" s="410"/>
      <c r="AC670" s="410"/>
      <c r="AD670" s="410"/>
      <c r="AE670" s="410"/>
      <c r="AF670" s="415"/>
      <c r="AG670" s="415"/>
      <c r="AH670" s="415"/>
      <c r="AI670" s="415"/>
      <c r="AJ670" s="415"/>
      <c r="AK670" s="415"/>
      <c r="AL670" s="415"/>
      <c r="AM670" s="296">
        <v>1</v>
      </c>
    </row>
    <row r="671" spans="1:39" outlineLevel="1">
      <c r="A671" s="532"/>
      <c r="B671" s="294" t="s">
        <v>310</v>
      </c>
      <c r="C671" s="291" t="s">
        <v>163</v>
      </c>
      <c r="D671" s="295">
        <v>254380.44</v>
      </c>
      <c r="E671" s="295">
        <v>254380.44</v>
      </c>
      <c r="F671" s="295"/>
      <c r="G671" s="295"/>
      <c r="H671" s="295"/>
      <c r="I671" s="295"/>
      <c r="J671" s="295"/>
      <c r="K671" s="295"/>
      <c r="L671" s="295"/>
      <c r="M671" s="295"/>
      <c r="N671" s="295">
        <v>12</v>
      </c>
      <c r="O671" s="295">
        <v>30.98</v>
      </c>
      <c r="P671" s="295">
        <v>30.98</v>
      </c>
      <c r="Q671" s="295"/>
      <c r="R671" s="295"/>
      <c r="S671" s="295"/>
      <c r="T671" s="295"/>
      <c r="U671" s="295"/>
      <c r="V671" s="295"/>
      <c r="W671" s="295"/>
      <c r="X671" s="295"/>
      <c r="Y671" s="411">
        <v>0</v>
      </c>
      <c r="Z671" s="411">
        <v>0.09</v>
      </c>
      <c r="AA671" s="411">
        <v>0.91</v>
      </c>
      <c r="AB671" s="411">
        <v>0</v>
      </c>
      <c r="AC671" s="411">
        <v>0</v>
      </c>
      <c r="AD671" s="411">
        <v>0</v>
      </c>
      <c r="AE671" s="411">
        <v>0</v>
      </c>
      <c r="AF671" s="411">
        <v>0</v>
      </c>
      <c r="AG671" s="411">
        <v>0</v>
      </c>
      <c r="AH671" s="411">
        <v>0</v>
      </c>
      <c r="AI671" s="411">
        <v>0</v>
      </c>
      <c r="AJ671" s="411">
        <v>0</v>
      </c>
      <c r="AK671" s="411">
        <v>0</v>
      </c>
      <c r="AL671" s="411">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82096.104834050682</v>
      </c>
      <c r="E673" s="295">
        <v>82096.104834050682</v>
      </c>
      <c r="F673" s="295"/>
      <c r="G673" s="295"/>
      <c r="H673" s="295"/>
      <c r="I673" s="295"/>
      <c r="J673" s="295"/>
      <c r="K673" s="295"/>
      <c r="L673" s="295"/>
      <c r="M673" s="295"/>
      <c r="N673" s="295">
        <v>12</v>
      </c>
      <c r="O673" s="295">
        <v>32.299999999999997</v>
      </c>
      <c r="P673" s="295">
        <v>32.299999999999997</v>
      </c>
      <c r="Q673" s="295"/>
      <c r="R673" s="295"/>
      <c r="S673" s="295"/>
      <c r="T673" s="295"/>
      <c r="U673" s="295"/>
      <c r="V673" s="295"/>
      <c r="W673" s="295"/>
      <c r="X673" s="295"/>
      <c r="Y673" s="426"/>
      <c r="Z673" s="410">
        <v>0.97</v>
      </c>
      <c r="AA673" s="410">
        <v>0.03</v>
      </c>
      <c r="AB673" s="410"/>
      <c r="AC673" s="410"/>
      <c r="AD673" s="410"/>
      <c r="AE673" s="410"/>
      <c r="AF673" s="415"/>
      <c r="AG673" s="415"/>
      <c r="AH673" s="415"/>
      <c r="AI673" s="415"/>
      <c r="AJ673" s="415"/>
      <c r="AK673" s="415"/>
      <c r="AL673" s="415"/>
      <c r="AM673" s="296">
        <v>1</v>
      </c>
    </row>
    <row r="674" spans="1:39" outlineLevel="1">
      <c r="A674" s="532"/>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11">
        <v>0</v>
      </c>
      <c r="Z674" s="411">
        <v>0.97</v>
      </c>
      <c r="AA674" s="411">
        <v>0.03</v>
      </c>
      <c r="AB674" s="411">
        <v>0</v>
      </c>
      <c r="AC674" s="411">
        <v>0</v>
      </c>
      <c r="AD674" s="411">
        <v>0</v>
      </c>
      <c r="AE674" s="411">
        <v>0</v>
      </c>
      <c r="AF674" s="411">
        <v>0</v>
      </c>
      <c r="AG674" s="411">
        <v>0</v>
      </c>
      <c r="AH674" s="411">
        <v>0</v>
      </c>
      <c r="AI674" s="411">
        <v>0</v>
      </c>
      <c r="AJ674" s="411">
        <v>0</v>
      </c>
      <c r="AK674" s="411">
        <v>0</v>
      </c>
      <c r="AL674" s="411">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v>0</v>
      </c>
    </row>
    <row r="677" spans="1:39" outlineLevel="1">
      <c r="A677" s="532"/>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11">
        <v>0</v>
      </c>
      <c r="Z677" s="411">
        <v>0</v>
      </c>
      <c r="AA677" s="411">
        <v>0</v>
      </c>
      <c r="AB677" s="411">
        <v>0</v>
      </c>
      <c r="AC677" s="411">
        <v>0</v>
      </c>
      <c r="AD677" s="411">
        <v>0</v>
      </c>
      <c r="AE677" s="411">
        <v>0</v>
      </c>
      <c r="AF677" s="411">
        <v>0</v>
      </c>
      <c r="AG677" s="411">
        <v>0</v>
      </c>
      <c r="AH677" s="411">
        <v>0</v>
      </c>
      <c r="AI677" s="411">
        <v>0</v>
      </c>
      <c r="AJ677" s="411">
        <v>0</v>
      </c>
      <c r="AK677" s="411">
        <v>0</v>
      </c>
      <c r="AL677" s="411">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v>0</v>
      </c>
    </row>
    <row r="680" spans="1:39" outlineLevel="1">
      <c r="A680" s="532"/>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11">
        <v>0</v>
      </c>
      <c r="Z680" s="411">
        <v>0</v>
      </c>
      <c r="AA680" s="411">
        <v>0</v>
      </c>
      <c r="AB680" s="411">
        <v>0</v>
      </c>
      <c r="AC680" s="411">
        <v>0</v>
      </c>
      <c r="AD680" s="411">
        <v>0</v>
      </c>
      <c r="AE680" s="411">
        <v>0</v>
      </c>
      <c r="AF680" s="411">
        <v>0</v>
      </c>
      <c r="AG680" s="411">
        <v>0</v>
      </c>
      <c r="AH680" s="411">
        <v>0</v>
      </c>
      <c r="AI680" s="411">
        <v>0</v>
      </c>
      <c r="AJ680" s="411">
        <v>0</v>
      </c>
      <c r="AK680" s="411">
        <v>0</v>
      </c>
      <c r="AL680" s="411">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v>0</v>
      </c>
    </row>
    <row r="683" spans="1:39" outlineLevel="1">
      <c r="A683" s="532"/>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v>0</v>
      </c>
      <c r="AG683" s="411">
        <v>0</v>
      </c>
      <c r="AH683" s="411">
        <v>0</v>
      </c>
      <c r="AI683" s="411">
        <v>0</v>
      </c>
      <c r="AJ683" s="411">
        <v>0</v>
      </c>
      <c r="AK683" s="411">
        <v>0</v>
      </c>
      <c r="AL683" s="411">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v>0</v>
      </c>
    </row>
    <row r="686" spans="1:39" outlineLevel="1">
      <c r="A686" s="532"/>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11">
        <v>0</v>
      </c>
      <c r="Z686" s="411">
        <v>0</v>
      </c>
      <c r="AA686" s="411">
        <v>0</v>
      </c>
      <c r="AB686" s="411">
        <v>0</v>
      </c>
      <c r="AC686" s="411">
        <v>0</v>
      </c>
      <c r="AD686" s="411">
        <v>0</v>
      </c>
      <c r="AE686" s="411">
        <v>0</v>
      </c>
      <c r="AF686" s="411">
        <v>0</v>
      </c>
      <c r="AG686" s="411">
        <v>0</v>
      </c>
      <c r="AH686" s="411">
        <v>0</v>
      </c>
      <c r="AI686" s="411">
        <v>0</v>
      </c>
      <c r="AJ686" s="411">
        <v>0</v>
      </c>
      <c r="AK686" s="411">
        <v>0</v>
      </c>
      <c r="AL686" s="411">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v>0</v>
      </c>
    </row>
    <row r="689" spans="1:39" outlineLevel="1">
      <c r="A689" s="532"/>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11">
        <v>0</v>
      </c>
      <c r="Z689" s="411">
        <v>0</v>
      </c>
      <c r="AA689" s="411">
        <v>0</v>
      </c>
      <c r="AB689" s="411">
        <v>0</v>
      </c>
      <c r="AC689" s="411">
        <v>0</v>
      </c>
      <c r="AD689" s="411">
        <v>0</v>
      </c>
      <c r="AE689" s="411">
        <v>0</v>
      </c>
      <c r="AF689" s="411">
        <v>0</v>
      </c>
      <c r="AG689" s="411">
        <v>0</v>
      </c>
      <c r="AH689" s="411">
        <v>0</v>
      </c>
      <c r="AI689" s="411">
        <v>0</v>
      </c>
      <c r="AJ689" s="411">
        <v>0</v>
      </c>
      <c r="AK689" s="411">
        <v>0</v>
      </c>
      <c r="AL689" s="411">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23027.714999999986</v>
      </c>
      <c r="E692" s="295">
        <v>23027.714999999986</v>
      </c>
      <c r="F692" s="295"/>
      <c r="G692" s="295"/>
      <c r="H692" s="295"/>
      <c r="I692" s="295"/>
      <c r="J692" s="295"/>
      <c r="K692" s="295"/>
      <c r="L692" s="295"/>
      <c r="M692" s="295"/>
      <c r="N692" s="295">
        <v>0</v>
      </c>
      <c r="O692" s="295">
        <v>0.4</v>
      </c>
      <c r="P692" s="295">
        <v>0.4</v>
      </c>
      <c r="Q692" s="295"/>
      <c r="R692" s="295"/>
      <c r="S692" s="295"/>
      <c r="T692" s="295"/>
      <c r="U692" s="295"/>
      <c r="V692" s="295"/>
      <c r="W692" s="295"/>
      <c r="X692" s="295"/>
      <c r="Y692" s="426"/>
      <c r="Z692" s="410">
        <v>0.79</v>
      </c>
      <c r="AA692" s="410">
        <v>0.21</v>
      </c>
      <c r="AB692" s="410"/>
      <c r="AC692" s="410"/>
      <c r="AD692" s="410"/>
      <c r="AE692" s="410"/>
      <c r="AF692" s="415"/>
      <c r="AG692" s="415"/>
      <c r="AH692" s="415"/>
      <c r="AI692" s="415"/>
      <c r="AJ692" s="415"/>
      <c r="AK692" s="415"/>
      <c r="AL692" s="415"/>
      <c r="AM692" s="296">
        <v>1</v>
      </c>
    </row>
    <row r="693" spans="1:39" outlineLevel="1">
      <c r="A693" s="532"/>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11">
        <v>0</v>
      </c>
      <c r="Z693" s="411">
        <v>0</v>
      </c>
      <c r="AA693" s="411">
        <v>0</v>
      </c>
      <c r="AB693" s="411">
        <v>0</v>
      </c>
      <c r="AC693" s="411">
        <v>0</v>
      </c>
      <c r="AD693" s="411">
        <v>0</v>
      </c>
      <c r="AE693" s="411">
        <v>0</v>
      </c>
      <c r="AF693" s="411">
        <v>0</v>
      </c>
      <c r="AG693" s="411">
        <v>0</v>
      </c>
      <c r="AH693" s="411">
        <v>0</v>
      </c>
      <c r="AI693" s="411">
        <v>0</v>
      </c>
      <c r="AJ693" s="411">
        <v>0</v>
      </c>
      <c r="AK693" s="411">
        <v>0</v>
      </c>
      <c r="AL693" s="411">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v>0</v>
      </c>
    </row>
    <row r="696" spans="1:39" outlineLevel="1">
      <c r="A696" s="532"/>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11">
        <v>0</v>
      </c>
      <c r="Z696" s="411">
        <v>0</v>
      </c>
      <c r="AA696" s="411">
        <v>0</v>
      </c>
      <c r="AB696" s="411">
        <v>0</v>
      </c>
      <c r="AC696" s="411">
        <v>0</v>
      </c>
      <c r="AD696" s="411">
        <v>0</v>
      </c>
      <c r="AE696" s="411">
        <v>0</v>
      </c>
      <c r="AF696" s="411">
        <v>0</v>
      </c>
      <c r="AG696" s="411">
        <v>0</v>
      </c>
      <c r="AH696" s="411">
        <v>0</v>
      </c>
      <c r="AI696" s="411">
        <v>0</v>
      </c>
      <c r="AJ696" s="411">
        <v>0</v>
      </c>
      <c r="AK696" s="411">
        <v>0</v>
      </c>
      <c r="AL696" s="411">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v>0</v>
      </c>
    </row>
    <row r="699" spans="1:39" outlineLevel="1">
      <c r="A699" s="532"/>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11">
        <v>0</v>
      </c>
      <c r="Z699" s="411">
        <v>0</v>
      </c>
      <c r="AA699" s="411">
        <v>0</v>
      </c>
      <c r="AB699" s="411">
        <v>0</v>
      </c>
      <c r="AC699" s="411">
        <v>0</v>
      </c>
      <c r="AD699" s="411">
        <v>0</v>
      </c>
      <c r="AE699" s="411">
        <v>0</v>
      </c>
      <c r="AF699" s="411">
        <v>0</v>
      </c>
      <c r="AG699" s="411">
        <v>0</v>
      </c>
      <c r="AH699" s="411">
        <v>0</v>
      </c>
      <c r="AI699" s="411">
        <v>0</v>
      </c>
      <c r="AJ699" s="411">
        <v>0</v>
      </c>
      <c r="AK699" s="411">
        <v>0</v>
      </c>
      <c r="AL699" s="411">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v>0</v>
      </c>
    </row>
    <row r="703" spans="1:39" outlineLevel="1">
      <c r="A703" s="532"/>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411">
        <v>0</v>
      </c>
      <c r="Z703" s="411">
        <v>0</v>
      </c>
      <c r="AA703" s="411">
        <v>0</v>
      </c>
      <c r="AB703" s="411">
        <v>0</v>
      </c>
      <c r="AC703" s="411">
        <v>0</v>
      </c>
      <c r="AD703" s="411">
        <v>0</v>
      </c>
      <c r="AE703" s="411">
        <v>0</v>
      </c>
      <c r="AF703" s="411">
        <v>0</v>
      </c>
      <c r="AG703" s="411">
        <v>0</v>
      </c>
      <c r="AH703" s="411">
        <v>0</v>
      </c>
      <c r="AI703" s="411">
        <v>0</v>
      </c>
      <c r="AJ703" s="411">
        <v>0</v>
      </c>
      <c r="AK703" s="411">
        <v>0</v>
      </c>
      <c r="AL703" s="411">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v>0</v>
      </c>
    </row>
    <row r="706" spans="1:39" outlineLevel="1">
      <c r="A706" s="532"/>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11">
        <v>0</v>
      </c>
      <c r="Z706" s="411">
        <v>0</v>
      </c>
      <c r="AA706" s="411">
        <v>0</v>
      </c>
      <c r="AB706" s="411">
        <v>0</v>
      </c>
      <c r="AC706" s="411">
        <v>0</v>
      </c>
      <c r="AD706" s="411">
        <v>0</v>
      </c>
      <c r="AE706" s="411">
        <v>0</v>
      </c>
      <c r="AF706" s="411">
        <v>0</v>
      </c>
      <c r="AG706" s="411">
        <v>0</v>
      </c>
      <c r="AH706" s="411">
        <v>0</v>
      </c>
      <c r="AI706" s="411">
        <v>0</v>
      </c>
      <c r="AJ706" s="411">
        <v>0</v>
      </c>
      <c r="AK706" s="411">
        <v>0</v>
      </c>
      <c r="AL706" s="411">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v>0</v>
      </c>
    </row>
    <row r="709" spans="1:39" outlineLevel="1">
      <c r="A709" s="532"/>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11">
        <v>0</v>
      </c>
      <c r="Z709" s="411">
        <v>0</v>
      </c>
      <c r="AA709" s="411">
        <v>0</v>
      </c>
      <c r="AB709" s="411">
        <v>0</v>
      </c>
      <c r="AC709" s="411">
        <v>0</v>
      </c>
      <c r="AD709" s="411">
        <v>0</v>
      </c>
      <c r="AE709" s="411">
        <v>0</v>
      </c>
      <c r="AF709" s="411">
        <v>0</v>
      </c>
      <c r="AG709" s="411">
        <v>0</v>
      </c>
      <c r="AH709" s="411">
        <v>0</v>
      </c>
      <c r="AI709" s="411">
        <v>0</v>
      </c>
      <c r="AJ709" s="411">
        <v>0</v>
      </c>
      <c r="AK709" s="411">
        <v>0</v>
      </c>
      <c r="AL709" s="411">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v>0</v>
      </c>
    </row>
    <row r="712" spans="1:39" outlineLevel="1">
      <c r="A712" s="532"/>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11">
        <v>0</v>
      </c>
      <c r="Z712" s="411">
        <v>0</v>
      </c>
      <c r="AA712" s="411">
        <v>0</v>
      </c>
      <c r="AB712" s="411">
        <v>0</v>
      </c>
      <c r="AC712" s="411">
        <v>0</v>
      </c>
      <c r="AD712" s="411">
        <v>0</v>
      </c>
      <c r="AE712" s="411">
        <v>0</v>
      </c>
      <c r="AF712" s="411">
        <v>0</v>
      </c>
      <c r="AG712" s="411">
        <v>0</v>
      </c>
      <c r="AH712" s="411">
        <v>0</v>
      </c>
      <c r="AI712" s="411">
        <v>0</v>
      </c>
      <c r="AJ712" s="411">
        <v>0</v>
      </c>
      <c r="AK712" s="411">
        <v>0</v>
      </c>
      <c r="AL712" s="411">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v>0</v>
      </c>
    </row>
    <row r="715" spans="1:39"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v>0</v>
      </c>
      <c r="Z715" s="411">
        <v>0</v>
      </c>
      <c r="AA715" s="411">
        <v>0</v>
      </c>
      <c r="AB715" s="411">
        <v>0</v>
      </c>
      <c r="AC715" s="411">
        <v>0</v>
      </c>
      <c r="AD715" s="411">
        <v>0</v>
      </c>
      <c r="AE715" s="411">
        <v>0</v>
      </c>
      <c r="AF715" s="411">
        <v>0</v>
      </c>
      <c r="AG715" s="411">
        <v>0</v>
      </c>
      <c r="AH715" s="411">
        <v>0</v>
      </c>
      <c r="AI715" s="411">
        <v>0</v>
      </c>
      <c r="AJ715" s="411">
        <v>0</v>
      </c>
      <c r="AK715" s="411">
        <v>0</v>
      </c>
      <c r="AL715" s="411">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v>0</v>
      </c>
    </row>
    <row r="718" spans="1:39" outlineLevel="1">
      <c r="A718" s="532"/>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v>0</v>
      </c>
      <c r="Z718" s="411">
        <v>0</v>
      </c>
      <c r="AA718" s="411">
        <v>0</v>
      </c>
      <c r="AB718" s="411">
        <v>0</v>
      </c>
      <c r="AC718" s="411">
        <v>0</v>
      </c>
      <c r="AD718" s="411">
        <v>0</v>
      </c>
      <c r="AE718" s="411">
        <v>0</v>
      </c>
      <c r="AF718" s="411">
        <v>0</v>
      </c>
      <c r="AG718" s="411">
        <v>0</v>
      </c>
      <c r="AH718" s="411">
        <v>0</v>
      </c>
      <c r="AI718" s="411">
        <v>0</v>
      </c>
      <c r="AJ718" s="411">
        <v>0</v>
      </c>
      <c r="AK718" s="411">
        <v>0</v>
      </c>
      <c r="AL718" s="411">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v>0</v>
      </c>
      <c r="Z721" s="411">
        <v>0</v>
      </c>
      <c r="AA721" s="411">
        <v>0</v>
      </c>
      <c r="AB721" s="411">
        <v>0</v>
      </c>
      <c r="AC721" s="411">
        <v>0</v>
      </c>
      <c r="AD721" s="411">
        <v>0</v>
      </c>
      <c r="AE721" s="411">
        <v>0</v>
      </c>
      <c r="AF721" s="411">
        <v>0</v>
      </c>
      <c r="AG721" s="411">
        <v>0</v>
      </c>
      <c r="AH721" s="411">
        <v>0</v>
      </c>
      <c r="AI721" s="411">
        <v>0</v>
      </c>
      <c r="AJ721" s="411">
        <v>0</v>
      </c>
      <c r="AK721" s="411">
        <v>0</v>
      </c>
      <c r="AL721" s="411">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v>0</v>
      </c>
    </row>
    <row r="724" spans="1:39" outlineLevel="1">
      <c r="A724" s="532"/>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11">
        <v>0</v>
      </c>
      <c r="Z724" s="411">
        <v>0</v>
      </c>
      <c r="AA724" s="411">
        <v>0</v>
      </c>
      <c r="AB724" s="411">
        <v>0</v>
      </c>
      <c r="AC724" s="411">
        <v>0</v>
      </c>
      <c r="AD724" s="411">
        <v>0</v>
      </c>
      <c r="AE724" s="411">
        <v>0</v>
      </c>
      <c r="AF724" s="411">
        <v>0</v>
      </c>
      <c r="AG724" s="411">
        <v>0</v>
      </c>
      <c r="AH724" s="411">
        <v>0</v>
      </c>
      <c r="AI724" s="411">
        <v>0</v>
      </c>
      <c r="AJ724" s="411">
        <v>0</v>
      </c>
      <c r="AK724" s="411">
        <v>0</v>
      </c>
      <c r="AL724" s="411">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v>0</v>
      </c>
    </row>
    <row r="727" spans="1:39" outlineLevel="1">
      <c r="A727" s="532"/>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11">
        <v>0</v>
      </c>
      <c r="Z727" s="411">
        <v>0</v>
      </c>
      <c r="AA727" s="411">
        <v>0</v>
      </c>
      <c r="AB727" s="411">
        <v>0</v>
      </c>
      <c r="AC727" s="411">
        <v>0</v>
      </c>
      <c r="AD727" s="411">
        <v>0</v>
      </c>
      <c r="AE727" s="411">
        <v>0</v>
      </c>
      <c r="AF727" s="411">
        <v>0</v>
      </c>
      <c r="AG727" s="411">
        <v>0</v>
      </c>
      <c r="AH727" s="411">
        <v>0</v>
      </c>
      <c r="AI727" s="411">
        <v>0</v>
      </c>
      <c r="AJ727" s="411">
        <v>0</v>
      </c>
      <c r="AK727" s="411">
        <v>0</v>
      </c>
      <c r="AL727" s="411">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v>0</v>
      </c>
    </row>
    <row r="730" spans="1:39"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v>0</v>
      </c>
      <c r="AG730" s="411">
        <v>0</v>
      </c>
      <c r="AH730" s="411">
        <v>0</v>
      </c>
      <c r="AI730" s="411">
        <v>0</v>
      </c>
      <c r="AJ730" s="411">
        <v>0</v>
      </c>
      <c r="AK730" s="411">
        <v>0</v>
      </c>
      <c r="AL730" s="411">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v>0</v>
      </c>
    </row>
    <row r="733" spans="1:39"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v>0</v>
      </c>
      <c r="AG733" s="411">
        <v>0</v>
      </c>
      <c r="AH733" s="411">
        <v>0</v>
      </c>
      <c r="AI733" s="411">
        <v>0</v>
      </c>
      <c r="AJ733" s="411">
        <v>0</v>
      </c>
      <c r="AK733" s="411">
        <v>0</v>
      </c>
      <c r="AL733" s="411">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v>0</v>
      </c>
    </row>
    <row r="736" spans="1:39"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v>0</v>
      </c>
      <c r="AG736" s="411">
        <v>0</v>
      </c>
      <c r="AH736" s="411">
        <v>0</v>
      </c>
      <c r="AI736" s="411">
        <v>0</v>
      </c>
      <c r="AJ736" s="411">
        <v>0</v>
      </c>
      <c r="AK736" s="411">
        <v>0</v>
      </c>
      <c r="AL736" s="411">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v>0</v>
      </c>
    </row>
    <row r="739" spans="1:40"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v>0</v>
      </c>
      <c r="AG739" s="411">
        <v>0</v>
      </c>
      <c r="AH739" s="411">
        <v>0</v>
      </c>
      <c r="AI739" s="411">
        <v>0</v>
      </c>
      <c r="AJ739" s="411">
        <v>0</v>
      </c>
      <c r="AK739" s="411">
        <v>0</v>
      </c>
      <c r="AL739" s="411">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v>0</v>
      </c>
    </row>
    <row r="742" spans="1:40"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v>0</v>
      </c>
      <c r="AG742" s="411">
        <v>0</v>
      </c>
      <c r="AH742" s="411">
        <v>0</v>
      </c>
      <c r="AI742" s="411">
        <v>0</v>
      </c>
      <c r="AJ742" s="411">
        <v>0</v>
      </c>
      <c r="AK742" s="411">
        <v>0</v>
      </c>
      <c r="AL742" s="411">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1534350.6856698736</v>
      </c>
      <c r="E744" s="329"/>
      <c r="F744" s="329"/>
      <c r="G744" s="329"/>
      <c r="H744" s="329"/>
      <c r="I744" s="329"/>
      <c r="J744" s="329"/>
      <c r="K744" s="329"/>
      <c r="L744" s="329"/>
      <c r="M744" s="329"/>
      <c r="N744" s="329"/>
      <c r="O744" s="329">
        <f>SUM(O587:O742)</f>
        <v>221.99999999999997</v>
      </c>
      <c r="P744" s="329"/>
      <c r="Q744" s="329"/>
      <c r="R744" s="329"/>
      <c r="S744" s="329"/>
      <c r="T744" s="329"/>
      <c r="U744" s="329"/>
      <c r="V744" s="329"/>
      <c r="W744" s="329"/>
      <c r="X744" s="329"/>
      <c r="Y744" s="329">
        <f>IF(Y585="kWh",SUMPRODUCT(D587:D742,Y587:Y742))</f>
        <v>409253.52</v>
      </c>
      <c r="Z744" s="329">
        <f>IF(Z585="kWh",SUMPRODUCT(D587:D742,Z587:Z742))</f>
        <v>618354.74493231403</v>
      </c>
      <c r="AA744" s="329">
        <f>IF(AA585="kw",SUMPRODUCT(N587:N742,O587:O742,AA587:AA742),SUMPRODUCT(D587:D742,AA587:AA742))</f>
        <v>809.03160000000003</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1219155</v>
      </c>
      <c r="Z745" s="392">
        <f>HLOOKUP(Z401,'2. LRAMVA Threshold'!$B$42:$Q$53,10,FALSE)</f>
        <v>658151</v>
      </c>
      <c r="AA745" s="392">
        <f>HLOOKUP(AA401,'2. LRAMVA Threshold'!$B$42:$Q$53,10,FALSE)</f>
        <v>3236</v>
      </c>
      <c r="AB745" s="392">
        <f>HLOOKUP(AB401,'2. LRAMVA Threshold'!$B$42:$Q$53,10,FALSE)</f>
        <v>2</v>
      </c>
      <c r="AC745" s="392">
        <f>HLOOKUP(AC401,'2. LRAMVA Threshold'!$B$42:$Q$53,10,FALSE)</f>
        <v>81</v>
      </c>
      <c r="AD745" s="392">
        <f>HLOOKUP(AD401,'2. LRAMVA Threshold'!$B$42:$Q$53,10,FALSE)</f>
        <v>1714</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5.1000000000000004E-3</v>
      </c>
      <c r="Z747" s="341">
        <f>HLOOKUP(Z$35,'3.  Distribution Rates'!$C$122:$P$133,10,FALSE)</f>
        <v>9.2999999999999992E-3</v>
      </c>
      <c r="AA747" s="341">
        <f>HLOOKUP(AA$35,'3.  Distribution Rates'!$C$122:$P$133,10,FALSE)</f>
        <v>2.8875000000000002</v>
      </c>
      <c r="AB747" s="341">
        <f>HLOOKUP(AB$35,'3.  Distribution Rates'!$C$122:$P$133,10,FALSE)</f>
        <v>22.609100000000002</v>
      </c>
      <c r="AC747" s="341">
        <f>HLOOKUP(AC$35,'3.  Distribution Rates'!$C$122:$P$133,10,FALSE)</f>
        <v>16.483000000000001</v>
      </c>
      <c r="AD747" s="341">
        <f>HLOOKUP(AD$35,'3.  Distribution Rates'!$C$122:$P$133,10,FALSE)</f>
        <v>6.0000000000000001E-3</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460.4913152871074</v>
      </c>
      <c r="Z748" s="378">
        <f>'4.  2011-2014 LRAM'!Z141*Z747</f>
        <v>1209.8173406774861</v>
      </c>
      <c r="AA748" s="378">
        <f>'4.  2011-2014 LRAM'!AA141*AA747</f>
        <v>414.50180300271796</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7">SUM(Y748:AL748)</f>
        <v>2084.8104589673117</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295.49211156239949</v>
      </c>
      <c r="Z749" s="378">
        <f>'4.  2011-2014 LRAM'!Z270*Z747</f>
        <v>1195.8182475098417</v>
      </c>
      <c r="AA749" s="378">
        <f>'4.  2011-2014 LRAM'!AA270*AA747</f>
        <v>2145.0153908449383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7"/>
        <v>3636.3257499171796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748.96306361531208</v>
      </c>
      <c r="Z750" s="378">
        <f>'4.  2011-2014 LRAM'!Z399*Z747</f>
        <v>1278.7175480379619</v>
      </c>
      <c r="AA750" s="378">
        <f>'4.  2011-2014 LRAM'!AA399*AA747</f>
        <v>294.10848753986704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7"/>
        <v>2321.7890991931408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1598.2818804907829</v>
      </c>
      <c r="Z751" s="378">
        <f>'4.  2011-2014 LRAM'!Z529*Z747</f>
        <v>4606.7165324099997</v>
      </c>
      <c r="AA751" s="378">
        <f>'4.  2011-2014 LRAM'!AA529*AA747</f>
        <v>4193.2138469760012</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7"/>
        <v>10398.212259876784</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8">Y210*Y747</f>
        <v>2753.4994297021981</v>
      </c>
      <c r="Z752" s="378">
        <f t="shared" si="28"/>
        <v>16721.522927998678</v>
      </c>
      <c r="AA752" s="378">
        <f t="shared" si="28"/>
        <v>6723.5955681780906</v>
      </c>
      <c r="AB752" s="378">
        <f t="shared" si="28"/>
        <v>0</v>
      </c>
      <c r="AC752" s="378">
        <f t="shared" si="28"/>
        <v>1162.3272327350235</v>
      </c>
      <c r="AD752" s="378">
        <f t="shared" si="28"/>
        <v>381.3166422962093</v>
      </c>
      <c r="AE752" s="378">
        <f t="shared" si="28"/>
        <v>0</v>
      </c>
      <c r="AF752" s="378">
        <f t="shared" si="28"/>
        <v>0</v>
      </c>
      <c r="AG752" s="378">
        <f t="shared" si="28"/>
        <v>0</v>
      </c>
      <c r="AH752" s="378">
        <f t="shared" si="28"/>
        <v>0</v>
      </c>
      <c r="AI752" s="378">
        <f t="shared" si="28"/>
        <v>0</v>
      </c>
      <c r="AJ752" s="378">
        <f t="shared" si="28"/>
        <v>0</v>
      </c>
      <c r="AK752" s="378">
        <f t="shared" si="28"/>
        <v>0</v>
      </c>
      <c r="AL752" s="378">
        <f t="shared" si="28"/>
        <v>0</v>
      </c>
      <c r="AM752" s="629">
        <f t="shared" si="27"/>
        <v>27742.261800910201</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9">Y393*Y747</f>
        <v>4438.9711008920976</v>
      </c>
      <c r="Z753" s="378">
        <f t="shared" si="29"/>
        <v>1571.3749783451287</v>
      </c>
      <c r="AA753" s="378">
        <f t="shared" si="29"/>
        <v>8022.4474073372448</v>
      </c>
      <c r="AB753" s="378">
        <f t="shared" si="29"/>
        <v>0</v>
      </c>
      <c r="AC753" s="378">
        <f t="shared" si="29"/>
        <v>2411.7266450420971</v>
      </c>
      <c r="AD753" s="378">
        <f t="shared" si="29"/>
        <v>0</v>
      </c>
      <c r="AE753" s="378">
        <f t="shared" si="29"/>
        <v>0</v>
      </c>
      <c r="AF753" s="378">
        <f t="shared" si="29"/>
        <v>0</v>
      </c>
      <c r="AG753" s="378">
        <f t="shared" si="29"/>
        <v>0</v>
      </c>
      <c r="AH753" s="378">
        <f t="shared" si="29"/>
        <v>0</v>
      </c>
      <c r="AI753" s="378">
        <f t="shared" si="29"/>
        <v>0</v>
      </c>
      <c r="AJ753" s="378">
        <f t="shared" si="29"/>
        <v>0</v>
      </c>
      <c r="AK753" s="378">
        <f t="shared" si="29"/>
        <v>0</v>
      </c>
      <c r="AL753" s="378">
        <f t="shared" si="29"/>
        <v>0</v>
      </c>
      <c r="AM753" s="629">
        <f t="shared" si="27"/>
        <v>16444.520131616569</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30">Y576*Y747</f>
        <v>6560.5813391971769</v>
      </c>
      <c r="Z754" s="378">
        <f t="shared" si="30"/>
        <v>6720.0445643830817</v>
      </c>
      <c r="AA754" s="378">
        <f t="shared" si="30"/>
        <v>4936.6557393345638</v>
      </c>
      <c r="AB754" s="378">
        <f t="shared" si="30"/>
        <v>0</v>
      </c>
      <c r="AC754" s="378">
        <f t="shared" si="30"/>
        <v>0</v>
      </c>
      <c r="AD754" s="378">
        <f t="shared" si="30"/>
        <v>0</v>
      </c>
      <c r="AE754" s="378">
        <f t="shared" si="30"/>
        <v>0</v>
      </c>
      <c r="AF754" s="378">
        <f t="shared" si="30"/>
        <v>0</v>
      </c>
      <c r="AG754" s="378">
        <f t="shared" si="30"/>
        <v>0</v>
      </c>
      <c r="AH754" s="378">
        <f t="shared" si="30"/>
        <v>0</v>
      </c>
      <c r="AI754" s="378">
        <f t="shared" si="30"/>
        <v>0</v>
      </c>
      <c r="AJ754" s="378">
        <f t="shared" si="30"/>
        <v>0</v>
      </c>
      <c r="AK754" s="378">
        <f t="shared" si="30"/>
        <v>0</v>
      </c>
      <c r="AL754" s="378">
        <f t="shared" si="30"/>
        <v>0</v>
      </c>
      <c r="AM754" s="629">
        <f t="shared" si="27"/>
        <v>18217.281642914822</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2087.1929520000003</v>
      </c>
      <c r="Z755" s="378">
        <f t="shared" ref="Z755:AL755" si="31">Z744*Z747</f>
        <v>5750.69912787052</v>
      </c>
      <c r="AA755" s="378">
        <f t="shared" si="31"/>
        <v>2336.0787450000003</v>
      </c>
      <c r="AB755" s="378">
        <f t="shared" si="31"/>
        <v>0</v>
      </c>
      <c r="AC755" s="378">
        <f t="shared" si="31"/>
        <v>0</v>
      </c>
      <c r="AD755" s="378">
        <f t="shared" si="31"/>
        <v>0</v>
      </c>
      <c r="AE755" s="378">
        <f t="shared" si="31"/>
        <v>0</v>
      </c>
      <c r="AF755" s="378">
        <f t="shared" si="31"/>
        <v>0</v>
      </c>
      <c r="AG755" s="378">
        <f t="shared" si="31"/>
        <v>0</v>
      </c>
      <c r="AH755" s="378">
        <f t="shared" si="31"/>
        <v>0</v>
      </c>
      <c r="AI755" s="378">
        <f t="shared" si="31"/>
        <v>0</v>
      </c>
      <c r="AJ755" s="378">
        <f t="shared" si="31"/>
        <v>0</v>
      </c>
      <c r="AK755" s="378">
        <f t="shared" si="31"/>
        <v>0</v>
      </c>
      <c r="AL755" s="378">
        <f t="shared" si="31"/>
        <v>0</v>
      </c>
      <c r="AM755" s="629">
        <f t="shared" si="27"/>
        <v>10173.970824870521</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18943.473192747075</v>
      </c>
      <c r="Z756" s="346">
        <f>SUM(Z748:Z755)</f>
        <v>39054.711267232691</v>
      </c>
      <c r="AA756" s="346">
        <f t="shared" ref="AA756:AE756" si="32">SUM(AA748:AA755)</f>
        <v>29065.616988213424</v>
      </c>
      <c r="AB756" s="346">
        <f t="shared" si="32"/>
        <v>0</v>
      </c>
      <c r="AC756" s="346">
        <f t="shared" si="32"/>
        <v>3574.0538777771208</v>
      </c>
      <c r="AD756" s="346">
        <f t="shared" si="32"/>
        <v>381.3166422962093</v>
      </c>
      <c r="AE756" s="346">
        <f t="shared" si="32"/>
        <v>0</v>
      </c>
      <c r="AF756" s="346">
        <f t="shared" ref="AF756:AL756" si="33">SUM(AF748:AF755)</f>
        <v>0</v>
      </c>
      <c r="AG756" s="346">
        <f t="shared" si="33"/>
        <v>0</v>
      </c>
      <c r="AH756" s="346">
        <f t="shared" si="33"/>
        <v>0</v>
      </c>
      <c r="AI756" s="346">
        <f t="shared" si="33"/>
        <v>0</v>
      </c>
      <c r="AJ756" s="346">
        <f t="shared" si="33"/>
        <v>0</v>
      </c>
      <c r="AK756" s="346">
        <f t="shared" si="33"/>
        <v>0</v>
      </c>
      <c r="AL756" s="346">
        <f t="shared" si="33"/>
        <v>0</v>
      </c>
      <c r="AM756" s="407">
        <f>SUM(AM748:AM755)</f>
        <v>91019.171968266513</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6217.6905000000006</v>
      </c>
      <c r="Z757" s="347">
        <f t="shared" ref="Z757:AE757" si="34">Z745*Z747</f>
        <v>6120.8042999999998</v>
      </c>
      <c r="AA757" s="347">
        <f t="shared" si="34"/>
        <v>9343.9500000000007</v>
      </c>
      <c r="AB757" s="347">
        <f t="shared" si="34"/>
        <v>45.218200000000003</v>
      </c>
      <c r="AC757" s="347">
        <f t="shared" si="34"/>
        <v>1335.123</v>
      </c>
      <c r="AD757" s="347">
        <f t="shared" si="34"/>
        <v>10.284000000000001</v>
      </c>
      <c r="AE757" s="347">
        <f t="shared" si="34"/>
        <v>0</v>
      </c>
      <c r="AF757" s="347">
        <f t="shared" ref="AF757:AL757" si="35">AF745*AF747</f>
        <v>0</v>
      </c>
      <c r="AG757" s="347">
        <f t="shared" si="35"/>
        <v>0</v>
      </c>
      <c r="AH757" s="347">
        <f t="shared" si="35"/>
        <v>0</v>
      </c>
      <c r="AI757" s="347">
        <f t="shared" si="35"/>
        <v>0</v>
      </c>
      <c r="AJ757" s="347">
        <f t="shared" si="35"/>
        <v>0</v>
      </c>
      <c r="AK757" s="347">
        <f t="shared" si="35"/>
        <v>0</v>
      </c>
      <c r="AL757" s="347">
        <f t="shared" si="35"/>
        <v>0</v>
      </c>
      <c r="AM757" s="407">
        <f>SUM(Y757:AL757)</f>
        <v>23073.07</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67946.101968266506</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409253.52</v>
      </c>
      <c r="Z760" s="291">
        <f>SUMPRODUCT(E587:E742,Z587:Z742)</f>
        <v>618354.74493231403</v>
      </c>
      <c r="AA760" s="291">
        <f>IF(AA585="kw",SUMPRODUCT($N$587:$N$742,$P$587:$P$742,AA587:AA742),SUMPRODUCT($E$587:$E$742,AA587:AA742))</f>
        <v>809.03160000000003</v>
      </c>
      <c r="AB760" s="291">
        <f t="shared" ref="AB760:AL760" si="36">IF(AB585="kw",SUMPRODUCT($N$587:$N$742,$P$587:$P$742,AB587:AB742),SUMPRODUCT($E$587:$E$742,AB587:AB742))</f>
        <v>0</v>
      </c>
      <c r="AC760" s="291">
        <f t="shared" si="36"/>
        <v>0</v>
      </c>
      <c r="AD760" s="291">
        <f t="shared" si="36"/>
        <v>0</v>
      </c>
      <c r="AE760" s="291">
        <f t="shared" si="36"/>
        <v>0</v>
      </c>
      <c r="AF760" s="291">
        <f t="shared" si="36"/>
        <v>0</v>
      </c>
      <c r="AG760" s="291">
        <f t="shared" si="36"/>
        <v>0</v>
      </c>
      <c r="AH760" s="291">
        <f t="shared" si="36"/>
        <v>0</v>
      </c>
      <c r="AI760" s="291">
        <f t="shared" si="36"/>
        <v>0</v>
      </c>
      <c r="AJ760" s="291">
        <f t="shared" si="36"/>
        <v>0</v>
      </c>
      <c r="AK760" s="291">
        <f t="shared" si="36"/>
        <v>0</v>
      </c>
      <c r="AL760" s="291">
        <f t="shared" si="36"/>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37">IF(AA585="kw",SUMPRODUCT($N$587:$N$742,$Q$587:$Q$742,AA587:AA742),SUMPRODUCT($F$587:$F$742,AA587:AA742))</f>
        <v>0</v>
      </c>
      <c r="AB761" s="326">
        <f t="shared" si="37"/>
        <v>0</v>
      </c>
      <c r="AC761" s="326">
        <f t="shared" si="37"/>
        <v>0</v>
      </c>
      <c r="AD761" s="326">
        <f t="shared" si="37"/>
        <v>0</v>
      </c>
      <c r="AE761" s="326">
        <f t="shared" si="37"/>
        <v>0</v>
      </c>
      <c r="AF761" s="326">
        <f t="shared" si="37"/>
        <v>0</v>
      </c>
      <c r="AG761" s="326">
        <f t="shared" si="37"/>
        <v>0</v>
      </c>
      <c r="AH761" s="326">
        <f t="shared" si="37"/>
        <v>0</v>
      </c>
      <c r="AI761" s="326">
        <f t="shared" si="37"/>
        <v>0</v>
      </c>
      <c r="AJ761" s="326">
        <f t="shared" si="37"/>
        <v>0</v>
      </c>
      <c r="AK761" s="326">
        <f t="shared" si="37"/>
        <v>0</v>
      </c>
      <c r="AL761" s="326">
        <f t="shared" si="37"/>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1035" t="s">
        <v>211</v>
      </c>
      <c r="C766" s="1037" t="s">
        <v>33</v>
      </c>
      <c r="D766" s="284" t="s">
        <v>421</v>
      </c>
      <c r="E766" s="1039" t="s">
        <v>209</v>
      </c>
      <c r="F766" s="1040"/>
      <c r="G766" s="1040"/>
      <c r="H766" s="1040"/>
      <c r="I766" s="1040"/>
      <c r="J766" s="1040"/>
      <c r="K766" s="1040"/>
      <c r="L766" s="1040"/>
      <c r="M766" s="1041"/>
      <c r="N766" s="1045" t="s">
        <v>213</v>
      </c>
      <c r="O766" s="284" t="s">
        <v>422</v>
      </c>
      <c r="P766" s="1039" t="s">
        <v>212</v>
      </c>
      <c r="Q766" s="1040"/>
      <c r="R766" s="1040"/>
      <c r="S766" s="1040"/>
      <c r="T766" s="1040"/>
      <c r="U766" s="1040"/>
      <c r="V766" s="1040"/>
      <c r="W766" s="1040"/>
      <c r="X766" s="1041"/>
      <c r="Y766" s="1042" t="s">
        <v>243</v>
      </c>
      <c r="Z766" s="1043"/>
      <c r="AA766" s="1043"/>
      <c r="AB766" s="1043"/>
      <c r="AC766" s="1043"/>
      <c r="AD766" s="1043"/>
      <c r="AE766" s="1043"/>
      <c r="AF766" s="1043"/>
      <c r="AG766" s="1043"/>
      <c r="AH766" s="1043"/>
      <c r="AI766" s="1043"/>
      <c r="AJ766" s="1043"/>
      <c r="AK766" s="1043"/>
      <c r="AL766" s="1043"/>
      <c r="AM766" s="1044"/>
    </row>
    <row r="767" spans="1:40" ht="65.25" customHeight="1">
      <c r="B767" s="1036"/>
      <c r="C767" s="1038"/>
      <c r="D767" s="285">
        <v>2019</v>
      </c>
      <c r="E767" s="285">
        <v>2020</v>
      </c>
      <c r="F767" s="285">
        <v>2021</v>
      </c>
      <c r="G767" s="285">
        <v>2022</v>
      </c>
      <c r="H767" s="285">
        <v>2023</v>
      </c>
      <c r="I767" s="285">
        <v>2024</v>
      </c>
      <c r="J767" s="285">
        <v>2025</v>
      </c>
      <c r="K767" s="285">
        <v>2026</v>
      </c>
      <c r="L767" s="285">
        <v>2027</v>
      </c>
      <c r="M767" s="285">
        <v>2028</v>
      </c>
      <c r="N767" s="1046"/>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Sentinel Lighting</v>
      </c>
      <c r="AC767" s="285" t="str">
        <f>'1.  LRAMVA Summary'!H52</f>
        <v>Street Lighting</v>
      </c>
      <c r="AD767" s="285" t="str">
        <f>'1.  LRAMVA Summary'!I52</f>
        <v>Unmetered Scattered Load</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kWh</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38">Z770</f>
        <v>0</v>
      </c>
      <c r="AA771" s="411">
        <f t="shared" ref="AA771" si="39">AA770</f>
        <v>0</v>
      </c>
      <c r="AB771" s="411">
        <f t="shared" ref="AB771" si="40">AB770</f>
        <v>0</v>
      </c>
      <c r="AC771" s="411">
        <f t="shared" ref="AC771" si="41">AC770</f>
        <v>0</v>
      </c>
      <c r="AD771" s="411">
        <f t="shared" ref="AD771" si="42">AD770</f>
        <v>0</v>
      </c>
      <c r="AE771" s="411">
        <f t="shared" ref="AE771" si="43">AE770</f>
        <v>0</v>
      </c>
      <c r="AF771" s="411">
        <f t="shared" ref="AF771" si="44">AF770</f>
        <v>0</v>
      </c>
      <c r="AG771" s="411">
        <f t="shared" ref="AG771" si="45">AG770</f>
        <v>0</v>
      </c>
      <c r="AH771" s="411">
        <f t="shared" ref="AH771" si="46">AH770</f>
        <v>0</v>
      </c>
      <c r="AI771" s="411">
        <f t="shared" ref="AI771" si="47">AI770</f>
        <v>0</v>
      </c>
      <c r="AJ771" s="411">
        <f t="shared" ref="AJ771" si="48">AJ770</f>
        <v>0</v>
      </c>
      <c r="AK771" s="411">
        <f t="shared" ref="AK771" si="49">AK770</f>
        <v>0</v>
      </c>
      <c r="AL771" s="411">
        <f t="shared" ref="AL771" si="50">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51">Z773</f>
        <v>0</v>
      </c>
      <c r="AA774" s="411">
        <f t="shared" ref="AA774" si="52">AA773</f>
        <v>0</v>
      </c>
      <c r="AB774" s="411">
        <f t="shared" ref="AB774" si="53">AB773</f>
        <v>0</v>
      </c>
      <c r="AC774" s="411">
        <f t="shared" ref="AC774" si="54">AC773</f>
        <v>0</v>
      </c>
      <c r="AD774" s="411">
        <f t="shared" ref="AD774" si="55">AD773</f>
        <v>0</v>
      </c>
      <c r="AE774" s="411">
        <f t="shared" ref="AE774" si="56">AE773</f>
        <v>0</v>
      </c>
      <c r="AF774" s="411">
        <f t="shared" ref="AF774" si="57">AF773</f>
        <v>0</v>
      </c>
      <c r="AG774" s="411">
        <f t="shared" ref="AG774" si="58">AG773</f>
        <v>0</v>
      </c>
      <c r="AH774" s="411">
        <f t="shared" ref="AH774" si="59">AH773</f>
        <v>0</v>
      </c>
      <c r="AI774" s="411">
        <f t="shared" ref="AI774" si="60">AI773</f>
        <v>0</v>
      </c>
      <c r="AJ774" s="411">
        <f t="shared" ref="AJ774" si="61">AJ773</f>
        <v>0</v>
      </c>
      <c r="AK774" s="411">
        <f t="shared" ref="AK774" si="62">AK773</f>
        <v>0</v>
      </c>
      <c r="AL774" s="411">
        <f t="shared" ref="AL774" si="63">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64">Z776</f>
        <v>0</v>
      </c>
      <c r="AA777" s="411">
        <f t="shared" ref="AA777" si="65">AA776</f>
        <v>0</v>
      </c>
      <c r="AB777" s="411">
        <f t="shared" ref="AB777" si="66">AB776</f>
        <v>0</v>
      </c>
      <c r="AC777" s="411">
        <f t="shared" ref="AC777" si="67">AC776</f>
        <v>0</v>
      </c>
      <c r="AD777" s="411">
        <f t="shared" ref="AD777" si="68">AD776</f>
        <v>0</v>
      </c>
      <c r="AE777" s="411">
        <f t="shared" ref="AE777" si="69">AE776</f>
        <v>0</v>
      </c>
      <c r="AF777" s="411">
        <f t="shared" ref="AF777" si="70">AF776</f>
        <v>0</v>
      </c>
      <c r="AG777" s="411">
        <f t="shared" ref="AG777" si="71">AG776</f>
        <v>0</v>
      </c>
      <c r="AH777" s="411">
        <f t="shared" ref="AH777" si="72">AH776</f>
        <v>0</v>
      </c>
      <c r="AI777" s="411">
        <f t="shared" ref="AI777" si="73">AI776</f>
        <v>0</v>
      </c>
      <c r="AJ777" s="411">
        <f t="shared" ref="AJ777" si="74">AJ776</f>
        <v>0</v>
      </c>
      <c r="AK777" s="411">
        <f t="shared" ref="AK777" si="75">AK776</f>
        <v>0</v>
      </c>
      <c r="AL777" s="411">
        <f t="shared" ref="AL777" si="76">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77">Z779</f>
        <v>0</v>
      </c>
      <c r="AA780" s="411">
        <f t="shared" ref="AA780" si="78">AA779</f>
        <v>0</v>
      </c>
      <c r="AB780" s="411">
        <f t="shared" ref="AB780" si="79">AB779</f>
        <v>0</v>
      </c>
      <c r="AC780" s="411">
        <f t="shared" ref="AC780" si="80">AC779</f>
        <v>0</v>
      </c>
      <c r="AD780" s="411">
        <f t="shared" ref="AD780" si="81">AD779</f>
        <v>0</v>
      </c>
      <c r="AE780" s="411">
        <f t="shared" ref="AE780" si="82">AE779</f>
        <v>0</v>
      </c>
      <c r="AF780" s="411">
        <f t="shared" ref="AF780" si="83">AF779</f>
        <v>0</v>
      </c>
      <c r="AG780" s="411">
        <f t="shared" ref="AG780" si="84">AG779</f>
        <v>0</v>
      </c>
      <c r="AH780" s="411">
        <f t="shared" ref="AH780" si="85">AH779</f>
        <v>0</v>
      </c>
      <c r="AI780" s="411">
        <f t="shared" ref="AI780" si="86">AI779</f>
        <v>0</v>
      </c>
      <c r="AJ780" s="411">
        <f t="shared" ref="AJ780" si="87">AJ779</f>
        <v>0</v>
      </c>
      <c r="AK780" s="411">
        <f t="shared" ref="AK780" si="88">AK779</f>
        <v>0</v>
      </c>
      <c r="AL780" s="411">
        <f t="shared" ref="AL780" si="89">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90">Z782</f>
        <v>0</v>
      </c>
      <c r="AA783" s="411">
        <f t="shared" ref="AA783" si="91">AA782</f>
        <v>0</v>
      </c>
      <c r="AB783" s="411">
        <f t="shared" ref="AB783" si="92">AB782</f>
        <v>0</v>
      </c>
      <c r="AC783" s="411">
        <f t="shared" ref="AC783" si="93">AC782</f>
        <v>0</v>
      </c>
      <c r="AD783" s="411">
        <f t="shared" ref="AD783" si="94">AD782</f>
        <v>0</v>
      </c>
      <c r="AE783" s="411">
        <f t="shared" ref="AE783" si="95">AE782</f>
        <v>0</v>
      </c>
      <c r="AF783" s="411">
        <f t="shared" ref="AF783" si="96">AF782</f>
        <v>0</v>
      </c>
      <c r="AG783" s="411">
        <f t="shared" ref="AG783" si="97">AG782</f>
        <v>0</v>
      </c>
      <c r="AH783" s="411">
        <f t="shared" ref="AH783" si="98">AH782</f>
        <v>0</v>
      </c>
      <c r="AI783" s="411">
        <f t="shared" ref="AI783" si="99">AI782</f>
        <v>0</v>
      </c>
      <c r="AJ783" s="411">
        <f t="shared" ref="AJ783" si="100">AJ782</f>
        <v>0</v>
      </c>
      <c r="AK783" s="411">
        <f t="shared" ref="AK783" si="101">AK782</f>
        <v>0</v>
      </c>
      <c r="AL783" s="411">
        <f t="shared" ref="AL783" si="102">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03">Z786</f>
        <v>0</v>
      </c>
      <c r="AA787" s="411">
        <f t="shared" ref="AA787" si="104">AA786</f>
        <v>0</v>
      </c>
      <c r="AB787" s="411">
        <f t="shared" ref="AB787" si="105">AB786</f>
        <v>0</v>
      </c>
      <c r="AC787" s="411">
        <f t="shared" ref="AC787" si="106">AC786</f>
        <v>0</v>
      </c>
      <c r="AD787" s="411">
        <f t="shared" ref="AD787" si="107">AD786</f>
        <v>0</v>
      </c>
      <c r="AE787" s="411">
        <f t="shared" ref="AE787" si="108">AE786</f>
        <v>0</v>
      </c>
      <c r="AF787" s="411">
        <f t="shared" ref="AF787" si="109">AF786</f>
        <v>0</v>
      </c>
      <c r="AG787" s="411">
        <f t="shared" ref="AG787" si="110">AG786</f>
        <v>0</v>
      </c>
      <c r="AH787" s="411">
        <f t="shared" ref="AH787" si="111">AH786</f>
        <v>0</v>
      </c>
      <c r="AI787" s="411">
        <f t="shared" ref="AI787" si="112">AI786</f>
        <v>0</v>
      </c>
      <c r="AJ787" s="411">
        <f t="shared" ref="AJ787" si="113">AJ786</f>
        <v>0</v>
      </c>
      <c r="AK787" s="411">
        <f t="shared" ref="AK787" si="114">AK786</f>
        <v>0</v>
      </c>
      <c r="AL787" s="411">
        <f t="shared" ref="AL787" si="115">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16">Z789</f>
        <v>0</v>
      </c>
      <c r="AA790" s="411">
        <f t="shared" ref="AA790" si="117">AA789</f>
        <v>0</v>
      </c>
      <c r="AB790" s="411">
        <f t="shared" ref="AB790" si="118">AB789</f>
        <v>0</v>
      </c>
      <c r="AC790" s="411">
        <f t="shared" ref="AC790" si="119">AC789</f>
        <v>0</v>
      </c>
      <c r="AD790" s="411">
        <f t="shared" ref="AD790" si="120">AD789</f>
        <v>0</v>
      </c>
      <c r="AE790" s="411">
        <f t="shared" ref="AE790" si="121">AE789</f>
        <v>0</v>
      </c>
      <c r="AF790" s="411">
        <f t="shared" ref="AF790" si="122">AF789</f>
        <v>0</v>
      </c>
      <c r="AG790" s="411">
        <f t="shared" ref="AG790" si="123">AG789</f>
        <v>0</v>
      </c>
      <c r="AH790" s="411">
        <f t="shared" ref="AH790" si="124">AH789</f>
        <v>0</v>
      </c>
      <c r="AI790" s="411">
        <f t="shared" ref="AI790" si="125">AI789</f>
        <v>0</v>
      </c>
      <c r="AJ790" s="411">
        <f t="shared" ref="AJ790" si="126">AJ789</f>
        <v>0</v>
      </c>
      <c r="AK790" s="411">
        <f t="shared" ref="AK790" si="127">AK789</f>
        <v>0</v>
      </c>
      <c r="AL790" s="411">
        <f t="shared" ref="AL790" si="128">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29">Z792</f>
        <v>0</v>
      </c>
      <c r="AA793" s="411">
        <f t="shared" ref="AA793" si="130">AA792</f>
        <v>0</v>
      </c>
      <c r="AB793" s="411">
        <f t="shared" ref="AB793" si="131">AB792</f>
        <v>0</v>
      </c>
      <c r="AC793" s="411">
        <f t="shared" ref="AC793" si="132">AC792</f>
        <v>0</v>
      </c>
      <c r="AD793" s="411">
        <f t="shared" ref="AD793" si="133">AD792</f>
        <v>0</v>
      </c>
      <c r="AE793" s="411">
        <f t="shared" ref="AE793" si="134">AE792</f>
        <v>0</v>
      </c>
      <c r="AF793" s="411">
        <f t="shared" ref="AF793" si="135">AF792</f>
        <v>0</v>
      </c>
      <c r="AG793" s="411">
        <f t="shared" ref="AG793" si="136">AG792</f>
        <v>0</v>
      </c>
      <c r="AH793" s="411">
        <f t="shared" ref="AH793" si="137">AH792</f>
        <v>0</v>
      </c>
      <c r="AI793" s="411">
        <f t="shared" ref="AI793" si="138">AI792</f>
        <v>0</v>
      </c>
      <c r="AJ793" s="411">
        <f t="shared" ref="AJ793" si="139">AJ792</f>
        <v>0</v>
      </c>
      <c r="AK793" s="411">
        <f t="shared" ref="AK793" si="140">AK792</f>
        <v>0</v>
      </c>
      <c r="AL793" s="411">
        <f t="shared" ref="AL793" si="141">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142">Z795</f>
        <v>0</v>
      </c>
      <c r="AA796" s="411">
        <f t="shared" ref="AA796" si="143">AA795</f>
        <v>0</v>
      </c>
      <c r="AB796" s="411">
        <f t="shared" ref="AB796" si="144">AB795</f>
        <v>0</v>
      </c>
      <c r="AC796" s="411">
        <f t="shared" ref="AC796" si="145">AC795</f>
        <v>0</v>
      </c>
      <c r="AD796" s="411">
        <f t="shared" ref="AD796" si="146">AD795</f>
        <v>0</v>
      </c>
      <c r="AE796" s="411">
        <f t="shared" ref="AE796" si="147">AE795</f>
        <v>0</v>
      </c>
      <c r="AF796" s="411">
        <f t="shared" ref="AF796" si="148">AF795</f>
        <v>0</v>
      </c>
      <c r="AG796" s="411">
        <f t="shared" ref="AG796" si="149">AG795</f>
        <v>0</v>
      </c>
      <c r="AH796" s="411">
        <f t="shared" ref="AH796" si="150">AH795</f>
        <v>0</v>
      </c>
      <c r="AI796" s="411">
        <f t="shared" ref="AI796" si="151">AI795</f>
        <v>0</v>
      </c>
      <c r="AJ796" s="411">
        <f t="shared" ref="AJ796" si="152">AJ795</f>
        <v>0</v>
      </c>
      <c r="AK796" s="411">
        <f t="shared" ref="AK796" si="153">AK795</f>
        <v>0</v>
      </c>
      <c r="AL796" s="411">
        <f t="shared" ref="AL796" si="154">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155">Z798</f>
        <v>0</v>
      </c>
      <c r="AA799" s="411">
        <f t="shared" ref="AA799" si="156">AA798</f>
        <v>0</v>
      </c>
      <c r="AB799" s="411">
        <f t="shared" ref="AB799" si="157">AB798</f>
        <v>0</v>
      </c>
      <c r="AC799" s="411">
        <f t="shared" ref="AC799" si="158">AC798</f>
        <v>0</v>
      </c>
      <c r="AD799" s="411">
        <f t="shared" ref="AD799" si="159">AD798</f>
        <v>0</v>
      </c>
      <c r="AE799" s="411">
        <f t="shared" ref="AE799" si="160">AE798</f>
        <v>0</v>
      </c>
      <c r="AF799" s="411">
        <f t="shared" ref="AF799" si="161">AF798</f>
        <v>0</v>
      </c>
      <c r="AG799" s="411">
        <f t="shared" ref="AG799" si="162">AG798</f>
        <v>0</v>
      </c>
      <c r="AH799" s="411">
        <f t="shared" ref="AH799" si="163">AH798</f>
        <v>0</v>
      </c>
      <c r="AI799" s="411">
        <f t="shared" ref="AI799" si="164">AI798</f>
        <v>0</v>
      </c>
      <c r="AJ799" s="411">
        <f t="shared" ref="AJ799" si="165">AJ798</f>
        <v>0</v>
      </c>
      <c r="AK799" s="411">
        <f t="shared" ref="AK799" si="166">AK798</f>
        <v>0</v>
      </c>
      <c r="AL799" s="411">
        <f t="shared" ref="AL799" si="167">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68">Z802</f>
        <v>0</v>
      </c>
      <c r="AA803" s="411">
        <f t="shared" ref="AA803" si="169">AA802</f>
        <v>0</v>
      </c>
      <c r="AB803" s="411">
        <f t="shared" ref="AB803" si="170">AB802</f>
        <v>0</v>
      </c>
      <c r="AC803" s="411">
        <f t="shared" ref="AC803" si="171">AC802</f>
        <v>0</v>
      </c>
      <c r="AD803" s="411">
        <f t="shared" ref="AD803" si="172">AD802</f>
        <v>0</v>
      </c>
      <c r="AE803" s="411">
        <f t="shared" ref="AE803" si="173">AE802</f>
        <v>0</v>
      </c>
      <c r="AF803" s="411">
        <f t="shared" ref="AF803" si="174">AF802</f>
        <v>0</v>
      </c>
      <c r="AG803" s="411">
        <f t="shared" ref="AG803" si="175">AG802</f>
        <v>0</v>
      </c>
      <c r="AH803" s="411">
        <f t="shared" ref="AH803" si="176">AH802</f>
        <v>0</v>
      </c>
      <c r="AI803" s="411">
        <f t="shared" ref="AI803" si="177">AI802</f>
        <v>0</v>
      </c>
      <c r="AJ803" s="411">
        <f t="shared" ref="AJ803" si="178">AJ802</f>
        <v>0</v>
      </c>
      <c r="AK803" s="411">
        <f t="shared" ref="AK803" si="179">AK802</f>
        <v>0</v>
      </c>
      <c r="AL803" s="411">
        <f t="shared" ref="AL803" si="180">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81">Z805</f>
        <v>0</v>
      </c>
      <c r="AA806" s="411">
        <f t="shared" ref="AA806" si="182">AA805</f>
        <v>0</v>
      </c>
      <c r="AB806" s="411">
        <f t="shared" ref="AB806" si="183">AB805</f>
        <v>0</v>
      </c>
      <c r="AC806" s="411">
        <f t="shared" ref="AC806" si="184">AC805</f>
        <v>0</v>
      </c>
      <c r="AD806" s="411">
        <f t="shared" ref="AD806" si="185">AD805</f>
        <v>0</v>
      </c>
      <c r="AE806" s="411">
        <f t="shared" ref="AE806" si="186">AE805</f>
        <v>0</v>
      </c>
      <c r="AF806" s="411">
        <f t="shared" ref="AF806" si="187">AF805</f>
        <v>0</v>
      </c>
      <c r="AG806" s="411">
        <f t="shared" ref="AG806" si="188">AG805</f>
        <v>0</v>
      </c>
      <c r="AH806" s="411">
        <f t="shared" ref="AH806" si="189">AH805</f>
        <v>0</v>
      </c>
      <c r="AI806" s="411">
        <f t="shared" ref="AI806" si="190">AI805</f>
        <v>0</v>
      </c>
      <c r="AJ806" s="411">
        <f t="shared" ref="AJ806" si="191">AJ805</f>
        <v>0</v>
      </c>
      <c r="AK806" s="411">
        <f t="shared" ref="AK806" si="192">AK805</f>
        <v>0</v>
      </c>
      <c r="AL806" s="411">
        <f t="shared" ref="AL806" si="193">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194">Z808</f>
        <v>0</v>
      </c>
      <c r="AA809" s="411">
        <f t="shared" ref="AA809" si="195">AA808</f>
        <v>0</v>
      </c>
      <c r="AB809" s="411">
        <f t="shared" ref="AB809" si="196">AB808</f>
        <v>0</v>
      </c>
      <c r="AC809" s="411">
        <f t="shared" ref="AC809" si="197">AC808</f>
        <v>0</v>
      </c>
      <c r="AD809" s="411">
        <f t="shared" ref="AD809" si="198">AD808</f>
        <v>0</v>
      </c>
      <c r="AE809" s="411">
        <f t="shared" ref="AE809" si="199">AE808</f>
        <v>0</v>
      </c>
      <c r="AF809" s="411">
        <f t="shared" ref="AF809" si="200">AF808</f>
        <v>0</v>
      </c>
      <c r="AG809" s="411">
        <f t="shared" ref="AG809" si="201">AG808</f>
        <v>0</v>
      </c>
      <c r="AH809" s="411">
        <f t="shared" ref="AH809" si="202">AH808</f>
        <v>0</v>
      </c>
      <c r="AI809" s="411">
        <f t="shared" ref="AI809" si="203">AI808</f>
        <v>0</v>
      </c>
      <c r="AJ809" s="411">
        <f t="shared" ref="AJ809" si="204">AJ808</f>
        <v>0</v>
      </c>
      <c r="AK809" s="411">
        <f t="shared" ref="AK809" si="205">AK808</f>
        <v>0</v>
      </c>
      <c r="AL809" s="411">
        <f t="shared" ref="AL809" si="206">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7">Z812</f>
        <v>0</v>
      </c>
      <c r="AA813" s="411">
        <f t="shared" ref="AA813" si="208">AA812</f>
        <v>0</v>
      </c>
      <c r="AB813" s="411">
        <f t="shared" ref="AB813" si="209">AB812</f>
        <v>0</v>
      </c>
      <c r="AC813" s="411">
        <f t="shared" ref="AC813" si="210">AC812</f>
        <v>0</v>
      </c>
      <c r="AD813" s="411">
        <f t="shared" ref="AD813" si="211">AD812</f>
        <v>0</v>
      </c>
      <c r="AE813" s="411">
        <f t="shared" ref="AE813" si="212">AE812</f>
        <v>0</v>
      </c>
      <c r="AF813" s="411">
        <f t="shared" ref="AF813" si="213">AF812</f>
        <v>0</v>
      </c>
      <c r="AG813" s="411">
        <f t="shared" ref="AG813" si="214">AG812</f>
        <v>0</v>
      </c>
      <c r="AH813" s="411">
        <f t="shared" ref="AH813" si="215">AH812</f>
        <v>0</v>
      </c>
      <c r="AI813" s="411">
        <f t="shared" ref="AI813" si="216">AI812</f>
        <v>0</v>
      </c>
      <c r="AJ813" s="411">
        <f t="shared" ref="AJ813" si="217">AJ812</f>
        <v>0</v>
      </c>
      <c r="AK813" s="411">
        <f t="shared" ref="AK813" si="218">AK812</f>
        <v>0</v>
      </c>
      <c r="AL813" s="411">
        <f t="shared" ref="AL813" si="219">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20">Z816</f>
        <v>0</v>
      </c>
      <c r="AA817" s="411">
        <f t="shared" si="220"/>
        <v>0</v>
      </c>
      <c r="AB817" s="411">
        <f t="shared" si="220"/>
        <v>0</v>
      </c>
      <c r="AC817" s="411">
        <f t="shared" si="220"/>
        <v>0</v>
      </c>
      <c r="AD817" s="411">
        <f t="shared" si="220"/>
        <v>0</v>
      </c>
      <c r="AE817" s="411">
        <f t="shared" si="220"/>
        <v>0</v>
      </c>
      <c r="AF817" s="411">
        <f t="shared" si="220"/>
        <v>0</v>
      </c>
      <c r="AG817" s="411">
        <f t="shared" si="220"/>
        <v>0</v>
      </c>
      <c r="AH817" s="411">
        <f t="shared" si="220"/>
        <v>0</v>
      </c>
      <c r="AI817" s="411">
        <f t="shared" si="220"/>
        <v>0</v>
      </c>
      <c r="AJ817" s="411">
        <f t="shared" si="220"/>
        <v>0</v>
      </c>
      <c r="AK817" s="411">
        <f t="shared" si="220"/>
        <v>0</v>
      </c>
      <c r="AL817" s="411">
        <f t="shared" si="220"/>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21">Z819</f>
        <v>0</v>
      </c>
      <c r="AA820" s="411">
        <f t="shared" si="221"/>
        <v>0</v>
      </c>
      <c r="AB820" s="411">
        <f t="shared" si="221"/>
        <v>0</v>
      </c>
      <c r="AC820" s="411">
        <f t="shared" si="221"/>
        <v>0</v>
      </c>
      <c r="AD820" s="411">
        <f t="shared" si="221"/>
        <v>0</v>
      </c>
      <c r="AE820" s="411">
        <f t="shared" si="221"/>
        <v>0</v>
      </c>
      <c r="AF820" s="411">
        <f t="shared" si="221"/>
        <v>0</v>
      </c>
      <c r="AG820" s="411">
        <f t="shared" si="221"/>
        <v>0</v>
      </c>
      <c r="AH820" s="411">
        <f t="shared" si="221"/>
        <v>0</v>
      </c>
      <c r="AI820" s="411">
        <f t="shared" si="221"/>
        <v>0</v>
      </c>
      <c r="AJ820" s="411">
        <f t="shared" si="221"/>
        <v>0</v>
      </c>
      <c r="AK820" s="411">
        <f t="shared" si="221"/>
        <v>0</v>
      </c>
      <c r="AL820" s="411">
        <f t="shared" si="221"/>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22">Z823</f>
        <v>0</v>
      </c>
      <c r="AA824" s="411">
        <f t="shared" si="222"/>
        <v>0</v>
      </c>
      <c r="AB824" s="411">
        <f t="shared" si="222"/>
        <v>0</v>
      </c>
      <c r="AC824" s="411">
        <f t="shared" si="222"/>
        <v>0</v>
      </c>
      <c r="AD824" s="411">
        <f t="shared" si="222"/>
        <v>0</v>
      </c>
      <c r="AE824" s="411">
        <f t="shared" si="222"/>
        <v>0</v>
      </c>
      <c r="AF824" s="411">
        <f t="shared" si="222"/>
        <v>0</v>
      </c>
      <c r="AG824" s="411">
        <f t="shared" si="222"/>
        <v>0</v>
      </c>
      <c r="AH824" s="411">
        <f t="shared" si="222"/>
        <v>0</v>
      </c>
      <c r="AI824" s="411">
        <f t="shared" si="222"/>
        <v>0</v>
      </c>
      <c r="AJ824" s="411">
        <f t="shared" si="222"/>
        <v>0</v>
      </c>
      <c r="AK824" s="411">
        <f t="shared" si="222"/>
        <v>0</v>
      </c>
      <c r="AL824" s="411">
        <f t="shared" si="222"/>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23">Z826</f>
        <v>0</v>
      </c>
      <c r="AA827" s="411">
        <f t="shared" si="223"/>
        <v>0</v>
      </c>
      <c r="AB827" s="411">
        <f t="shared" si="223"/>
        <v>0</v>
      </c>
      <c r="AC827" s="411">
        <f t="shared" si="223"/>
        <v>0</v>
      </c>
      <c r="AD827" s="411">
        <f t="shared" si="223"/>
        <v>0</v>
      </c>
      <c r="AE827" s="411">
        <f t="shared" si="223"/>
        <v>0</v>
      </c>
      <c r="AF827" s="411">
        <f t="shared" si="223"/>
        <v>0</v>
      </c>
      <c r="AG827" s="411">
        <f t="shared" si="223"/>
        <v>0</v>
      </c>
      <c r="AH827" s="411">
        <f t="shared" si="223"/>
        <v>0</v>
      </c>
      <c r="AI827" s="411">
        <f t="shared" si="223"/>
        <v>0</v>
      </c>
      <c r="AJ827" s="411">
        <f t="shared" si="223"/>
        <v>0</v>
      </c>
      <c r="AK827" s="411">
        <f t="shared" si="223"/>
        <v>0</v>
      </c>
      <c r="AL827" s="411">
        <f t="shared" si="223"/>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24">Z829</f>
        <v>0</v>
      </c>
      <c r="AA830" s="411">
        <f t="shared" si="224"/>
        <v>0</v>
      </c>
      <c r="AB830" s="411">
        <f t="shared" si="224"/>
        <v>0</v>
      </c>
      <c r="AC830" s="411">
        <f t="shared" si="224"/>
        <v>0</v>
      </c>
      <c r="AD830" s="411">
        <f t="shared" si="224"/>
        <v>0</v>
      </c>
      <c r="AE830" s="411">
        <f t="shared" si="224"/>
        <v>0</v>
      </c>
      <c r="AF830" s="411">
        <f t="shared" si="224"/>
        <v>0</v>
      </c>
      <c r="AG830" s="411">
        <f t="shared" si="224"/>
        <v>0</v>
      </c>
      <c r="AH830" s="411">
        <f t="shared" si="224"/>
        <v>0</v>
      </c>
      <c r="AI830" s="411">
        <f t="shared" si="224"/>
        <v>0</v>
      </c>
      <c r="AJ830" s="411">
        <f t="shared" si="224"/>
        <v>0</v>
      </c>
      <c r="AK830" s="411">
        <f t="shared" si="224"/>
        <v>0</v>
      </c>
      <c r="AL830" s="411">
        <f t="shared" si="224"/>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25">Z832</f>
        <v>0</v>
      </c>
      <c r="AA833" s="411">
        <f t="shared" si="225"/>
        <v>0</v>
      </c>
      <c r="AB833" s="411">
        <f t="shared" si="225"/>
        <v>0</v>
      </c>
      <c r="AC833" s="411">
        <f t="shared" si="225"/>
        <v>0</v>
      </c>
      <c r="AD833" s="411">
        <f t="shared" si="225"/>
        <v>0</v>
      </c>
      <c r="AE833" s="411">
        <f t="shared" si="225"/>
        <v>0</v>
      </c>
      <c r="AF833" s="411">
        <f t="shared" si="225"/>
        <v>0</v>
      </c>
      <c r="AG833" s="411">
        <f t="shared" si="225"/>
        <v>0</v>
      </c>
      <c r="AH833" s="411">
        <f t="shared" si="225"/>
        <v>0</v>
      </c>
      <c r="AI833" s="411">
        <f t="shared" si="225"/>
        <v>0</v>
      </c>
      <c r="AJ833" s="411">
        <f t="shared" si="225"/>
        <v>0</v>
      </c>
      <c r="AK833" s="411">
        <f t="shared" si="225"/>
        <v>0</v>
      </c>
      <c r="AL833" s="411">
        <f t="shared" si="225"/>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26">Z837</f>
        <v>0</v>
      </c>
      <c r="AA838" s="411">
        <f t="shared" ref="AA838" si="227">AA837</f>
        <v>0</v>
      </c>
      <c r="AB838" s="411">
        <f t="shared" ref="AB838" si="228">AB837</f>
        <v>0</v>
      </c>
      <c r="AC838" s="411">
        <f t="shared" ref="AC838" si="229">AC837</f>
        <v>0</v>
      </c>
      <c r="AD838" s="411">
        <f t="shared" ref="AD838" si="230">AD837</f>
        <v>0</v>
      </c>
      <c r="AE838" s="411">
        <f t="shared" ref="AE838" si="231">AE837</f>
        <v>0</v>
      </c>
      <c r="AF838" s="411">
        <f t="shared" ref="AF838" si="232">AF837</f>
        <v>0</v>
      </c>
      <c r="AG838" s="411">
        <f t="shared" ref="AG838" si="233">AG837</f>
        <v>0</v>
      </c>
      <c r="AH838" s="411">
        <f t="shared" ref="AH838" si="234">AH837</f>
        <v>0</v>
      </c>
      <c r="AI838" s="411">
        <f t="shared" ref="AI838" si="235">AI837</f>
        <v>0</v>
      </c>
      <c r="AJ838" s="411">
        <f t="shared" ref="AJ838" si="236">AJ837</f>
        <v>0</v>
      </c>
      <c r="AK838" s="411">
        <f t="shared" ref="AK838" si="237">AK837</f>
        <v>0</v>
      </c>
      <c r="AL838" s="411">
        <f t="shared" ref="AL838" si="238">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9">Z840</f>
        <v>0</v>
      </c>
      <c r="AA841" s="411">
        <f t="shared" ref="AA841" si="240">AA840</f>
        <v>0</v>
      </c>
      <c r="AB841" s="411">
        <f t="shared" ref="AB841" si="241">AB840</f>
        <v>0</v>
      </c>
      <c r="AC841" s="411">
        <f t="shared" ref="AC841" si="242">AC840</f>
        <v>0</v>
      </c>
      <c r="AD841" s="411">
        <f t="shared" ref="AD841" si="243">AD840</f>
        <v>0</v>
      </c>
      <c r="AE841" s="411">
        <f t="shared" ref="AE841" si="244">AE840</f>
        <v>0</v>
      </c>
      <c r="AF841" s="411">
        <f t="shared" ref="AF841" si="245">AF840</f>
        <v>0</v>
      </c>
      <c r="AG841" s="411">
        <f t="shared" ref="AG841" si="246">AG840</f>
        <v>0</v>
      </c>
      <c r="AH841" s="411">
        <f t="shared" ref="AH841" si="247">AH840</f>
        <v>0</v>
      </c>
      <c r="AI841" s="411">
        <f t="shared" ref="AI841" si="248">AI840</f>
        <v>0</v>
      </c>
      <c r="AJ841" s="411">
        <f t="shared" ref="AJ841" si="249">AJ840</f>
        <v>0</v>
      </c>
      <c r="AK841" s="411">
        <f t="shared" ref="AK841" si="250">AK840</f>
        <v>0</v>
      </c>
      <c r="AL841" s="411">
        <f t="shared" ref="AL841" si="251">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2">Z843</f>
        <v>0</v>
      </c>
      <c r="AA844" s="411">
        <f t="shared" ref="AA844" si="253">AA843</f>
        <v>0</v>
      </c>
      <c r="AB844" s="411">
        <f t="shared" ref="AB844" si="254">AB843</f>
        <v>0</v>
      </c>
      <c r="AC844" s="411">
        <f t="shared" ref="AC844" si="255">AC843</f>
        <v>0</v>
      </c>
      <c r="AD844" s="411">
        <f t="shared" ref="AD844" si="256">AD843</f>
        <v>0</v>
      </c>
      <c r="AE844" s="411">
        <f t="shared" ref="AE844" si="257">AE843</f>
        <v>0</v>
      </c>
      <c r="AF844" s="411">
        <f t="shared" ref="AF844" si="258">AF843</f>
        <v>0</v>
      </c>
      <c r="AG844" s="411">
        <f t="shared" ref="AG844" si="259">AG843</f>
        <v>0</v>
      </c>
      <c r="AH844" s="411">
        <f t="shared" ref="AH844" si="260">AH843</f>
        <v>0</v>
      </c>
      <c r="AI844" s="411">
        <f t="shared" ref="AI844" si="261">AI843</f>
        <v>0</v>
      </c>
      <c r="AJ844" s="411">
        <f t="shared" ref="AJ844" si="262">AJ843</f>
        <v>0</v>
      </c>
      <c r="AK844" s="411">
        <f t="shared" ref="AK844" si="263">AK843</f>
        <v>0</v>
      </c>
      <c r="AL844" s="411">
        <f t="shared" ref="AL844" si="264">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65">Z846</f>
        <v>0</v>
      </c>
      <c r="AA847" s="411">
        <f t="shared" ref="AA847" si="266">AA846</f>
        <v>0</v>
      </c>
      <c r="AB847" s="411">
        <f t="shared" ref="AB847" si="267">AB846</f>
        <v>0</v>
      </c>
      <c r="AC847" s="411">
        <f t="shared" ref="AC847" si="268">AC846</f>
        <v>0</v>
      </c>
      <c r="AD847" s="411">
        <f t="shared" ref="AD847" si="269">AD846</f>
        <v>0</v>
      </c>
      <c r="AE847" s="411">
        <f t="shared" ref="AE847" si="270">AE846</f>
        <v>0</v>
      </c>
      <c r="AF847" s="411">
        <f t="shared" ref="AF847" si="271">AF846</f>
        <v>0</v>
      </c>
      <c r="AG847" s="411">
        <f t="shared" ref="AG847" si="272">AG846</f>
        <v>0</v>
      </c>
      <c r="AH847" s="411">
        <f t="shared" ref="AH847" si="273">AH846</f>
        <v>0</v>
      </c>
      <c r="AI847" s="411">
        <f t="shared" ref="AI847" si="274">AI846</f>
        <v>0</v>
      </c>
      <c r="AJ847" s="411">
        <f t="shared" ref="AJ847" si="275">AJ846</f>
        <v>0</v>
      </c>
      <c r="AK847" s="411">
        <f t="shared" ref="AK847" si="276">AK846</f>
        <v>0</v>
      </c>
      <c r="AL847" s="411">
        <f t="shared" ref="AL847" si="277">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78">Z850</f>
        <v>0</v>
      </c>
      <c r="AA851" s="411">
        <f t="shared" ref="AA851" si="279">AA850</f>
        <v>0</v>
      </c>
      <c r="AB851" s="411">
        <f t="shared" ref="AB851" si="280">AB850</f>
        <v>0</v>
      </c>
      <c r="AC851" s="411">
        <f t="shared" ref="AC851" si="281">AC850</f>
        <v>0</v>
      </c>
      <c r="AD851" s="411">
        <f t="shared" ref="AD851" si="282">AD850</f>
        <v>0</v>
      </c>
      <c r="AE851" s="411">
        <f t="shared" ref="AE851" si="283">AE850</f>
        <v>0</v>
      </c>
      <c r="AF851" s="411">
        <f t="shared" ref="AF851" si="284">AF850</f>
        <v>0</v>
      </c>
      <c r="AG851" s="411">
        <f t="shared" ref="AG851" si="285">AG850</f>
        <v>0</v>
      </c>
      <c r="AH851" s="411">
        <f t="shared" ref="AH851" si="286">AH850</f>
        <v>0</v>
      </c>
      <c r="AI851" s="411">
        <f t="shared" ref="AI851" si="287">AI850</f>
        <v>0</v>
      </c>
      <c r="AJ851" s="411">
        <f t="shared" ref="AJ851" si="288">AJ850</f>
        <v>0</v>
      </c>
      <c r="AK851" s="411">
        <f t="shared" ref="AK851" si="289">AK850</f>
        <v>0</v>
      </c>
      <c r="AL851" s="411">
        <f t="shared" ref="AL851" si="290">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91">Z853</f>
        <v>0</v>
      </c>
      <c r="AA854" s="411">
        <f t="shared" ref="AA854" si="292">AA853</f>
        <v>0</v>
      </c>
      <c r="AB854" s="411">
        <f t="shared" ref="AB854" si="293">AB853</f>
        <v>0</v>
      </c>
      <c r="AC854" s="411">
        <f t="shared" ref="AC854" si="294">AC853</f>
        <v>0</v>
      </c>
      <c r="AD854" s="411">
        <f t="shared" ref="AD854" si="295">AD853</f>
        <v>0</v>
      </c>
      <c r="AE854" s="411">
        <f t="shared" ref="AE854" si="296">AE853</f>
        <v>0</v>
      </c>
      <c r="AF854" s="411">
        <f t="shared" ref="AF854" si="297">AF853</f>
        <v>0</v>
      </c>
      <c r="AG854" s="411">
        <f t="shared" ref="AG854" si="298">AG853</f>
        <v>0</v>
      </c>
      <c r="AH854" s="411">
        <f t="shared" ref="AH854" si="299">AH853</f>
        <v>0</v>
      </c>
      <c r="AI854" s="411">
        <f t="shared" ref="AI854" si="300">AI853</f>
        <v>0</v>
      </c>
      <c r="AJ854" s="411">
        <f t="shared" ref="AJ854" si="301">AJ853</f>
        <v>0</v>
      </c>
      <c r="AK854" s="411">
        <f t="shared" ref="AK854" si="302">AK853</f>
        <v>0</v>
      </c>
      <c r="AL854" s="411">
        <f t="shared" ref="AL854" si="303">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304">Z856</f>
        <v>0</v>
      </c>
      <c r="AA857" s="411">
        <f t="shared" ref="AA857" si="305">AA856</f>
        <v>0</v>
      </c>
      <c r="AB857" s="411">
        <f t="shared" ref="AB857" si="306">AB856</f>
        <v>0</v>
      </c>
      <c r="AC857" s="411">
        <f t="shared" ref="AC857" si="307">AC856</f>
        <v>0</v>
      </c>
      <c r="AD857" s="411">
        <f t="shared" ref="AD857" si="308">AD856</f>
        <v>0</v>
      </c>
      <c r="AE857" s="411">
        <f t="shared" ref="AE857" si="309">AE856</f>
        <v>0</v>
      </c>
      <c r="AF857" s="411">
        <f t="shared" ref="AF857" si="310">AF856</f>
        <v>0</v>
      </c>
      <c r="AG857" s="411">
        <f t="shared" ref="AG857" si="311">AG856</f>
        <v>0</v>
      </c>
      <c r="AH857" s="411">
        <f t="shared" ref="AH857" si="312">AH856</f>
        <v>0</v>
      </c>
      <c r="AI857" s="411">
        <f t="shared" ref="AI857" si="313">AI856</f>
        <v>0</v>
      </c>
      <c r="AJ857" s="411">
        <f t="shared" ref="AJ857" si="314">AJ856</f>
        <v>0</v>
      </c>
      <c r="AK857" s="411">
        <f t="shared" ref="AK857" si="315">AK856</f>
        <v>0</v>
      </c>
      <c r="AL857" s="411">
        <f t="shared" ref="AL857" si="316">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317">Z859</f>
        <v>0</v>
      </c>
      <c r="AA860" s="411">
        <f t="shared" ref="AA860" si="318">AA859</f>
        <v>0</v>
      </c>
      <c r="AB860" s="411">
        <f t="shared" ref="AB860" si="319">AB859</f>
        <v>0</v>
      </c>
      <c r="AC860" s="411">
        <f t="shared" ref="AC860" si="320">AC859</f>
        <v>0</v>
      </c>
      <c r="AD860" s="411">
        <f t="shared" ref="AD860" si="321">AD859</f>
        <v>0</v>
      </c>
      <c r="AE860" s="411">
        <f t="shared" ref="AE860" si="322">AE859</f>
        <v>0</v>
      </c>
      <c r="AF860" s="411">
        <f t="shared" ref="AF860" si="323">AF859</f>
        <v>0</v>
      </c>
      <c r="AG860" s="411">
        <f t="shared" ref="AG860" si="324">AG859</f>
        <v>0</v>
      </c>
      <c r="AH860" s="411">
        <f t="shared" ref="AH860" si="325">AH859</f>
        <v>0</v>
      </c>
      <c r="AI860" s="411">
        <f t="shared" ref="AI860" si="326">AI859</f>
        <v>0</v>
      </c>
      <c r="AJ860" s="411">
        <f t="shared" ref="AJ860" si="327">AJ859</f>
        <v>0</v>
      </c>
      <c r="AK860" s="411">
        <f t="shared" ref="AK860" si="328">AK859</f>
        <v>0</v>
      </c>
      <c r="AL860" s="411">
        <f t="shared" ref="AL860" si="329">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330">Z862</f>
        <v>0</v>
      </c>
      <c r="AA863" s="411">
        <f t="shared" ref="AA863" si="331">AA862</f>
        <v>0</v>
      </c>
      <c r="AB863" s="411">
        <f t="shared" ref="AB863" si="332">AB862</f>
        <v>0</v>
      </c>
      <c r="AC863" s="411">
        <f t="shared" ref="AC863" si="333">AC862</f>
        <v>0</v>
      </c>
      <c r="AD863" s="411">
        <f t="shared" ref="AD863" si="334">AD862</f>
        <v>0</v>
      </c>
      <c r="AE863" s="411">
        <f t="shared" ref="AE863" si="335">AE862</f>
        <v>0</v>
      </c>
      <c r="AF863" s="411">
        <f t="shared" ref="AF863" si="336">AF862</f>
        <v>0</v>
      </c>
      <c r="AG863" s="411">
        <f t="shared" ref="AG863" si="337">AG862</f>
        <v>0</v>
      </c>
      <c r="AH863" s="411">
        <f t="shared" ref="AH863" si="338">AH862</f>
        <v>0</v>
      </c>
      <c r="AI863" s="411">
        <f t="shared" ref="AI863" si="339">AI862</f>
        <v>0</v>
      </c>
      <c r="AJ863" s="411">
        <f t="shared" ref="AJ863" si="340">AJ862</f>
        <v>0</v>
      </c>
      <c r="AK863" s="411">
        <f t="shared" ref="AK863" si="341">AK862</f>
        <v>0</v>
      </c>
      <c r="AL863" s="411">
        <f t="shared" ref="AL863" si="342">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343">Z865</f>
        <v>0</v>
      </c>
      <c r="AA866" s="411">
        <f t="shared" ref="AA866" si="344">AA865</f>
        <v>0</v>
      </c>
      <c r="AB866" s="411">
        <f t="shared" ref="AB866" si="345">AB865</f>
        <v>0</v>
      </c>
      <c r="AC866" s="411">
        <f t="shared" ref="AC866" si="346">AC865</f>
        <v>0</v>
      </c>
      <c r="AD866" s="411">
        <f t="shared" ref="AD866" si="347">AD865</f>
        <v>0</v>
      </c>
      <c r="AE866" s="411">
        <f t="shared" ref="AE866" si="348">AE865</f>
        <v>0</v>
      </c>
      <c r="AF866" s="411">
        <f t="shared" ref="AF866" si="349">AF865</f>
        <v>0</v>
      </c>
      <c r="AG866" s="411">
        <f t="shared" ref="AG866" si="350">AG865</f>
        <v>0</v>
      </c>
      <c r="AH866" s="411">
        <f t="shared" ref="AH866" si="351">AH865</f>
        <v>0</v>
      </c>
      <c r="AI866" s="411">
        <f t="shared" ref="AI866" si="352">AI865</f>
        <v>0</v>
      </c>
      <c r="AJ866" s="411">
        <f t="shared" ref="AJ866" si="353">AJ865</f>
        <v>0</v>
      </c>
      <c r="AK866" s="411">
        <f t="shared" ref="AK866" si="354">AK865</f>
        <v>0</v>
      </c>
      <c r="AL866" s="411">
        <f t="shared" ref="AL866" si="355">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356">Z868</f>
        <v>0</v>
      </c>
      <c r="AA869" s="411">
        <f t="shared" ref="AA869" si="357">AA868</f>
        <v>0</v>
      </c>
      <c r="AB869" s="411">
        <f t="shared" ref="AB869" si="358">AB868</f>
        <v>0</v>
      </c>
      <c r="AC869" s="411">
        <f t="shared" ref="AC869" si="359">AC868</f>
        <v>0</v>
      </c>
      <c r="AD869" s="411">
        <f t="shared" ref="AD869" si="360">AD868</f>
        <v>0</v>
      </c>
      <c r="AE869" s="411">
        <f t="shared" ref="AE869" si="361">AE868</f>
        <v>0</v>
      </c>
      <c r="AF869" s="411">
        <f t="shared" ref="AF869" si="362">AF868</f>
        <v>0</v>
      </c>
      <c r="AG869" s="411">
        <f t="shared" ref="AG869" si="363">AG868</f>
        <v>0</v>
      </c>
      <c r="AH869" s="411">
        <f t="shared" ref="AH869" si="364">AH868</f>
        <v>0</v>
      </c>
      <c r="AI869" s="411">
        <f t="shared" ref="AI869" si="365">AI868</f>
        <v>0</v>
      </c>
      <c r="AJ869" s="411">
        <f t="shared" ref="AJ869" si="366">AJ868</f>
        <v>0</v>
      </c>
      <c r="AK869" s="411">
        <f t="shared" ref="AK869" si="367">AK868</f>
        <v>0</v>
      </c>
      <c r="AL869" s="411">
        <f t="shared" ref="AL869" si="368">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369">Z871</f>
        <v>0</v>
      </c>
      <c r="AA872" s="411">
        <f t="shared" ref="AA872" si="370">AA871</f>
        <v>0</v>
      </c>
      <c r="AB872" s="411">
        <f t="shared" ref="AB872" si="371">AB871</f>
        <v>0</v>
      </c>
      <c r="AC872" s="411">
        <f t="shared" ref="AC872" si="372">AC871</f>
        <v>0</v>
      </c>
      <c r="AD872" s="411">
        <f t="shared" ref="AD872" si="373">AD871</f>
        <v>0</v>
      </c>
      <c r="AE872" s="411">
        <f t="shared" ref="AE872" si="374">AE871</f>
        <v>0</v>
      </c>
      <c r="AF872" s="411">
        <f t="shared" ref="AF872" si="375">AF871</f>
        <v>0</v>
      </c>
      <c r="AG872" s="411">
        <f t="shared" ref="AG872" si="376">AG871</f>
        <v>0</v>
      </c>
      <c r="AH872" s="411">
        <f t="shared" ref="AH872" si="377">AH871</f>
        <v>0</v>
      </c>
      <c r="AI872" s="411">
        <f t="shared" ref="AI872" si="378">AI871</f>
        <v>0</v>
      </c>
      <c r="AJ872" s="411">
        <f t="shared" ref="AJ872" si="379">AJ871</f>
        <v>0</v>
      </c>
      <c r="AK872" s="411">
        <f t="shared" ref="AK872" si="380">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381">Z875</f>
        <v>0</v>
      </c>
      <c r="AA876" s="411">
        <f t="shared" ref="AA876" si="382">AA875</f>
        <v>0</v>
      </c>
      <c r="AB876" s="411">
        <f t="shared" ref="AB876" si="383">AB875</f>
        <v>0</v>
      </c>
      <c r="AC876" s="411">
        <f t="shared" ref="AC876" si="384">AC875</f>
        <v>0</v>
      </c>
      <c r="AD876" s="411">
        <f t="shared" ref="AD876" si="385">AD875</f>
        <v>0</v>
      </c>
      <c r="AE876" s="411">
        <f t="shared" ref="AE876" si="386">AE875</f>
        <v>0</v>
      </c>
      <c r="AF876" s="411">
        <f t="shared" ref="AF876" si="387">AF875</f>
        <v>0</v>
      </c>
      <c r="AG876" s="411">
        <f t="shared" ref="AG876" si="388">AG875</f>
        <v>0</v>
      </c>
      <c r="AH876" s="411">
        <f t="shared" ref="AH876" si="389">AH875</f>
        <v>0</v>
      </c>
      <c r="AI876" s="411">
        <f t="shared" ref="AI876" si="390">AI875</f>
        <v>0</v>
      </c>
      <c r="AJ876" s="411">
        <f t="shared" ref="AJ876" si="391">AJ875</f>
        <v>0</v>
      </c>
      <c r="AK876" s="411">
        <f t="shared" ref="AK876" si="392">AK875</f>
        <v>0</v>
      </c>
      <c r="AL876" s="411">
        <f t="shared" ref="AL876" si="393">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394">Z878</f>
        <v>0</v>
      </c>
      <c r="AA879" s="411">
        <f t="shared" ref="AA879" si="395">AA878</f>
        <v>0</v>
      </c>
      <c r="AB879" s="411">
        <f t="shared" ref="AB879" si="396">AB878</f>
        <v>0</v>
      </c>
      <c r="AC879" s="411">
        <f t="shared" ref="AC879" si="397">AC878</f>
        <v>0</v>
      </c>
      <c r="AD879" s="411">
        <f t="shared" ref="AD879" si="398">AD878</f>
        <v>0</v>
      </c>
      <c r="AE879" s="411">
        <f t="shared" ref="AE879" si="399">AE878</f>
        <v>0</v>
      </c>
      <c r="AF879" s="411">
        <f t="shared" ref="AF879" si="400">AF878</f>
        <v>0</v>
      </c>
      <c r="AG879" s="411">
        <f t="shared" ref="AG879" si="401">AG878</f>
        <v>0</v>
      </c>
      <c r="AH879" s="411">
        <f t="shared" ref="AH879" si="402">AH878</f>
        <v>0</v>
      </c>
      <c r="AI879" s="411">
        <f t="shared" ref="AI879" si="403">AI878</f>
        <v>0</v>
      </c>
      <c r="AJ879" s="411">
        <f t="shared" ref="AJ879" si="404">AJ878</f>
        <v>0</v>
      </c>
      <c r="AK879" s="411">
        <f t="shared" ref="AK879" si="405">AK878</f>
        <v>0</v>
      </c>
      <c r="AL879" s="411">
        <f t="shared" ref="AL879" si="406">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407">Z881</f>
        <v>0</v>
      </c>
      <c r="AA882" s="411">
        <f t="shared" ref="AA882" si="408">AA881</f>
        <v>0</v>
      </c>
      <c r="AB882" s="411">
        <f t="shared" ref="AB882" si="409">AB881</f>
        <v>0</v>
      </c>
      <c r="AC882" s="411">
        <f t="shared" ref="AC882" si="410">AC881</f>
        <v>0</v>
      </c>
      <c r="AD882" s="411">
        <f t="shared" ref="AD882" si="411">AD881</f>
        <v>0</v>
      </c>
      <c r="AE882" s="411">
        <f t="shared" ref="AE882" si="412">AE881</f>
        <v>0</v>
      </c>
      <c r="AF882" s="411">
        <f t="shared" ref="AF882" si="413">AF881</f>
        <v>0</v>
      </c>
      <c r="AG882" s="411">
        <f t="shared" ref="AG882" si="414">AG881</f>
        <v>0</v>
      </c>
      <c r="AH882" s="411">
        <f t="shared" ref="AH882" si="415">AH881</f>
        <v>0</v>
      </c>
      <c r="AI882" s="411">
        <f t="shared" ref="AI882" si="416">AI881</f>
        <v>0</v>
      </c>
      <c r="AJ882" s="411">
        <f t="shared" ref="AJ882" si="417">AJ881</f>
        <v>0</v>
      </c>
      <c r="AK882" s="411">
        <f t="shared" ref="AK882" si="418">AK881</f>
        <v>0</v>
      </c>
      <c r="AL882" s="411">
        <f t="shared" ref="AL882" si="419">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420">Z885</f>
        <v>0</v>
      </c>
      <c r="AA886" s="411">
        <f t="shared" ref="AA886" si="421">AA885</f>
        <v>0</v>
      </c>
      <c r="AB886" s="411">
        <f t="shared" ref="AB886" si="422">AB885</f>
        <v>0</v>
      </c>
      <c r="AC886" s="411">
        <f t="shared" ref="AC886" si="423">AC885</f>
        <v>0</v>
      </c>
      <c r="AD886" s="411">
        <f t="shared" ref="AD886" si="424">AD885</f>
        <v>0</v>
      </c>
      <c r="AE886" s="411">
        <f t="shared" ref="AE886" si="425">AE885</f>
        <v>0</v>
      </c>
      <c r="AF886" s="411">
        <f t="shared" ref="AF886" si="426">AF885</f>
        <v>0</v>
      </c>
      <c r="AG886" s="411">
        <f t="shared" ref="AG886" si="427">AG885</f>
        <v>0</v>
      </c>
      <c r="AH886" s="411">
        <f t="shared" ref="AH886" si="428">AH885</f>
        <v>0</v>
      </c>
      <c r="AI886" s="411">
        <f t="shared" ref="AI886" si="429">AI885</f>
        <v>0</v>
      </c>
      <c r="AJ886" s="411">
        <f t="shared" ref="AJ886" si="430">AJ885</f>
        <v>0</v>
      </c>
      <c r="AK886" s="411">
        <f t="shared" ref="AK886" si="431">AK885</f>
        <v>0</v>
      </c>
      <c r="AL886" s="411">
        <f t="shared" ref="AL886" si="432">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433">Z888</f>
        <v>0</v>
      </c>
      <c r="AA889" s="411">
        <f t="shared" ref="AA889" si="434">AA888</f>
        <v>0</v>
      </c>
      <c r="AB889" s="411">
        <f t="shared" ref="AB889" si="435">AB888</f>
        <v>0</v>
      </c>
      <c r="AC889" s="411">
        <f t="shared" ref="AC889" si="436">AC888</f>
        <v>0</v>
      </c>
      <c r="AD889" s="411">
        <f t="shared" ref="AD889" si="437">AD888</f>
        <v>0</v>
      </c>
      <c r="AE889" s="411">
        <f t="shared" ref="AE889" si="438">AE888</f>
        <v>0</v>
      </c>
      <c r="AF889" s="411">
        <f t="shared" ref="AF889" si="439">AF888</f>
        <v>0</v>
      </c>
      <c r="AG889" s="411">
        <f t="shared" ref="AG889" si="440">AG888</f>
        <v>0</v>
      </c>
      <c r="AH889" s="411">
        <f t="shared" ref="AH889" si="441">AH888</f>
        <v>0</v>
      </c>
      <c r="AI889" s="411">
        <f t="shared" ref="AI889" si="442">AI888</f>
        <v>0</v>
      </c>
      <c r="AJ889" s="411">
        <f t="shared" ref="AJ889" si="443">AJ888</f>
        <v>0</v>
      </c>
      <c r="AK889" s="411">
        <f t="shared" ref="AK889" si="444">AK888</f>
        <v>0</v>
      </c>
      <c r="AL889" s="411">
        <f t="shared" ref="AL889" si="445">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446">Z891</f>
        <v>0</v>
      </c>
      <c r="AA892" s="411">
        <f t="shared" ref="AA892" si="447">AA891</f>
        <v>0</v>
      </c>
      <c r="AB892" s="411">
        <f t="shared" ref="AB892" si="448">AB891</f>
        <v>0</v>
      </c>
      <c r="AC892" s="411">
        <f t="shared" ref="AC892" si="449">AC891</f>
        <v>0</v>
      </c>
      <c r="AD892" s="411">
        <f t="shared" ref="AD892" si="450">AD891</f>
        <v>0</v>
      </c>
      <c r="AE892" s="411">
        <f t="shared" ref="AE892" si="451">AE891</f>
        <v>0</v>
      </c>
      <c r="AF892" s="411">
        <f t="shared" ref="AF892" si="452">AF891</f>
        <v>0</v>
      </c>
      <c r="AG892" s="411">
        <f t="shared" ref="AG892" si="453">AG891</f>
        <v>0</v>
      </c>
      <c r="AH892" s="411">
        <f t="shared" ref="AH892" si="454">AH891</f>
        <v>0</v>
      </c>
      <c r="AI892" s="411">
        <f t="shared" ref="AI892" si="455">AI891</f>
        <v>0</v>
      </c>
      <c r="AJ892" s="411">
        <f t="shared" ref="AJ892" si="456">AJ891</f>
        <v>0</v>
      </c>
      <c r="AK892" s="411">
        <f t="shared" ref="AK892" si="457">AK891</f>
        <v>0</v>
      </c>
      <c r="AL892" s="411">
        <f t="shared" ref="AL892" si="458">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459">Z894</f>
        <v>0</v>
      </c>
      <c r="AA895" s="411">
        <f t="shared" ref="AA895" si="460">AA894</f>
        <v>0</v>
      </c>
      <c r="AB895" s="411">
        <f t="shared" ref="AB895" si="461">AB894</f>
        <v>0</v>
      </c>
      <c r="AC895" s="411">
        <f t="shared" ref="AC895" si="462">AC894</f>
        <v>0</v>
      </c>
      <c r="AD895" s="411">
        <f t="shared" ref="AD895" si="463">AD894</f>
        <v>0</v>
      </c>
      <c r="AE895" s="411">
        <f t="shared" ref="AE895" si="464">AE894</f>
        <v>0</v>
      </c>
      <c r="AF895" s="411">
        <f t="shared" ref="AF895" si="465">AF894</f>
        <v>0</v>
      </c>
      <c r="AG895" s="411">
        <f t="shared" ref="AG895" si="466">AG894</f>
        <v>0</v>
      </c>
      <c r="AH895" s="411">
        <f t="shared" ref="AH895" si="467">AH894</f>
        <v>0</v>
      </c>
      <c r="AI895" s="411">
        <f t="shared" ref="AI895" si="468">AI894</f>
        <v>0</v>
      </c>
      <c r="AJ895" s="411">
        <f t="shared" ref="AJ895" si="469">AJ894</f>
        <v>0</v>
      </c>
      <c r="AK895" s="411">
        <f t="shared" ref="AK895" si="470">AK894</f>
        <v>0</v>
      </c>
      <c r="AL895" s="411">
        <f t="shared" ref="AL895" si="471">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472">Z897</f>
        <v>0</v>
      </c>
      <c r="AA898" s="411">
        <f t="shared" ref="AA898" si="473">AA897</f>
        <v>0</v>
      </c>
      <c r="AB898" s="411">
        <f t="shared" ref="AB898" si="474">AB897</f>
        <v>0</v>
      </c>
      <c r="AC898" s="411">
        <f t="shared" ref="AC898" si="475">AC897</f>
        <v>0</v>
      </c>
      <c r="AD898" s="411">
        <f t="shared" ref="AD898" si="476">AD897</f>
        <v>0</v>
      </c>
      <c r="AE898" s="411">
        <f t="shared" ref="AE898" si="477">AE897</f>
        <v>0</v>
      </c>
      <c r="AF898" s="411">
        <f t="shared" ref="AF898" si="478">AF897</f>
        <v>0</v>
      </c>
      <c r="AG898" s="411">
        <f t="shared" ref="AG898" si="479">AG897</f>
        <v>0</v>
      </c>
      <c r="AH898" s="411">
        <f t="shared" ref="AH898" si="480">AH897</f>
        <v>0</v>
      </c>
      <c r="AI898" s="411">
        <f t="shared" ref="AI898" si="481">AI897</f>
        <v>0</v>
      </c>
      <c r="AJ898" s="411">
        <f t="shared" ref="AJ898" si="482">AJ897</f>
        <v>0</v>
      </c>
      <c r="AK898" s="411">
        <f t="shared" ref="AK898" si="483">AK897</f>
        <v>0</v>
      </c>
      <c r="AL898" s="411">
        <f t="shared" ref="AL898" si="484">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485">Z900</f>
        <v>0</v>
      </c>
      <c r="AA901" s="411">
        <f t="shared" ref="AA901" si="486">AA900</f>
        <v>0</v>
      </c>
      <c r="AB901" s="411">
        <f t="shared" ref="AB901" si="487">AB900</f>
        <v>0</v>
      </c>
      <c r="AC901" s="411">
        <f t="shared" ref="AC901" si="488">AC900</f>
        <v>0</v>
      </c>
      <c r="AD901" s="411">
        <f t="shared" ref="AD901" si="489">AD900</f>
        <v>0</v>
      </c>
      <c r="AE901" s="411">
        <f t="shared" ref="AE901" si="490">AE900</f>
        <v>0</v>
      </c>
      <c r="AF901" s="411">
        <f t="shared" ref="AF901" si="491">AF900</f>
        <v>0</v>
      </c>
      <c r="AG901" s="411">
        <f t="shared" ref="AG901" si="492">AG900</f>
        <v>0</v>
      </c>
      <c r="AH901" s="411">
        <f t="shared" ref="AH901" si="493">AH900</f>
        <v>0</v>
      </c>
      <c r="AI901" s="411">
        <f t="shared" ref="AI901" si="494">AI900</f>
        <v>0</v>
      </c>
      <c r="AJ901" s="411">
        <f t="shared" ref="AJ901" si="495">AJ900</f>
        <v>0</v>
      </c>
      <c r="AK901" s="411">
        <f t="shared" ref="AK901" si="496">AK900</f>
        <v>0</v>
      </c>
      <c r="AL901" s="411">
        <f t="shared" ref="AL901" si="497">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498">Z903</f>
        <v>0</v>
      </c>
      <c r="AA904" s="411">
        <f t="shared" ref="AA904" si="499">AA903</f>
        <v>0</v>
      </c>
      <c r="AB904" s="411">
        <f t="shared" ref="AB904" si="500">AB903</f>
        <v>0</v>
      </c>
      <c r="AC904" s="411">
        <f t="shared" ref="AC904" si="501">AC903</f>
        <v>0</v>
      </c>
      <c r="AD904" s="411">
        <f t="shared" ref="AD904" si="502">AD903</f>
        <v>0</v>
      </c>
      <c r="AE904" s="411">
        <f t="shared" ref="AE904" si="503">AE903</f>
        <v>0</v>
      </c>
      <c r="AF904" s="411">
        <f t="shared" ref="AF904" si="504">AF903</f>
        <v>0</v>
      </c>
      <c r="AG904" s="411">
        <f t="shared" ref="AG904" si="505">AG903</f>
        <v>0</v>
      </c>
      <c r="AH904" s="411">
        <f t="shared" ref="AH904" si="506">AH903</f>
        <v>0</v>
      </c>
      <c r="AI904" s="411">
        <f t="shared" ref="AI904" si="507">AI903</f>
        <v>0</v>
      </c>
      <c r="AJ904" s="411">
        <f t="shared" ref="AJ904" si="508">AJ903</f>
        <v>0</v>
      </c>
      <c r="AK904" s="411">
        <f t="shared" ref="AK904" si="509">AK903</f>
        <v>0</v>
      </c>
      <c r="AL904" s="411">
        <f t="shared" ref="AL904" si="510">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511">Z906</f>
        <v>0</v>
      </c>
      <c r="AA907" s="411">
        <f t="shared" ref="AA907" si="512">AA906</f>
        <v>0</v>
      </c>
      <c r="AB907" s="411">
        <f t="shared" ref="AB907" si="513">AB906</f>
        <v>0</v>
      </c>
      <c r="AC907" s="411">
        <f t="shared" ref="AC907" si="514">AC906</f>
        <v>0</v>
      </c>
      <c r="AD907" s="411">
        <f t="shared" ref="AD907" si="515">AD906</f>
        <v>0</v>
      </c>
      <c r="AE907" s="411">
        <f t="shared" ref="AE907" si="516">AE906</f>
        <v>0</v>
      </c>
      <c r="AF907" s="411">
        <f t="shared" ref="AF907" si="517">AF906</f>
        <v>0</v>
      </c>
      <c r="AG907" s="411">
        <f t="shared" ref="AG907" si="518">AG906</f>
        <v>0</v>
      </c>
      <c r="AH907" s="411">
        <f t="shared" ref="AH907" si="519">AH906</f>
        <v>0</v>
      </c>
      <c r="AI907" s="411">
        <f t="shared" ref="AI907" si="520">AI906</f>
        <v>0</v>
      </c>
      <c r="AJ907" s="411">
        <f t="shared" ref="AJ907" si="521">AJ906</f>
        <v>0</v>
      </c>
      <c r="AK907" s="411">
        <f t="shared" ref="AK907" si="522">AK906</f>
        <v>0</v>
      </c>
      <c r="AL907" s="411">
        <f t="shared" ref="AL907" si="523">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524">Z909</f>
        <v>0</v>
      </c>
      <c r="AA910" s="411">
        <f t="shared" ref="AA910" si="525">AA909</f>
        <v>0</v>
      </c>
      <c r="AB910" s="411">
        <f t="shared" ref="AB910" si="526">AB909</f>
        <v>0</v>
      </c>
      <c r="AC910" s="411">
        <f t="shared" ref="AC910" si="527">AC909</f>
        <v>0</v>
      </c>
      <c r="AD910" s="411">
        <f t="shared" ref="AD910" si="528">AD909</f>
        <v>0</v>
      </c>
      <c r="AE910" s="411">
        <f t="shared" ref="AE910" si="529">AE909</f>
        <v>0</v>
      </c>
      <c r="AF910" s="411">
        <f t="shared" ref="AF910" si="530">AF909</f>
        <v>0</v>
      </c>
      <c r="AG910" s="411">
        <f t="shared" ref="AG910" si="531">AG909</f>
        <v>0</v>
      </c>
      <c r="AH910" s="411">
        <f t="shared" ref="AH910" si="532">AH909</f>
        <v>0</v>
      </c>
      <c r="AI910" s="411">
        <f t="shared" ref="AI910" si="533">AI909</f>
        <v>0</v>
      </c>
      <c r="AJ910" s="411">
        <f t="shared" ref="AJ910" si="534">AJ909</f>
        <v>0</v>
      </c>
      <c r="AK910" s="411">
        <f t="shared" ref="AK910" si="535">AK909</f>
        <v>0</v>
      </c>
      <c r="AL910" s="411">
        <f t="shared" ref="AL910" si="536">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537">Z912</f>
        <v>0</v>
      </c>
      <c r="AA913" s="411">
        <f t="shared" ref="AA913" si="538">AA912</f>
        <v>0</v>
      </c>
      <c r="AB913" s="411">
        <f t="shared" ref="AB913" si="539">AB912</f>
        <v>0</v>
      </c>
      <c r="AC913" s="411">
        <f t="shared" ref="AC913" si="540">AC912</f>
        <v>0</v>
      </c>
      <c r="AD913" s="411">
        <f t="shared" ref="AD913" si="541">AD912</f>
        <v>0</v>
      </c>
      <c r="AE913" s="411">
        <f t="shared" ref="AE913" si="542">AE912</f>
        <v>0</v>
      </c>
      <c r="AF913" s="411">
        <f t="shared" ref="AF913" si="543">AF912</f>
        <v>0</v>
      </c>
      <c r="AG913" s="411">
        <f t="shared" ref="AG913" si="544">AG912</f>
        <v>0</v>
      </c>
      <c r="AH913" s="411">
        <f t="shared" ref="AH913" si="545">AH912</f>
        <v>0</v>
      </c>
      <c r="AI913" s="411">
        <f t="shared" ref="AI913" si="546">AI912</f>
        <v>0</v>
      </c>
      <c r="AJ913" s="411">
        <f t="shared" ref="AJ913" si="547">AJ912</f>
        <v>0</v>
      </c>
      <c r="AK913" s="411">
        <f t="shared" ref="AK913" si="548">AK912</f>
        <v>0</v>
      </c>
      <c r="AL913" s="411">
        <f t="shared" ref="AL913" si="549">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550">Z915</f>
        <v>0</v>
      </c>
      <c r="AA916" s="411">
        <f t="shared" ref="AA916" si="551">AA915</f>
        <v>0</v>
      </c>
      <c r="AB916" s="411">
        <f t="shared" ref="AB916" si="552">AB915</f>
        <v>0</v>
      </c>
      <c r="AC916" s="411">
        <f t="shared" ref="AC916" si="553">AC915</f>
        <v>0</v>
      </c>
      <c r="AD916" s="411">
        <f t="shared" ref="AD916" si="554">AD915</f>
        <v>0</v>
      </c>
      <c r="AE916" s="411">
        <f t="shared" ref="AE916" si="555">AE915</f>
        <v>0</v>
      </c>
      <c r="AF916" s="411">
        <f t="shared" ref="AF916" si="556">AF915</f>
        <v>0</v>
      </c>
      <c r="AG916" s="411">
        <f t="shared" ref="AG916" si="557">AG915</f>
        <v>0</v>
      </c>
      <c r="AH916" s="411">
        <f t="shared" ref="AH916" si="558">AH915</f>
        <v>0</v>
      </c>
      <c r="AI916" s="411">
        <f t="shared" ref="AI916" si="559">AI915</f>
        <v>0</v>
      </c>
      <c r="AJ916" s="411">
        <f t="shared" ref="AJ916" si="560">AJ915</f>
        <v>0</v>
      </c>
      <c r="AK916" s="411">
        <f t="shared" ref="AK916" si="561">AK915</f>
        <v>0</v>
      </c>
      <c r="AL916" s="411">
        <f t="shared" ref="AL916" si="562">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563">Z918</f>
        <v>0</v>
      </c>
      <c r="AA919" s="411">
        <f t="shared" ref="AA919" si="564">AA918</f>
        <v>0</v>
      </c>
      <c r="AB919" s="411">
        <f t="shared" ref="AB919" si="565">AB918</f>
        <v>0</v>
      </c>
      <c r="AC919" s="411">
        <f t="shared" ref="AC919" si="566">AC918</f>
        <v>0</v>
      </c>
      <c r="AD919" s="411">
        <f t="shared" ref="AD919" si="567">AD918</f>
        <v>0</v>
      </c>
      <c r="AE919" s="411">
        <f t="shared" ref="AE919" si="568">AE918</f>
        <v>0</v>
      </c>
      <c r="AF919" s="411">
        <f t="shared" ref="AF919" si="569">AF918</f>
        <v>0</v>
      </c>
      <c r="AG919" s="411">
        <f t="shared" ref="AG919" si="570">AG918</f>
        <v>0</v>
      </c>
      <c r="AH919" s="411">
        <f t="shared" ref="AH919" si="571">AH918</f>
        <v>0</v>
      </c>
      <c r="AI919" s="411">
        <f t="shared" ref="AI919" si="572">AI918</f>
        <v>0</v>
      </c>
      <c r="AJ919" s="411">
        <f t="shared" ref="AJ919" si="573">AJ918</f>
        <v>0</v>
      </c>
      <c r="AK919" s="411">
        <f t="shared" ref="AK919" si="574">AK918</f>
        <v>0</v>
      </c>
      <c r="AL919" s="411">
        <f t="shared" ref="AL919" si="575">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576">Z921</f>
        <v>0</v>
      </c>
      <c r="AA922" s="411">
        <f t="shared" ref="AA922" si="577">AA921</f>
        <v>0</v>
      </c>
      <c r="AB922" s="411">
        <f t="shared" ref="AB922" si="578">AB921</f>
        <v>0</v>
      </c>
      <c r="AC922" s="411">
        <f t="shared" ref="AC922" si="579">AC921</f>
        <v>0</v>
      </c>
      <c r="AD922" s="411">
        <f t="shared" ref="AD922" si="580">AD921</f>
        <v>0</v>
      </c>
      <c r="AE922" s="411">
        <f t="shared" ref="AE922" si="581">AE921</f>
        <v>0</v>
      </c>
      <c r="AF922" s="411">
        <f t="shared" ref="AF922" si="582">AF921</f>
        <v>0</v>
      </c>
      <c r="AG922" s="411">
        <f t="shared" ref="AG922" si="583">AG921</f>
        <v>0</v>
      </c>
      <c r="AH922" s="411">
        <f t="shared" ref="AH922" si="584">AH921</f>
        <v>0</v>
      </c>
      <c r="AI922" s="411">
        <f t="shared" ref="AI922" si="585">AI921</f>
        <v>0</v>
      </c>
      <c r="AJ922" s="411">
        <f t="shared" ref="AJ922" si="586">AJ921</f>
        <v>0</v>
      </c>
      <c r="AK922" s="411">
        <f t="shared" ref="AK922" si="587">AK921</f>
        <v>0</v>
      </c>
      <c r="AL922" s="411">
        <f t="shared" ref="AL922" si="588">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589">Z924</f>
        <v>0</v>
      </c>
      <c r="AA925" s="411">
        <f t="shared" ref="AA925" si="590">AA924</f>
        <v>0</v>
      </c>
      <c r="AB925" s="411">
        <f t="shared" ref="AB925" si="591">AB924</f>
        <v>0</v>
      </c>
      <c r="AC925" s="411">
        <f t="shared" ref="AC925" si="592">AC924</f>
        <v>0</v>
      </c>
      <c r="AD925" s="411">
        <f t="shared" ref="AD925" si="593">AD924</f>
        <v>0</v>
      </c>
      <c r="AE925" s="411">
        <f t="shared" ref="AE925" si="594">AE924</f>
        <v>0</v>
      </c>
      <c r="AF925" s="411">
        <f t="shared" ref="AF925" si="595">AF924</f>
        <v>0</v>
      </c>
      <c r="AG925" s="411">
        <f t="shared" ref="AG925" si="596">AG924</f>
        <v>0</v>
      </c>
      <c r="AH925" s="411">
        <f t="shared" ref="AH925" si="597">AH924</f>
        <v>0</v>
      </c>
      <c r="AI925" s="411">
        <f t="shared" ref="AI925" si="598">AI924</f>
        <v>0</v>
      </c>
      <c r="AJ925" s="411">
        <f t="shared" ref="AJ925" si="599">AJ924</f>
        <v>0</v>
      </c>
      <c r="AK925" s="411">
        <f t="shared" ref="AK925" si="600">AK924</f>
        <v>0</v>
      </c>
      <c r="AL925" s="411">
        <f t="shared" ref="AL925" si="601">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1.0699999999999999E-2</v>
      </c>
      <c r="AA930" s="341">
        <f>HLOOKUP(AA$35,'3.  Distribution Rates'!$C$122:$P$133,11,FALSE)</f>
        <v>2.746</v>
      </c>
      <c r="AB930" s="341">
        <f>HLOOKUP(AB$35,'3.  Distribution Rates'!$C$122:$P$133,11,FALSE)</f>
        <v>20.4986</v>
      </c>
      <c r="AC930" s="341">
        <f>HLOOKUP(AC$35,'3.  Distribution Rates'!$C$122:$P$133,11,FALSE)</f>
        <v>11.8232</v>
      </c>
      <c r="AD930" s="341">
        <f>HLOOKUP(AD$35,'3.  Distribution Rates'!$C$122:$P$133,11,FALSE)</f>
        <v>1.6500000000000001E-2</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139.80426305685825</v>
      </c>
      <c r="Z931" s="378">
        <f>'4.  2011-2014 LRAM'!Z142*Z930</f>
        <v>1391.9403812095809</v>
      </c>
      <c r="AA931" s="378">
        <f>'4.  2011-2014 LRAM'!AA142*AA930</f>
        <v>394.18942027548519</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602">SUM(Y931:AL931)</f>
        <v>1925.9340645419243</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75.238147898007426</v>
      </c>
      <c r="Z932" s="378">
        <f>'4.  2011-2014 LRAM'!Z271*Z930</f>
        <v>1374.3118455282925</v>
      </c>
      <c r="AA932" s="378">
        <f>'4.  2011-2014 LRAM'!AA271*AA930</f>
        <v>2039.9003509126235</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602"/>
        <v>3489.4503443389231</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183.41343058288123</v>
      </c>
      <c r="Z933" s="378">
        <f>'4.  2011-2014 LRAM'!Z400*Z930</f>
        <v>1471.2126627963648</v>
      </c>
      <c r="AA933" s="378">
        <f>'4.  2011-2014 LRAM'!AA400*AA930</f>
        <v>279.69589845349776</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602"/>
        <v>1934.3219918327436</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388.82098474985997</v>
      </c>
      <c r="Z934" s="378">
        <f>'4.  2011-2014 LRAM'!Z530*Z930</f>
        <v>5300.2007415899998</v>
      </c>
      <c r="AA934" s="378">
        <f>'4.  2011-2014 LRAM'!AA530*AA930</f>
        <v>3987.7282160332811</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602"/>
        <v>9676.7499423731406</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603">Y211*Y930</f>
        <v>695.50537804218766</v>
      </c>
      <c r="Z935" s="378">
        <f t="shared" si="603"/>
        <v>19238.743761377871</v>
      </c>
      <c r="AA935" s="378">
        <f t="shared" si="603"/>
        <v>6395.4156495468333</v>
      </c>
      <c r="AB935" s="378">
        <f t="shared" si="603"/>
        <v>0</v>
      </c>
      <c r="AC935" s="378">
        <f t="shared" si="603"/>
        <v>833.73338215571982</v>
      </c>
      <c r="AD935" s="378">
        <f t="shared" si="603"/>
        <v>1048.6207663145756</v>
      </c>
      <c r="AE935" s="378">
        <f t="shared" si="603"/>
        <v>0</v>
      </c>
      <c r="AF935" s="378">
        <f t="shared" si="603"/>
        <v>0</v>
      </c>
      <c r="AG935" s="378">
        <f t="shared" si="603"/>
        <v>0</v>
      </c>
      <c r="AH935" s="378">
        <f t="shared" si="603"/>
        <v>0</v>
      </c>
      <c r="AI935" s="378">
        <f t="shared" si="603"/>
        <v>0</v>
      </c>
      <c r="AJ935" s="378">
        <f t="shared" si="603"/>
        <v>0</v>
      </c>
      <c r="AK935" s="378">
        <f t="shared" si="603"/>
        <v>0</v>
      </c>
      <c r="AL935" s="378">
        <f t="shared" si="603"/>
        <v>0</v>
      </c>
      <c r="AM935" s="629">
        <f t="shared" si="602"/>
        <v>28212.018937437188</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604">Y394*Y930</f>
        <v>1131.5024374822995</v>
      </c>
      <c r="Z936" s="378">
        <f t="shared" si="604"/>
        <v>1807.9260503540729</v>
      </c>
      <c r="AA936" s="378">
        <f t="shared" si="604"/>
        <v>7629.3127551681637</v>
      </c>
      <c r="AB936" s="378">
        <f t="shared" si="604"/>
        <v>0</v>
      </c>
      <c r="AC936" s="378">
        <f t="shared" si="604"/>
        <v>1729.9233434242383</v>
      </c>
      <c r="AD936" s="378">
        <f t="shared" si="604"/>
        <v>0</v>
      </c>
      <c r="AE936" s="378">
        <f t="shared" si="604"/>
        <v>0</v>
      </c>
      <c r="AF936" s="378">
        <f t="shared" si="604"/>
        <v>0</v>
      </c>
      <c r="AG936" s="378">
        <f t="shared" si="604"/>
        <v>0</v>
      </c>
      <c r="AH936" s="378">
        <f t="shared" si="604"/>
        <v>0</v>
      </c>
      <c r="AI936" s="378">
        <f t="shared" si="604"/>
        <v>0</v>
      </c>
      <c r="AJ936" s="378">
        <f t="shared" si="604"/>
        <v>0</v>
      </c>
      <c r="AK936" s="378">
        <f t="shared" si="604"/>
        <v>0</v>
      </c>
      <c r="AL936" s="378">
        <f t="shared" si="604"/>
        <v>0</v>
      </c>
      <c r="AM936" s="629">
        <f t="shared" si="602"/>
        <v>12298.664586428775</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605">Y577*Y930</f>
        <v>1672.305047246339</v>
      </c>
      <c r="Z937" s="378">
        <f t="shared" si="605"/>
        <v>7690.8710576260846</v>
      </c>
      <c r="AA937" s="378">
        <f t="shared" si="605"/>
        <v>4694.2736546676624</v>
      </c>
      <c r="AB937" s="378">
        <f t="shared" si="605"/>
        <v>0</v>
      </c>
      <c r="AC937" s="378">
        <f t="shared" si="605"/>
        <v>0</v>
      </c>
      <c r="AD937" s="378">
        <f t="shared" si="605"/>
        <v>0</v>
      </c>
      <c r="AE937" s="378">
        <f t="shared" si="605"/>
        <v>0</v>
      </c>
      <c r="AF937" s="378">
        <f t="shared" si="605"/>
        <v>0</v>
      </c>
      <c r="AG937" s="378">
        <f t="shared" si="605"/>
        <v>0</v>
      </c>
      <c r="AH937" s="378">
        <f t="shared" si="605"/>
        <v>0</v>
      </c>
      <c r="AI937" s="378">
        <f t="shared" si="605"/>
        <v>0</v>
      </c>
      <c r="AJ937" s="378">
        <f t="shared" si="605"/>
        <v>0</v>
      </c>
      <c r="AK937" s="378">
        <f t="shared" si="605"/>
        <v>0</v>
      </c>
      <c r="AL937" s="378">
        <f t="shared" si="605"/>
        <v>0</v>
      </c>
      <c r="AM937" s="629">
        <f t="shared" si="602"/>
        <v>14057.449759540086</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Y760*Y930</f>
        <v>532.02957600000002</v>
      </c>
      <c r="Z938" s="378">
        <f t="shared" ref="Z938:AL938" si="606">Z760*Z930</f>
        <v>6616.39577077576</v>
      </c>
      <c r="AA938" s="378">
        <f t="shared" si="606"/>
        <v>2221.6007736000001</v>
      </c>
      <c r="AB938" s="378">
        <f t="shared" si="606"/>
        <v>0</v>
      </c>
      <c r="AC938" s="378">
        <f t="shared" si="606"/>
        <v>0</v>
      </c>
      <c r="AD938" s="378">
        <f t="shared" si="606"/>
        <v>0</v>
      </c>
      <c r="AE938" s="378">
        <f t="shared" si="606"/>
        <v>0</v>
      </c>
      <c r="AF938" s="378">
        <f t="shared" si="606"/>
        <v>0</v>
      </c>
      <c r="AG938" s="378">
        <f t="shared" si="606"/>
        <v>0</v>
      </c>
      <c r="AH938" s="378">
        <f t="shared" si="606"/>
        <v>0</v>
      </c>
      <c r="AI938" s="378">
        <f t="shared" si="606"/>
        <v>0</v>
      </c>
      <c r="AJ938" s="378">
        <f t="shared" si="606"/>
        <v>0</v>
      </c>
      <c r="AK938" s="378">
        <f t="shared" si="606"/>
        <v>0</v>
      </c>
      <c r="AL938" s="378">
        <f t="shared" si="606"/>
        <v>0</v>
      </c>
      <c r="AM938" s="629">
        <f t="shared" si="602"/>
        <v>9370.02612037576</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607">Z927*Z930</f>
        <v>0</v>
      </c>
      <c r="AA939" s="378">
        <f t="shared" si="607"/>
        <v>0</v>
      </c>
      <c r="AB939" s="378">
        <f t="shared" si="607"/>
        <v>0</v>
      </c>
      <c r="AC939" s="378">
        <f t="shared" si="607"/>
        <v>0</v>
      </c>
      <c r="AD939" s="378">
        <f t="shared" si="607"/>
        <v>0</v>
      </c>
      <c r="AE939" s="378">
        <f t="shared" si="607"/>
        <v>0</v>
      </c>
      <c r="AF939" s="378">
        <f t="shared" si="607"/>
        <v>0</v>
      </c>
      <c r="AG939" s="378">
        <f t="shared" si="607"/>
        <v>0</v>
      </c>
      <c r="AH939" s="378">
        <f t="shared" si="607"/>
        <v>0</v>
      </c>
      <c r="AI939" s="378">
        <f t="shared" si="607"/>
        <v>0</v>
      </c>
      <c r="AJ939" s="378">
        <f t="shared" si="607"/>
        <v>0</v>
      </c>
      <c r="AK939" s="378">
        <f t="shared" si="607"/>
        <v>0</v>
      </c>
      <c r="AL939" s="378">
        <f t="shared" si="607"/>
        <v>0</v>
      </c>
      <c r="AM939" s="629">
        <f t="shared" si="602"/>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4818.6192650584326</v>
      </c>
      <c r="Z940" s="346">
        <f>SUM(Z931:Z939)</f>
        <v>44891.602271258023</v>
      </c>
      <c r="AA940" s="346">
        <f t="shared" ref="AA940:AE940" si="608">SUM(AA931:AA939)</f>
        <v>27642.116718657544</v>
      </c>
      <c r="AB940" s="346">
        <f t="shared" si="608"/>
        <v>0</v>
      </c>
      <c r="AC940" s="346">
        <f t="shared" si="608"/>
        <v>2563.6567255799582</v>
      </c>
      <c r="AD940" s="346">
        <f t="shared" si="608"/>
        <v>1048.6207663145756</v>
      </c>
      <c r="AE940" s="346">
        <f t="shared" si="608"/>
        <v>0</v>
      </c>
      <c r="AF940" s="346">
        <f>SUM(AF931:AF939)</f>
        <v>0</v>
      </c>
      <c r="AG940" s="346">
        <f t="shared" ref="AG940:AL940" si="609">SUM(AG931:AG939)</f>
        <v>0</v>
      </c>
      <c r="AH940" s="346">
        <f t="shared" si="609"/>
        <v>0</v>
      </c>
      <c r="AI940" s="346">
        <f t="shared" si="609"/>
        <v>0</v>
      </c>
      <c r="AJ940" s="346">
        <f t="shared" si="609"/>
        <v>0</v>
      </c>
      <c r="AK940" s="346">
        <f t="shared" si="609"/>
        <v>0</v>
      </c>
      <c r="AL940" s="346">
        <f t="shared" si="609"/>
        <v>0</v>
      </c>
      <c r="AM940" s="407">
        <f>SUM(AM931:AM939)</f>
        <v>80964.615746868541</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Z928*Z930</f>
        <v>0</v>
      </c>
      <c r="AA941" s="347">
        <f t="shared" ref="AA941:AE941" si="610">AA928*AA930</f>
        <v>0</v>
      </c>
      <c r="AB941" s="347">
        <f t="shared" si="610"/>
        <v>0</v>
      </c>
      <c r="AC941" s="347">
        <f t="shared" si="610"/>
        <v>0</v>
      </c>
      <c r="AD941" s="347">
        <f t="shared" si="610"/>
        <v>0</v>
      </c>
      <c r="AE941" s="347">
        <f t="shared" si="610"/>
        <v>0</v>
      </c>
      <c r="AF941" s="347">
        <f>AF928*AF930</f>
        <v>0</v>
      </c>
      <c r="AG941" s="347">
        <f t="shared" ref="AG941:AL941" si="611">AG928*AG930</f>
        <v>0</v>
      </c>
      <c r="AH941" s="347">
        <f t="shared" si="611"/>
        <v>0</v>
      </c>
      <c r="AI941" s="347">
        <f t="shared" si="611"/>
        <v>0</v>
      </c>
      <c r="AJ941" s="347">
        <f t="shared" si="611"/>
        <v>0</v>
      </c>
      <c r="AK941" s="347">
        <f t="shared" si="611"/>
        <v>0</v>
      </c>
      <c r="AL941" s="347">
        <f t="shared" si="611"/>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80964.615746868541</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612">IF(AA768="kw",SUMPRODUCT($N$770:$N$925,$P$770:$P$925,AA770:AA925),SUMPRODUCT($E$770:$E$925,AA770:AA925))</f>
        <v>0</v>
      </c>
      <c r="AB944" s="326">
        <f t="shared" si="612"/>
        <v>0</v>
      </c>
      <c r="AC944" s="326">
        <f t="shared" si="612"/>
        <v>0</v>
      </c>
      <c r="AD944" s="326">
        <f t="shared" si="612"/>
        <v>0</v>
      </c>
      <c r="AE944" s="326">
        <f t="shared" si="612"/>
        <v>0</v>
      </c>
      <c r="AF944" s="326">
        <f t="shared" si="612"/>
        <v>0</v>
      </c>
      <c r="AG944" s="326">
        <f t="shared" si="612"/>
        <v>0</v>
      </c>
      <c r="AH944" s="326">
        <f t="shared" si="612"/>
        <v>0</v>
      </c>
      <c r="AI944" s="326">
        <f t="shared" si="612"/>
        <v>0</v>
      </c>
      <c r="AJ944" s="326">
        <f t="shared" si="612"/>
        <v>0</v>
      </c>
      <c r="AK944" s="326">
        <f t="shared" si="612"/>
        <v>0</v>
      </c>
      <c r="AL944" s="326">
        <f t="shared" si="612"/>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1035" t="s">
        <v>211</v>
      </c>
      <c r="C949" s="1037" t="s">
        <v>33</v>
      </c>
      <c r="D949" s="284" t="s">
        <v>421</v>
      </c>
      <c r="E949" s="1039" t="s">
        <v>209</v>
      </c>
      <c r="F949" s="1040"/>
      <c r="G949" s="1040"/>
      <c r="H949" s="1040"/>
      <c r="I949" s="1040"/>
      <c r="J949" s="1040"/>
      <c r="K949" s="1040"/>
      <c r="L949" s="1040"/>
      <c r="M949" s="1041"/>
      <c r="N949" s="1045" t="s">
        <v>213</v>
      </c>
      <c r="O949" s="284" t="s">
        <v>422</v>
      </c>
      <c r="P949" s="1039" t="s">
        <v>212</v>
      </c>
      <c r="Q949" s="1040"/>
      <c r="R949" s="1040"/>
      <c r="S949" s="1040"/>
      <c r="T949" s="1040"/>
      <c r="U949" s="1040"/>
      <c r="V949" s="1040"/>
      <c r="W949" s="1040"/>
      <c r="X949" s="1041"/>
      <c r="Y949" s="1042" t="s">
        <v>243</v>
      </c>
      <c r="Z949" s="1043"/>
      <c r="AA949" s="1043"/>
      <c r="AB949" s="1043"/>
      <c r="AC949" s="1043"/>
      <c r="AD949" s="1043"/>
      <c r="AE949" s="1043"/>
      <c r="AF949" s="1043"/>
      <c r="AG949" s="1043"/>
      <c r="AH949" s="1043"/>
      <c r="AI949" s="1043"/>
      <c r="AJ949" s="1043"/>
      <c r="AK949" s="1043"/>
      <c r="AL949" s="1043"/>
      <c r="AM949" s="1044"/>
    </row>
    <row r="950" spans="1:39" ht="65.25" customHeight="1">
      <c r="B950" s="1036"/>
      <c r="C950" s="1038"/>
      <c r="D950" s="285">
        <v>2020</v>
      </c>
      <c r="E950" s="285">
        <v>2021</v>
      </c>
      <c r="F950" s="285">
        <v>2022</v>
      </c>
      <c r="G950" s="285">
        <v>2023</v>
      </c>
      <c r="H950" s="285">
        <v>2024</v>
      </c>
      <c r="I950" s="285">
        <v>2025</v>
      </c>
      <c r="J950" s="285">
        <v>2026</v>
      </c>
      <c r="K950" s="285">
        <v>2027</v>
      </c>
      <c r="L950" s="285">
        <v>2028</v>
      </c>
      <c r="M950" s="285">
        <v>2029</v>
      </c>
      <c r="N950" s="1046"/>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Sentinel Lighting</v>
      </c>
      <c r="AC950" s="285" t="str">
        <f>'1.  LRAMVA Summary'!H52</f>
        <v>Street Lighting</v>
      </c>
      <c r="AD950" s="285" t="str">
        <f>'1.  LRAMVA Summary'!I52</f>
        <v>Unmetered Scattered Load</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kWh</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613">Z953</f>
        <v>0</v>
      </c>
      <c r="AA954" s="411">
        <f t="shared" ref="AA954" si="614">AA953</f>
        <v>0</v>
      </c>
      <c r="AB954" s="411">
        <f t="shared" ref="AB954" si="615">AB953</f>
        <v>0</v>
      </c>
      <c r="AC954" s="411">
        <f t="shared" ref="AC954" si="616">AC953</f>
        <v>0</v>
      </c>
      <c r="AD954" s="411">
        <f t="shared" ref="AD954" si="617">AD953</f>
        <v>0</v>
      </c>
      <c r="AE954" s="411">
        <f t="shared" ref="AE954" si="618">AE953</f>
        <v>0</v>
      </c>
      <c r="AF954" s="411">
        <f t="shared" ref="AF954" si="619">AF953</f>
        <v>0</v>
      </c>
      <c r="AG954" s="411">
        <f t="shared" ref="AG954" si="620">AG953</f>
        <v>0</v>
      </c>
      <c r="AH954" s="411">
        <f t="shared" ref="AH954" si="621">AH953</f>
        <v>0</v>
      </c>
      <c r="AI954" s="411">
        <f t="shared" ref="AI954" si="622">AI953</f>
        <v>0</v>
      </c>
      <c r="AJ954" s="411">
        <f t="shared" ref="AJ954" si="623">AJ953</f>
        <v>0</v>
      </c>
      <c r="AK954" s="411">
        <f t="shared" ref="AK954" si="624">AK953</f>
        <v>0</v>
      </c>
      <c r="AL954" s="411">
        <f t="shared" ref="AL954" si="625">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626">Z956</f>
        <v>0</v>
      </c>
      <c r="AA957" s="411">
        <f t="shared" ref="AA957" si="627">AA956</f>
        <v>0</v>
      </c>
      <c r="AB957" s="411">
        <f t="shared" ref="AB957" si="628">AB956</f>
        <v>0</v>
      </c>
      <c r="AC957" s="411">
        <f t="shared" ref="AC957" si="629">AC956</f>
        <v>0</v>
      </c>
      <c r="AD957" s="411">
        <f t="shared" ref="AD957" si="630">AD956</f>
        <v>0</v>
      </c>
      <c r="AE957" s="411">
        <f t="shared" ref="AE957" si="631">AE956</f>
        <v>0</v>
      </c>
      <c r="AF957" s="411">
        <f t="shared" ref="AF957" si="632">AF956</f>
        <v>0</v>
      </c>
      <c r="AG957" s="411">
        <f t="shared" ref="AG957" si="633">AG956</f>
        <v>0</v>
      </c>
      <c r="AH957" s="411">
        <f t="shared" ref="AH957" si="634">AH956</f>
        <v>0</v>
      </c>
      <c r="AI957" s="411">
        <f t="shared" ref="AI957" si="635">AI956</f>
        <v>0</v>
      </c>
      <c r="AJ957" s="411">
        <f t="shared" ref="AJ957" si="636">AJ956</f>
        <v>0</v>
      </c>
      <c r="AK957" s="411">
        <f t="shared" ref="AK957" si="637">AK956</f>
        <v>0</v>
      </c>
      <c r="AL957" s="411">
        <f t="shared" ref="AL957" si="638">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639">Z959</f>
        <v>0</v>
      </c>
      <c r="AA960" s="411">
        <f t="shared" ref="AA960" si="640">AA959</f>
        <v>0</v>
      </c>
      <c r="AB960" s="411">
        <f t="shared" ref="AB960" si="641">AB959</f>
        <v>0</v>
      </c>
      <c r="AC960" s="411">
        <f t="shared" ref="AC960" si="642">AC959</f>
        <v>0</v>
      </c>
      <c r="AD960" s="411">
        <f t="shared" ref="AD960" si="643">AD959</f>
        <v>0</v>
      </c>
      <c r="AE960" s="411">
        <f t="shared" ref="AE960" si="644">AE959</f>
        <v>0</v>
      </c>
      <c r="AF960" s="411">
        <f t="shared" ref="AF960" si="645">AF959</f>
        <v>0</v>
      </c>
      <c r="AG960" s="411">
        <f t="shared" ref="AG960" si="646">AG959</f>
        <v>0</v>
      </c>
      <c r="AH960" s="411">
        <f t="shared" ref="AH960" si="647">AH959</f>
        <v>0</v>
      </c>
      <c r="AI960" s="411">
        <f t="shared" ref="AI960" si="648">AI959</f>
        <v>0</v>
      </c>
      <c r="AJ960" s="411">
        <f t="shared" ref="AJ960" si="649">AJ959</f>
        <v>0</v>
      </c>
      <c r="AK960" s="411">
        <f t="shared" ref="AK960" si="650">AK959</f>
        <v>0</v>
      </c>
      <c r="AL960" s="411">
        <f t="shared" ref="AL960" si="651">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652">Z962</f>
        <v>0</v>
      </c>
      <c r="AA963" s="411">
        <f t="shared" ref="AA963" si="653">AA962</f>
        <v>0</v>
      </c>
      <c r="AB963" s="411">
        <f t="shared" ref="AB963" si="654">AB962</f>
        <v>0</v>
      </c>
      <c r="AC963" s="411">
        <f t="shared" ref="AC963" si="655">AC962</f>
        <v>0</v>
      </c>
      <c r="AD963" s="411">
        <f t="shared" ref="AD963" si="656">AD962</f>
        <v>0</v>
      </c>
      <c r="AE963" s="411">
        <f t="shared" ref="AE963" si="657">AE962</f>
        <v>0</v>
      </c>
      <c r="AF963" s="411">
        <f t="shared" ref="AF963" si="658">AF962</f>
        <v>0</v>
      </c>
      <c r="AG963" s="411">
        <f t="shared" ref="AG963" si="659">AG962</f>
        <v>0</v>
      </c>
      <c r="AH963" s="411">
        <f t="shared" ref="AH963" si="660">AH962</f>
        <v>0</v>
      </c>
      <c r="AI963" s="411">
        <f t="shared" ref="AI963" si="661">AI962</f>
        <v>0</v>
      </c>
      <c r="AJ963" s="411">
        <f t="shared" ref="AJ963" si="662">AJ962</f>
        <v>0</v>
      </c>
      <c r="AK963" s="411">
        <f t="shared" ref="AK963" si="663">AK962</f>
        <v>0</v>
      </c>
      <c r="AL963" s="411">
        <f t="shared" ref="AL963" si="664">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665">Z965</f>
        <v>0</v>
      </c>
      <c r="AA966" s="411">
        <f t="shared" ref="AA966" si="666">AA965</f>
        <v>0</v>
      </c>
      <c r="AB966" s="411">
        <f t="shared" ref="AB966" si="667">AB965</f>
        <v>0</v>
      </c>
      <c r="AC966" s="411">
        <f t="shared" ref="AC966" si="668">AC965</f>
        <v>0</v>
      </c>
      <c r="AD966" s="411">
        <f t="shared" ref="AD966" si="669">AD965</f>
        <v>0</v>
      </c>
      <c r="AE966" s="411">
        <f t="shared" ref="AE966" si="670">AE965</f>
        <v>0</v>
      </c>
      <c r="AF966" s="411">
        <f t="shared" ref="AF966" si="671">AF965</f>
        <v>0</v>
      </c>
      <c r="AG966" s="411">
        <f t="shared" ref="AG966" si="672">AG965</f>
        <v>0</v>
      </c>
      <c r="AH966" s="411">
        <f t="shared" ref="AH966" si="673">AH965</f>
        <v>0</v>
      </c>
      <c r="AI966" s="411">
        <f t="shared" ref="AI966" si="674">AI965</f>
        <v>0</v>
      </c>
      <c r="AJ966" s="411">
        <f t="shared" ref="AJ966" si="675">AJ965</f>
        <v>0</v>
      </c>
      <c r="AK966" s="411">
        <f t="shared" ref="AK966" si="676">AK965</f>
        <v>0</v>
      </c>
      <c r="AL966" s="411">
        <f t="shared" ref="AL966" si="677">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678">Z969</f>
        <v>0</v>
      </c>
      <c r="AA970" s="411">
        <f t="shared" ref="AA970" si="679">AA969</f>
        <v>0</v>
      </c>
      <c r="AB970" s="411">
        <f t="shared" ref="AB970" si="680">AB969</f>
        <v>0</v>
      </c>
      <c r="AC970" s="411">
        <f t="shared" ref="AC970" si="681">AC969</f>
        <v>0</v>
      </c>
      <c r="AD970" s="411">
        <f t="shared" ref="AD970" si="682">AD969</f>
        <v>0</v>
      </c>
      <c r="AE970" s="411">
        <f t="shared" ref="AE970" si="683">AE969</f>
        <v>0</v>
      </c>
      <c r="AF970" s="411">
        <f t="shared" ref="AF970" si="684">AF969</f>
        <v>0</v>
      </c>
      <c r="AG970" s="411">
        <f t="shared" ref="AG970" si="685">AG969</f>
        <v>0</v>
      </c>
      <c r="AH970" s="411">
        <f t="shared" ref="AH970" si="686">AH969</f>
        <v>0</v>
      </c>
      <c r="AI970" s="411">
        <f t="shared" ref="AI970" si="687">AI969</f>
        <v>0</v>
      </c>
      <c r="AJ970" s="411">
        <f t="shared" ref="AJ970" si="688">AJ969</f>
        <v>0</v>
      </c>
      <c r="AK970" s="411">
        <f t="shared" ref="AK970" si="689">AK969</f>
        <v>0</v>
      </c>
      <c r="AL970" s="411">
        <f t="shared" ref="AL970" si="690">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691">Z972</f>
        <v>0</v>
      </c>
      <c r="AA973" s="411">
        <f t="shared" ref="AA973" si="692">AA972</f>
        <v>0</v>
      </c>
      <c r="AB973" s="411">
        <f t="shared" ref="AB973" si="693">AB972</f>
        <v>0</v>
      </c>
      <c r="AC973" s="411">
        <f t="shared" ref="AC973" si="694">AC972</f>
        <v>0</v>
      </c>
      <c r="AD973" s="411">
        <f t="shared" ref="AD973" si="695">AD972</f>
        <v>0</v>
      </c>
      <c r="AE973" s="411">
        <f t="shared" ref="AE973" si="696">AE972</f>
        <v>0</v>
      </c>
      <c r="AF973" s="411">
        <f t="shared" ref="AF973" si="697">AF972</f>
        <v>0</v>
      </c>
      <c r="AG973" s="411">
        <f t="shared" ref="AG973" si="698">AG972</f>
        <v>0</v>
      </c>
      <c r="AH973" s="411">
        <f t="shared" ref="AH973" si="699">AH972</f>
        <v>0</v>
      </c>
      <c r="AI973" s="411">
        <f t="shared" ref="AI973" si="700">AI972</f>
        <v>0</v>
      </c>
      <c r="AJ973" s="411">
        <f t="shared" ref="AJ973" si="701">AJ972</f>
        <v>0</v>
      </c>
      <c r="AK973" s="411">
        <f t="shared" ref="AK973" si="702">AK972</f>
        <v>0</v>
      </c>
      <c r="AL973" s="411">
        <f t="shared" ref="AL973" si="703">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704">Z975</f>
        <v>0</v>
      </c>
      <c r="AA976" s="411">
        <f t="shared" ref="AA976" si="705">AA975</f>
        <v>0</v>
      </c>
      <c r="AB976" s="411">
        <f t="shared" ref="AB976" si="706">AB975</f>
        <v>0</v>
      </c>
      <c r="AC976" s="411">
        <f t="shared" ref="AC976" si="707">AC975</f>
        <v>0</v>
      </c>
      <c r="AD976" s="411">
        <f t="shared" ref="AD976" si="708">AD975</f>
        <v>0</v>
      </c>
      <c r="AE976" s="411">
        <f t="shared" ref="AE976" si="709">AE975</f>
        <v>0</v>
      </c>
      <c r="AF976" s="411">
        <f t="shared" ref="AF976" si="710">AF975</f>
        <v>0</v>
      </c>
      <c r="AG976" s="411">
        <f t="shared" ref="AG976" si="711">AG975</f>
        <v>0</v>
      </c>
      <c r="AH976" s="411">
        <f t="shared" ref="AH976" si="712">AH975</f>
        <v>0</v>
      </c>
      <c r="AI976" s="411">
        <f t="shared" ref="AI976" si="713">AI975</f>
        <v>0</v>
      </c>
      <c r="AJ976" s="411">
        <f t="shared" ref="AJ976" si="714">AJ975</f>
        <v>0</v>
      </c>
      <c r="AK976" s="411">
        <f t="shared" ref="AK976" si="715">AK975</f>
        <v>0</v>
      </c>
      <c r="AL976" s="411">
        <f t="shared" ref="AL976" si="71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717">Z978</f>
        <v>0</v>
      </c>
      <c r="AA979" s="411">
        <f t="shared" ref="AA979" si="718">AA978</f>
        <v>0</v>
      </c>
      <c r="AB979" s="411">
        <f t="shared" ref="AB979" si="719">AB978</f>
        <v>0</v>
      </c>
      <c r="AC979" s="411">
        <f t="shared" ref="AC979" si="720">AC978</f>
        <v>0</v>
      </c>
      <c r="AD979" s="411">
        <f t="shared" ref="AD979" si="721">AD978</f>
        <v>0</v>
      </c>
      <c r="AE979" s="411">
        <f t="shared" ref="AE979" si="722">AE978</f>
        <v>0</v>
      </c>
      <c r="AF979" s="411">
        <f t="shared" ref="AF979" si="723">AF978</f>
        <v>0</v>
      </c>
      <c r="AG979" s="411">
        <f t="shared" ref="AG979" si="724">AG978</f>
        <v>0</v>
      </c>
      <c r="AH979" s="411">
        <f t="shared" ref="AH979" si="725">AH978</f>
        <v>0</v>
      </c>
      <c r="AI979" s="411">
        <f t="shared" ref="AI979" si="726">AI978</f>
        <v>0</v>
      </c>
      <c r="AJ979" s="411">
        <f t="shared" ref="AJ979" si="727">AJ978</f>
        <v>0</v>
      </c>
      <c r="AK979" s="411">
        <f t="shared" ref="AK979" si="728">AK978</f>
        <v>0</v>
      </c>
      <c r="AL979" s="411">
        <f t="shared" ref="AL979" si="72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730">Z981</f>
        <v>0</v>
      </c>
      <c r="AA982" s="411">
        <f t="shared" ref="AA982" si="731">AA981</f>
        <v>0</v>
      </c>
      <c r="AB982" s="411">
        <f t="shared" ref="AB982" si="732">AB981</f>
        <v>0</v>
      </c>
      <c r="AC982" s="411">
        <f t="shared" ref="AC982" si="733">AC981</f>
        <v>0</v>
      </c>
      <c r="AD982" s="411">
        <f t="shared" ref="AD982" si="734">AD981</f>
        <v>0</v>
      </c>
      <c r="AE982" s="411">
        <f t="shared" ref="AE982" si="735">AE981</f>
        <v>0</v>
      </c>
      <c r="AF982" s="411">
        <f t="shared" ref="AF982" si="736">AF981</f>
        <v>0</v>
      </c>
      <c r="AG982" s="411">
        <f t="shared" ref="AG982" si="737">AG981</f>
        <v>0</v>
      </c>
      <c r="AH982" s="411">
        <f t="shared" ref="AH982" si="738">AH981</f>
        <v>0</v>
      </c>
      <c r="AI982" s="411">
        <f t="shared" ref="AI982" si="739">AI981</f>
        <v>0</v>
      </c>
      <c r="AJ982" s="411">
        <f t="shared" ref="AJ982" si="740">AJ981</f>
        <v>0</v>
      </c>
      <c r="AK982" s="411">
        <f t="shared" ref="AK982" si="741">AK981</f>
        <v>0</v>
      </c>
      <c r="AL982" s="411">
        <f t="shared" ref="AL982" si="74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743">Z985</f>
        <v>0</v>
      </c>
      <c r="AA986" s="411">
        <f t="shared" ref="AA986" si="744">AA985</f>
        <v>0</v>
      </c>
      <c r="AB986" s="411">
        <f t="shared" ref="AB986" si="745">AB985</f>
        <v>0</v>
      </c>
      <c r="AC986" s="411">
        <f t="shared" ref="AC986" si="746">AC985</f>
        <v>0</v>
      </c>
      <c r="AD986" s="411">
        <f t="shared" ref="AD986" si="747">AD985</f>
        <v>0</v>
      </c>
      <c r="AE986" s="411">
        <f t="shared" ref="AE986" si="748">AE985</f>
        <v>0</v>
      </c>
      <c r="AF986" s="411">
        <f t="shared" ref="AF986" si="749">AF985</f>
        <v>0</v>
      </c>
      <c r="AG986" s="411">
        <f t="shared" ref="AG986" si="750">AG985</f>
        <v>0</v>
      </c>
      <c r="AH986" s="411">
        <f t="shared" ref="AH986" si="751">AH985</f>
        <v>0</v>
      </c>
      <c r="AI986" s="411">
        <f t="shared" ref="AI986" si="752">AI985</f>
        <v>0</v>
      </c>
      <c r="AJ986" s="411">
        <f t="shared" ref="AJ986" si="753">AJ985</f>
        <v>0</v>
      </c>
      <c r="AK986" s="411">
        <f t="shared" ref="AK986" si="754">AK985</f>
        <v>0</v>
      </c>
      <c r="AL986" s="411">
        <f t="shared" ref="AL986" si="755">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756">Z988</f>
        <v>0</v>
      </c>
      <c r="AA989" s="411">
        <f t="shared" ref="AA989" si="757">AA988</f>
        <v>0</v>
      </c>
      <c r="AB989" s="411">
        <f t="shared" ref="AB989" si="758">AB988</f>
        <v>0</v>
      </c>
      <c r="AC989" s="411">
        <f t="shared" ref="AC989" si="759">AC988</f>
        <v>0</v>
      </c>
      <c r="AD989" s="411">
        <f t="shared" ref="AD989" si="760">AD988</f>
        <v>0</v>
      </c>
      <c r="AE989" s="411">
        <f t="shared" ref="AE989" si="761">AE988</f>
        <v>0</v>
      </c>
      <c r="AF989" s="411">
        <f t="shared" ref="AF989" si="762">AF988</f>
        <v>0</v>
      </c>
      <c r="AG989" s="411">
        <f t="shared" ref="AG989" si="763">AG988</f>
        <v>0</v>
      </c>
      <c r="AH989" s="411">
        <f t="shared" ref="AH989" si="764">AH988</f>
        <v>0</v>
      </c>
      <c r="AI989" s="411">
        <f t="shared" ref="AI989" si="765">AI988</f>
        <v>0</v>
      </c>
      <c r="AJ989" s="411">
        <f t="shared" ref="AJ989" si="766">AJ988</f>
        <v>0</v>
      </c>
      <c r="AK989" s="411">
        <f t="shared" ref="AK989" si="767">AK988</f>
        <v>0</v>
      </c>
      <c r="AL989" s="411">
        <f t="shared" ref="AL989" si="76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769">Z991</f>
        <v>0</v>
      </c>
      <c r="AA992" s="411">
        <f t="shared" ref="AA992" si="770">AA991</f>
        <v>0</v>
      </c>
      <c r="AB992" s="411">
        <f t="shared" ref="AB992" si="771">AB991</f>
        <v>0</v>
      </c>
      <c r="AC992" s="411">
        <f t="shared" ref="AC992" si="772">AC991</f>
        <v>0</v>
      </c>
      <c r="AD992" s="411">
        <f t="shared" ref="AD992" si="773">AD991</f>
        <v>0</v>
      </c>
      <c r="AE992" s="411">
        <f t="shared" ref="AE992" si="774">AE991</f>
        <v>0</v>
      </c>
      <c r="AF992" s="411">
        <f t="shared" ref="AF992" si="775">AF991</f>
        <v>0</v>
      </c>
      <c r="AG992" s="411">
        <f t="shared" ref="AG992" si="776">AG991</f>
        <v>0</v>
      </c>
      <c r="AH992" s="411">
        <f t="shared" ref="AH992" si="777">AH991</f>
        <v>0</v>
      </c>
      <c r="AI992" s="411">
        <f t="shared" ref="AI992" si="778">AI991</f>
        <v>0</v>
      </c>
      <c r="AJ992" s="411">
        <f t="shared" ref="AJ992" si="779">AJ991</f>
        <v>0</v>
      </c>
      <c r="AK992" s="411">
        <f t="shared" ref="AK992" si="780">AK991</f>
        <v>0</v>
      </c>
      <c r="AL992" s="411">
        <f t="shared" ref="AL992" si="781">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782">Z995</f>
        <v>0</v>
      </c>
      <c r="AA996" s="411">
        <f t="shared" ref="AA996" si="783">AA995</f>
        <v>0</v>
      </c>
      <c r="AB996" s="411">
        <f t="shared" ref="AB996" si="784">AB995</f>
        <v>0</v>
      </c>
      <c r="AC996" s="411">
        <f t="shared" ref="AC996" si="785">AC995</f>
        <v>0</v>
      </c>
      <c r="AD996" s="411">
        <f t="shared" ref="AD996" si="786">AD995</f>
        <v>0</v>
      </c>
      <c r="AE996" s="411">
        <f t="shared" ref="AE996" si="787">AE995</f>
        <v>0</v>
      </c>
      <c r="AF996" s="411">
        <f t="shared" ref="AF996" si="788">AF995</f>
        <v>0</v>
      </c>
      <c r="AG996" s="411">
        <f t="shared" ref="AG996" si="789">AG995</f>
        <v>0</v>
      </c>
      <c r="AH996" s="411">
        <f t="shared" ref="AH996" si="790">AH995</f>
        <v>0</v>
      </c>
      <c r="AI996" s="411">
        <f t="shared" ref="AI996" si="791">AI995</f>
        <v>0</v>
      </c>
      <c r="AJ996" s="411">
        <f t="shared" ref="AJ996" si="792">AJ995</f>
        <v>0</v>
      </c>
      <c r="AK996" s="411">
        <f t="shared" ref="AK996" si="793">AK995</f>
        <v>0</v>
      </c>
      <c r="AL996" s="411">
        <f t="shared" ref="AL996" si="794">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795">AA999</f>
        <v>0</v>
      </c>
      <c r="AB1000" s="411">
        <f t="shared" si="795"/>
        <v>0</v>
      </c>
      <c r="AC1000" s="411">
        <f t="shared" si="795"/>
        <v>0</v>
      </c>
      <c r="AD1000" s="411">
        <f>AD999</f>
        <v>0</v>
      </c>
      <c r="AE1000" s="411">
        <f t="shared" si="795"/>
        <v>0</v>
      </c>
      <c r="AF1000" s="411">
        <f t="shared" si="795"/>
        <v>0</v>
      </c>
      <c r="AG1000" s="411">
        <f t="shared" si="795"/>
        <v>0</v>
      </c>
      <c r="AH1000" s="411">
        <f t="shared" si="795"/>
        <v>0</v>
      </c>
      <c r="AI1000" s="411">
        <f t="shared" si="795"/>
        <v>0</v>
      </c>
      <c r="AJ1000" s="411">
        <f t="shared" si="795"/>
        <v>0</v>
      </c>
      <c r="AK1000" s="411">
        <f t="shared" si="795"/>
        <v>0</v>
      </c>
      <c r="AL1000" s="411">
        <f t="shared" si="795"/>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796">Z1002</f>
        <v>0</v>
      </c>
      <c r="AA1003" s="411">
        <f t="shared" si="796"/>
        <v>0</v>
      </c>
      <c r="AB1003" s="411">
        <f t="shared" si="796"/>
        <v>0</v>
      </c>
      <c r="AC1003" s="411">
        <f t="shared" si="796"/>
        <v>0</v>
      </c>
      <c r="AD1003" s="411">
        <f t="shared" si="796"/>
        <v>0</v>
      </c>
      <c r="AE1003" s="411">
        <f t="shared" si="796"/>
        <v>0</v>
      </c>
      <c r="AF1003" s="411">
        <f t="shared" si="796"/>
        <v>0</v>
      </c>
      <c r="AG1003" s="411">
        <f t="shared" si="796"/>
        <v>0</v>
      </c>
      <c r="AH1003" s="411">
        <f t="shared" si="796"/>
        <v>0</v>
      </c>
      <c r="AI1003" s="411">
        <f t="shared" si="796"/>
        <v>0</v>
      </c>
      <c r="AJ1003" s="411">
        <f t="shared" si="796"/>
        <v>0</v>
      </c>
      <c r="AK1003" s="411">
        <f t="shared" si="796"/>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797">Z1006</f>
        <v>0</v>
      </c>
      <c r="AA1007" s="411">
        <f t="shared" si="797"/>
        <v>0</v>
      </c>
      <c r="AB1007" s="411">
        <f t="shared" si="797"/>
        <v>0</v>
      </c>
      <c r="AC1007" s="411">
        <f t="shared" si="797"/>
        <v>0</v>
      </c>
      <c r="AD1007" s="411">
        <f t="shared" si="797"/>
        <v>0</v>
      </c>
      <c r="AE1007" s="411">
        <f t="shared" si="797"/>
        <v>0</v>
      </c>
      <c r="AF1007" s="411">
        <f t="shared" si="797"/>
        <v>0</v>
      </c>
      <c r="AG1007" s="411">
        <f t="shared" si="797"/>
        <v>0</v>
      </c>
      <c r="AH1007" s="411">
        <f t="shared" si="797"/>
        <v>0</v>
      </c>
      <c r="AI1007" s="411">
        <f t="shared" si="797"/>
        <v>0</v>
      </c>
      <c r="AJ1007" s="411">
        <f t="shared" si="797"/>
        <v>0</v>
      </c>
      <c r="AK1007" s="411">
        <f t="shared" si="797"/>
        <v>0</v>
      </c>
      <c r="AL1007" s="411">
        <f t="shared" si="797"/>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798">Z1009</f>
        <v>0</v>
      </c>
      <c r="AA1010" s="411">
        <f t="shared" si="798"/>
        <v>0</v>
      </c>
      <c r="AB1010" s="411">
        <f t="shared" si="798"/>
        <v>0</v>
      </c>
      <c r="AC1010" s="411">
        <f t="shared" si="798"/>
        <v>0</v>
      </c>
      <c r="AD1010" s="411">
        <f t="shared" si="798"/>
        <v>0</v>
      </c>
      <c r="AE1010" s="411">
        <f t="shared" si="798"/>
        <v>0</v>
      </c>
      <c r="AF1010" s="411">
        <f t="shared" si="798"/>
        <v>0</v>
      </c>
      <c r="AG1010" s="411">
        <f t="shared" si="798"/>
        <v>0</v>
      </c>
      <c r="AH1010" s="411">
        <f t="shared" si="798"/>
        <v>0</v>
      </c>
      <c r="AI1010" s="411">
        <f t="shared" si="798"/>
        <v>0</v>
      </c>
      <c r="AJ1010" s="411">
        <f t="shared" si="798"/>
        <v>0</v>
      </c>
      <c r="AK1010" s="411">
        <f t="shared" si="798"/>
        <v>0</v>
      </c>
      <c r="AL1010" s="411">
        <f t="shared" si="798"/>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799">Z1012</f>
        <v>0</v>
      </c>
      <c r="AA1013" s="411">
        <f t="shared" si="799"/>
        <v>0</v>
      </c>
      <c r="AB1013" s="411">
        <f t="shared" si="799"/>
        <v>0</v>
      </c>
      <c r="AC1013" s="411">
        <f t="shared" si="799"/>
        <v>0</v>
      </c>
      <c r="AD1013" s="411">
        <f t="shared" si="799"/>
        <v>0</v>
      </c>
      <c r="AE1013" s="411">
        <f t="shared" si="799"/>
        <v>0</v>
      </c>
      <c r="AF1013" s="411">
        <f t="shared" si="799"/>
        <v>0</v>
      </c>
      <c r="AG1013" s="411">
        <f t="shared" si="799"/>
        <v>0</v>
      </c>
      <c r="AH1013" s="411">
        <f t="shared" si="799"/>
        <v>0</v>
      </c>
      <c r="AI1013" s="411">
        <f t="shared" si="799"/>
        <v>0</v>
      </c>
      <c r="AJ1013" s="411">
        <f t="shared" si="799"/>
        <v>0</v>
      </c>
      <c r="AK1013" s="411">
        <f t="shared" si="799"/>
        <v>0</v>
      </c>
      <c r="AL1013" s="411">
        <f t="shared" si="799"/>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800">Y1015</f>
        <v>0</v>
      </c>
      <c r="Z1016" s="411">
        <f t="shared" si="800"/>
        <v>0</v>
      </c>
      <c r="AA1016" s="411">
        <f t="shared" si="800"/>
        <v>0</v>
      </c>
      <c r="AB1016" s="411">
        <f t="shared" si="800"/>
        <v>0</v>
      </c>
      <c r="AC1016" s="411">
        <f t="shared" si="800"/>
        <v>0</v>
      </c>
      <c r="AD1016" s="411">
        <f t="shared" si="800"/>
        <v>0</v>
      </c>
      <c r="AE1016" s="411">
        <f t="shared" si="800"/>
        <v>0</v>
      </c>
      <c r="AF1016" s="411">
        <f t="shared" si="800"/>
        <v>0</v>
      </c>
      <c r="AG1016" s="411">
        <f t="shared" si="800"/>
        <v>0</v>
      </c>
      <c r="AH1016" s="411">
        <f t="shared" si="800"/>
        <v>0</v>
      </c>
      <c r="AI1016" s="411">
        <f t="shared" si="800"/>
        <v>0</v>
      </c>
      <c r="AJ1016" s="411">
        <f t="shared" si="800"/>
        <v>0</v>
      </c>
      <c r="AK1016" s="411">
        <f t="shared" si="800"/>
        <v>0</v>
      </c>
      <c r="AL1016" s="411">
        <f t="shared" si="800"/>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801">Z1020</f>
        <v>0</v>
      </c>
      <c r="AA1021" s="411">
        <f t="shared" ref="AA1021" si="802">AA1020</f>
        <v>0</v>
      </c>
      <c r="AB1021" s="411">
        <f t="shared" ref="AB1021" si="803">AB1020</f>
        <v>0</v>
      </c>
      <c r="AC1021" s="411">
        <f t="shared" ref="AC1021" si="804">AC1020</f>
        <v>0</v>
      </c>
      <c r="AD1021" s="411">
        <f t="shared" ref="AD1021" si="805">AD1020</f>
        <v>0</v>
      </c>
      <c r="AE1021" s="411">
        <f t="shared" ref="AE1021" si="806">AE1020</f>
        <v>0</v>
      </c>
      <c r="AF1021" s="411">
        <f t="shared" ref="AF1021" si="807">AF1020</f>
        <v>0</v>
      </c>
      <c r="AG1021" s="411">
        <f t="shared" ref="AG1021" si="808">AG1020</f>
        <v>0</v>
      </c>
      <c r="AH1021" s="411">
        <f t="shared" ref="AH1021" si="809">AH1020</f>
        <v>0</v>
      </c>
      <c r="AI1021" s="411">
        <f t="shared" ref="AI1021" si="810">AI1020</f>
        <v>0</v>
      </c>
      <c r="AJ1021" s="411">
        <f t="shared" ref="AJ1021" si="811">AJ1020</f>
        <v>0</v>
      </c>
      <c r="AK1021" s="411">
        <f t="shared" ref="AK1021" si="812">AK1020</f>
        <v>0</v>
      </c>
      <c r="AL1021" s="411">
        <f t="shared" ref="AL1021" si="813">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814">Z1023</f>
        <v>0</v>
      </c>
      <c r="AA1024" s="411">
        <f t="shared" ref="AA1024" si="815">AA1023</f>
        <v>0</v>
      </c>
      <c r="AB1024" s="411">
        <f t="shared" ref="AB1024" si="816">AB1023</f>
        <v>0</v>
      </c>
      <c r="AC1024" s="411">
        <f t="shared" ref="AC1024" si="817">AC1023</f>
        <v>0</v>
      </c>
      <c r="AD1024" s="411">
        <f t="shared" ref="AD1024" si="818">AD1023</f>
        <v>0</v>
      </c>
      <c r="AE1024" s="411">
        <f t="shared" ref="AE1024" si="819">AE1023</f>
        <v>0</v>
      </c>
      <c r="AF1024" s="411">
        <f t="shared" ref="AF1024" si="820">AF1023</f>
        <v>0</v>
      </c>
      <c r="AG1024" s="411">
        <f t="shared" ref="AG1024" si="821">AG1023</f>
        <v>0</v>
      </c>
      <c r="AH1024" s="411">
        <f t="shared" ref="AH1024" si="822">AH1023</f>
        <v>0</v>
      </c>
      <c r="AI1024" s="411">
        <f t="shared" ref="AI1024" si="823">AI1023</f>
        <v>0</v>
      </c>
      <c r="AJ1024" s="411">
        <f t="shared" ref="AJ1024" si="824">AJ1023</f>
        <v>0</v>
      </c>
      <c r="AK1024" s="411">
        <f t="shared" ref="AK1024" si="825">AK1023</f>
        <v>0</v>
      </c>
      <c r="AL1024" s="411">
        <f t="shared" ref="AL1024" si="82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827">Z1026</f>
        <v>0</v>
      </c>
      <c r="AA1027" s="411">
        <f t="shared" ref="AA1027" si="828">AA1026</f>
        <v>0</v>
      </c>
      <c r="AB1027" s="411">
        <f t="shared" ref="AB1027" si="829">AB1026</f>
        <v>0</v>
      </c>
      <c r="AC1027" s="411">
        <f t="shared" ref="AC1027" si="830">AC1026</f>
        <v>0</v>
      </c>
      <c r="AD1027" s="411">
        <f t="shared" ref="AD1027" si="831">AD1026</f>
        <v>0</v>
      </c>
      <c r="AE1027" s="411">
        <f t="shared" ref="AE1027" si="832">AE1026</f>
        <v>0</v>
      </c>
      <c r="AF1027" s="411">
        <f t="shared" ref="AF1027" si="833">AF1026</f>
        <v>0</v>
      </c>
      <c r="AG1027" s="411">
        <f t="shared" ref="AG1027" si="834">AG1026</f>
        <v>0</v>
      </c>
      <c r="AH1027" s="411">
        <f t="shared" ref="AH1027" si="835">AH1026</f>
        <v>0</v>
      </c>
      <c r="AI1027" s="411">
        <f t="shared" ref="AI1027" si="836">AI1026</f>
        <v>0</v>
      </c>
      <c r="AJ1027" s="411">
        <f t="shared" ref="AJ1027" si="837">AJ1026</f>
        <v>0</v>
      </c>
      <c r="AK1027" s="411">
        <f t="shared" ref="AK1027" si="838">AK1026</f>
        <v>0</v>
      </c>
      <c r="AL1027" s="411">
        <f t="shared" ref="AL1027" si="839">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840">Z1029</f>
        <v>0</v>
      </c>
      <c r="AA1030" s="411">
        <f t="shared" ref="AA1030" si="841">AA1029</f>
        <v>0</v>
      </c>
      <c r="AB1030" s="411">
        <f t="shared" ref="AB1030" si="842">AB1029</f>
        <v>0</v>
      </c>
      <c r="AC1030" s="411">
        <f t="shared" ref="AC1030" si="843">AC1029</f>
        <v>0</v>
      </c>
      <c r="AD1030" s="411">
        <f t="shared" ref="AD1030" si="844">AD1029</f>
        <v>0</v>
      </c>
      <c r="AE1030" s="411">
        <f t="shared" ref="AE1030" si="845">AE1029</f>
        <v>0</v>
      </c>
      <c r="AF1030" s="411">
        <f t="shared" ref="AF1030" si="846">AF1029</f>
        <v>0</v>
      </c>
      <c r="AG1030" s="411">
        <f t="shared" ref="AG1030" si="847">AG1029</f>
        <v>0</v>
      </c>
      <c r="AH1030" s="411">
        <f t="shared" ref="AH1030" si="848">AH1029</f>
        <v>0</v>
      </c>
      <c r="AI1030" s="411">
        <f t="shared" ref="AI1030" si="849">AI1029</f>
        <v>0</v>
      </c>
      <c r="AJ1030" s="411">
        <f t="shared" ref="AJ1030" si="850">AJ1029</f>
        <v>0</v>
      </c>
      <c r="AK1030" s="411">
        <f t="shared" ref="AK1030" si="851">AK1029</f>
        <v>0</v>
      </c>
      <c r="AL1030" s="411">
        <f t="shared" ref="AL1030" si="85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853">Z1033</f>
        <v>0</v>
      </c>
      <c r="AA1034" s="411">
        <f t="shared" ref="AA1034" si="854">AA1033</f>
        <v>0</v>
      </c>
      <c r="AB1034" s="411">
        <f t="shared" ref="AB1034" si="855">AB1033</f>
        <v>0</v>
      </c>
      <c r="AC1034" s="411">
        <f t="shared" ref="AC1034" si="856">AC1033</f>
        <v>0</v>
      </c>
      <c r="AD1034" s="411">
        <f t="shared" ref="AD1034" si="857">AD1033</f>
        <v>0</v>
      </c>
      <c r="AE1034" s="411">
        <f t="shared" ref="AE1034" si="858">AE1033</f>
        <v>0</v>
      </c>
      <c r="AF1034" s="411">
        <f t="shared" ref="AF1034" si="859">AF1033</f>
        <v>0</v>
      </c>
      <c r="AG1034" s="411">
        <f t="shared" ref="AG1034" si="860">AG1033</f>
        <v>0</v>
      </c>
      <c r="AH1034" s="411">
        <f t="shared" ref="AH1034" si="861">AH1033</f>
        <v>0</v>
      </c>
      <c r="AI1034" s="411">
        <f t="shared" ref="AI1034" si="862">AI1033</f>
        <v>0</v>
      </c>
      <c r="AJ1034" s="411">
        <f t="shared" ref="AJ1034" si="863">AJ1033</f>
        <v>0</v>
      </c>
      <c r="AK1034" s="411">
        <f t="shared" ref="AK1034" si="864">AK1033</f>
        <v>0</v>
      </c>
      <c r="AL1034" s="411">
        <f t="shared" ref="AL1034" si="865">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866">Z1036</f>
        <v>0</v>
      </c>
      <c r="AA1037" s="411">
        <f t="shared" ref="AA1037" si="867">AA1036</f>
        <v>0</v>
      </c>
      <c r="AB1037" s="411">
        <f t="shared" ref="AB1037" si="868">AB1036</f>
        <v>0</v>
      </c>
      <c r="AC1037" s="411">
        <f t="shared" ref="AC1037" si="869">AC1036</f>
        <v>0</v>
      </c>
      <c r="AD1037" s="411">
        <f t="shared" ref="AD1037" si="870">AD1036</f>
        <v>0</v>
      </c>
      <c r="AE1037" s="411">
        <f t="shared" ref="AE1037" si="871">AE1036</f>
        <v>0</v>
      </c>
      <c r="AF1037" s="411">
        <f t="shared" ref="AF1037" si="872">AF1036</f>
        <v>0</v>
      </c>
      <c r="AG1037" s="411">
        <f t="shared" ref="AG1037" si="873">AG1036</f>
        <v>0</v>
      </c>
      <c r="AH1037" s="411">
        <f t="shared" ref="AH1037" si="874">AH1036</f>
        <v>0</v>
      </c>
      <c r="AI1037" s="411">
        <f t="shared" ref="AI1037" si="875">AI1036</f>
        <v>0</v>
      </c>
      <c r="AJ1037" s="411">
        <f t="shared" ref="AJ1037" si="876">AJ1036</f>
        <v>0</v>
      </c>
      <c r="AK1037" s="411">
        <f t="shared" ref="AK1037" si="877">AK1036</f>
        <v>0</v>
      </c>
      <c r="AL1037" s="411">
        <f t="shared" ref="AL1037" si="87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879">Z1039</f>
        <v>0</v>
      </c>
      <c r="AA1040" s="411">
        <f t="shared" ref="AA1040" si="880">AA1039</f>
        <v>0</v>
      </c>
      <c r="AB1040" s="411">
        <f t="shared" ref="AB1040" si="881">AB1039</f>
        <v>0</v>
      </c>
      <c r="AC1040" s="411">
        <f t="shared" ref="AC1040" si="882">AC1039</f>
        <v>0</v>
      </c>
      <c r="AD1040" s="411">
        <f t="shared" ref="AD1040" si="883">AD1039</f>
        <v>0</v>
      </c>
      <c r="AE1040" s="411">
        <f t="shared" ref="AE1040" si="884">AE1039</f>
        <v>0</v>
      </c>
      <c r="AF1040" s="411">
        <f t="shared" ref="AF1040" si="885">AF1039</f>
        <v>0</v>
      </c>
      <c r="AG1040" s="411">
        <f t="shared" ref="AG1040" si="886">AG1039</f>
        <v>0</v>
      </c>
      <c r="AH1040" s="411">
        <f t="shared" ref="AH1040" si="887">AH1039</f>
        <v>0</v>
      </c>
      <c r="AI1040" s="411">
        <f t="shared" ref="AI1040" si="888">AI1039</f>
        <v>0</v>
      </c>
      <c r="AJ1040" s="411">
        <f t="shared" ref="AJ1040" si="889">AJ1039</f>
        <v>0</v>
      </c>
      <c r="AK1040" s="411">
        <f t="shared" ref="AK1040" si="890">AK1039</f>
        <v>0</v>
      </c>
      <c r="AL1040" s="411">
        <f t="shared" ref="AL1040" si="89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892">AA1042</f>
        <v>0</v>
      </c>
      <c r="AB1043" s="411">
        <f t="shared" ref="AB1043" si="893">AB1042</f>
        <v>0</v>
      </c>
      <c r="AC1043" s="411">
        <f t="shared" ref="AC1043" si="894">AC1042</f>
        <v>0</v>
      </c>
      <c r="AD1043" s="411">
        <f t="shared" ref="AD1043" si="895">AD1042</f>
        <v>0</v>
      </c>
      <c r="AE1043" s="411">
        <f>AE1042</f>
        <v>0</v>
      </c>
      <c r="AF1043" s="411">
        <f t="shared" ref="AF1043" si="896">AF1042</f>
        <v>0</v>
      </c>
      <c r="AG1043" s="411">
        <f t="shared" ref="AG1043" si="897">AG1042</f>
        <v>0</v>
      </c>
      <c r="AH1043" s="411">
        <f t="shared" ref="AH1043" si="898">AH1042</f>
        <v>0</v>
      </c>
      <c r="AI1043" s="411">
        <f t="shared" ref="AI1043" si="899">AI1042</f>
        <v>0</v>
      </c>
      <c r="AJ1043" s="411">
        <f t="shared" ref="AJ1043" si="900">AJ1042</f>
        <v>0</v>
      </c>
      <c r="AK1043" s="411">
        <f t="shared" ref="AK1043" si="901">AK1042</f>
        <v>0</v>
      </c>
      <c r="AL1043" s="411">
        <f t="shared" ref="AL1043" si="902">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903">Z1045</f>
        <v>0</v>
      </c>
      <c r="AA1046" s="411">
        <f t="shared" ref="AA1046" si="904">AA1045</f>
        <v>0</v>
      </c>
      <c r="AB1046" s="411">
        <f t="shared" ref="AB1046" si="905">AB1045</f>
        <v>0</v>
      </c>
      <c r="AC1046" s="411">
        <f t="shared" ref="AC1046" si="906">AC1045</f>
        <v>0</v>
      </c>
      <c r="AD1046" s="411">
        <f t="shared" ref="AD1046" si="907">AD1045</f>
        <v>0</v>
      </c>
      <c r="AE1046" s="411">
        <f t="shared" ref="AE1046" si="908">AE1045</f>
        <v>0</v>
      </c>
      <c r="AF1046" s="411">
        <f t="shared" ref="AF1046" si="909">AF1045</f>
        <v>0</v>
      </c>
      <c r="AG1046" s="411">
        <f t="shared" ref="AG1046" si="910">AG1045</f>
        <v>0</v>
      </c>
      <c r="AH1046" s="411">
        <f t="shared" ref="AH1046" si="911">AH1045</f>
        <v>0</v>
      </c>
      <c r="AI1046" s="411">
        <f t="shared" ref="AI1046" si="912">AI1045</f>
        <v>0</v>
      </c>
      <c r="AJ1046" s="411">
        <f t="shared" ref="AJ1046" si="913">AJ1045</f>
        <v>0</v>
      </c>
      <c r="AK1046" s="411">
        <f t="shared" ref="AK1046" si="914">AK1045</f>
        <v>0</v>
      </c>
      <c r="AL1046" s="411">
        <f t="shared" ref="AL1046" si="91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916">Z1048</f>
        <v>0</v>
      </c>
      <c r="AA1049" s="411">
        <f t="shared" ref="AA1049" si="917">AA1048</f>
        <v>0</v>
      </c>
      <c r="AB1049" s="411">
        <f t="shared" ref="AB1049" si="918">AB1048</f>
        <v>0</v>
      </c>
      <c r="AC1049" s="411">
        <f t="shared" ref="AC1049" si="919">AC1048</f>
        <v>0</v>
      </c>
      <c r="AD1049" s="411">
        <f t="shared" ref="AD1049" si="920">AD1048</f>
        <v>0</v>
      </c>
      <c r="AE1049" s="411">
        <f t="shared" ref="AE1049" si="921">AE1048</f>
        <v>0</v>
      </c>
      <c r="AF1049" s="411">
        <f t="shared" ref="AF1049" si="922">AF1048</f>
        <v>0</v>
      </c>
      <c r="AG1049" s="411">
        <f t="shared" ref="AG1049" si="923">AG1048</f>
        <v>0</v>
      </c>
      <c r="AH1049" s="411">
        <f t="shared" ref="AH1049" si="924">AH1048</f>
        <v>0</v>
      </c>
      <c r="AI1049" s="411">
        <f t="shared" ref="AI1049" si="925">AI1048</f>
        <v>0</v>
      </c>
      <c r="AJ1049" s="411">
        <f t="shared" ref="AJ1049" si="926">AJ1048</f>
        <v>0</v>
      </c>
      <c r="AK1049" s="411">
        <f t="shared" ref="AK1049" si="927">AK1048</f>
        <v>0</v>
      </c>
      <c r="AL1049" s="411">
        <f t="shared" ref="AL1049" si="92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929">Z1051</f>
        <v>0</v>
      </c>
      <c r="AA1052" s="411">
        <f t="shared" ref="AA1052" si="930">AA1051</f>
        <v>0</v>
      </c>
      <c r="AB1052" s="411">
        <f t="shared" ref="AB1052" si="931">AB1051</f>
        <v>0</v>
      </c>
      <c r="AC1052" s="411">
        <f t="shared" ref="AC1052" si="932">AC1051</f>
        <v>0</v>
      </c>
      <c r="AD1052" s="411">
        <f t="shared" ref="AD1052" si="933">AD1051</f>
        <v>0</v>
      </c>
      <c r="AE1052" s="411">
        <f t="shared" ref="AE1052" si="934">AE1051</f>
        <v>0</v>
      </c>
      <c r="AF1052" s="411">
        <f t="shared" ref="AF1052" si="935">AF1051</f>
        <v>0</v>
      </c>
      <c r="AG1052" s="411">
        <f t="shared" ref="AG1052" si="936">AG1051</f>
        <v>0</v>
      </c>
      <c r="AH1052" s="411">
        <f t="shared" ref="AH1052" si="937">AH1051</f>
        <v>0</v>
      </c>
      <c r="AI1052" s="411">
        <f t="shared" ref="AI1052" si="938">AI1051</f>
        <v>0</v>
      </c>
      <c r="AJ1052" s="411">
        <f t="shared" ref="AJ1052" si="939">AJ1051</f>
        <v>0</v>
      </c>
      <c r="AK1052" s="411">
        <f t="shared" ref="AK1052" si="940">AK1051</f>
        <v>0</v>
      </c>
      <c r="AL1052" s="411">
        <f t="shared" ref="AL1052" si="94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942">Z1054</f>
        <v>0</v>
      </c>
      <c r="AA1055" s="411">
        <f t="shared" ref="AA1055" si="943">AA1054</f>
        <v>0</v>
      </c>
      <c r="AB1055" s="411">
        <f t="shared" ref="AB1055" si="944">AB1054</f>
        <v>0</v>
      </c>
      <c r="AC1055" s="411">
        <f t="shared" ref="AC1055" si="945">AC1054</f>
        <v>0</v>
      </c>
      <c r="AD1055" s="411">
        <f t="shared" ref="AD1055" si="946">AD1054</f>
        <v>0</v>
      </c>
      <c r="AE1055" s="411">
        <f t="shared" ref="AE1055" si="947">AE1054</f>
        <v>0</v>
      </c>
      <c r="AF1055" s="411">
        <f t="shared" ref="AF1055" si="948">AF1054</f>
        <v>0</v>
      </c>
      <c r="AG1055" s="411">
        <f t="shared" ref="AG1055" si="949">AG1054</f>
        <v>0</v>
      </c>
      <c r="AH1055" s="411">
        <f t="shared" ref="AH1055" si="950">AH1054</f>
        <v>0</v>
      </c>
      <c r="AI1055" s="411">
        <f t="shared" ref="AI1055" si="951">AI1054</f>
        <v>0</v>
      </c>
      <c r="AJ1055" s="411">
        <f t="shared" ref="AJ1055" si="952">AJ1054</f>
        <v>0</v>
      </c>
      <c r="AK1055" s="411">
        <f t="shared" ref="AK1055" si="953">AK1054</f>
        <v>0</v>
      </c>
      <c r="AL1055" s="411">
        <f t="shared" ref="AL1055" si="95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955">Z1058</f>
        <v>0</v>
      </c>
      <c r="AA1059" s="411">
        <f t="shared" ref="AA1059" si="956">AA1058</f>
        <v>0</v>
      </c>
      <c r="AB1059" s="411">
        <f t="shared" ref="AB1059" si="957">AB1058</f>
        <v>0</v>
      </c>
      <c r="AC1059" s="411">
        <f t="shared" ref="AC1059" si="958">AC1058</f>
        <v>0</v>
      </c>
      <c r="AD1059" s="411">
        <f t="shared" ref="AD1059" si="959">AD1058</f>
        <v>0</v>
      </c>
      <c r="AE1059" s="411">
        <f t="shared" ref="AE1059" si="960">AE1058</f>
        <v>0</v>
      </c>
      <c r="AF1059" s="411">
        <f t="shared" ref="AF1059" si="961">AF1058</f>
        <v>0</v>
      </c>
      <c r="AG1059" s="411">
        <f t="shared" ref="AG1059" si="962">AG1058</f>
        <v>0</v>
      </c>
      <c r="AH1059" s="411">
        <f t="shared" ref="AH1059" si="963">AH1058</f>
        <v>0</v>
      </c>
      <c r="AI1059" s="411">
        <f t="shared" ref="AI1059" si="964">AI1058</f>
        <v>0</v>
      </c>
      <c r="AJ1059" s="411">
        <f t="shared" ref="AJ1059" si="965">AJ1058</f>
        <v>0</v>
      </c>
      <c r="AK1059" s="411">
        <f t="shared" ref="AK1059" si="966">AK1058</f>
        <v>0</v>
      </c>
      <c r="AL1059" s="411">
        <f t="shared" ref="AL1059" si="967">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968">Z1061</f>
        <v>0</v>
      </c>
      <c r="AA1062" s="411">
        <f t="shared" ref="AA1062" si="969">AA1061</f>
        <v>0</v>
      </c>
      <c r="AB1062" s="411">
        <f t="shared" ref="AB1062" si="970">AB1061</f>
        <v>0</v>
      </c>
      <c r="AC1062" s="411">
        <f t="shared" ref="AC1062" si="971">AC1061</f>
        <v>0</v>
      </c>
      <c r="AD1062" s="411">
        <f t="shared" ref="AD1062" si="972">AD1061</f>
        <v>0</v>
      </c>
      <c r="AE1062" s="411">
        <f t="shared" ref="AE1062" si="973">AE1061</f>
        <v>0</v>
      </c>
      <c r="AF1062" s="411">
        <f t="shared" ref="AF1062" si="974">AF1061</f>
        <v>0</v>
      </c>
      <c r="AG1062" s="411">
        <f t="shared" ref="AG1062" si="975">AG1061</f>
        <v>0</v>
      </c>
      <c r="AH1062" s="411">
        <f t="shared" ref="AH1062" si="976">AH1061</f>
        <v>0</v>
      </c>
      <c r="AI1062" s="411">
        <f t="shared" ref="AI1062" si="977">AI1061</f>
        <v>0</v>
      </c>
      <c r="AJ1062" s="411">
        <f t="shared" ref="AJ1062" si="978">AJ1061</f>
        <v>0</v>
      </c>
      <c r="AK1062" s="411">
        <f t="shared" ref="AK1062" si="979">AK1061</f>
        <v>0</v>
      </c>
      <c r="AL1062" s="411">
        <f t="shared" ref="AL1062" si="98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981">Z1064</f>
        <v>0</v>
      </c>
      <c r="AA1065" s="411">
        <f t="shared" ref="AA1065" si="982">AA1064</f>
        <v>0</v>
      </c>
      <c r="AB1065" s="411">
        <f t="shared" ref="AB1065" si="983">AB1064</f>
        <v>0</v>
      </c>
      <c r="AC1065" s="411">
        <f t="shared" ref="AC1065" si="984">AC1064</f>
        <v>0</v>
      </c>
      <c r="AD1065" s="411">
        <f t="shared" ref="AD1065" si="985">AD1064</f>
        <v>0</v>
      </c>
      <c r="AE1065" s="411">
        <f t="shared" ref="AE1065" si="986">AE1064</f>
        <v>0</v>
      </c>
      <c r="AF1065" s="411">
        <f t="shared" ref="AF1065" si="987">AF1064</f>
        <v>0</v>
      </c>
      <c r="AG1065" s="411">
        <f t="shared" ref="AG1065" si="988">AG1064</f>
        <v>0</v>
      </c>
      <c r="AH1065" s="411">
        <f t="shared" ref="AH1065" si="989">AH1064</f>
        <v>0</v>
      </c>
      <c r="AI1065" s="411">
        <f t="shared" ref="AI1065" si="990">AI1064</f>
        <v>0</v>
      </c>
      <c r="AJ1065" s="411">
        <f t="shared" ref="AJ1065" si="991">AJ1064</f>
        <v>0</v>
      </c>
      <c r="AK1065" s="411">
        <f t="shared" ref="AK1065" si="992">AK1064</f>
        <v>0</v>
      </c>
      <c r="AL1065" s="411">
        <f t="shared" ref="AL1065" si="993">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994">Z1068</f>
        <v>0</v>
      </c>
      <c r="AA1069" s="411">
        <f t="shared" ref="AA1069" si="995">AA1068</f>
        <v>0</v>
      </c>
      <c r="AB1069" s="411">
        <f t="shared" ref="AB1069" si="996">AB1068</f>
        <v>0</v>
      </c>
      <c r="AC1069" s="411">
        <f t="shared" ref="AC1069" si="997">AC1068</f>
        <v>0</v>
      </c>
      <c r="AD1069" s="411">
        <f t="shared" ref="AD1069" si="998">AD1068</f>
        <v>0</v>
      </c>
      <c r="AE1069" s="411">
        <f t="shared" ref="AE1069" si="999">AE1068</f>
        <v>0</v>
      </c>
      <c r="AF1069" s="411">
        <f t="shared" ref="AF1069" si="1000">AF1068</f>
        <v>0</v>
      </c>
      <c r="AG1069" s="411">
        <f t="shared" ref="AG1069" si="1001">AG1068</f>
        <v>0</v>
      </c>
      <c r="AH1069" s="411">
        <f t="shared" ref="AH1069" si="1002">AH1068</f>
        <v>0</v>
      </c>
      <c r="AI1069" s="411">
        <f t="shared" ref="AI1069" si="1003">AI1068</f>
        <v>0</v>
      </c>
      <c r="AJ1069" s="411">
        <f t="shared" ref="AJ1069" si="1004">AJ1068</f>
        <v>0</v>
      </c>
      <c r="AK1069" s="411">
        <f t="shared" ref="AK1069" si="1005">AK1068</f>
        <v>0</v>
      </c>
      <c r="AL1069" s="411">
        <f t="shared" ref="AL1069" si="1006">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1007">Z1071</f>
        <v>0</v>
      </c>
      <c r="AA1072" s="411">
        <f t="shared" ref="AA1072" si="1008">AA1071</f>
        <v>0</v>
      </c>
      <c r="AB1072" s="411">
        <f t="shared" ref="AB1072" si="1009">AB1071</f>
        <v>0</v>
      </c>
      <c r="AC1072" s="411">
        <f t="shared" ref="AC1072" si="1010">AC1071</f>
        <v>0</v>
      </c>
      <c r="AD1072" s="411">
        <f t="shared" ref="AD1072" si="1011">AD1071</f>
        <v>0</v>
      </c>
      <c r="AE1072" s="411">
        <f t="shared" ref="AE1072" si="1012">AE1071</f>
        <v>0</v>
      </c>
      <c r="AF1072" s="411">
        <f t="shared" ref="AF1072" si="1013">AF1071</f>
        <v>0</v>
      </c>
      <c r="AG1072" s="411">
        <f t="shared" ref="AG1072" si="1014">AG1071</f>
        <v>0</v>
      </c>
      <c r="AH1072" s="411">
        <f t="shared" ref="AH1072" si="1015">AH1071</f>
        <v>0</v>
      </c>
      <c r="AI1072" s="411">
        <f t="shared" ref="AI1072" si="1016">AI1071</f>
        <v>0</v>
      </c>
      <c r="AJ1072" s="411">
        <f t="shared" ref="AJ1072" si="1017">AJ1071</f>
        <v>0</v>
      </c>
      <c r="AK1072" s="411">
        <f t="shared" ref="AK1072" si="1018">AK1071</f>
        <v>0</v>
      </c>
      <c r="AL1072" s="411">
        <f t="shared" ref="AL1072" si="101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1020">Z1074</f>
        <v>0</v>
      </c>
      <c r="AA1075" s="411">
        <f t="shared" ref="AA1075" si="1021">AA1074</f>
        <v>0</v>
      </c>
      <c r="AB1075" s="411">
        <f t="shared" ref="AB1075" si="1022">AB1074</f>
        <v>0</v>
      </c>
      <c r="AC1075" s="411">
        <f t="shared" ref="AC1075" si="1023">AC1074</f>
        <v>0</v>
      </c>
      <c r="AD1075" s="411">
        <f t="shared" ref="AD1075" si="1024">AD1074</f>
        <v>0</v>
      </c>
      <c r="AE1075" s="411">
        <f t="shared" ref="AE1075" si="1025">AE1074</f>
        <v>0</v>
      </c>
      <c r="AF1075" s="411">
        <f t="shared" ref="AF1075" si="1026">AF1074</f>
        <v>0</v>
      </c>
      <c r="AG1075" s="411">
        <f t="shared" ref="AG1075" si="1027">AG1074</f>
        <v>0</v>
      </c>
      <c r="AH1075" s="411">
        <f t="shared" ref="AH1075" si="1028">AH1074</f>
        <v>0</v>
      </c>
      <c r="AI1075" s="411">
        <f t="shared" ref="AI1075" si="1029">AI1074</f>
        <v>0</v>
      </c>
      <c r="AJ1075" s="411">
        <f t="shared" ref="AJ1075" si="1030">AJ1074</f>
        <v>0</v>
      </c>
      <c r="AK1075" s="411">
        <f t="shared" ref="AK1075" si="1031">AK1074</f>
        <v>0</v>
      </c>
      <c r="AL1075" s="411">
        <f t="shared" ref="AL1075" si="103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1033">Z1077</f>
        <v>0</v>
      </c>
      <c r="AA1078" s="411">
        <f t="shared" ref="AA1078" si="1034">AA1077</f>
        <v>0</v>
      </c>
      <c r="AB1078" s="411">
        <f t="shared" ref="AB1078" si="1035">AB1077</f>
        <v>0</v>
      </c>
      <c r="AC1078" s="411">
        <f t="shared" ref="AC1078" si="1036">AC1077</f>
        <v>0</v>
      </c>
      <c r="AD1078" s="411">
        <f t="shared" ref="AD1078" si="1037">AD1077</f>
        <v>0</v>
      </c>
      <c r="AE1078" s="411">
        <f t="shared" ref="AE1078" si="1038">AE1077</f>
        <v>0</v>
      </c>
      <c r="AF1078" s="411">
        <f t="shared" ref="AF1078" si="1039">AF1077</f>
        <v>0</v>
      </c>
      <c r="AG1078" s="411">
        <f t="shared" ref="AG1078" si="1040">AG1077</f>
        <v>0</v>
      </c>
      <c r="AH1078" s="411">
        <f t="shared" ref="AH1078" si="1041">AH1077</f>
        <v>0</v>
      </c>
      <c r="AI1078" s="411">
        <f t="shared" ref="AI1078" si="1042">AI1077</f>
        <v>0</v>
      </c>
      <c r="AJ1078" s="411">
        <f t="shared" ref="AJ1078" si="1043">AJ1077</f>
        <v>0</v>
      </c>
      <c r="AK1078" s="411">
        <f t="shared" ref="AK1078" si="1044">AK1077</f>
        <v>0</v>
      </c>
      <c r="AL1078" s="411">
        <f t="shared" ref="AL1078" si="104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1046">Z1080</f>
        <v>0</v>
      </c>
      <c r="AA1081" s="411">
        <f t="shared" ref="AA1081" si="1047">AA1080</f>
        <v>0</v>
      </c>
      <c r="AB1081" s="411">
        <f t="shared" ref="AB1081" si="1048">AB1080</f>
        <v>0</v>
      </c>
      <c r="AC1081" s="411">
        <f t="shared" ref="AC1081" si="1049">AC1080</f>
        <v>0</v>
      </c>
      <c r="AD1081" s="411">
        <f t="shared" ref="AD1081" si="1050">AD1080</f>
        <v>0</v>
      </c>
      <c r="AE1081" s="411">
        <f t="shared" ref="AE1081" si="1051">AE1080</f>
        <v>0</v>
      </c>
      <c r="AF1081" s="411">
        <f t="shared" ref="AF1081" si="1052">AF1080</f>
        <v>0</v>
      </c>
      <c r="AG1081" s="411">
        <f t="shared" ref="AG1081" si="1053">AG1080</f>
        <v>0</v>
      </c>
      <c r="AH1081" s="411">
        <f t="shared" ref="AH1081" si="1054">AH1080</f>
        <v>0</v>
      </c>
      <c r="AI1081" s="411">
        <f t="shared" ref="AI1081" si="1055">AI1080</f>
        <v>0</v>
      </c>
      <c r="AJ1081" s="411">
        <f t="shared" ref="AJ1081" si="1056">AJ1080</f>
        <v>0</v>
      </c>
      <c r="AK1081" s="411">
        <f t="shared" ref="AK1081" si="1057">AK1080</f>
        <v>0</v>
      </c>
      <c r="AL1081" s="411">
        <f t="shared" ref="AL1081" si="105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1059">Z1083</f>
        <v>0</v>
      </c>
      <c r="AA1084" s="411">
        <f t="shared" ref="AA1084" si="1060">AA1083</f>
        <v>0</v>
      </c>
      <c r="AB1084" s="411">
        <f t="shared" ref="AB1084" si="1061">AB1083</f>
        <v>0</v>
      </c>
      <c r="AC1084" s="411">
        <f t="shared" ref="AC1084" si="1062">AC1083</f>
        <v>0</v>
      </c>
      <c r="AD1084" s="411">
        <f t="shared" ref="AD1084" si="1063">AD1083</f>
        <v>0</v>
      </c>
      <c r="AE1084" s="411">
        <f t="shared" ref="AE1084" si="1064">AE1083</f>
        <v>0</v>
      </c>
      <c r="AF1084" s="411">
        <f t="shared" ref="AF1084" si="1065">AF1083</f>
        <v>0</v>
      </c>
      <c r="AG1084" s="411">
        <f t="shared" ref="AG1084" si="1066">AG1083</f>
        <v>0</v>
      </c>
      <c r="AH1084" s="411">
        <f t="shared" ref="AH1084" si="1067">AH1083</f>
        <v>0</v>
      </c>
      <c r="AI1084" s="411">
        <f t="shared" ref="AI1084" si="1068">AI1083</f>
        <v>0</v>
      </c>
      <c r="AJ1084" s="411">
        <f t="shared" ref="AJ1084" si="1069">AJ1083</f>
        <v>0</v>
      </c>
      <c r="AK1084" s="411">
        <f t="shared" ref="AK1084" si="1070">AK1083</f>
        <v>0</v>
      </c>
      <c r="AL1084" s="411">
        <f t="shared" ref="AL1084" si="107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1072">Z1086</f>
        <v>0</v>
      </c>
      <c r="AA1087" s="411">
        <f t="shared" ref="AA1087" si="1073">AA1086</f>
        <v>0</v>
      </c>
      <c r="AB1087" s="411">
        <f t="shared" ref="AB1087" si="1074">AB1086</f>
        <v>0</v>
      </c>
      <c r="AC1087" s="411">
        <f t="shared" ref="AC1087" si="1075">AC1086</f>
        <v>0</v>
      </c>
      <c r="AD1087" s="411">
        <f t="shared" ref="AD1087" si="1076">AD1086</f>
        <v>0</v>
      </c>
      <c r="AE1087" s="411">
        <f t="shared" ref="AE1087" si="1077">AE1086</f>
        <v>0</v>
      </c>
      <c r="AF1087" s="411">
        <f t="shared" ref="AF1087" si="1078">AF1086</f>
        <v>0</v>
      </c>
      <c r="AG1087" s="411">
        <f t="shared" ref="AG1087" si="1079">AG1086</f>
        <v>0</v>
      </c>
      <c r="AH1087" s="411">
        <f t="shared" ref="AH1087" si="1080">AH1086</f>
        <v>0</v>
      </c>
      <c r="AI1087" s="411">
        <f t="shared" ref="AI1087" si="1081">AI1086</f>
        <v>0</v>
      </c>
      <c r="AJ1087" s="411">
        <f t="shared" ref="AJ1087" si="1082">AJ1086</f>
        <v>0</v>
      </c>
      <c r="AK1087" s="411">
        <f t="shared" ref="AK1087" si="1083">AK1086</f>
        <v>0</v>
      </c>
      <c r="AL1087" s="411">
        <f t="shared" ref="AL1087" si="108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1085">Z1089</f>
        <v>0</v>
      </c>
      <c r="AA1090" s="411">
        <f t="shared" ref="AA1090" si="1086">AA1089</f>
        <v>0</v>
      </c>
      <c r="AB1090" s="411">
        <f t="shared" ref="AB1090" si="1087">AB1089</f>
        <v>0</v>
      </c>
      <c r="AC1090" s="411">
        <f t="shared" ref="AC1090" si="1088">AC1089</f>
        <v>0</v>
      </c>
      <c r="AD1090" s="411">
        <f t="shared" ref="AD1090" si="1089">AD1089</f>
        <v>0</v>
      </c>
      <c r="AE1090" s="411">
        <f t="shared" ref="AE1090" si="1090">AE1089</f>
        <v>0</v>
      </c>
      <c r="AF1090" s="411">
        <f t="shared" ref="AF1090" si="1091">AF1089</f>
        <v>0</v>
      </c>
      <c r="AG1090" s="411">
        <f t="shared" ref="AG1090" si="1092">AG1089</f>
        <v>0</v>
      </c>
      <c r="AH1090" s="411">
        <f t="shared" ref="AH1090" si="1093">AH1089</f>
        <v>0</v>
      </c>
      <c r="AI1090" s="411">
        <f t="shared" ref="AI1090" si="1094">AI1089</f>
        <v>0</v>
      </c>
      <c r="AJ1090" s="411">
        <f t="shared" ref="AJ1090" si="1095">AJ1089</f>
        <v>0</v>
      </c>
      <c r="AK1090" s="411">
        <f t="shared" ref="AK1090" si="1096">AK1089</f>
        <v>0</v>
      </c>
      <c r="AL1090" s="411">
        <f t="shared" ref="AL1090" si="109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1098">Z1092</f>
        <v>0</v>
      </c>
      <c r="AA1093" s="411">
        <f t="shared" ref="AA1093" si="1099">AA1092</f>
        <v>0</v>
      </c>
      <c r="AB1093" s="411">
        <f t="shared" ref="AB1093" si="1100">AB1092</f>
        <v>0</v>
      </c>
      <c r="AC1093" s="411">
        <f t="shared" ref="AC1093" si="1101">AC1092</f>
        <v>0</v>
      </c>
      <c r="AD1093" s="411">
        <f t="shared" ref="AD1093" si="1102">AD1092</f>
        <v>0</v>
      </c>
      <c r="AE1093" s="411">
        <f t="shared" ref="AE1093" si="1103">AE1092</f>
        <v>0</v>
      </c>
      <c r="AF1093" s="411">
        <f t="shared" ref="AF1093" si="1104">AF1092</f>
        <v>0</v>
      </c>
      <c r="AG1093" s="411">
        <f t="shared" ref="AG1093" si="1105">AG1092</f>
        <v>0</v>
      </c>
      <c r="AH1093" s="411">
        <f t="shared" ref="AH1093" si="1106">AH1092</f>
        <v>0</v>
      </c>
      <c r="AI1093" s="411">
        <f t="shared" ref="AI1093" si="1107">AI1092</f>
        <v>0</v>
      </c>
      <c r="AJ1093" s="411">
        <f t="shared" ref="AJ1093" si="1108">AJ1092</f>
        <v>0</v>
      </c>
      <c r="AK1093" s="411">
        <f t="shared" ref="AK1093" si="1109">AK1092</f>
        <v>0</v>
      </c>
      <c r="AL1093" s="411">
        <f t="shared" ref="AL1093" si="111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1111">Z1095</f>
        <v>0</v>
      </c>
      <c r="AA1096" s="411">
        <f t="shared" ref="AA1096" si="1112">AA1095</f>
        <v>0</v>
      </c>
      <c r="AB1096" s="411">
        <f t="shared" ref="AB1096" si="1113">AB1095</f>
        <v>0</v>
      </c>
      <c r="AC1096" s="411">
        <f t="shared" ref="AC1096" si="1114">AC1095</f>
        <v>0</v>
      </c>
      <c r="AD1096" s="411">
        <f t="shared" ref="AD1096" si="1115">AD1095</f>
        <v>0</v>
      </c>
      <c r="AE1096" s="411">
        <f t="shared" ref="AE1096" si="1116">AE1095</f>
        <v>0</v>
      </c>
      <c r="AF1096" s="411">
        <f t="shared" ref="AF1096" si="1117">AF1095</f>
        <v>0</v>
      </c>
      <c r="AG1096" s="411">
        <f t="shared" ref="AG1096" si="1118">AG1095</f>
        <v>0</v>
      </c>
      <c r="AH1096" s="411">
        <f t="shared" ref="AH1096" si="1119">AH1095</f>
        <v>0</v>
      </c>
      <c r="AI1096" s="411">
        <f t="shared" ref="AI1096" si="1120">AI1095</f>
        <v>0</v>
      </c>
      <c r="AJ1096" s="411">
        <f t="shared" ref="AJ1096" si="1121">AJ1095</f>
        <v>0</v>
      </c>
      <c r="AK1096" s="411">
        <f t="shared" ref="AK1096" si="1122">AK1095</f>
        <v>0</v>
      </c>
      <c r="AL1096" s="411">
        <f t="shared" ref="AL1096" si="112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1124">Z1098</f>
        <v>0</v>
      </c>
      <c r="AA1099" s="411">
        <f t="shared" ref="AA1099" si="1125">AA1098</f>
        <v>0</v>
      </c>
      <c r="AB1099" s="411">
        <f t="shared" ref="AB1099" si="1126">AB1098</f>
        <v>0</v>
      </c>
      <c r="AC1099" s="411">
        <f t="shared" ref="AC1099" si="1127">AC1098</f>
        <v>0</v>
      </c>
      <c r="AD1099" s="411">
        <f t="shared" ref="AD1099" si="1128">AD1098</f>
        <v>0</v>
      </c>
      <c r="AE1099" s="411">
        <f t="shared" ref="AE1099" si="1129">AE1098</f>
        <v>0</v>
      </c>
      <c r="AF1099" s="411">
        <f t="shared" ref="AF1099" si="1130">AF1098</f>
        <v>0</v>
      </c>
      <c r="AG1099" s="411">
        <f t="shared" ref="AG1099" si="1131">AG1098</f>
        <v>0</v>
      </c>
      <c r="AH1099" s="411">
        <f t="shared" ref="AH1099" si="1132">AH1098</f>
        <v>0</v>
      </c>
      <c r="AI1099" s="411">
        <f t="shared" ref="AI1099" si="1133">AI1098</f>
        <v>0</v>
      </c>
      <c r="AJ1099" s="411">
        <f t="shared" ref="AJ1099" si="1134">AJ1098</f>
        <v>0</v>
      </c>
      <c r="AK1099" s="411">
        <f t="shared" ref="AK1099" si="1135">AK1098</f>
        <v>0</v>
      </c>
      <c r="AL1099" s="411">
        <f t="shared" ref="AL1099" si="113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1137">Z1101</f>
        <v>0</v>
      </c>
      <c r="AA1102" s="411">
        <f t="shared" ref="AA1102" si="1138">AA1101</f>
        <v>0</v>
      </c>
      <c r="AB1102" s="411">
        <f t="shared" ref="AB1102" si="1139">AB1101</f>
        <v>0</v>
      </c>
      <c r="AC1102" s="411">
        <f t="shared" ref="AC1102" si="1140">AC1101</f>
        <v>0</v>
      </c>
      <c r="AD1102" s="411">
        <f t="shared" ref="AD1102" si="1141">AD1101</f>
        <v>0</v>
      </c>
      <c r="AE1102" s="411">
        <f t="shared" ref="AE1102" si="1142">AE1101</f>
        <v>0</v>
      </c>
      <c r="AF1102" s="411">
        <f t="shared" ref="AF1102" si="1143">AF1101</f>
        <v>0</v>
      </c>
      <c r="AG1102" s="411">
        <f t="shared" ref="AG1102" si="1144">AG1101</f>
        <v>0</v>
      </c>
      <c r="AH1102" s="411">
        <f t="shared" ref="AH1102" si="1145">AH1101</f>
        <v>0</v>
      </c>
      <c r="AI1102" s="411">
        <f t="shared" ref="AI1102" si="1146">AI1101</f>
        <v>0</v>
      </c>
      <c r="AJ1102" s="411">
        <f t="shared" ref="AJ1102" si="1147">AJ1101</f>
        <v>0</v>
      </c>
      <c r="AK1102" s="411">
        <f t="shared" ref="AK1102" si="1148">AK1101</f>
        <v>0</v>
      </c>
      <c r="AL1102" s="411">
        <f t="shared" ref="AL1102" si="114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1150">Z1104</f>
        <v>0</v>
      </c>
      <c r="AA1105" s="411">
        <f t="shared" ref="AA1105" si="1151">AA1104</f>
        <v>0</v>
      </c>
      <c r="AB1105" s="411">
        <f t="shared" ref="AB1105" si="1152">AB1104</f>
        <v>0</v>
      </c>
      <c r="AC1105" s="411">
        <f t="shared" ref="AC1105" si="1153">AC1104</f>
        <v>0</v>
      </c>
      <c r="AD1105" s="411">
        <f t="shared" ref="AD1105" si="1154">AD1104</f>
        <v>0</v>
      </c>
      <c r="AE1105" s="411">
        <f t="shared" ref="AE1105" si="1155">AE1104</f>
        <v>0</v>
      </c>
      <c r="AF1105" s="411">
        <f t="shared" ref="AF1105" si="1156">AF1104</f>
        <v>0</v>
      </c>
      <c r="AG1105" s="411">
        <f t="shared" ref="AG1105" si="1157">AG1104</f>
        <v>0</v>
      </c>
      <c r="AH1105" s="411">
        <f t="shared" ref="AH1105" si="1158">AH1104</f>
        <v>0</v>
      </c>
      <c r="AI1105" s="411">
        <f t="shared" ref="AI1105" si="1159">AI1104</f>
        <v>0</v>
      </c>
      <c r="AJ1105" s="411">
        <f t="shared" ref="AJ1105" si="1160">AJ1104</f>
        <v>0</v>
      </c>
      <c r="AK1105" s="411">
        <f t="shared" ref="AK1105" si="1161">AK1104</f>
        <v>0</v>
      </c>
      <c r="AL1105" s="411">
        <f t="shared" ref="AL1105" si="116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1163">Z1107</f>
        <v>0</v>
      </c>
      <c r="AA1108" s="411">
        <f t="shared" ref="AA1108" si="1164">AA1107</f>
        <v>0</v>
      </c>
      <c r="AB1108" s="411">
        <f t="shared" ref="AB1108" si="1165">AB1107</f>
        <v>0</v>
      </c>
      <c r="AC1108" s="411">
        <f t="shared" ref="AC1108" si="1166">AC1107</f>
        <v>0</v>
      </c>
      <c r="AD1108" s="411">
        <f t="shared" ref="AD1108" si="1167">AD1107</f>
        <v>0</v>
      </c>
      <c r="AE1108" s="411">
        <f t="shared" ref="AE1108" si="1168">AE1107</f>
        <v>0</v>
      </c>
      <c r="AF1108" s="411">
        <f t="shared" ref="AF1108" si="1169">AF1107</f>
        <v>0</v>
      </c>
      <c r="AG1108" s="411">
        <f t="shared" ref="AG1108" si="1170">AG1107</f>
        <v>0</v>
      </c>
      <c r="AH1108" s="411">
        <f t="shared" ref="AH1108" si="1171">AH1107</f>
        <v>0</v>
      </c>
      <c r="AI1108" s="411">
        <f t="shared" ref="AI1108" si="1172">AI1107</f>
        <v>0</v>
      </c>
      <c r="AJ1108" s="411">
        <f t="shared" ref="AJ1108" si="1173">AJ1107</f>
        <v>0</v>
      </c>
      <c r="AK1108" s="411">
        <f t="shared" ref="AK1108" si="1174">AK1107</f>
        <v>0</v>
      </c>
      <c r="AL1108" s="411">
        <f t="shared" ref="AL1108" si="1175">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1.15E-2</v>
      </c>
      <c r="AA1113" s="341">
        <f>HLOOKUP(AA$35,'3.  Distribution Rates'!$C$122:$P$133,12,FALSE)</f>
        <v>2.7039</v>
      </c>
      <c r="AB1113" s="341">
        <f>HLOOKUP(AB$35,'3.  Distribution Rates'!$C$122:$P$133,12,FALSE)</f>
        <v>19.649100000000001</v>
      </c>
      <c r="AC1113" s="341">
        <f>HLOOKUP(AC$35,'3.  Distribution Rates'!$C$122:$P$133,12,FALSE)</f>
        <v>9.5854999999999997</v>
      </c>
      <c r="AD1113" s="341">
        <f>HLOOKUP(AD$35,'3.  Distribution Rates'!$C$122:$P$133,12,FALSE)</f>
        <v>2.1999999999999999E-2</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1496.0106900850635</v>
      </c>
      <c r="AA1114" s="378">
        <f>'4.  2011-2014 LRAM'!AA143*AA1113</f>
        <v>388.14594810010357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1176">SUM(Y1114:AL1114)</f>
        <v>1884.1566381851671</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1475.8624852320984</v>
      </c>
      <c r="AA1115" s="378">
        <f>'4.  2011-2014 LRAM'!AA272*AA1113</f>
        <v>2008.625840798486</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1176"/>
        <v>3484.4883260305842</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1563.404081977638</v>
      </c>
      <c r="AA1116" s="378">
        <f>'4.  2011-2014 LRAM'!AA401*AA1113</f>
        <v>275.38487530833476</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1176"/>
        <v>1838.7889572859729</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5493.8382854500005</v>
      </c>
      <c r="AA1117" s="378">
        <f>'4.  2011-2014 LRAM'!AA531*AA1113</f>
        <v>3683.1957401283835</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1176"/>
        <v>9177.0340255783849</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1177">Y212*Y1113</f>
        <v>0</v>
      </c>
      <c r="Z1118" s="378">
        <f t="shared" si="1177"/>
        <v>20677.154509892105</v>
      </c>
      <c r="AA1118" s="378">
        <f t="shared" si="1177"/>
        <v>6297.3650308848082</v>
      </c>
      <c r="AB1118" s="378">
        <f t="shared" si="1177"/>
        <v>0</v>
      </c>
      <c r="AC1118" s="378">
        <f t="shared" si="1177"/>
        <v>675.93809921625723</v>
      </c>
      <c r="AD1118" s="378">
        <f t="shared" si="1177"/>
        <v>1398.1610217527673</v>
      </c>
      <c r="AE1118" s="378">
        <f t="shared" si="1177"/>
        <v>0</v>
      </c>
      <c r="AF1118" s="378">
        <f t="shared" si="1177"/>
        <v>0</v>
      </c>
      <c r="AG1118" s="378">
        <f t="shared" si="1177"/>
        <v>0</v>
      </c>
      <c r="AH1118" s="378">
        <f t="shared" si="1177"/>
        <v>0</v>
      </c>
      <c r="AI1118" s="378">
        <f t="shared" si="1177"/>
        <v>0</v>
      </c>
      <c r="AJ1118" s="378">
        <f t="shared" si="1177"/>
        <v>0</v>
      </c>
      <c r="AK1118" s="378">
        <f t="shared" si="1177"/>
        <v>0</v>
      </c>
      <c r="AL1118" s="378">
        <f t="shared" si="1177"/>
        <v>0</v>
      </c>
      <c r="AM1118" s="629">
        <f t="shared" si="1176"/>
        <v>29048.618661745939</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1178">Y395*Y1113</f>
        <v>0</v>
      </c>
      <c r="Z1119" s="378">
        <f t="shared" si="1178"/>
        <v>1888.7868331044824</v>
      </c>
      <c r="AA1119" s="378">
        <f t="shared" si="1178"/>
        <v>7510.8341419816252</v>
      </c>
      <c r="AB1119" s="378">
        <f t="shared" si="1178"/>
        <v>0</v>
      </c>
      <c r="AC1119" s="378">
        <f t="shared" si="1178"/>
        <v>1402.5120279106363</v>
      </c>
      <c r="AD1119" s="378">
        <f t="shared" si="1178"/>
        <v>0</v>
      </c>
      <c r="AE1119" s="378">
        <f t="shared" si="1178"/>
        <v>0</v>
      </c>
      <c r="AF1119" s="378">
        <f t="shared" si="1178"/>
        <v>0</v>
      </c>
      <c r="AG1119" s="378">
        <f t="shared" si="1178"/>
        <v>0</v>
      </c>
      <c r="AH1119" s="378">
        <f t="shared" si="1178"/>
        <v>0</v>
      </c>
      <c r="AI1119" s="378">
        <f t="shared" si="1178"/>
        <v>0</v>
      </c>
      <c r="AJ1119" s="378">
        <f t="shared" si="1178"/>
        <v>0</v>
      </c>
      <c r="AK1119" s="378">
        <f t="shared" si="1178"/>
        <v>0</v>
      </c>
      <c r="AL1119" s="378">
        <f t="shared" si="1178"/>
        <v>0</v>
      </c>
      <c r="AM1119" s="629">
        <f t="shared" si="1176"/>
        <v>10802.133002996743</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1179">Y578*Y1113</f>
        <v>0</v>
      </c>
      <c r="Z1120" s="378">
        <f t="shared" si="1179"/>
        <v>8013.6397956318724</v>
      </c>
      <c r="AA1120" s="378">
        <f t="shared" si="1179"/>
        <v>4619.6719286753032</v>
      </c>
      <c r="AB1120" s="378">
        <f t="shared" si="1179"/>
        <v>0</v>
      </c>
      <c r="AC1120" s="378">
        <f t="shared" si="1179"/>
        <v>0</v>
      </c>
      <c r="AD1120" s="378">
        <f t="shared" si="1179"/>
        <v>0</v>
      </c>
      <c r="AE1120" s="378">
        <f t="shared" si="1179"/>
        <v>0</v>
      </c>
      <c r="AF1120" s="378">
        <f t="shared" si="1179"/>
        <v>0</v>
      </c>
      <c r="AG1120" s="378">
        <f t="shared" si="1179"/>
        <v>0</v>
      </c>
      <c r="AH1120" s="378">
        <f t="shared" si="1179"/>
        <v>0</v>
      </c>
      <c r="AI1120" s="378">
        <f t="shared" si="1179"/>
        <v>0</v>
      </c>
      <c r="AJ1120" s="378">
        <f t="shared" si="1179"/>
        <v>0</v>
      </c>
      <c r="AK1120" s="378">
        <f t="shared" si="1179"/>
        <v>0</v>
      </c>
      <c r="AL1120" s="378">
        <f t="shared" si="1179"/>
        <v>0</v>
      </c>
      <c r="AM1120" s="629">
        <f t="shared" si="1176"/>
        <v>12633.311724307176</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1180">Y761*Y1113</f>
        <v>0</v>
      </c>
      <c r="Z1121" s="378">
        <f t="shared" si="1180"/>
        <v>0</v>
      </c>
      <c r="AA1121" s="378">
        <f t="shared" si="1180"/>
        <v>0</v>
      </c>
      <c r="AB1121" s="378">
        <f t="shared" si="1180"/>
        <v>0</v>
      </c>
      <c r="AC1121" s="378">
        <f t="shared" si="1180"/>
        <v>0</v>
      </c>
      <c r="AD1121" s="378">
        <f t="shared" si="1180"/>
        <v>0</v>
      </c>
      <c r="AE1121" s="378">
        <f t="shared" si="1180"/>
        <v>0</v>
      </c>
      <c r="AF1121" s="378">
        <f t="shared" si="1180"/>
        <v>0</v>
      </c>
      <c r="AG1121" s="378">
        <f t="shared" si="1180"/>
        <v>0</v>
      </c>
      <c r="AH1121" s="378">
        <f t="shared" si="1180"/>
        <v>0</v>
      </c>
      <c r="AI1121" s="378">
        <f t="shared" si="1180"/>
        <v>0</v>
      </c>
      <c r="AJ1121" s="378">
        <f t="shared" si="1180"/>
        <v>0</v>
      </c>
      <c r="AK1121" s="378">
        <f t="shared" si="1180"/>
        <v>0</v>
      </c>
      <c r="AL1121" s="378">
        <f t="shared" si="1180"/>
        <v>0</v>
      </c>
      <c r="AM1121" s="629">
        <f t="shared" si="1176"/>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1181">Y944*Y1113</f>
        <v>0</v>
      </c>
      <c r="Z1122" s="378">
        <f t="shared" si="1181"/>
        <v>0</v>
      </c>
      <c r="AA1122" s="378">
        <f t="shared" si="1181"/>
        <v>0</v>
      </c>
      <c r="AB1122" s="378">
        <f t="shared" si="1181"/>
        <v>0</v>
      </c>
      <c r="AC1122" s="378">
        <f t="shared" si="1181"/>
        <v>0</v>
      </c>
      <c r="AD1122" s="378">
        <f t="shared" si="1181"/>
        <v>0</v>
      </c>
      <c r="AE1122" s="378">
        <f t="shared" si="1181"/>
        <v>0</v>
      </c>
      <c r="AF1122" s="378">
        <f t="shared" si="1181"/>
        <v>0</v>
      </c>
      <c r="AG1122" s="378">
        <f t="shared" si="1181"/>
        <v>0</v>
      </c>
      <c r="AH1122" s="378">
        <f t="shared" si="1181"/>
        <v>0</v>
      </c>
      <c r="AI1122" s="378">
        <f t="shared" si="1181"/>
        <v>0</v>
      </c>
      <c r="AJ1122" s="378">
        <f t="shared" si="1181"/>
        <v>0</v>
      </c>
      <c r="AK1122" s="378">
        <f t="shared" si="1181"/>
        <v>0</v>
      </c>
      <c r="AL1122" s="378">
        <f t="shared" si="1181"/>
        <v>0</v>
      </c>
      <c r="AM1122" s="629">
        <f t="shared" si="1176"/>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1182">AA1110*AA1113</f>
        <v>0</v>
      </c>
      <c r="AB1123" s="378">
        <f t="shared" si="1182"/>
        <v>0</v>
      </c>
      <c r="AC1123" s="378">
        <f t="shared" si="1182"/>
        <v>0</v>
      </c>
      <c r="AD1123" s="378">
        <f t="shared" si="1182"/>
        <v>0</v>
      </c>
      <c r="AE1123" s="378">
        <f t="shared" si="1182"/>
        <v>0</v>
      </c>
      <c r="AF1123" s="378">
        <f t="shared" si="1182"/>
        <v>0</v>
      </c>
      <c r="AG1123" s="378">
        <f t="shared" si="1182"/>
        <v>0</v>
      </c>
      <c r="AH1123" s="378">
        <f t="shared" si="1182"/>
        <v>0</v>
      </c>
      <c r="AI1123" s="378">
        <f t="shared" si="1182"/>
        <v>0</v>
      </c>
      <c r="AJ1123" s="378">
        <f t="shared" si="1182"/>
        <v>0</v>
      </c>
      <c r="AK1123" s="378">
        <f t="shared" si="1182"/>
        <v>0</v>
      </c>
      <c r="AL1123" s="378">
        <f t="shared" si="1182"/>
        <v>0</v>
      </c>
      <c r="AM1123" s="629">
        <f t="shared" si="1176"/>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1183">SUM(Z1114:Z1123)</f>
        <v>40608.696681373258</v>
      </c>
      <c r="AA1124" s="346">
        <f t="shared" si="1183"/>
        <v>24783.223505877046</v>
      </c>
      <c r="AB1124" s="346">
        <f t="shared" si="1183"/>
        <v>0</v>
      </c>
      <c r="AC1124" s="346">
        <f t="shared" si="1183"/>
        <v>2078.4501271268937</v>
      </c>
      <c r="AD1124" s="346">
        <f t="shared" si="1183"/>
        <v>1398.1610217527673</v>
      </c>
      <c r="AE1124" s="346">
        <f t="shared" si="1183"/>
        <v>0</v>
      </c>
      <c r="AF1124" s="346">
        <f>SUM(AF1114:AF1123)</f>
        <v>0</v>
      </c>
      <c r="AG1124" s="346">
        <f t="shared" ref="AG1124:AL1124" si="1184">SUM(AG1114:AG1123)</f>
        <v>0</v>
      </c>
      <c r="AH1124" s="346">
        <f t="shared" si="1184"/>
        <v>0</v>
      </c>
      <c r="AI1124" s="346">
        <f t="shared" si="1184"/>
        <v>0</v>
      </c>
      <c r="AJ1124" s="346">
        <f t="shared" si="1184"/>
        <v>0</v>
      </c>
      <c r="AK1124" s="346">
        <f t="shared" si="1184"/>
        <v>0</v>
      </c>
      <c r="AL1124" s="346">
        <f t="shared" si="1184"/>
        <v>0</v>
      </c>
      <c r="AM1124" s="407">
        <f>SUM(AM1114:AM1123)</f>
        <v>68868.531336129963</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1185">Z1111*Z1113</f>
        <v>0</v>
      </c>
      <c r="AA1125" s="347">
        <f>AA1111*AA1113</f>
        <v>0</v>
      </c>
      <c r="AB1125" s="347">
        <f t="shared" si="1185"/>
        <v>0</v>
      </c>
      <c r="AC1125" s="347">
        <f t="shared" si="1185"/>
        <v>0</v>
      </c>
      <c r="AD1125" s="347">
        <f t="shared" si="1185"/>
        <v>0</v>
      </c>
      <c r="AE1125" s="347">
        <f t="shared" si="1185"/>
        <v>0</v>
      </c>
      <c r="AF1125" s="347">
        <f t="shared" ref="AF1125:AL1125" si="1186">AF1111*AF1113</f>
        <v>0</v>
      </c>
      <c r="AG1125" s="347">
        <f t="shared" si="1186"/>
        <v>0</v>
      </c>
      <c r="AH1125" s="347">
        <f t="shared" si="1186"/>
        <v>0</v>
      </c>
      <c r="AI1125" s="347">
        <f t="shared" si="1186"/>
        <v>0</v>
      </c>
      <c r="AJ1125" s="347">
        <f t="shared" si="1186"/>
        <v>0</v>
      </c>
      <c r="AK1125" s="347">
        <f t="shared" si="1186"/>
        <v>0</v>
      </c>
      <c r="AL1125" s="347">
        <f t="shared" si="1186"/>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68868.531336129963</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82" zoomScale="80" zoomScaleNormal="80" workbookViewId="0">
      <selection activeCell="C52" sqref="C52"/>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1048" t="s">
        <v>659</v>
      </c>
      <c r="D8" s="1048"/>
      <c r="E8" s="1048"/>
      <c r="F8" s="1048"/>
      <c r="G8" s="1048"/>
      <c r="H8" s="1048"/>
      <c r="I8" s="1048"/>
      <c r="J8" s="1048"/>
      <c r="K8" s="1048"/>
      <c r="L8" s="1048"/>
      <c r="M8" s="1048"/>
      <c r="N8" s="1048"/>
      <c r="O8" s="1048"/>
      <c r="P8" s="1048"/>
      <c r="Q8" s="1048"/>
      <c r="R8" s="1048"/>
      <c r="S8" s="1048"/>
      <c r="T8" s="105"/>
      <c r="U8" s="105"/>
      <c r="V8" s="105"/>
      <c r="W8" s="105"/>
    </row>
    <row r="9" spans="1:28" s="9" customFormat="1" ht="47.1" customHeight="1">
      <c r="B9" s="55"/>
      <c r="C9" s="1010" t="s">
        <v>670</v>
      </c>
      <c r="D9" s="1010"/>
      <c r="E9" s="1010"/>
      <c r="F9" s="1010"/>
      <c r="G9" s="1010"/>
      <c r="H9" s="1010"/>
      <c r="I9" s="1010"/>
      <c r="J9" s="1010"/>
      <c r="K9" s="1010"/>
      <c r="L9" s="1010"/>
      <c r="M9" s="1010"/>
      <c r="N9" s="1010"/>
      <c r="O9" s="1010"/>
      <c r="P9" s="1010"/>
      <c r="Q9" s="1010"/>
      <c r="R9" s="1010"/>
      <c r="S9" s="1010"/>
      <c r="T9" s="105"/>
      <c r="U9" s="105"/>
      <c r="V9" s="105"/>
      <c r="W9" s="105"/>
    </row>
    <row r="10" spans="1:28" s="9" customFormat="1" ht="38.1" customHeight="1">
      <c r="B10" s="88"/>
      <c r="C10" s="1026" t="s">
        <v>671</v>
      </c>
      <c r="D10" s="1010"/>
      <c r="E10" s="1010"/>
      <c r="F10" s="1010"/>
      <c r="G10" s="1010"/>
      <c r="H10" s="1010"/>
      <c r="I10" s="1010"/>
      <c r="J10" s="1010"/>
      <c r="K10" s="1010"/>
      <c r="L10" s="1010"/>
      <c r="M10" s="1010"/>
      <c r="N10" s="1010"/>
      <c r="O10" s="1010"/>
      <c r="P10" s="1010"/>
      <c r="Q10" s="1010"/>
      <c r="R10" s="1010"/>
      <c r="S10" s="101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47" t="s">
        <v>235</v>
      </c>
      <c r="C12" s="1047"/>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Sentinel Lighting</v>
      </c>
      <c r="M14" s="204" t="str">
        <f>'1.  LRAMVA Summary'!H52</f>
        <v>Street Lighting</v>
      </c>
      <c r="N14" s="204" t="str">
        <f>'1.  LRAMVA Summary'!I52</f>
        <v>Unmetered Scattered Load</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96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968">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714</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716</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1.3256023638278203</v>
      </c>
      <c r="J121" s="230">
        <f>(SUM('1.  LRAMVA Summary'!E$54:E$74)+SUM('1.  LRAMVA Summary'!E$75:E$76)*(MONTH($E121)-1)/12)*$H121</f>
        <v>3.4306153090867384</v>
      </c>
      <c r="K121" s="230">
        <f>(SUM('1.  LRAMVA Summary'!F$54:F$74)+SUM('1.  LRAMVA Summary'!F$75:F$76)*(MONTH($E121)-1)/12)*$H121</f>
        <v>2.0543403112722318</v>
      </c>
      <c r="L121" s="230">
        <f>(SUM('1.  LRAMVA Summary'!G$54:G$74)+SUM('1.  LRAMVA Summary'!G$75:G$76)*(MONTH($E121)-1)/12)*$H121</f>
        <v>-4.7102291666666673E-3</v>
      </c>
      <c r="M121" s="230">
        <f>(SUM('1.  LRAMVA Summary'!H$54:H$74)+SUM('1.  LRAMVA Summary'!H$75:H$76)*(MONTH($E121)-1)/12)*$H121</f>
        <v>0.23322196643511675</v>
      </c>
      <c r="N121" s="230">
        <f>(SUM('1.  LRAMVA Summary'!I$54:I$74)+SUM('1.  LRAMVA Summary'!I$75:I$76)*(MONTH($E121)-1)/12)*$H121</f>
        <v>3.8649233572521806E-2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7.0777189550277635</v>
      </c>
    </row>
    <row r="122" spans="2:23" s="9" customFormat="1">
      <c r="B122" s="66"/>
      <c r="E122" s="214">
        <v>43160</v>
      </c>
      <c r="F122" s="214" t="s">
        <v>185</v>
      </c>
      <c r="G122" s="215" t="s">
        <v>65</v>
      </c>
      <c r="H122" s="240">
        <f t="shared" si="62"/>
        <v>1.25E-3</v>
      </c>
      <c r="I122" s="230">
        <f>(SUM('1.  LRAMVA Summary'!D$54:D$74)+SUM('1.  LRAMVA Summary'!D$75:D$76)*(MONTH($E122)-1)/12)*$H122</f>
        <v>2.6512047276556405</v>
      </c>
      <c r="J122" s="230">
        <f>(SUM('1.  LRAMVA Summary'!E$54:E$74)+SUM('1.  LRAMVA Summary'!E$75:E$76)*(MONTH($E122)-1)/12)*$H122</f>
        <v>6.8612306181734768</v>
      </c>
      <c r="K122" s="230">
        <f>(SUM('1.  LRAMVA Summary'!F$54:F$74)+SUM('1.  LRAMVA Summary'!F$75:F$76)*(MONTH($E122)-1)/12)*$H122</f>
        <v>4.1086806225444636</v>
      </c>
      <c r="L122" s="230">
        <f>(SUM('1.  LRAMVA Summary'!G$54:G$74)+SUM('1.  LRAMVA Summary'!G$75:G$76)*(MONTH($E122)-1)/12)*$H122</f>
        <v>-9.4204583333333345E-3</v>
      </c>
      <c r="M122" s="230">
        <f>(SUM('1.  LRAMVA Summary'!H$54:H$74)+SUM('1.  LRAMVA Summary'!H$75:H$76)*(MONTH($E122)-1)/12)*$H122</f>
        <v>0.4664439328702335</v>
      </c>
      <c r="N122" s="230">
        <f>(SUM('1.  LRAMVA Summary'!I$54:I$74)+SUM('1.  LRAMVA Summary'!I$75:I$76)*(MONTH($E122)-1)/12)*$H122</f>
        <v>7.7298467145043612E-2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14.155437910055527</v>
      </c>
    </row>
    <row r="123" spans="2:23" s="8" customFormat="1">
      <c r="B123" s="239"/>
      <c r="E123" s="214">
        <v>43191</v>
      </c>
      <c r="F123" s="214" t="s">
        <v>185</v>
      </c>
      <c r="G123" s="215" t="s">
        <v>66</v>
      </c>
      <c r="H123" s="240">
        <f>$C$44/12</f>
        <v>1.575E-3</v>
      </c>
      <c r="I123" s="230">
        <f>(SUM('1.  LRAMVA Summary'!D$54:D$74)+SUM('1.  LRAMVA Summary'!D$75:D$76)*(MONTH($E123)-1)/12)*$H123</f>
        <v>5.0107769352691607</v>
      </c>
      <c r="J123" s="230">
        <f>(SUM('1.  LRAMVA Summary'!E$54:E$74)+SUM('1.  LRAMVA Summary'!E$75:E$76)*(MONTH($E123)-1)/12)*$H123</f>
        <v>12.967725868347872</v>
      </c>
      <c r="K123" s="230">
        <f>(SUM('1.  LRAMVA Summary'!F$54:F$74)+SUM('1.  LRAMVA Summary'!F$75:F$76)*(MONTH($E123)-1)/12)*$H123</f>
        <v>7.7654063766090351</v>
      </c>
      <c r="L123" s="230">
        <f>(SUM('1.  LRAMVA Summary'!G$54:G$74)+SUM('1.  LRAMVA Summary'!G$75:G$76)*(MONTH($E123)-1)/12)*$H123</f>
        <v>-1.780466625E-2</v>
      </c>
      <c r="M123" s="230">
        <f>(SUM('1.  LRAMVA Summary'!H$54:H$74)+SUM('1.  LRAMVA Summary'!H$75:H$76)*(MONTH($E123)-1)/12)*$H123</f>
        <v>0.88157903312474128</v>
      </c>
      <c r="N123" s="230">
        <f>(SUM('1.  LRAMVA Summary'!I$54:I$74)+SUM('1.  LRAMVA Summary'!I$75:I$76)*(MONTH($E123)-1)/12)*$H123</f>
        <v>0.14609410290413241</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26.753777650004942</v>
      </c>
    </row>
    <row r="124" spans="2:23" s="9" customFormat="1">
      <c r="B124" s="66"/>
      <c r="E124" s="214">
        <v>43221</v>
      </c>
      <c r="F124" s="214" t="s">
        <v>185</v>
      </c>
      <c r="G124" s="215" t="s">
        <v>66</v>
      </c>
      <c r="H124" s="240">
        <f t="shared" ref="H124:H125" si="64">$C$44/12</f>
        <v>1.575E-3</v>
      </c>
      <c r="I124" s="230">
        <f>(SUM('1.  LRAMVA Summary'!D$54:D$74)+SUM('1.  LRAMVA Summary'!D$75:D$76)*(MONTH($E124)-1)/12)*$H124</f>
        <v>6.6810359136922139</v>
      </c>
      <c r="J124" s="230">
        <f>(SUM('1.  LRAMVA Summary'!E$54:E$74)+SUM('1.  LRAMVA Summary'!E$75:E$76)*(MONTH($E124)-1)/12)*$H124</f>
        <v>17.29030115779716</v>
      </c>
      <c r="K124" s="230">
        <f>(SUM('1.  LRAMVA Summary'!F$54:F$74)+SUM('1.  LRAMVA Summary'!F$75:F$76)*(MONTH($E124)-1)/12)*$H124</f>
        <v>10.353875168812047</v>
      </c>
      <c r="L124" s="230">
        <f>(SUM('1.  LRAMVA Summary'!G$54:G$74)+SUM('1.  LRAMVA Summary'!G$75:G$76)*(MONTH($E124)-1)/12)*$H124</f>
        <v>-2.3739555000000002E-2</v>
      </c>
      <c r="M124" s="230">
        <f>(SUM('1.  LRAMVA Summary'!H$54:H$74)+SUM('1.  LRAMVA Summary'!H$75:H$76)*(MONTH($E124)-1)/12)*$H124</f>
        <v>1.1754387108329885</v>
      </c>
      <c r="N124" s="230">
        <f>(SUM('1.  LRAMVA Summary'!I$54:I$74)+SUM('1.  LRAMVA Summary'!I$75:I$76)*(MONTH($E124)-1)/12)*$H124</f>
        <v>0.19479213720550989</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35.671703533339915</v>
      </c>
    </row>
    <row r="125" spans="2:23" s="238" customFormat="1">
      <c r="B125" s="237"/>
      <c r="E125" s="214">
        <v>43252</v>
      </c>
      <c r="F125" s="214" t="s">
        <v>185</v>
      </c>
      <c r="G125" s="215" t="s">
        <v>66</v>
      </c>
      <c r="H125" s="240">
        <f t="shared" si="64"/>
        <v>1.575E-3</v>
      </c>
      <c r="I125" s="230">
        <f>(SUM('1.  LRAMVA Summary'!D$54:D$74)+SUM('1.  LRAMVA Summary'!D$75:D$76)*(MONTH($E125)-1)/12)*$H125</f>
        <v>8.3512948921152681</v>
      </c>
      <c r="J125" s="230">
        <f>(SUM('1.  LRAMVA Summary'!E$54:E$74)+SUM('1.  LRAMVA Summary'!E$75:E$76)*(MONTH($E125)-1)/12)*$H125</f>
        <v>21.612876447246453</v>
      </c>
      <c r="K125" s="230">
        <f>(SUM('1.  LRAMVA Summary'!F$54:F$74)+SUM('1.  LRAMVA Summary'!F$75:F$76)*(MONTH($E125)-1)/12)*$H125</f>
        <v>12.942343961015061</v>
      </c>
      <c r="L125" s="230">
        <f>(SUM('1.  LRAMVA Summary'!G$54:G$74)+SUM('1.  LRAMVA Summary'!G$75:G$76)*(MONTH($E125)-1)/12)*$H125</f>
        <v>-2.9674443750000005E-2</v>
      </c>
      <c r="M125" s="230">
        <f>(SUM('1.  LRAMVA Summary'!H$54:H$74)+SUM('1.  LRAMVA Summary'!H$75:H$76)*(MONTH($E125)-1)/12)*$H125</f>
        <v>1.4692983885412354</v>
      </c>
      <c r="N125" s="230">
        <f>(SUM('1.  LRAMVA Summary'!I$54:I$74)+SUM('1.  LRAMVA Summary'!I$75:I$76)*(MONTH($E125)-1)/12)*$H125</f>
        <v>0.24349017150688734</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44.589629416674903</v>
      </c>
    </row>
    <row r="126" spans="2:23" s="9" customFormat="1">
      <c r="B126" s="66"/>
      <c r="E126" s="214">
        <v>43282</v>
      </c>
      <c r="F126" s="214" t="s">
        <v>185</v>
      </c>
      <c r="G126" s="215" t="s">
        <v>68</v>
      </c>
      <c r="H126" s="240">
        <f>$C$45/12</f>
        <v>1.575E-3</v>
      </c>
      <c r="I126" s="230">
        <f>(SUM('1.  LRAMVA Summary'!D$54:D$74)+SUM('1.  LRAMVA Summary'!D$75:D$76)*(MONTH($E126)-1)/12)*$H126</f>
        <v>10.021553870538321</v>
      </c>
      <c r="J126" s="230">
        <f>(SUM('1.  LRAMVA Summary'!E$54:E$74)+SUM('1.  LRAMVA Summary'!E$75:E$76)*(MONTH($E126)-1)/12)*$H126</f>
        <v>25.935451736695743</v>
      </c>
      <c r="K126" s="230">
        <f>(SUM('1.  LRAMVA Summary'!F$54:F$74)+SUM('1.  LRAMVA Summary'!F$75:F$76)*(MONTH($E126)-1)/12)*$H126</f>
        <v>15.53081275321807</v>
      </c>
      <c r="L126" s="230">
        <f>(SUM('1.  LRAMVA Summary'!G$54:G$74)+SUM('1.  LRAMVA Summary'!G$75:G$76)*(MONTH($E126)-1)/12)*$H126</f>
        <v>-3.56093325E-2</v>
      </c>
      <c r="M126" s="230">
        <f>(SUM('1.  LRAMVA Summary'!H$54:H$74)+SUM('1.  LRAMVA Summary'!H$75:H$76)*(MONTH($E126)-1)/12)*$H126</f>
        <v>1.7631580662494826</v>
      </c>
      <c r="N126" s="230">
        <f>(SUM('1.  LRAMVA Summary'!I$54:I$74)+SUM('1.  LRAMVA Summary'!I$75:I$76)*(MONTH($E126)-1)/12)*$H126</f>
        <v>0.29218820580826482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53.507555300009884</v>
      </c>
    </row>
    <row r="127" spans="2:23" s="9" customFormat="1">
      <c r="B127" s="66"/>
      <c r="E127" s="214">
        <v>43313</v>
      </c>
      <c r="F127" s="214" t="s">
        <v>185</v>
      </c>
      <c r="G127" s="215" t="s">
        <v>68</v>
      </c>
      <c r="H127" s="240">
        <f t="shared" ref="H127:H128" si="65">$C$45/12</f>
        <v>1.575E-3</v>
      </c>
      <c r="I127" s="230">
        <f>(SUM('1.  LRAMVA Summary'!D$54:D$74)+SUM('1.  LRAMVA Summary'!D$75:D$76)*(MONTH($E127)-1)/12)*$H127</f>
        <v>11.691812848961375</v>
      </c>
      <c r="J127" s="230">
        <f>(SUM('1.  LRAMVA Summary'!E$54:E$74)+SUM('1.  LRAMVA Summary'!E$75:E$76)*(MONTH($E127)-1)/12)*$H127</f>
        <v>30.258027026145033</v>
      </c>
      <c r="K127" s="230">
        <f>(SUM('1.  LRAMVA Summary'!F$54:F$74)+SUM('1.  LRAMVA Summary'!F$75:F$76)*(MONTH($E127)-1)/12)*$H127</f>
        <v>18.119281545421082</v>
      </c>
      <c r="L127" s="230">
        <f>(SUM('1.  LRAMVA Summary'!G$54:G$74)+SUM('1.  LRAMVA Summary'!G$75:G$76)*(MONTH($E127)-1)/12)*$H127</f>
        <v>-4.1544221249999999E-2</v>
      </c>
      <c r="M127" s="230">
        <f>(SUM('1.  LRAMVA Summary'!H$54:H$74)+SUM('1.  LRAMVA Summary'!H$75:H$76)*(MONTH($E127)-1)/12)*$H127</f>
        <v>2.0570177439577297</v>
      </c>
      <c r="N127" s="230">
        <f>(SUM('1.  LRAMVA Summary'!I$54:I$74)+SUM('1.  LRAMVA Summary'!I$75:I$76)*(MONTH($E127)-1)/12)*$H127</f>
        <v>0.3408862401096423</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62.425481183344857</v>
      </c>
    </row>
    <row r="128" spans="2:23" s="9" customFormat="1">
      <c r="B128" s="66"/>
      <c r="E128" s="214">
        <v>43344</v>
      </c>
      <c r="F128" s="214" t="s">
        <v>185</v>
      </c>
      <c r="G128" s="215" t="s">
        <v>68</v>
      </c>
      <c r="H128" s="240">
        <f t="shared" si="65"/>
        <v>1.575E-3</v>
      </c>
      <c r="I128" s="230">
        <f>(SUM('1.  LRAMVA Summary'!D$54:D$74)+SUM('1.  LRAMVA Summary'!D$75:D$76)*(MONTH($E128)-1)/12)*$H128</f>
        <v>13.362071827384428</v>
      </c>
      <c r="J128" s="230">
        <f>(SUM('1.  LRAMVA Summary'!E$54:E$74)+SUM('1.  LRAMVA Summary'!E$75:E$76)*(MONTH($E128)-1)/12)*$H128</f>
        <v>34.580602315594319</v>
      </c>
      <c r="K128" s="230">
        <f>(SUM('1.  LRAMVA Summary'!F$54:F$74)+SUM('1.  LRAMVA Summary'!F$75:F$76)*(MONTH($E128)-1)/12)*$H128</f>
        <v>20.707750337624095</v>
      </c>
      <c r="L128" s="230">
        <f>(SUM('1.  LRAMVA Summary'!G$54:G$74)+SUM('1.  LRAMVA Summary'!G$75:G$76)*(MONTH($E128)-1)/12)*$H128</f>
        <v>-4.7479110000000005E-2</v>
      </c>
      <c r="M128" s="230">
        <f>(SUM('1.  LRAMVA Summary'!H$54:H$74)+SUM('1.  LRAMVA Summary'!H$75:H$76)*(MONTH($E128)-1)/12)*$H128</f>
        <v>2.3508774216659769</v>
      </c>
      <c r="N128" s="230">
        <f>(SUM('1.  LRAMVA Summary'!I$54:I$74)+SUM('1.  LRAMVA Summary'!I$75:I$76)*(MONTH($E128)-1)/12)*$H128</f>
        <v>0.38958427441101978</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71.343407066679831</v>
      </c>
    </row>
    <row r="129" spans="2:23" s="9" customFormat="1">
      <c r="B129" s="66"/>
      <c r="E129" s="214">
        <v>43374</v>
      </c>
      <c r="F129" s="214" t="s">
        <v>185</v>
      </c>
      <c r="G129" s="215" t="s">
        <v>69</v>
      </c>
      <c r="H129" s="240">
        <f>$C$46/12</f>
        <v>1.8083333333333335E-3</v>
      </c>
      <c r="I129" s="230">
        <f>(SUM('1.  LRAMVA Summary'!D$54:D$74)+SUM('1.  LRAMVA Summary'!D$75:D$76)*(MONTH($E129)-1)/12)*$H129</f>
        <v>17.259342777038221</v>
      </c>
      <c r="J129" s="230">
        <f>(SUM('1.  LRAMVA Summary'!E$54:E$74)+SUM('1.  LRAMVA Summary'!E$75:E$76)*(MONTH($E129)-1)/12)*$H129</f>
        <v>44.666611324309336</v>
      </c>
      <c r="K129" s="230">
        <f>(SUM('1.  LRAMVA Summary'!F$54:F$74)+SUM('1.  LRAMVA Summary'!F$75:F$76)*(MONTH($E129)-1)/12)*$H129</f>
        <v>26.747510852764457</v>
      </c>
      <c r="L129" s="230">
        <f>(SUM('1.  LRAMVA Summary'!G$54:G$74)+SUM('1.  LRAMVA Summary'!G$75:G$76)*(MONTH($E129)-1)/12)*$H129</f>
        <v>-6.1327183750000014E-2</v>
      </c>
      <c r="M129" s="230">
        <f>(SUM('1.  LRAMVA Summary'!H$54:H$74)+SUM('1.  LRAMVA Summary'!H$75:H$76)*(MONTH($E129)-1)/12)*$H129</f>
        <v>3.0365500029852202</v>
      </c>
      <c r="N129" s="230">
        <f>(SUM('1.  LRAMVA Summary'!I$54:I$74)+SUM('1.  LRAMVA Summary'!I$75:I$76)*(MONTH($E129)-1)/12)*$H129</f>
        <v>0.50321302111423383</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92.151900794461469</v>
      </c>
    </row>
    <row r="130" spans="2:23" s="9" customFormat="1">
      <c r="B130" s="66"/>
      <c r="E130" s="214">
        <v>43405</v>
      </c>
      <c r="F130" s="214" t="s">
        <v>185</v>
      </c>
      <c r="G130" s="215" t="s">
        <v>69</v>
      </c>
      <c r="H130" s="240">
        <f t="shared" ref="H130:H131" si="66">$C$46/12</f>
        <v>1.8083333333333335E-3</v>
      </c>
      <c r="I130" s="230">
        <f>(SUM('1.  LRAMVA Summary'!D$54:D$74)+SUM('1.  LRAMVA Summary'!D$75:D$76)*(MONTH($E130)-1)/12)*$H130</f>
        <v>19.177047530042469</v>
      </c>
      <c r="J130" s="230">
        <f>(SUM('1.  LRAMVA Summary'!E$54:E$74)+SUM('1.  LRAMVA Summary'!E$75:E$76)*(MONTH($E130)-1)/12)*$H130</f>
        <v>49.629568138121492</v>
      </c>
      <c r="K130" s="230">
        <f>(SUM('1.  LRAMVA Summary'!F$54:F$74)+SUM('1.  LRAMVA Summary'!F$75:F$76)*(MONTH($E130)-1)/12)*$H130</f>
        <v>29.719456503071619</v>
      </c>
      <c r="L130" s="230">
        <f>(SUM('1.  LRAMVA Summary'!G$54:G$74)+SUM('1.  LRAMVA Summary'!G$75:G$76)*(MONTH($E130)-1)/12)*$H130</f>
        <v>-6.8141315277777795E-2</v>
      </c>
      <c r="M130" s="230">
        <f>(SUM('1.  LRAMVA Summary'!H$54:H$74)+SUM('1.  LRAMVA Summary'!H$75:H$76)*(MONTH($E130)-1)/12)*$H130</f>
        <v>3.3739444477613558</v>
      </c>
      <c r="N130" s="230">
        <f>(SUM('1.  LRAMVA Summary'!I$54:I$74)+SUM('1.  LRAMVA Summary'!I$75:I$76)*(MONTH($E130)-1)/12)*$H130</f>
        <v>0.55912557901581539</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102.39100088273497</v>
      </c>
    </row>
    <row r="131" spans="2:23" s="9" customFormat="1">
      <c r="B131" s="66"/>
      <c r="E131" s="214">
        <v>43435</v>
      </c>
      <c r="F131" s="214" t="s">
        <v>185</v>
      </c>
      <c r="G131" s="215" t="s">
        <v>69</v>
      </c>
      <c r="H131" s="240">
        <f t="shared" si="66"/>
        <v>1.8083333333333335E-3</v>
      </c>
      <c r="I131" s="230">
        <f>(SUM('1.  LRAMVA Summary'!D$54:D$74)+SUM('1.  LRAMVA Summary'!D$75:D$76)*(MONTH($E131)-1)/12)*$H131</f>
        <v>21.094752283046713</v>
      </c>
      <c r="J131" s="230">
        <f>(SUM('1.  LRAMVA Summary'!E$54:E$74)+SUM('1.  LRAMVA Summary'!E$75:E$76)*(MONTH($E131)-1)/12)*$H131</f>
        <v>54.592524951933633</v>
      </c>
      <c r="K131" s="230">
        <f>(SUM('1.  LRAMVA Summary'!F$54:F$74)+SUM('1.  LRAMVA Summary'!F$75:F$76)*(MONTH($E131)-1)/12)*$H131</f>
        <v>32.691402153378782</v>
      </c>
      <c r="L131" s="230">
        <f>(SUM('1.  LRAMVA Summary'!G$54:G$74)+SUM('1.  LRAMVA Summary'!G$75:G$76)*(MONTH($E131)-1)/12)*$H131</f>
        <v>-7.4955446805555562E-2</v>
      </c>
      <c r="M131" s="230">
        <f>(SUM('1.  LRAMVA Summary'!H$54:H$74)+SUM('1.  LRAMVA Summary'!H$75:H$76)*(MONTH($E131)-1)/12)*$H131</f>
        <v>3.7113388925374911</v>
      </c>
      <c r="N131" s="230">
        <f>(SUM('1.  LRAMVA Summary'!I$54:I$74)+SUM('1.  LRAMVA Summary'!I$75:I$76)*(MONTH($E131)-1)/12)*$H131</f>
        <v>0.61503813691739695</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112.63010097100846</v>
      </c>
    </row>
    <row r="132" spans="2:23" s="9" customFormat="1" ht="15.75" thickBot="1">
      <c r="B132" s="66"/>
      <c r="E132" s="216" t="s">
        <v>467</v>
      </c>
      <c r="F132" s="216"/>
      <c r="G132" s="217"/>
      <c r="H132" s="218"/>
      <c r="I132" s="219">
        <f>SUM(I119:I131)</f>
        <v>116.62649596957164</v>
      </c>
      <c r="J132" s="219">
        <f>SUM(J119:J131)</f>
        <v>301.82553489345128</v>
      </c>
      <c r="K132" s="219">
        <f t="shared" ref="K132:O132" si="67">SUM(K119:K131)</f>
        <v>180.74086058573096</v>
      </c>
      <c r="L132" s="219">
        <f t="shared" si="67"/>
        <v>-0.41440596208333336</v>
      </c>
      <c r="M132" s="219">
        <f t="shared" si="67"/>
        <v>20.518868606961572</v>
      </c>
      <c r="N132" s="219">
        <f t="shared" si="67"/>
        <v>3.400359569710468</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622.6977136633426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116.62649596957164</v>
      </c>
      <c r="J134" s="228">
        <f t="shared" ref="J134" si="69">J132+J133</f>
        <v>301.82553489345128</v>
      </c>
      <c r="K134" s="228">
        <f t="shared" ref="K134" si="70">K132+K133</f>
        <v>180.74086058573096</v>
      </c>
      <c r="L134" s="228">
        <f t="shared" ref="L134" si="71">L132+L133</f>
        <v>-0.41440596208333336</v>
      </c>
      <c r="M134" s="228">
        <f t="shared" ref="M134" si="72">M132+M133</f>
        <v>20.518868606961572</v>
      </c>
      <c r="N134" s="228">
        <f t="shared" ref="N134" si="73">N132+N133</f>
        <v>3.400359569710468</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622.6977136633426</v>
      </c>
    </row>
    <row r="135" spans="2:23" s="9" customFormat="1">
      <c r="B135" s="66"/>
      <c r="E135" s="214">
        <v>43466</v>
      </c>
      <c r="F135" s="214" t="s">
        <v>186</v>
      </c>
      <c r="G135" s="215" t="s">
        <v>65</v>
      </c>
      <c r="H135" s="240">
        <f>$C$47/12</f>
        <v>2.0416666666666669E-3</v>
      </c>
      <c r="I135" s="230">
        <f>(SUM('1.  LRAMVA Summary'!D$54:D$77)+SUM('1.  LRAMVA Summary'!D$78:D$79)*(MONTH($E135)-1)/12)*$H135</f>
        <v>25.981806331025279</v>
      </c>
      <c r="J135" s="230">
        <f>(SUM('1.  LRAMVA Summary'!E$54:E$77)+SUM('1.  LRAMVA Summary'!E$78:E$79)*(MONTH($E135)-1)/12)*$H135</f>
        <v>67.240060058100084</v>
      </c>
      <c r="K135" s="230">
        <f>(SUM('1.  LRAMVA Summary'!F$54:F$77)+SUM('1.  LRAMVA Summary'!F$78:F$79)*(MONTH($E135)-1)/12)*$H135</f>
        <v>40.265070100935745</v>
      </c>
      <c r="L135" s="230">
        <f>(SUM('1.  LRAMVA Summary'!G$54:G$77)+SUM('1.  LRAMVA Summary'!G$78:G$79)*(MONTH($E135)-1)/12)*$H135</f>
        <v>-9.2320491666666685E-2</v>
      </c>
      <c r="M135" s="230">
        <f>(SUM('1.  LRAMVA Summary'!H$54:H$77)+SUM('1.  LRAMVA Summary'!H$78:H$79)*(MONTH($E135)-1)/12)*$H135</f>
        <v>4.5711505421282883</v>
      </c>
      <c r="N135" s="230">
        <f>(SUM('1.  LRAMVA Summary'!I$54:I$77)+SUM('1.  LRAMVA Summary'!I$78:I$79)*(MONTH($E135)-1)/12)*$H135</f>
        <v>0.75752497802142738</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138.72329151854416</v>
      </c>
    </row>
    <row r="136" spans="2:23" s="9" customFormat="1">
      <c r="B136" s="66"/>
      <c r="E136" s="214">
        <v>43497</v>
      </c>
      <c r="F136" s="214" t="s">
        <v>186</v>
      </c>
      <c r="G136" s="215" t="s">
        <v>65</v>
      </c>
      <c r="H136" s="240">
        <f t="shared" ref="H136:H137" si="75">$C$47/12</f>
        <v>2.0416666666666669E-3</v>
      </c>
      <c r="I136" s="230">
        <f>(SUM('1.  LRAMVA Summary'!D$54:D$77)+SUM('1.  LRAMVA Summary'!D$78:D$79)*(MONTH($E136)-1)/12)*$H136</f>
        <v>25.981806331025279</v>
      </c>
      <c r="J136" s="230">
        <f>(SUM('1.  LRAMVA Summary'!E$54:E$77)+SUM('1.  LRAMVA Summary'!E$78:E$79)*(MONTH($E136)-1)/12)*$H136</f>
        <v>67.240060058100084</v>
      </c>
      <c r="K136" s="230">
        <f>(SUM('1.  LRAMVA Summary'!F$54:F$77)+SUM('1.  LRAMVA Summary'!F$78:F$79)*(MONTH($E136)-1)/12)*$H136</f>
        <v>40.265070100935745</v>
      </c>
      <c r="L136" s="230">
        <f>(SUM('1.  LRAMVA Summary'!G$54:G$77)+SUM('1.  LRAMVA Summary'!G$78:G$79)*(MONTH($E136)-1)/12)*$H136</f>
        <v>-9.2320491666666685E-2</v>
      </c>
      <c r="M136" s="230">
        <f>(SUM('1.  LRAMVA Summary'!H$54:H$77)+SUM('1.  LRAMVA Summary'!H$78:H$79)*(MONTH($E136)-1)/12)*$H136</f>
        <v>4.5711505421282883</v>
      </c>
      <c r="N136" s="230">
        <f>(SUM('1.  LRAMVA Summary'!I$54:I$77)+SUM('1.  LRAMVA Summary'!I$78:I$79)*(MONTH($E136)-1)/12)*$H136</f>
        <v>0.75752497802142738</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138.72329151854416</v>
      </c>
    </row>
    <row r="137" spans="2:23" s="9" customFormat="1">
      <c r="B137" s="66"/>
      <c r="E137" s="214">
        <v>43525</v>
      </c>
      <c r="F137" s="214" t="s">
        <v>186</v>
      </c>
      <c r="G137" s="215" t="s">
        <v>65</v>
      </c>
      <c r="H137" s="240">
        <f t="shared" si="75"/>
        <v>2.0416666666666669E-3</v>
      </c>
      <c r="I137" s="230">
        <f>(SUM('1.  LRAMVA Summary'!D$54:D$77)+SUM('1.  LRAMVA Summary'!D$78:D$79)*(MONTH($E137)-1)/12)*$H137</f>
        <v>25.981806331025279</v>
      </c>
      <c r="J137" s="230">
        <f>(SUM('1.  LRAMVA Summary'!E$54:E$77)+SUM('1.  LRAMVA Summary'!E$78:E$79)*(MONTH($E137)-1)/12)*$H137</f>
        <v>67.240060058100084</v>
      </c>
      <c r="K137" s="230">
        <f>(SUM('1.  LRAMVA Summary'!F$54:F$77)+SUM('1.  LRAMVA Summary'!F$78:F$79)*(MONTH($E137)-1)/12)*$H137</f>
        <v>40.265070100935745</v>
      </c>
      <c r="L137" s="230">
        <f>(SUM('1.  LRAMVA Summary'!G$54:G$77)+SUM('1.  LRAMVA Summary'!G$78:G$79)*(MONTH($E137)-1)/12)*$H137</f>
        <v>-9.2320491666666685E-2</v>
      </c>
      <c r="M137" s="230">
        <f>(SUM('1.  LRAMVA Summary'!H$54:H$77)+SUM('1.  LRAMVA Summary'!H$78:H$79)*(MONTH($E137)-1)/12)*$H137</f>
        <v>4.5711505421282883</v>
      </c>
      <c r="N137" s="230">
        <f>(SUM('1.  LRAMVA Summary'!I$54:I$77)+SUM('1.  LRAMVA Summary'!I$78:I$79)*(MONTH($E137)-1)/12)*$H137</f>
        <v>0.75752497802142738</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138.72329151854416</v>
      </c>
    </row>
    <row r="138" spans="2:23" s="8" customFormat="1">
      <c r="B138" s="239"/>
      <c r="E138" s="214">
        <v>43556</v>
      </c>
      <c r="F138" s="214" t="s">
        <v>186</v>
      </c>
      <c r="G138" s="215" t="s">
        <v>66</v>
      </c>
      <c r="H138" s="240">
        <f>$C$48/12</f>
        <v>1.8166666666666667E-3</v>
      </c>
      <c r="I138" s="230">
        <f>(SUM('1.  LRAMVA Summary'!D$54:D$77)+SUM('1.  LRAMVA Summary'!D$78:D$79)*(MONTH($E138)-1)/12)*$H138</f>
        <v>23.118505225157186</v>
      </c>
      <c r="J138" s="230">
        <f>(SUM('1.  LRAMVA Summary'!E$54:E$77)+SUM('1.  LRAMVA Summary'!E$78:E$79)*(MONTH($E138)-1)/12)*$H138</f>
        <v>59.829930990472718</v>
      </c>
      <c r="K138" s="230">
        <f>(SUM('1.  LRAMVA Summary'!F$54:F$77)+SUM('1.  LRAMVA Summary'!F$78:F$79)*(MONTH($E138)-1)/12)*$H138</f>
        <v>35.827695028587719</v>
      </c>
      <c r="L138" s="230">
        <f>(SUM('1.  LRAMVA Summary'!G$54:G$77)+SUM('1.  LRAMVA Summary'!G$78:G$79)*(MONTH($E138)-1)/12)*$H138</f>
        <v>-8.2146396666666677E-2</v>
      </c>
      <c r="M138" s="230">
        <f>(SUM('1.  LRAMVA Summary'!H$54:H$77)+SUM('1.  LRAMVA Summary'!H$78:H$79)*(MONTH($E138)-1)/12)*$H138</f>
        <v>4.0673910946284364</v>
      </c>
      <c r="N138" s="230">
        <f>(SUM('1.  LRAMVA Summary'!I$54:I$77)+SUM('1.  LRAMVA Summary'!I$78:I$79)*(MONTH($E138)-1)/12)*$H138</f>
        <v>0.67404263350478022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123.43541857568417</v>
      </c>
    </row>
    <row r="139" spans="2:23" s="9" customFormat="1">
      <c r="B139" s="66"/>
      <c r="E139" s="214">
        <v>43586</v>
      </c>
      <c r="F139" s="214" t="s">
        <v>186</v>
      </c>
      <c r="G139" s="215" t="s">
        <v>66</v>
      </c>
      <c r="H139" s="240">
        <f>$C$48/12</f>
        <v>1.8166666666666667E-3</v>
      </c>
      <c r="I139" s="230">
        <f>(SUM('1.  LRAMVA Summary'!D$54:D$77)+SUM('1.  LRAMVA Summary'!D$78:D$79)*(MONTH($E139)-1)/12)*$H139</f>
        <v>23.118505225157186</v>
      </c>
      <c r="J139" s="230">
        <f>(SUM('1.  LRAMVA Summary'!E$54:E$77)+SUM('1.  LRAMVA Summary'!E$78:E$79)*(MONTH($E139)-1)/12)*$H139</f>
        <v>59.829930990472718</v>
      </c>
      <c r="K139" s="230">
        <f>(SUM('1.  LRAMVA Summary'!F$54:F$77)+SUM('1.  LRAMVA Summary'!F$78:F$79)*(MONTH($E139)-1)/12)*$H139</f>
        <v>35.827695028587719</v>
      </c>
      <c r="L139" s="230">
        <f>(SUM('1.  LRAMVA Summary'!G$54:G$77)+SUM('1.  LRAMVA Summary'!G$78:G$79)*(MONTH($E139)-1)/12)*$H139</f>
        <v>-8.2146396666666677E-2</v>
      </c>
      <c r="M139" s="230">
        <f>(SUM('1.  LRAMVA Summary'!H$54:H$77)+SUM('1.  LRAMVA Summary'!H$78:H$79)*(MONTH($E139)-1)/12)*$H139</f>
        <v>4.0673910946284364</v>
      </c>
      <c r="N139" s="230">
        <f>(SUM('1.  LRAMVA Summary'!I$54:I$77)+SUM('1.  LRAMVA Summary'!I$78:I$79)*(MONTH($E139)-1)/12)*$H139</f>
        <v>0.67404263350478022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123.43541857568417</v>
      </c>
    </row>
    <row r="140" spans="2:23" s="9" customFormat="1">
      <c r="B140" s="66"/>
      <c r="E140" s="214">
        <v>43617</v>
      </c>
      <c r="F140" s="214" t="s">
        <v>186</v>
      </c>
      <c r="G140" s="215" t="s">
        <v>66</v>
      </c>
      <c r="H140" s="240">
        <f t="shared" ref="H140" si="77">$C$48/12</f>
        <v>1.8166666666666667E-3</v>
      </c>
      <c r="I140" s="230">
        <f>(SUM('1.  LRAMVA Summary'!D$54:D$77)+SUM('1.  LRAMVA Summary'!D$78:D$79)*(MONTH($E140)-1)/12)*$H140</f>
        <v>23.118505225157186</v>
      </c>
      <c r="J140" s="230">
        <f>(SUM('1.  LRAMVA Summary'!E$54:E$77)+SUM('1.  LRAMVA Summary'!E$78:E$79)*(MONTH($E140)-1)/12)*$H140</f>
        <v>59.829930990472718</v>
      </c>
      <c r="K140" s="230">
        <f>(SUM('1.  LRAMVA Summary'!F$54:F$77)+SUM('1.  LRAMVA Summary'!F$78:F$79)*(MONTH($E140)-1)/12)*$H140</f>
        <v>35.827695028587719</v>
      </c>
      <c r="L140" s="230">
        <f>(SUM('1.  LRAMVA Summary'!G$54:G$77)+SUM('1.  LRAMVA Summary'!G$78:G$79)*(MONTH($E140)-1)/12)*$H140</f>
        <v>-8.2146396666666677E-2</v>
      </c>
      <c r="M140" s="230">
        <f>(SUM('1.  LRAMVA Summary'!H$54:H$77)+SUM('1.  LRAMVA Summary'!H$78:H$79)*(MONTH($E140)-1)/12)*$H140</f>
        <v>4.0673910946284364</v>
      </c>
      <c r="N140" s="230">
        <f>(SUM('1.  LRAMVA Summary'!I$54:I$77)+SUM('1.  LRAMVA Summary'!I$78:I$79)*(MONTH($E140)-1)/12)*$H140</f>
        <v>0.67404263350478022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123.43541857568417</v>
      </c>
    </row>
    <row r="141" spans="2:23" s="9" customFormat="1">
      <c r="B141" s="66"/>
      <c r="E141" s="214">
        <v>43647</v>
      </c>
      <c r="F141" s="214" t="s">
        <v>186</v>
      </c>
      <c r="G141" s="215" t="s">
        <v>68</v>
      </c>
      <c r="H141" s="240">
        <f>$C$49/12</f>
        <v>1.8166666666666667E-3</v>
      </c>
      <c r="I141" s="230">
        <f>(SUM('1.  LRAMVA Summary'!D$54:D$77)+SUM('1.  LRAMVA Summary'!D$78:D$79)*(MONTH($E141)-1)/12)*$H141</f>
        <v>23.118505225157186</v>
      </c>
      <c r="J141" s="230">
        <f>(SUM('1.  LRAMVA Summary'!E$54:E$77)+SUM('1.  LRAMVA Summary'!E$78:E$79)*(MONTH($E141)-1)/12)*$H141</f>
        <v>59.829930990472718</v>
      </c>
      <c r="K141" s="230">
        <f>(SUM('1.  LRAMVA Summary'!F$54:F$77)+SUM('1.  LRAMVA Summary'!F$78:F$79)*(MONTH($E141)-1)/12)*$H141</f>
        <v>35.827695028587719</v>
      </c>
      <c r="L141" s="230">
        <f>(SUM('1.  LRAMVA Summary'!G$54:G$77)+SUM('1.  LRAMVA Summary'!G$78:G$79)*(MONTH($E141)-1)/12)*$H141</f>
        <v>-8.2146396666666677E-2</v>
      </c>
      <c r="M141" s="230">
        <f>(SUM('1.  LRAMVA Summary'!H$54:H$77)+SUM('1.  LRAMVA Summary'!H$78:H$79)*(MONTH($E141)-1)/12)*$H141</f>
        <v>4.0673910946284364</v>
      </c>
      <c r="N141" s="230">
        <f>(SUM('1.  LRAMVA Summary'!I$54:I$77)+SUM('1.  LRAMVA Summary'!I$78:I$79)*(MONTH($E141)-1)/12)*$H141</f>
        <v>0.67404263350478022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123.43541857568417</v>
      </c>
    </row>
    <row r="142" spans="2:23" s="9" customFormat="1">
      <c r="B142" s="66"/>
      <c r="E142" s="214">
        <v>43678</v>
      </c>
      <c r="F142" s="214" t="s">
        <v>186</v>
      </c>
      <c r="G142" s="215" t="s">
        <v>68</v>
      </c>
      <c r="H142" s="240">
        <f t="shared" ref="H142" si="78">$C$49/12</f>
        <v>1.8166666666666667E-3</v>
      </c>
      <c r="I142" s="230">
        <f>(SUM('1.  LRAMVA Summary'!D$54:D$77)+SUM('1.  LRAMVA Summary'!D$78:D$79)*(MONTH($E142)-1)/12)*$H142</f>
        <v>23.118505225157186</v>
      </c>
      <c r="J142" s="230">
        <f>(SUM('1.  LRAMVA Summary'!E$54:E$77)+SUM('1.  LRAMVA Summary'!E$78:E$79)*(MONTH($E142)-1)/12)*$H142</f>
        <v>59.829930990472718</v>
      </c>
      <c r="K142" s="230">
        <f>(SUM('1.  LRAMVA Summary'!F$54:F$77)+SUM('1.  LRAMVA Summary'!F$78:F$79)*(MONTH($E142)-1)/12)*$H142</f>
        <v>35.827695028587719</v>
      </c>
      <c r="L142" s="230">
        <f>(SUM('1.  LRAMVA Summary'!G$54:G$77)+SUM('1.  LRAMVA Summary'!G$78:G$79)*(MONTH($E142)-1)/12)*$H142</f>
        <v>-8.2146396666666677E-2</v>
      </c>
      <c r="M142" s="230">
        <f>(SUM('1.  LRAMVA Summary'!H$54:H$77)+SUM('1.  LRAMVA Summary'!H$78:H$79)*(MONTH($E142)-1)/12)*$H142</f>
        <v>4.0673910946284364</v>
      </c>
      <c r="N142" s="230">
        <f>(SUM('1.  LRAMVA Summary'!I$54:I$77)+SUM('1.  LRAMVA Summary'!I$78:I$79)*(MONTH($E142)-1)/12)*$H142</f>
        <v>0.67404263350478022</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123.43541857568417</v>
      </c>
    </row>
    <row r="143" spans="2:23" s="9" customFormat="1">
      <c r="B143" s="66"/>
      <c r="E143" s="214">
        <v>43709</v>
      </c>
      <c r="F143" s="214" t="s">
        <v>186</v>
      </c>
      <c r="G143" s="215" t="s">
        <v>68</v>
      </c>
      <c r="H143" s="240">
        <f>$C$49/12</f>
        <v>1.8166666666666667E-3</v>
      </c>
      <c r="I143" s="230">
        <f>(SUM('1.  LRAMVA Summary'!D$54:D$77)+SUM('1.  LRAMVA Summary'!D$78:D$79)*(MONTH($E143)-1)/12)*$H143</f>
        <v>23.118505225157186</v>
      </c>
      <c r="J143" s="230">
        <f>(SUM('1.  LRAMVA Summary'!E$54:E$77)+SUM('1.  LRAMVA Summary'!E$78:E$79)*(MONTH($E143)-1)/12)*$H143</f>
        <v>59.829930990472718</v>
      </c>
      <c r="K143" s="230">
        <f>(SUM('1.  LRAMVA Summary'!F$54:F$77)+SUM('1.  LRAMVA Summary'!F$78:F$79)*(MONTH($E143)-1)/12)*$H143</f>
        <v>35.827695028587719</v>
      </c>
      <c r="L143" s="230">
        <f>(SUM('1.  LRAMVA Summary'!G$54:G$77)+SUM('1.  LRAMVA Summary'!G$78:G$79)*(MONTH($E143)-1)/12)*$H143</f>
        <v>-8.2146396666666677E-2</v>
      </c>
      <c r="M143" s="230">
        <f>(SUM('1.  LRAMVA Summary'!H$54:H$77)+SUM('1.  LRAMVA Summary'!H$78:H$79)*(MONTH($E143)-1)/12)*$H143</f>
        <v>4.0673910946284364</v>
      </c>
      <c r="N143" s="230">
        <f>(SUM('1.  LRAMVA Summary'!I$54:I$77)+SUM('1.  LRAMVA Summary'!I$78:I$79)*(MONTH($E143)-1)/12)*$H143</f>
        <v>0.67404263350478022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123.43541857568417</v>
      </c>
    </row>
    <row r="144" spans="2:23" s="9" customFormat="1">
      <c r="B144" s="66"/>
      <c r="E144" s="214">
        <v>43739</v>
      </c>
      <c r="F144" s="214" t="s">
        <v>186</v>
      </c>
      <c r="G144" s="215" t="s">
        <v>69</v>
      </c>
      <c r="H144" s="240">
        <f>$C$50/12</f>
        <v>1.8166666666666667E-3</v>
      </c>
      <c r="I144" s="230">
        <f>(SUM('1.  LRAMVA Summary'!D$54:D$77)+SUM('1.  LRAMVA Summary'!D$78:D$79)*(MONTH($E144)-1)/12)*$H144</f>
        <v>23.118505225157186</v>
      </c>
      <c r="J144" s="230">
        <f>(SUM('1.  LRAMVA Summary'!E$54:E$77)+SUM('1.  LRAMVA Summary'!E$78:E$79)*(MONTH($E144)-1)/12)*$H144</f>
        <v>59.829930990472718</v>
      </c>
      <c r="K144" s="230">
        <f>(SUM('1.  LRAMVA Summary'!F$54:F$77)+SUM('1.  LRAMVA Summary'!F$78:F$79)*(MONTH($E144)-1)/12)*$H144</f>
        <v>35.827695028587719</v>
      </c>
      <c r="L144" s="230">
        <f>(SUM('1.  LRAMVA Summary'!G$54:G$77)+SUM('1.  LRAMVA Summary'!G$78:G$79)*(MONTH($E144)-1)/12)*$H144</f>
        <v>-8.2146396666666677E-2</v>
      </c>
      <c r="M144" s="230">
        <f>(SUM('1.  LRAMVA Summary'!H$54:H$77)+SUM('1.  LRAMVA Summary'!H$78:H$79)*(MONTH($E144)-1)/12)*$H144</f>
        <v>4.0673910946284364</v>
      </c>
      <c r="N144" s="230">
        <f>(SUM('1.  LRAMVA Summary'!I$54:I$77)+SUM('1.  LRAMVA Summary'!I$78:I$79)*(MONTH($E144)-1)/12)*$H144</f>
        <v>0.67404263350478022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123.43541857568417</v>
      </c>
    </row>
    <row r="145" spans="2:23" s="9" customFormat="1">
      <c r="B145" s="66"/>
      <c r="E145" s="214">
        <v>43770</v>
      </c>
      <c r="F145" s="214" t="s">
        <v>186</v>
      </c>
      <c r="G145" s="215" t="s">
        <v>69</v>
      </c>
      <c r="H145" s="240">
        <f t="shared" ref="H145:H146" si="79">$C$50/12</f>
        <v>1.8166666666666667E-3</v>
      </c>
      <c r="I145" s="230">
        <f>(SUM('1.  LRAMVA Summary'!D$54:D$77)+SUM('1.  LRAMVA Summary'!D$78:D$79)*(MONTH($E145)-1)/12)*$H145</f>
        <v>23.118505225157186</v>
      </c>
      <c r="J145" s="230">
        <f>(SUM('1.  LRAMVA Summary'!E$54:E$77)+SUM('1.  LRAMVA Summary'!E$78:E$79)*(MONTH($E145)-1)/12)*$H145</f>
        <v>59.829930990472718</v>
      </c>
      <c r="K145" s="230">
        <f>(SUM('1.  LRAMVA Summary'!F$54:F$77)+SUM('1.  LRAMVA Summary'!F$78:F$79)*(MONTH($E145)-1)/12)*$H145</f>
        <v>35.827695028587719</v>
      </c>
      <c r="L145" s="230">
        <f>(SUM('1.  LRAMVA Summary'!G$54:G$77)+SUM('1.  LRAMVA Summary'!G$78:G$79)*(MONTH($E145)-1)/12)*$H145</f>
        <v>-8.2146396666666677E-2</v>
      </c>
      <c r="M145" s="230">
        <f>(SUM('1.  LRAMVA Summary'!H$54:H$77)+SUM('1.  LRAMVA Summary'!H$78:H$79)*(MONTH($E145)-1)/12)*$H145</f>
        <v>4.0673910946284364</v>
      </c>
      <c r="N145" s="230">
        <f>(SUM('1.  LRAMVA Summary'!I$54:I$77)+SUM('1.  LRAMVA Summary'!I$78:I$79)*(MONTH($E145)-1)/12)*$H145</f>
        <v>0.67404263350478022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123.43541857568417</v>
      </c>
    </row>
    <row r="146" spans="2:23" s="9" customFormat="1">
      <c r="B146" s="66"/>
      <c r="E146" s="214">
        <v>43800</v>
      </c>
      <c r="F146" s="214" t="s">
        <v>186</v>
      </c>
      <c r="G146" s="215" t="s">
        <v>69</v>
      </c>
      <c r="H146" s="240">
        <f t="shared" si="79"/>
        <v>1.8166666666666667E-3</v>
      </c>
      <c r="I146" s="230">
        <f>(SUM('1.  LRAMVA Summary'!D$54:D$77)+SUM('1.  LRAMVA Summary'!D$78:D$79)*(MONTH($E146)-1)/12)*$H146</f>
        <v>23.118505225157186</v>
      </c>
      <c r="J146" s="230">
        <f>(SUM('1.  LRAMVA Summary'!E$54:E$77)+SUM('1.  LRAMVA Summary'!E$78:E$79)*(MONTH($E146)-1)/12)*$H146</f>
        <v>59.829930990472718</v>
      </c>
      <c r="K146" s="230">
        <f>(SUM('1.  LRAMVA Summary'!F$54:F$77)+SUM('1.  LRAMVA Summary'!F$78:F$79)*(MONTH($E146)-1)/12)*$H146</f>
        <v>35.827695028587719</v>
      </c>
      <c r="L146" s="230">
        <f>(SUM('1.  LRAMVA Summary'!G$54:G$77)+SUM('1.  LRAMVA Summary'!G$78:G$79)*(MONTH($E146)-1)/12)*$H146</f>
        <v>-8.2146396666666677E-2</v>
      </c>
      <c r="M146" s="230">
        <f>(SUM('1.  LRAMVA Summary'!H$54:H$77)+SUM('1.  LRAMVA Summary'!H$78:H$79)*(MONTH($E146)-1)/12)*$H146</f>
        <v>4.0673910946284364</v>
      </c>
      <c r="N146" s="230">
        <f>(SUM('1.  LRAMVA Summary'!I$54:I$77)+SUM('1.  LRAMVA Summary'!I$78:I$79)*(MONTH($E146)-1)/12)*$H146</f>
        <v>0.67404263350478022</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123.43541857568417</v>
      </c>
    </row>
    <row r="147" spans="2:23" s="9" customFormat="1" ht="15.75" thickBot="1">
      <c r="B147" s="66"/>
      <c r="E147" s="216" t="s">
        <v>468</v>
      </c>
      <c r="F147" s="216"/>
      <c r="G147" s="217"/>
      <c r="H147" s="218"/>
      <c r="I147" s="219">
        <f>SUM(I134:I146)</f>
        <v>402.63846198906225</v>
      </c>
      <c r="J147" s="219">
        <f>SUM(J134:J146)</f>
        <v>1042.0150939820057</v>
      </c>
      <c r="K147" s="219">
        <f t="shared" ref="K147:O147" si="80">SUM(K134:K146)</f>
        <v>623.98532614582768</v>
      </c>
      <c r="L147" s="219">
        <f t="shared" si="80"/>
        <v>-1.4306850070833335</v>
      </c>
      <c r="M147" s="219">
        <f t="shared" si="80"/>
        <v>70.838840085002346</v>
      </c>
      <c r="N147" s="219">
        <f t="shared" si="80"/>
        <v>11.739318205317769</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2149.7863554001333</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402.63846198906225</v>
      </c>
      <c r="J149" s="228">
        <f t="shared" ref="J149" si="82">J147+J148</f>
        <v>1042.0150939820057</v>
      </c>
      <c r="K149" s="228">
        <f t="shared" ref="K149" si="83">K147+K148</f>
        <v>623.98532614582768</v>
      </c>
      <c r="L149" s="228">
        <f t="shared" ref="L149" si="84">L147+L148</f>
        <v>-1.4306850070833335</v>
      </c>
      <c r="M149" s="228">
        <f t="shared" ref="M149" si="85">M147+M148</f>
        <v>70.838840085002346</v>
      </c>
      <c r="N149" s="228">
        <f t="shared" ref="N149" si="86">N147+N148</f>
        <v>11.739318205317769</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2149.7863554001333</v>
      </c>
    </row>
    <row r="150" spans="2:23" s="9" customFormat="1">
      <c r="B150" s="66"/>
      <c r="E150" s="214">
        <v>43831</v>
      </c>
      <c r="F150" s="214" t="s">
        <v>187</v>
      </c>
      <c r="G150" s="215" t="s">
        <v>65</v>
      </c>
      <c r="H150" s="240">
        <f>$C$51/12</f>
        <v>1.8166666666666667E-3</v>
      </c>
      <c r="I150" s="230">
        <f>(SUM('1.  LRAMVA Summary'!D$54:D$80)+SUM('1.  LRAMVA Summary'!D$81:D$82)*(MONTH($E150)-1)/12)*$H150</f>
        <v>23.118505225157186</v>
      </c>
      <c r="J150" s="230">
        <f>(SUM('1.  LRAMVA Summary'!E$54:E$80)+SUM('1.  LRAMVA Summary'!E$81:E$82)*(MONTH($E150)-1)/12)*$H150</f>
        <v>59.829930990472718</v>
      </c>
      <c r="K150" s="230">
        <f>(SUM('1.  LRAMVA Summary'!F$54:F$80)+SUM('1.  LRAMVA Summary'!F$81:F$82)*(MONTH($E150)-1)/12)*$H150</f>
        <v>35.827695028587719</v>
      </c>
      <c r="L150" s="230">
        <f>(SUM('1.  LRAMVA Summary'!G$54:G$80)+SUM('1.  LRAMVA Summary'!G$81:G$82)*(MONTH($E150)-1)/12)*$H150</f>
        <v>-8.2146396666666677E-2</v>
      </c>
      <c r="M150" s="230">
        <f>(SUM('1.  LRAMVA Summary'!H$54:H$80)+SUM('1.  LRAMVA Summary'!H$81:H$82)*(MONTH($E150)-1)/12)*$H150</f>
        <v>4.0673910946284364</v>
      </c>
      <c r="N150" s="230">
        <f>(SUM('1.  LRAMVA Summary'!I$54:I$80)+SUM('1.  LRAMVA Summary'!I$81:I$82)*(MONTH($E150)-1)/12)*$H150</f>
        <v>0.67404263350478022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123.43541857568417</v>
      </c>
    </row>
    <row r="151" spans="2:23" s="9" customFormat="1">
      <c r="B151" s="66"/>
      <c r="E151" s="214">
        <v>43862</v>
      </c>
      <c r="F151" s="214" t="s">
        <v>187</v>
      </c>
      <c r="G151" s="215" t="s">
        <v>65</v>
      </c>
      <c r="H151" s="240">
        <f t="shared" ref="H151:H152" si="88">$C$51/12</f>
        <v>1.8166666666666667E-3</v>
      </c>
      <c r="I151" s="230">
        <f>(SUM('1.  LRAMVA Summary'!D$54:D$80)+SUM('1.  LRAMVA Summary'!D$81:D$82)*(MONTH($E151)-1)/12)*$H151</f>
        <v>23.118505225157186</v>
      </c>
      <c r="J151" s="230">
        <f>(SUM('1.  LRAMVA Summary'!E$54:E$80)+SUM('1.  LRAMVA Summary'!E$81:E$82)*(MONTH($E151)-1)/12)*$H151</f>
        <v>59.829930990472718</v>
      </c>
      <c r="K151" s="230">
        <f>(SUM('1.  LRAMVA Summary'!F$54:F$80)+SUM('1.  LRAMVA Summary'!F$81:F$82)*(MONTH($E151)-1)/12)*$H151</f>
        <v>35.827695028587719</v>
      </c>
      <c r="L151" s="230">
        <f>(SUM('1.  LRAMVA Summary'!G$54:G$80)+SUM('1.  LRAMVA Summary'!G$81:G$82)*(MONTH($E151)-1)/12)*$H151</f>
        <v>-8.2146396666666677E-2</v>
      </c>
      <c r="M151" s="230">
        <f>(SUM('1.  LRAMVA Summary'!H$54:H$80)+SUM('1.  LRAMVA Summary'!H$81:H$82)*(MONTH($E151)-1)/12)*$H151</f>
        <v>4.0673910946284364</v>
      </c>
      <c r="N151" s="230">
        <f>(SUM('1.  LRAMVA Summary'!I$54:I$80)+SUM('1.  LRAMVA Summary'!I$81:I$82)*(MONTH($E151)-1)/12)*$H151</f>
        <v>0.67404263350478022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123.43541857568417</v>
      </c>
    </row>
    <row r="152" spans="2:23" s="9" customFormat="1">
      <c r="B152" s="66"/>
      <c r="E152" s="214">
        <v>43891</v>
      </c>
      <c r="F152" s="214" t="s">
        <v>187</v>
      </c>
      <c r="G152" s="215" t="s">
        <v>65</v>
      </c>
      <c r="H152" s="240">
        <f t="shared" si="88"/>
        <v>1.8166666666666667E-3</v>
      </c>
      <c r="I152" s="230">
        <f>(SUM('1.  LRAMVA Summary'!D$54:D$80)+SUM('1.  LRAMVA Summary'!D$81:D$82)*(MONTH($E152)-1)/12)*$H152</f>
        <v>23.118505225157186</v>
      </c>
      <c r="J152" s="230">
        <f>(SUM('1.  LRAMVA Summary'!E$54:E$80)+SUM('1.  LRAMVA Summary'!E$81:E$82)*(MONTH($E152)-1)/12)*$H152</f>
        <v>59.829930990472718</v>
      </c>
      <c r="K152" s="230">
        <f>(SUM('1.  LRAMVA Summary'!F$54:F$80)+SUM('1.  LRAMVA Summary'!F$81:F$82)*(MONTH($E152)-1)/12)*$H152</f>
        <v>35.827695028587719</v>
      </c>
      <c r="L152" s="230">
        <f>(SUM('1.  LRAMVA Summary'!G$54:G$80)+SUM('1.  LRAMVA Summary'!G$81:G$82)*(MONTH($E152)-1)/12)*$H152</f>
        <v>-8.2146396666666677E-2</v>
      </c>
      <c r="M152" s="230">
        <f>(SUM('1.  LRAMVA Summary'!H$54:H$80)+SUM('1.  LRAMVA Summary'!H$81:H$82)*(MONTH($E152)-1)/12)*$H152</f>
        <v>4.0673910946284364</v>
      </c>
      <c r="N152" s="230">
        <f>(SUM('1.  LRAMVA Summary'!I$54:I$80)+SUM('1.  LRAMVA Summary'!I$81:I$82)*(MONTH($E152)-1)/12)*$H152</f>
        <v>0.67404263350478022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123.43541857568417</v>
      </c>
    </row>
    <row r="153" spans="2:23" s="9" customFormat="1">
      <c r="B153" s="66"/>
      <c r="E153" s="214">
        <v>43922</v>
      </c>
      <c r="F153" s="214" t="s">
        <v>187</v>
      </c>
      <c r="G153" s="215" t="s">
        <v>66</v>
      </c>
      <c r="H153" s="240">
        <f>$C$52/12</f>
        <v>1.8166666666666667E-3</v>
      </c>
      <c r="I153" s="230">
        <f>(SUM('1.  LRAMVA Summary'!D$54:D$80)+SUM('1.  LRAMVA Summary'!D$81:D$82)*(MONTH($E153)-1)/12)*$H153</f>
        <v>23.118505225157186</v>
      </c>
      <c r="J153" s="230">
        <f>(SUM('1.  LRAMVA Summary'!E$54:E$80)+SUM('1.  LRAMVA Summary'!E$81:E$82)*(MONTH($E153)-1)/12)*$H153</f>
        <v>59.829930990472718</v>
      </c>
      <c r="K153" s="230">
        <f>(SUM('1.  LRAMVA Summary'!F$54:F$80)+SUM('1.  LRAMVA Summary'!F$81:F$82)*(MONTH($E153)-1)/12)*$H153</f>
        <v>35.827695028587719</v>
      </c>
      <c r="L153" s="230">
        <f>(SUM('1.  LRAMVA Summary'!G$54:G$80)+SUM('1.  LRAMVA Summary'!G$81:G$82)*(MONTH($E153)-1)/12)*$H153</f>
        <v>-8.2146396666666677E-2</v>
      </c>
      <c r="M153" s="230">
        <f>(SUM('1.  LRAMVA Summary'!H$54:H$80)+SUM('1.  LRAMVA Summary'!H$81:H$82)*(MONTH($E153)-1)/12)*$H153</f>
        <v>4.0673910946284364</v>
      </c>
      <c r="N153" s="230">
        <f>(SUM('1.  LRAMVA Summary'!I$54:I$80)+SUM('1.  LRAMVA Summary'!I$81:I$82)*(MONTH($E153)-1)/12)*$H153</f>
        <v>0.67404263350478022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123.43541857568417</v>
      </c>
    </row>
    <row r="154" spans="2:23" s="9" customFormat="1">
      <c r="B154" s="66"/>
      <c r="E154" s="214">
        <v>43952</v>
      </c>
      <c r="F154" s="214" t="s">
        <v>187</v>
      </c>
      <c r="G154" s="215" t="s">
        <v>66</v>
      </c>
      <c r="H154" s="240">
        <f t="shared" ref="H154:H155" si="90">$C$52/12</f>
        <v>1.8166666666666667E-3</v>
      </c>
      <c r="I154" s="230">
        <f>(SUM('1.  LRAMVA Summary'!D$54:D$80)+SUM('1.  LRAMVA Summary'!D$81:D$82)*(MONTH($E154)-1)/12)*$H154</f>
        <v>23.118505225157186</v>
      </c>
      <c r="J154" s="230">
        <f>(SUM('1.  LRAMVA Summary'!E$54:E$80)+SUM('1.  LRAMVA Summary'!E$81:E$82)*(MONTH($E154)-1)/12)*$H154</f>
        <v>59.829930990472718</v>
      </c>
      <c r="K154" s="230">
        <f>(SUM('1.  LRAMVA Summary'!F$54:F$80)+SUM('1.  LRAMVA Summary'!F$81:F$82)*(MONTH($E154)-1)/12)*$H154</f>
        <v>35.827695028587719</v>
      </c>
      <c r="L154" s="230">
        <f>(SUM('1.  LRAMVA Summary'!G$54:G$80)+SUM('1.  LRAMVA Summary'!G$81:G$82)*(MONTH($E154)-1)/12)*$H154</f>
        <v>-8.2146396666666677E-2</v>
      </c>
      <c r="M154" s="230">
        <f>(SUM('1.  LRAMVA Summary'!H$54:H$80)+SUM('1.  LRAMVA Summary'!H$81:H$82)*(MONTH($E154)-1)/12)*$H154</f>
        <v>4.0673910946284364</v>
      </c>
      <c r="N154" s="230">
        <f>(SUM('1.  LRAMVA Summary'!I$54:I$80)+SUM('1.  LRAMVA Summary'!I$81:I$82)*(MONTH($E154)-1)/12)*$H154</f>
        <v>0.67404263350478022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123.43541857568417</v>
      </c>
    </row>
    <row r="155" spans="2:23" s="9" customFormat="1">
      <c r="B155" s="66"/>
      <c r="E155" s="214">
        <v>43983</v>
      </c>
      <c r="F155" s="214" t="s">
        <v>187</v>
      </c>
      <c r="G155" s="215" t="s">
        <v>66</v>
      </c>
      <c r="H155" s="240">
        <f t="shared" si="90"/>
        <v>1.8166666666666667E-3</v>
      </c>
      <c r="I155" s="230">
        <f>(SUM('1.  LRAMVA Summary'!D$54:D$80)+SUM('1.  LRAMVA Summary'!D$81:D$82)*(MONTH($E155)-1)/12)*$H155</f>
        <v>23.118505225157186</v>
      </c>
      <c r="J155" s="230">
        <f>(SUM('1.  LRAMVA Summary'!E$54:E$80)+SUM('1.  LRAMVA Summary'!E$81:E$82)*(MONTH($E155)-1)/12)*$H155</f>
        <v>59.829930990472718</v>
      </c>
      <c r="K155" s="230">
        <f>(SUM('1.  LRAMVA Summary'!F$54:F$80)+SUM('1.  LRAMVA Summary'!F$81:F$82)*(MONTH($E155)-1)/12)*$H155</f>
        <v>35.827695028587719</v>
      </c>
      <c r="L155" s="230">
        <f>(SUM('1.  LRAMVA Summary'!G$54:G$80)+SUM('1.  LRAMVA Summary'!G$81:G$82)*(MONTH($E155)-1)/12)*$H155</f>
        <v>-8.2146396666666677E-2</v>
      </c>
      <c r="M155" s="230">
        <f>(SUM('1.  LRAMVA Summary'!H$54:H$80)+SUM('1.  LRAMVA Summary'!H$81:H$82)*(MONTH($E155)-1)/12)*$H155</f>
        <v>4.0673910946284364</v>
      </c>
      <c r="N155" s="230">
        <f>(SUM('1.  LRAMVA Summary'!I$54:I$80)+SUM('1.  LRAMVA Summary'!I$81:I$82)*(MONTH($E155)-1)/12)*$H155</f>
        <v>0.67404263350478022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123.43541857568417</v>
      </c>
    </row>
    <row r="156" spans="2:23" s="9" customFormat="1">
      <c r="B156" s="66"/>
      <c r="E156" s="214">
        <v>44013</v>
      </c>
      <c r="F156" s="214" t="s">
        <v>187</v>
      </c>
      <c r="G156" s="215" t="s">
        <v>68</v>
      </c>
      <c r="H156" s="240">
        <f>$C$53/12</f>
        <v>4.75E-4</v>
      </c>
      <c r="I156" s="230">
        <f>(SUM('1.  LRAMVA Summary'!D$54:D$80)+SUM('1.  LRAMVA Summary'!D$81:D$82)*(MONTH($E156)-1)/12)*$H156</f>
        <v>6.0447467790548606</v>
      </c>
      <c r="J156" s="230">
        <f>(SUM('1.  LRAMVA Summary'!E$54:E$80)+SUM('1.  LRAMVA Summary'!E$81:E$82)*(MONTH($E156)-1)/12)*$H156</f>
        <v>15.643605809435527</v>
      </c>
      <c r="K156" s="230">
        <f>(SUM('1.  LRAMVA Summary'!F$54:F$80)+SUM('1.  LRAMVA Summary'!F$81:F$82)*(MONTH($E156)-1)/12)*$H156</f>
        <v>9.3677918194013756</v>
      </c>
      <c r="L156" s="230">
        <f>(SUM('1.  LRAMVA Summary'!G$54:G$80)+SUM('1.  LRAMVA Summary'!G$81:G$82)*(MONTH($E156)-1)/12)*$H156</f>
        <v>-2.1478645000000001E-2</v>
      </c>
      <c r="M156" s="230">
        <f>(SUM('1.  LRAMVA Summary'!H$54:H$80)+SUM('1.  LRAMVA Summary'!H$81:H$82)*(MONTH($E156)-1)/12)*$H156</f>
        <v>1.0634921669441324</v>
      </c>
      <c r="N156" s="230">
        <f>(SUM('1.  LRAMVA Summary'!I$54:I$80)+SUM('1.  LRAMVA Summary'!I$81:I$82)*(MONTH($E156)-1)/12)*$H156</f>
        <v>0.17624050509069941</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32.274398434926596</v>
      </c>
    </row>
    <row r="157" spans="2:23" s="9" customFormat="1">
      <c r="B157" s="66"/>
      <c r="E157" s="214">
        <v>44044</v>
      </c>
      <c r="F157" s="214" t="s">
        <v>187</v>
      </c>
      <c r="G157" s="215" t="s">
        <v>68</v>
      </c>
      <c r="H157" s="240">
        <f t="shared" ref="H157:H158" si="91">$C$53/12</f>
        <v>4.75E-4</v>
      </c>
      <c r="I157" s="230">
        <f>(SUM('1.  LRAMVA Summary'!D$54:D$80)+SUM('1.  LRAMVA Summary'!D$81:D$82)*(MONTH($E157)-1)/12)*$H157</f>
        <v>6.0447467790548606</v>
      </c>
      <c r="J157" s="230">
        <f>(SUM('1.  LRAMVA Summary'!E$54:E$80)+SUM('1.  LRAMVA Summary'!E$81:E$82)*(MONTH($E157)-1)/12)*$H157</f>
        <v>15.643605809435527</v>
      </c>
      <c r="K157" s="230">
        <f>(SUM('1.  LRAMVA Summary'!F$54:F$80)+SUM('1.  LRAMVA Summary'!F$81:F$82)*(MONTH($E157)-1)/12)*$H157</f>
        <v>9.3677918194013756</v>
      </c>
      <c r="L157" s="230">
        <f>(SUM('1.  LRAMVA Summary'!G$54:G$80)+SUM('1.  LRAMVA Summary'!G$81:G$82)*(MONTH($E157)-1)/12)*$H157</f>
        <v>-2.1478645000000001E-2</v>
      </c>
      <c r="M157" s="230">
        <f>(SUM('1.  LRAMVA Summary'!H$54:H$80)+SUM('1.  LRAMVA Summary'!H$81:H$82)*(MONTH($E157)-1)/12)*$H157</f>
        <v>1.0634921669441324</v>
      </c>
      <c r="N157" s="230">
        <f>(SUM('1.  LRAMVA Summary'!I$54:I$80)+SUM('1.  LRAMVA Summary'!I$81:I$82)*(MONTH($E157)-1)/12)*$H157</f>
        <v>0.17624050509069941</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32.274398434926596</v>
      </c>
    </row>
    <row r="158" spans="2:23" s="9" customFormat="1">
      <c r="B158" s="66"/>
      <c r="E158" s="214">
        <v>44075</v>
      </c>
      <c r="F158" s="214" t="s">
        <v>187</v>
      </c>
      <c r="G158" s="215" t="s">
        <v>68</v>
      </c>
      <c r="H158" s="240">
        <f t="shared" si="91"/>
        <v>4.75E-4</v>
      </c>
      <c r="I158" s="230">
        <f>(SUM('1.  LRAMVA Summary'!D$54:D$80)+SUM('1.  LRAMVA Summary'!D$81:D$82)*(MONTH($E158)-1)/12)*$H158</f>
        <v>6.0447467790548606</v>
      </c>
      <c r="J158" s="230">
        <f>(SUM('1.  LRAMVA Summary'!E$54:E$80)+SUM('1.  LRAMVA Summary'!E$81:E$82)*(MONTH($E158)-1)/12)*$H158</f>
        <v>15.643605809435527</v>
      </c>
      <c r="K158" s="230">
        <f>(SUM('1.  LRAMVA Summary'!F$54:F$80)+SUM('1.  LRAMVA Summary'!F$81:F$82)*(MONTH($E158)-1)/12)*$H158</f>
        <v>9.3677918194013756</v>
      </c>
      <c r="L158" s="230">
        <f>(SUM('1.  LRAMVA Summary'!G$54:G$80)+SUM('1.  LRAMVA Summary'!G$81:G$82)*(MONTH($E158)-1)/12)*$H158</f>
        <v>-2.1478645000000001E-2</v>
      </c>
      <c r="M158" s="230">
        <f>(SUM('1.  LRAMVA Summary'!H$54:H$80)+SUM('1.  LRAMVA Summary'!H$81:H$82)*(MONTH($E158)-1)/12)*$H158</f>
        <v>1.0634921669441324</v>
      </c>
      <c r="N158" s="230">
        <f>(SUM('1.  LRAMVA Summary'!I$54:I$80)+SUM('1.  LRAMVA Summary'!I$81:I$82)*(MONTH($E158)-1)/12)*$H158</f>
        <v>0.17624050509069941</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32.274398434926596</v>
      </c>
    </row>
    <row r="159" spans="2:23" s="9" customFormat="1">
      <c r="B159" s="66"/>
      <c r="E159" s="214">
        <v>44105</v>
      </c>
      <c r="F159" s="214" t="s">
        <v>187</v>
      </c>
      <c r="G159" s="215" t="s">
        <v>69</v>
      </c>
      <c r="H159" s="240">
        <f>$C$54/12</f>
        <v>4.75E-4</v>
      </c>
      <c r="I159" s="230">
        <f>(SUM('1.  LRAMVA Summary'!D$54:D$80)+SUM('1.  LRAMVA Summary'!D$81:D$82)*(MONTH($E159)-1)/12)*$H159</f>
        <v>6.0447467790548606</v>
      </c>
      <c r="J159" s="230">
        <f>(SUM('1.  LRAMVA Summary'!E$54:E$80)+SUM('1.  LRAMVA Summary'!E$81:E$82)*(MONTH($E159)-1)/12)*$H159</f>
        <v>15.643605809435527</v>
      </c>
      <c r="K159" s="230">
        <f>(SUM('1.  LRAMVA Summary'!F$54:F$80)+SUM('1.  LRAMVA Summary'!F$81:F$82)*(MONTH($E159)-1)/12)*$H159</f>
        <v>9.3677918194013756</v>
      </c>
      <c r="L159" s="230">
        <f>(SUM('1.  LRAMVA Summary'!G$54:G$80)+SUM('1.  LRAMVA Summary'!G$81:G$82)*(MONTH($E159)-1)/12)*$H159</f>
        <v>-2.1478645000000001E-2</v>
      </c>
      <c r="M159" s="230">
        <f>(SUM('1.  LRAMVA Summary'!H$54:H$80)+SUM('1.  LRAMVA Summary'!H$81:H$82)*(MONTH($E159)-1)/12)*$H159</f>
        <v>1.0634921669441324</v>
      </c>
      <c r="N159" s="230">
        <f>(SUM('1.  LRAMVA Summary'!I$54:I$80)+SUM('1.  LRAMVA Summary'!I$81:I$82)*(MONTH($E159)-1)/12)*$H159</f>
        <v>0.17624050509069941</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32.274398434926596</v>
      </c>
    </row>
    <row r="160" spans="2:23" s="9" customFormat="1">
      <c r="B160" s="66"/>
      <c r="E160" s="214">
        <v>44136</v>
      </c>
      <c r="F160" s="214" t="s">
        <v>187</v>
      </c>
      <c r="G160" s="215" t="s">
        <v>69</v>
      </c>
      <c r="H160" s="240">
        <f t="shared" ref="H160:H161" si="92">$C$54/12</f>
        <v>4.75E-4</v>
      </c>
      <c r="I160" s="230">
        <f>(SUM('1.  LRAMVA Summary'!D$54:D$80)+SUM('1.  LRAMVA Summary'!D$81:D$82)*(MONTH($E160)-1)/12)*$H160</f>
        <v>6.0447467790548606</v>
      </c>
      <c r="J160" s="230">
        <f>(SUM('1.  LRAMVA Summary'!E$54:E$80)+SUM('1.  LRAMVA Summary'!E$81:E$82)*(MONTH($E160)-1)/12)*$H160</f>
        <v>15.643605809435527</v>
      </c>
      <c r="K160" s="230">
        <f>(SUM('1.  LRAMVA Summary'!F$54:F$80)+SUM('1.  LRAMVA Summary'!F$81:F$82)*(MONTH($E160)-1)/12)*$H160</f>
        <v>9.3677918194013756</v>
      </c>
      <c r="L160" s="230">
        <f>(SUM('1.  LRAMVA Summary'!G$54:G$80)+SUM('1.  LRAMVA Summary'!G$81:G$82)*(MONTH($E160)-1)/12)*$H160</f>
        <v>-2.1478645000000001E-2</v>
      </c>
      <c r="M160" s="230">
        <f>(SUM('1.  LRAMVA Summary'!H$54:H$80)+SUM('1.  LRAMVA Summary'!H$81:H$82)*(MONTH($E160)-1)/12)*$H160</f>
        <v>1.0634921669441324</v>
      </c>
      <c r="N160" s="230">
        <f>(SUM('1.  LRAMVA Summary'!I$54:I$80)+SUM('1.  LRAMVA Summary'!I$81:I$82)*(MONTH($E160)-1)/12)*$H160</f>
        <v>0.17624050509069941</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32.274398434926596</v>
      </c>
    </row>
    <row r="161" spans="2:23" s="9" customFormat="1">
      <c r="B161" s="66"/>
      <c r="E161" s="214">
        <v>44166</v>
      </c>
      <c r="F161" s="214" t="s">
        <v>187</v>
      </c>
      <c r="G161" s="215" t="s">
        <v>69</v>
      </c>
      <c r="H161" s="240">
        <f t="shared" si="92"/>
        <v>4.75E-4</v>
      </c>
      <c r="I161" s="230">
        <f>(SUM('1.  LRAMVA Summary'!D$54:D$80)+SUM('1.  LRAMVA Summary'!D$81:D$82)*(MONTH($E161)-1)/12)*$H161</f>
        <v>6.0447467790548606</v>
      </c>
      <c r="J161" s="230">
        <f>(SUM('1.  LRAMVA Summary'!E$54:E$80)+SUM('1.  LRAMVA Summary'!E$81:E$82)*(MONTH($E161)-1)/12)*$H161</f>
        <v>15.643605809435527</v>
      </c>
      <c r="K161" s="230">
        <f>(SUM('1.  LRAMVA Summary'!F$54:F$80)+SUM('1.  LRAMVA Summary'!F$81:F$82)*(MONTH($E161)-1)/12)*$H161</f>
        <v>9.3677918194013756</v>
      </c>
      <c r="L161" s="230">
        <f>(SUM('1.  LRAMVA Summary'!G$54:G$80)+SUM('1.  LRAMVA Summary'!G$81:G$82)*(MONTH($E161)-1)/12)*$H161</f>
        <v>-2.1478645000000001E-2</v>
      </c>
      <c r="M161" s="230">
        <f>(SUM('1.  LRAMVA Summary'!H$54:H$80)+SUM('1.  LRAMVA Summary'!H$81:H$82)*(MONTH($E161)-1)/12)*$H161</f>
        <v>1.0634921669441324</v>
      </c>
      <c r="N161" s="230">
        <f>(SUM('1.  LRAMVA Summary'!I$54:I$80)+SUM('1.  LRAMVA Summary'!I$81:I$82)*(MONTH($E161)-1)/12)*$H161</f>
        <v>0.17624050509069941</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32.274398434926596</v>
      </c>
    </row>
    <row r="162" spans="2:23" s="9" customFormat="1" ht="15.75" thickBot="1">
      <c r="B162" s="66"/>
      <c r="E162" s="216" t="s">
        <v>469</v>
      </c>
      <c r="F162" s="216"/>
      <c r="G162" s="217"/>
      <c r="H162" s="218"/>
      <c r="I162" s="219">
        <f>SUM(I149:I161)</f>
        <v>577.61797401433478</v>
      </c>
      <c r="J162" s="219">
        <f>SUM(J149:J161)</f>
        <v>1494.8563147814555</v>
      </c>
      <c r="K162" s="219">
        <f t="shared" ref="K162:O162" si="93">SUM(K149:K161)</f>
        <v>895.15824723376272</v>
      </c>
      <c r="L162" s="219">
        <f t="shared" si="93"/>
        <v>-2.0524352570833337</v>
      </c>
      <c r="M162" s="219">
        <f t="shared" si="93"/>
        <v>101.62413965443773</v>
      </c>
      <c r="N162" s="219">
        <f t="shared" si="93"/>
        <v>16.841017036890644</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3084.0452574637993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722</v>
      </c>
      <c r="F164" s="225"/>
      <c r="G164" s="226"/>
      <c r="H164" s="227"/>
      <c r="I164" s="228">
        <f>I162+I163</f>
        <v>577.61797401433478</v>
      </c>
      <c r="J164" s="228">
        <f t="shared" ref="J164:U164" si="95">J162+J163</f>
        <v>1494.8563147814555</v>
      </c>
      <c r="K164" s="228">
        <f t="shared" si="95"/>
        <v>895.15824723376272</v>
      </c>
      <c r="L164" s="228">
        <f t="shared" si="95"/>
        <v>-2.0524352570833337</v>
      </c>
      <c r="M164" s="228">
        <f t="shared" si="95"/>
        <v>101.62413965443773</v>
      </c>
      <c r="N164" s="228">
        <f t="shared" si="95"/>
        <v>16.841017036890644</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3084.0452574637993</v>
      </c>
    </row>
    <row r="165" spans="2:23">
      <c r="E165" s="214">
        <v>44197</v>
      </c>
      <c r="F165" s="214" t="s">
        <v>728</v>
      </c>
      <c r="G165" s="215" t="s">
        <v>65</v>
      </c>
      <c r="H165" s="240">
        <f>$C$55/12</f>
        <v>4.75E-4</v>
      </c>
      <c r="I165" s="230">
        <f>(SUM('1.  LRAMVA Summary'!D$54:D$80)+SUM('1.  LRAMVA Summary'!D$81:D$82)*(MONTH($E165)-1)/12)*$H165</f>
        <v>6.0447467790548606</v>
      </c>
      <c r="J165" s="230">
        <f>(SUM('1.  LRAMVA Summary'!E$54:E$80)+SUM('1.  LRAMVA Summary'!E$81:E$82)*(MONTH($E165)-1)/12)*$H165</f>
        <v>15.643605809435527</v>
      </c>
      <c r="K165" s="230">
        <f>(SUM('1.  LRAMVA Summary'!F$54:F$80)+SUM('1.  LRAMVA Summary'!F$81:F$82)*(MONTH($E165)-1)/12)*$H165</f>
        <v>9.3677918194013756</v>
      </c>
      <c r="L165" s="230">
        <f>(SUM('1.  LRAMVA Summary'!G$54:G$80)+SUM('1.  LRAMVA Summary'!G$81:G$82)*(MONTH($E165)-1)/12)*$H165</f>
        <v>-2.1478645000000001E-2</v>
      </c>
      <c r="M165" s="230">
        <f>(SUM('1.  LRAMVA Summary'!H$54:H$80)+SUM('1.  LRAMVA Summary'!H$81:H$82)*(MONTH($E165)-1)/12)*$H165</f>
        <v>1.0634921669441324</v>
      </c>
      <c r="N165" s="230">
        <f>(SUM('1.  LRAMVA Summary'!I$54:I$80)+SUM('1.  LRAMVA Summary'!I$81:I$82)*(MONTH($E165)-1)/12)*$H165</f>
        <v>0.17624050509069941</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32.274398434926596</v>
      </c>
    </row>
    <row r="166" spans="2:23">
      <c r="E166" s="214">
        <v>44228</v>
      </c>
      <c r="F166" s="214" t="s">
        <v>728</v>
      </c>
      <c r="G166" s="215" t="s">
        <v>65</v>
      </c>
      <c r="H166" s="240">
        <f t="shared" ref="H166:H168" si="96">$C$55/12</f>
        <v>4.75E-4</v>
      </c>
      <c r="I166" s="230">
        <f>(SUM('1.  LRAMVA Summary'!D$54:D$80)+SUM('1.  LRAMVA Summary'!D$81:D$82)*(MONTH($E166)-1)/12)*$H166</f>
        <v>6.0447467790548606</v>
      </c>
      <c r="J166" s="230">
        <f>(SUM('1.  LRAMVA Summary'!E$54:E$80)+SUM('1.  LRAMVA Summary'!E$81:E$82)*(MONTH($E166)-1)/12)*$H166</f>
        <v>15.643605809435527</v>
      </c>
      <c r="K166" s="230">
        <f>(SUM('1.  LRAMVA Summary'!F$54:F$80)+SUM('1.  LRAMVA Summary'!F$81:F$82)*(MONTH($E166)-1)/12)*$H166</f>
        <v>9.3677918194013756</v>
      </c>
      <c r="L166" s="230">
        <f>(SUM('1.  LRAMVA Summary'!G$54:G$80)+SUM('1.  LRAMVA Summary'!G$81:G$82)*(MONTH($E166)-1)/12)*$H166</f>
        <v>-2.1478645000000001E-2</v>
      </c>
      <c r="M166" s="230">
        <f>(SUM('1.  LRAMVA Summary'!H$54:H$80)+SUM('1.  LRAMVA Summary'!H$81:H$82)*(MONTH($E166)-1)/12)*$H166</f>
        <v>1.0634921669441324</v>
      </c>
      <c r="N166" s="230">
        <f>(SUM('1.  LRAMVA Summary'!I$54:I$80)+SUM('1.  LRAMVA Summary'!I$81:I$82)*(MONTH($E166)-1)/12)*$H166</f>
        <v>0.17624050509069941</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32.274398434926596</v>
      </c>
    </row>
    <row r="167" spans="2:23">
      <c r="E167" s="214">
        <v>44256</v>
      </c>
      <c r="F167" s="214" t="s">
        <v>728</v>
      </c>
      <c r="G167" s="215" t="s">
        <v>65</v>
      </c>
      <c r="H167" s="240">
        <f t="shared" si="96"/>
        <v>4.75E-4</v>
      </c>
      <c r="I167" s="230">
        <f>(SUM('1.  LRAMVA Summary'!D$54:D$80)+SUM('1.  LRAMVA Summary'!D$81:D$82)*(MONTH($E167)-1)/12)*$H167</f>
        <v>6.0447467790548606</v>
      </c>
      <c r="J167" s="230">
        <f>(SUM('1.  LRAMVA Summary'!E$54:E$80)+SUM('1.  LRAMVA Summary'!E$81:E$82)*(MONTH($E167)-1)/12)*$H167</f>
        <v>15.643605809435527</v>
      </c>
      <c r="K167" s="230">
        <f>(SUM('1.  LRAMVA Summary'!F$54:F$80)+SUM('1.  LRAMVA Summary'!F$81:F$82)*(MONTH($E167)-1)/12)*$H167</f>
        <v>9.3677918194013756</v>
      </c>
      <c r="L167" s="230">
        <f>(SUM('1.  LRAMVA Summary'!G$54:G$80)+SUM('1.  LRAMVA Summary'!G$81:G$82)*(MONTH($E167)-1)/12)*$H167</f>
        <v>-2.1478645000000001E-2</v>
      </c>
      <c r="M167" s="230">
        <f>(SUM('1.  LRAMVA Summary'!H$54:H$80)+SUM('1.  LRAMVA Summary'!H$81:H$82)*(MONTH($E167)-1)/12)*$H167</f>
        <v>1.0634921669441324</v>
      </c>
      <c r="N167" s="230">
        <f>(SUM('1.  LRAMVA Summary'!I$54:I$80)+SUM('1.  LRAMVA Summary'!I$81:I$82)*(MONTH($E167)-1)/12)*$H167</f>
        <v>0.17624050509069941</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32.274398434926596</v>
      </c>
    </row>
    <row r="168" spans="2:23">
      <c r="E168" s="214">
        <v>44287</v>
      </c>
      <c r="F168" s="214" t="s">
        <v>728</v>
      </c>
      <c r="G168" s="215" t="s">
        <v>66</v>
      </c>
      <c r="H168" s="240">
        <f t="shared" si="96"/>
        <v>4.75E-4</v>
      </c>
      <c r="I168" s="230">
        <f>(SUM('1.  LRAMVA Summary'!D$54:D$80)+SUM('1.  LRAMVA Summary'!D$81:D$82)*(MONTH($E168)-1)/12)*$H168</f>
        <v>6.0447467790548606</v>
      </c>
      <c r="J168" s="230">
        <f>(SUM('1.  LRAMVA Summary'!E$54:E$80)+SUM('1.  LRAMVA Summary'!E$81:E$82)*(MONTH($E168)-1)/12)*$H168</f>
        <v>15.643605809435527</v>
      </c>
      <c r="K168" s="230">
        <f>(SUM('1.  LRAMVA Summary'!F$54:F$80)+SUM('1.  LRAMVA Summary'!F$81:F$82)*(MONTH($E168)-1)/12)*$H168</f>
        <v>9.3677918194013756</v>
      </c>
      <c r="L168" s="230">
        <f>(SUM('1.  LRAMVA Summary'!G$54:G$80)+SUM('1.  LRAMVA Summary'!G$81:G$82)*(MONTH($E168)-1)/12)*$H168</f>
        <v>-2.1478645000000001E-2</v>
      </c>
      <c r="M168" s="230">
        <f>(SUM('1.  LRAMVA Summary'!H$54:H$80)+SUM('1.  LRAMVA Summary'!H$81:H$82)*(MONTH($E168)-1)/12)*$H168</f>
        <v>1.0634921669441324</v>
      </c>
      <c r="N168" s="230">
        <f>(SUM('1.  LRAMVA Summary'!I$54:I$80)+SUM('1.  LRAMVA Summary'!I$81:I$82)*(MONTH($E168)-1)/12)*$H168</f>
        <v>0.17624050509069941</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32.274398434926596</v>
      </c>
    </row>
    <row r="169" spans="2:23">
      <c r="E169" s="214">
        <v>44317</v>
      </c>
      <c r="F169" s="214" t="s">
        <v>728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728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728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728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728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728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728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728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723</v>
      </c>
      <c r="F177" s="216"/>
      <c r="G177" s="217"/>
      <c r="H177" s="218"/>
      <c r="I177" s="219">
        <f>SUM(I164:I176)</f>
        <v>601.79696113055434</v>
      </c>
      <c r="J177" s="219">
        <f>SUM(J164:J176)</f>
        <v>1557.4307380191974</v>
      </c>
      <c r="K177" s="219">
        <f t="shared" ref="K177:V177" si="98">SUM(K164:K176)</f>
        <v>932.6294145113684</v>
      </c>
      <c r="L177" s="219">
        <f t="shared" si="98"/>
        <v>-2.1383498370833345</v>
      </c>
      <c r="M177" s="219">
        <f t="shared" si="98"/>
        <v>105.87810832221425</v>
      </c>
      <c r="N177" s="219">
        <f t="shared" si="98"/>
        <v>17.545979057253444</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3213.1428512035063</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724</v>
      </c>
      <c r="F179" s="225"/>
      <c r="G179" s="226"/>
      <c r="H179" s="227"/>
      <c r="I179" s="228">
        <f>I177+I178</f>
        <v>601.79696113055434</v>
      </c>
      <c r="J179" s="228">
        <f t="shared" ref="J179:U179" si="99">J177+J178</f>
        <v>1557.4307380191974</v>
      </c>
      <c r="K179" s="228">
        <f t="shared" si="99"/>
        <v>932.6294145113684</v>
      </c>
      <c r="L179" s="228">
        <f t="shared" si="99"/>
        <v>-2.1383498370833345</v>
      </c>
      <c r="M179" s="228">
        <f t="shared" si="99"/>
        <v>105.87810832221425</v>
      </c>
      <c r="N179" s="228">
        <f t="shared" si="99"/>
        <v>17.545979057253444</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3213.1428512035063</v>
      </c>
    </row>
    <row r="180" spans="5:23">
      <c r="E180" s="214">
        <v>44562</v>
      </c>
      <c r="F180" s="214" t="s">
        <v>729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729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729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729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729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729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729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729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729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729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729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725</v>
      </c>
      <c r="F192" s="216"/>
      <c r="G192" s="217"/>
      <c r="H192" s="218"/>
      <c r="I192" s="219">
        <f>SUM(I179:I191)</f>
        <v>601.79696113055434</v>
      </c>
      <c r="J192" s="219">
        <f>SUM(J179:J191)</f>
        <v>1557.4307380191974</v>
      </c>
      <c r="K192" s="219">
        <f t="shared" ref="K192:V192" si="101">SUM(K179:K191)</f>
        <v>932.6294145113684</v>
      </c>
      <c r="L192" s="219">
        <f t="shared" si="101"/>
        <v>-2.1383498370833345</v>
      </c>
      <c r="M192" s="219">
        <f t="shared" si="101"/>
        <v>105.87810832221425</v>
      </c>
      <c r="N192" s="219">
        <f t="shared" si="101"/>
        <v>17.545979057253444</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3213.1428512035063</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726</v>
      </c>
      <c r="F194" s="225"/>
      <c r="G194" s="226"/>
      <c r="H194" s="227"/>
      <c r="I194" s="228">
        <f>I192+I193</f>
        <v>601.79696113055434</v>
      </c>
      <c r="J194" s="228">
        <f t="shared" ref="J194:U194" si="102">J192+J193</f>
        <v>1557.4307380191974</v>
      </c>
      <c r="K194" s="228">
        <f t="shared" si="102"/>
        <v>932.6294145113684</v>
      </c>
      <c r="L194" s="228">
        <f t="shared" si="102"/>
        <v>-2.1383498370833345</v>
      </c>
      <c r="M194" s="228">
        <f t="shared" si="102"/>
        <v>105.87810832221425</v>
      </c>
      <c r="N194" s="228">
        <f t="shared" si="102"/>
        <v>17.545979057253444</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3213.1428512035063</v>
      </c>
    </row>
    <row r="195" spans="5:23">
      <c r="E195" s="214">
        <v>44927</v>
      </c>
      <c r="F195" s="214" t="s">
        <v>730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727</v>
      </c>
      <c r="F207" s="216"/>
      <c r="G207" s="217"/>
      <c r="H207" s="218"/>
      <c r="I207" s="219">
        <f>SUM(I194:I206)</f>
        <v>601.79696113055434</v>
      </c>
      <c r="J207" s="219">
        <f>SUM(J194:J206)</f>
        <v>1557.4307380191974</v>
      </c>
      <c r="K207" s="219">
        <f t="shared" ref="K207:V207" si="104">SUM(K194:K206)</f>
        <v>932.6294145113684</v>
      </c>
      <c r="L207" s="219">
        <f t="shared" si="104"/>
        <v>-2.1383498370833345</v>
      </c>
      <c r="M207" s="219">
        <f t="shared" si="104"/>
        <v>105.87810832221425</v>
      </c>
      <c r="N207" s="219">
        <f t="shared" si="104"/>
        <v>17.545979057253444</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3213.1428512035063</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745</v>
      </c>
      <c r="F209" s="225"/>
      <c r="G209" s="226"/>
      <c r="H209" s="227"/>
      <c r="I209" s="228">
        <f>I207+I208</f>
        <v>601.79696113055434</v>
      </c>
      <c r="J209" s="228">
        <f t="shared" ref="J209:U209" si="105">J207+J208</f>
        <v>1557.4307380191974</v>
      </c>
      <c r="K209" s="228">
        <f t="shared" si="105"/>
        <v>932.6294145113684</v>
      </c>
      <c r="L209" s="228">
        <f t="shared" si="105"/>
        <v>-2.1383498370833345</v>
      </c>
      <c r="M209" s="228">
        <f t="shared" si="105"/>
        <v>105.87810832221425</v>
      </c>
      <c r="N209" s="228">
        <f t="shared" si="105"/>
        <v>17.545979057253444</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3213.1428512035063</v>
      </c>
    </row>
    <row r="210" spans="5:23">
      <c r="E210" s="214">
        <v>45292</v>
      </c>
      <c r="F210" s="214" t="s">
        <v>749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749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749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749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749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749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749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749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749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749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749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747</v>
      </c>
      <c r="F222" s="216"/>
      <c r="G222" s="217"/>
      <c r="H222" s="218"/>
      <c r="I222" s="219">
        <f>SUM(I209:I221)</f>
        <v>601.79696113055434</v>
      </c>
      <c r="J222" s="219">
        <f>SUM(J209:J221)</f>
        <v>1557.4307380191974</v>
      </c>
      <c r="K222" s="219">
        <f t="shared" ref="K222:V222" si="107">SUM(K209:K221)</f>
        <v>932.6294145113684</v>
      </c>
      <c r="L222" s="219">
        <f t="shared" si="107"/>
        <v>-2.1383498370833345</v>
      </c>
      <c r="M222" s="219">
        <f t="shared" si="107"/>
        <v>105.87810832221425</v>
      </c>
      <c r="N222" s="219">
        <f t="shared" si="107"/>
        <v>17.545979057253444</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3213.1428512035063</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746</v>
      </c>
      <c r="F224" s="225"/>
      <c r="G224" s="226"/>
      <c r="H224" s="227"/>
      <c r="I224" s="228">
        <f>I222+I223</f>
        <v>601.79696113055434</v>
      </c>
      <c r="J224" s="228">
        <f t="shared" ref="J224:U224" si="108">J222+J223</f>
        <v>1557.4307380191974</v>
      </c>
      <c r="K224" s="228">
        <f t="shared" si="108"/>
        <v>932.6294145113684</v>
      </c>
      <c r="L224" s="228">
        <f t="shared" si="108"/>
        <v>-2.1383498370833345</v>
      </c>
      <c r="M224" s="228">
        <f t="shared" si="108"/>
        <v>105.87810832221425</v>
      </c>
      <c r="N224" s="228">
        <f t="shared" si="108"/>
        <v>17.545979057253444</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3213.1428512035063</v>
      </c>
    </row>
    <row r="225" spans="5:23">
      <c r="E225" s="214">
        <v>45658</v>
      </c>
      <c r="F225" s="214" t="s">
        <v>750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748</v>
      </c>
      <c r="F237" s="216"/>
      <c r="G237" s="217"/>
      <c r="H237" s="218"/>
      <c r="I237" s="219">
        <f>SUM(I224:I236)</f>
        <v>601.79696113055434</v>
      </c>
      <c r="J237" s="219">
        <f>SUM(J224:J236)</f>
        <v>1557.4307380191974</v>
      </c>
      <c r="K237" s="219">
        <f t="shared" ref="K237:U237" si="110">SUM(K224:K236)</f>
        <v>932.6294145113684</v>
      </c>
      <c r="L237" s="219">
        <f t="shared" si="110"/>
        <v>-2.1383498370833345</v>
      </c>
      <c r="M237" s="219">
        <f>SUM(M224:M236)</f>
        <v>105.87810832221425</v>
      </c>
      <c r="N237" s="219">
        <f t="shared" si="110"/>
        <v>17.545979057253444</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3213.1428512035063</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39"/>
  <sheetViews>
    <sheetView topLeftCell="A120" zoomScale="90" zoomScaleNormal="90" workbookViewId="0">
      <selection activeCell="B139" sqref="B139"/>
    </sheetView>
  </sheetViews>
  <sheetFormatPr defaultColWidth="9" defaultRowHeight="15" outlineLevelRow="1"/>
  <cols>
    <col min="1" max="1" width="6" style="959" customWidth="1"/>
    <col min="2" max="2" width="24.28515625" style="959" customWidth="1"/>
    <col min="3" max="3" width="11.42578125" style="959" customWidth="1"/>
    <col min="4" max="4" width="37.5703125" style="959" customWidth="1"/>
    <col min="5" max="5" width="35" style="959" bestFit="1" customWidth="1"/>
    <col min="6" max="6" width="26.5703125" style="959" customWidth="1"/>
    <col min="7" max="7" width="17" style="959" customWidth="1"/>
    <col min="8" max="8" width="19.42578125" style="959" customWidth="1"/>
    <col min="9" max="10" width="23" style="959" customWidth="1"/>
    <col min="11" max="11" width="2" style="960" customWidth="1"/>
    <col min="12" max="41" width="9" style="959"/>
    <col min="42" max="42" width="2" style="959" customWidth="1"/>
    <col min="43" max="43" width="12.5703125" style="959" customWidth="1"/>
    <col min="44" max="64" width="12" style="959" bestFit="1" customWidth="1"/>
    <col min="65" max="72" width="9" style="959"/>
    <col min="73" max="73" width="9" style="960"/>
    <col min="74" max="16384" width="9" style="959"/>
  </cols>
  <sheetData>
    <row r="1" spans="2:73" s="12" customFormat="1">
      <c r="K1" s="16"/>
      <c r="BU1" s="16"/>
    </row>
    <row r="2" spans="2:73" s="12" customFormat="1">
      <c r="K2" s="16"/>
      <c r="BU2" s="16"/>
    </row>
    <row r="3" spans="2:73" s="12" customFormat="1">
      <c r="K3" s="16"/>
      <c r="BU3" s="16"/>
    </row>
    <row r="4" spans="2:73" s="12" customFormat="1">
      <c r="K4" s="16"/>
      <c r="BU4" s="16"/>
    </row>
    <row r="5" spans="2:73" s="12" customFormat="1">
      <c r="K5" s="16"/>
      <c r="BU5" s="16"/>
    </row>
    <row r="6" spans="2:73" s="12" customFormat="1">
      <c r="K6" s="16"/>
      <c r="BU6" s="16"/>
    </row>
    <row r="7" spans="2:73" s="12" customFormat="1">
      <c r="K7" s="16"/>
      <c r="BU7" s="16"/>
    </row>
    <row r="8" spans="2:73" s="12" customFormat="1">
      <c r="K8" s="16"/>
      <c r="BU8" s="16"/>
    </row>
    <row r="9" spans="2:73" s="12" customFormat="1">
      <c r="K9" s="16"/>
      <c r="BU9" s="16"/>
    </row>
    <row r="10" spans="2:73" s="12" customFormat="1">
      <c r="K10" s="16"/>
      <c r="BU10" s="16"/>
    </row>
    <row r="11" spans="2:73" s="12" customFormat="1" ht="15.75" thickBot="1">
      <c r="K11" s="16"/>
      <c r="BU11" s="16"/>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s="12" customFormat="1" ht="30" customHeight="1" outlineLevel="1" thickBot="1">
      <c r="B14" s="90"/>
      <c r="D14" s="610" t="s">
        <v>550</v>
      </c>
      <c r="K14" s="16"/>
    </row>
    <row r="15" spans="2:73" s="12" customFormat="1" ht="26.25" customHeight="1" outlineLevel="1">
      <c r="C15" s="90"/>
      <c r="K15" s="16"/>
      <c r="BU15" s="16"/>
    </row>
    <row r="16" spans="2:73" s="12" customFormat="1" ht="23.25" customHeight="1" outlineLevel="1">
      <c r="B16" s="116" t="s">
        <v>504</v>
      </c>
      <c r="C16" s="90"/>
      <c r="D16" s="615" t="s">
        <v>609</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c r="BU16" s="16"/>
    </row>
    <row r="17" spans="2:73" s="12" customFormat="1" ht="23.25" customHeight="1" outlineLevel="1">
      <c r="B17" s="689" t="s">
        <v>603</v>
      </c>
      <c r="C17" s="90"/>
      <c r="D17" s="611" t="s">
        <v>581</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c r="BU17" s="16"/>
    </row>
    <row r="18" spans="2:73" s="12" customFormat="1" ht="23.25" customHeight="1" outlineLevel="1">
      <c r="C18" s="90"/>
      <c r="D18" s="611" t="s">
        <v>616</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c r="BU18" s="16"/>
    </row>
    <row r="19" spans="2:73" s="12" customFormat="1" ht="23.25" customHeight="1" outlineLevel="1">
      <c r="C19" s="90"/>
      <c r="D19" s="611" t="s">
        <v>615</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c r="BU19" s="16"/>
    </row>
    <row r="20" spans="2:73" s="12" customFormat="1" ht="23.25" customHeight="1" outlineLevel="1">
      <c r="C20" s="90"/>
      <c r="D20" s="611" t="s">
        <v>617</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c r="BU20" s="16"/>
    </row>
    <row r="21" spans="2:73" s="12" customFormat="1" ht="23.25" customHeight="1" outlineLevel="1">
      <c r="C21" s="90"/>
      <c r="D21" s="702" t="s">
        <v>627</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c r="BU21" s="16"/>
    </row>
    <row r="22" spans="2:73" s="12" customFormat="1">
      <c r="K22" s="16"/>
      <c r="BU22" s="16"/>
    </row>
    <row r="23" spans="2:73" s="12" customFormat="1" ht="15.75">
      <c r="B23" s="182" t="s">
        <v>586</v>
      </c>
      <c r="H23" s="10"/>
      <c r="I23" s="10"/>
      <c r="J23" s="10"/>
      <c r="K23" s="16"/>
      <c r="BU23" s="16"/>
    </row>
    <row r="24" spans="2:73" s="669" customFormat="1" ht="21" customHeight="1">
      <c r="B24" s="701" t="s">
        <v>590</v>
      </c>
      <c r="C24" s="1049" t="s">
        <v>591</v>
      </c>
      <c r="D24" s="1049"/>
      <c r="E24" s="1049"/>
      <c r="F24" s="1049"/>
      <c r="G24" s="1049"/>
      <c r="H24" s="677" t="s">
        <v>588</v>
      </c>
      <c r="I24" s="677" t="s">
        <v>587</v>
      </c>
      <c r="J24" s="677" t="s">
        <v>589</v>
      </c>
      <c r="K24" s="668"/>
      <c r="L24" s="669" t="s">
        <v>591</v>
      </c>
      <c r="AQ24" s="669" t="s">
        <v>591</v>
      </c>
      <c r="BU24" s="668"/>
    </row>
    <row r="25" spans="2:73" s="250" customFormat="1" ht="49.5" customHeight="1">
      <c r="B25" s="245" t="s">
        <v>472</v>
      </c>
      <c r="C25" s="245" t="s">
        <v>211</v>
      </c>
      <c r="D25" s="628" t="s">
        <v>473</v>
      </c>
      <c r="E25" s="245" t="s">
        <v>208</v>
      </c>
      <c r="F25" s="245" t="s">
        <v>474</v>
      </c>
      <c r="G25" s="245" t="s">
        <v>475</v>
      </c>
      <c r="H25" s="628" t="s">
        <v>476</v>
      </c>
      <c r="I25" s="635" t="s">
        <v>579</v>
      </c>
      <c r="J25" s="642" t="s">
        <v>580</v>
      </c>
      <c r="K25" s="640"/>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4"/>
      <c r="J26" s="634"/>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t="s">
        <v>1662</v>
      </c>
      <c r="C27" s="691" t="s">
        <v>1663</v>
      </c>
      <c r="D27" s="691" t="s">
        <v>2</v>
      </c>
      <c r="E27" s="691" t="s">
        <v>991</v>
      </c>
      <c r="F27" s="691" t="s">
        <v>29</v>
      </c>
      <c r="G27" s="691" t="s">
        <v>1664</v>
      </c>
      <c r="H27" s="691">
        <v>2011</v>
      </c>
      <c r="I27" s="643" t="s">
        <v>567</v>
      </c>
      <c r="J27" s="643" t="s">
        <v>585</v>
      </c>
      <c r="K27" s="633"/>
      <c r="L27" s="695">
        <v>0.85820587384179314</v>
      </c>
      <c r="M27" s="696">
        <v>0.85820587384179314</v>
      </c>
      <c r="N27" s="696">
        <v>0.85820587384179314</v>
      </c>
      <c r="O27" s="696">
        <v>0.51097011488867516</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695">
        <v>1221.6083922498665</v>
      </c>
      <c r="AR27" s="696">
        <v>1221.6083922498665</v>
      </c>
      <c r="AS27" s="696">
        <v>1221.6083922498665</v>
      </c>
      <c r="AT27" s="696">
        <v>911.09127991281127</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75">
      <c r="B28" s="691" t="s">
        <v>1662</v>
      </c>
      <c r="C28" s="691" t="s">
        <v>1663</v>
      </c>
      <c r="D28" s="691" t="s">
        <v>1</v>
      </c>
      <c r="E28" s="691" t="s">
        <v>991</v>
      </c>
      <c r="F28" s="691" t="s">
        <v>29</v>
      </c>
      <c r="G28" s="691" t="s">
        <v>1664</v>
      </c>
      <c r="H28" s="691">
        <v>2011</v>
      </c>
      <c r="I28" s="643" t="s">
        <v>567</v>
      </c>
      <c r="J28" s="643" t="s">
        <v>585</v>
      </c>
      <c r="K28" s="633"/>
      <c r="L28" s="695">
        <v>7.8389970622920382</v>
      </c>
      <c r="M28" s="696">
        <v>7.8389970622920382</v>
      </c>
      <c r="N28" s="696">
        <v>7.8389970622920382</v>
      </c>
      <c r="O28" s="696">
        <v>7.612918221674529</v>
      </c>
      <c r="P28" s="696">
        <v>5.7807770000331962</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695">
        <v>56009.836868252954</v>
      </c>
      <c r="AR28" s="696">
        <v>56009.836868252954</v>
      </c>
      <c r="AS28" s="696">
        <v>56009.836868252954</v>
      </c>
      <c r="AT28" s="696">
        <v>55807.664865689883</v>
      </c>
      <c r="AU28" s="696">
        <v>43967.060873237082</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t="s">
        <v>1662</v>
      </c>
      <c r="C29" s="691" t="s">
        <v>1663</v>
      </c>
      <c r="D29" s="691" t="s">
        <v>5</v>
      </c>
      <c r="E29" s="691" t="s">
        <v>991</v>
      </c>
      <c r="F29" s="691" t="s">
        <v>29</v>
      </c>
      <c r="G29" s="691" t="s">
        <v>1664</v>
      </c>
      <c r="H29" s="691">
        <v>2011</v>
      </c>
      <c r="I29" s="643" t="s">
        <v>567</v>
      </c>
      <c r="J29" s="643" t="s">
        <v>585</v>
      </c>
      <c r="K29" s="633"/>
      <c r="L29" s="695">
        <v>3.4412498134187306</v>
      </c>
      <c r="M29" s="696">
        <v>3.4412498134187306</v>
      </c>
      <c r="N29" s="696">
        <v>3.4412498134187306</v>
      </c>
      <c r="O29" s="696">
        <v>3.4412498134187306</v>
      </c>
      <c r="P29" s="696">
        <v>3.2015509258509862</v>
      </c>
      <c r="Q29" s="696">
        <v>2.9396899880067036</v>
      </c>
      <c r="R29" s="696">
        <v>2.3778644891116287</v>
      </c>
      <c r="S29" s="696">
        <v>2.3623825368172757</v>
      </c>
      <c r="T29" s="696">
        <v>2.8639423622293032</v>
      </c>
      <c r="U29" s="696">
        <v>1.3585576983143246</v>
      </c>
      <c r="V29" s="696">
        <v>0.1931998581231365</v>
      </c>
      <c r="W29" s="696">
        <v>0.19311949632878961</v>
      </c>
      <c r="X29" s="696">
        <v>0.19311949632878961</v>
      </c>
      <c r="Y29" s="696">
        <v>0.17924910989712101</v>
      </c>
      <c r="Z29" s="696">
        <v>0.17924910989712101</v>
      </c>
      <c r="AA29" s="696">
        <v>0.15129289355164813</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695">
        <v>60143.287394809813</v>
      </c>
      <c r="AR29" s="696">
        <v>60143.287394809813</v>
      </c>
      <c r="AS29" s="696">
        <v>60143.287394809813</v>
      </c>
      <c r="AT29" s="696">
        <v>60143.287394809813</v>
      </c>
      <c r="AU29" s="696">
        <v>54966.535437653329</v>
      </c>
      <c r="AV29" s="696">
        <v>49311.151984506942</v>
      </c>
      <c r="AW29" s="696">
        <v>37177.465088844998</v>
      </c>
      <c r="AX29" s="696">
        <v>37041.843186746461</v>
      </c>
      <c r="AY29" s="696">
        <v>47873.978597049325</v>
      </c>
      <c r="AZ29" s="696">
        <v>15362.34250114663</v>
      </c>
      <c r="BA29" s="696">
        <v>5531.4825279483648</v>
      </c>
      <c r="BB29" s="696">
        <v>4869.2094115110413</v>
      </c>
      <c r="BC29" s="696">
        <v>4869.2094115110413</v>
      </c>
      <c r="BD29" s="696">
        <v>3596.1156654099345</v>
      </c>
      <c r="BE29" s="696">
        <v>3596.1156654099345</v>
      </c>
      <c r="BF29" s="696">
        <v>3267.456894542358</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75">
      <c r="B30" s="691" t="s">
        <v>1662</v>
      </c>
      <c r="C30" s="691" t="s">
        <v>1663</v>
      </c>
      <c r="D30" s="691" t="s">
        <v>4</v>
      </c>
      <c r="E30" s="691" t="s">
        <v>991</v>
      </c>
      <c r="F30" s="691" t="s">
        <v>29</v>
      </c>
      <c r="G30" s="691" t="s">
        <v>1664</v>
      </c>
      <c r="H30" s="691">
        <v>2011</v>
      </c>
      <c r="I30" s="643" t="s">
        <v>567</v>
      </c>
      <c r="J30" s="643" t="s">
        <v>585</v>
      </c>
      <c r="K30" s="633"/>
      <c r="L30" s="695">
        <v>2.4038461635870623</v>
      </c>
      <c r="M30" s="696">
        <v>2.4038461635870623</v>
      </c>
      <c r="N30" s="696">
        <v>2.4038461635870623</v>
      </c>
      <c r="O30" s="696">
        <v>2.4038461635870623</v>
      </c>
      <c r="P30" s="696">
        <v>2.2618433728564482</v>
      </c>
      <c r="Q30" s="696">
        <v>2.1067113055592461</v>
      </c>
      <c r="R30" s="696">
        <v>1.7682292075980297</v>
      </c>
      <c r="S30" s="696">
        <v>1.7378889001601747</v>
      </c>
      <c r="T30" s="696">
        <v>2.03502375818799</v>
      </c>
      <c r="U30" s="696">
        <v>1.1432014157143422</v>
      </c>
      <c r="V30" s="696">
        <v>0.15537589495722332</v>
      </c>
      <c r="W30" s="696">
        <v>0.15528060647198486</v>
      </c>
      <c r="X30" s="696">
        <v>0.15528060647198486</v>
      </c>
      <c r="Y30" s="696">
        <v>0.15232046271420896</v>
      </c>
      <c r="Z30" s="696">
        <v>0.15232046271420896</v>
      </c>
      <c r="AA30" s="696">
        <v>0.14315217486121565</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695">
        <v>39191.261276517886</v>
      </c>
      <c r="AR30" s="696">
        <v>39191.261276517886</v>
      </c>
      <c r="AS30" s="696">
        <v>39191.261276517886</v>
      </c>
      <c r="AT30" s="696">
        <v>39191.261276517886</v>
      </c>
      <c r="AU30" s="696">
        <v>36124.44176685861</v>
      </c>
      <c r="AV30" s="696">
        <v>32774.070636030759</v>
      </c>
      <c r="AW30" s="696">
        <v>25463.907952910526</v>
      </c>
      <c r="AX30" s="696">
        <v>25198.12685975491</v>
      </c>
      <c r="AY30" s="696">
        <v>31615.317500242032</v>
      </c>
      <c r="AZ30" s="696">
        <v>12354.723078286168</v>
      </c>
      <c r="BA30" s="696">
        <v>4256.4098218738009</v>
      </c>
      <c r="BB30" s="696">
        <v>3471.123696889058</v>
      </c>
      <c r="BC30" s="696">
        <v>3471.123696889058</v>
      </c>
      <c r="BD30" s="696">
        <v>3199.4268321946133</v>
      </c>
      <c r="BE30" s="696">
        <v>3199.4268321946133</v>
      </c>
      <c r="BF30" s="696">
        <v>3091.6426392448811</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75">
      <c r="B31" s="691" t="s">
        <v>1662</v>
      </c>
      <c r="C31" s="691" t="s">
        <v>993</v>
      </c>
      <c r="D31" s="691" t="s">
        <v>21</v>
      </c>
      <c r="E31" s="691" t="s">
        <v>991</v>
      </c>
      <c r="F31" s="691" t="s">
        <v>1665</v>
      </c>
      <c r="G31" s="691" t="s">
        <v>1664</v>
      </c>
      <c r="H31" s="691">
        <v>2011</v>
      </c>
      <c r="I31" s="643" t="s">
        <v>567</v>
      </c>
      <c r="J31" s="643" t="s">
        <v>585</v>
      </c>
      <c r="K31" s="633"/>
      <c r="L31" s="695">
        <v>57.498347252862139</v>
      </c>
      <c r="M31" s="696">
        <v>57.498347252862139</v>
      </c>
      <c r="N31" s="696">
        <v>57.498347252862139</v>
      </c>
      <c r="O31" s="696">
        <v>52.822898036308402</v>
      </c>
      <c r="P31" s="696">
        <v>52.822898036308402</v>
      </c>
      <c r="Q31" s="696">
        <v>52.705378120071707</v>
      </c>
      <c r="R31" s="696">
        <v>7.1859972310610383</v>
      </c>
      <c r="S31" s="696">
        <v>7.0120216687890773</v>
      </c>
      <c r="T31" s="696">
        <v>7.0120216687890773</v>
      </c>
      <c r="U31" s="696">
        <v>7.0120216687890773</v>
      </c>
      <c r="V31" s="696">
        <v>6.9186970294246501</v>
      </c>
      <c r="W31" s="696">
        <v>6.9186970294246501</v>
      </c>
      <c r="X31" s="696">
        <v>0.69129362492169677</v>
      </c>
      <c r="Y31" s="696">
        <v>0.69129362492169677</v>
      </c>
      <c r="Z31" s="696">
        <v>0.69129362492169677</v>
      </c>
      <c r="AA31" s="696">
        <v>0</v>
      </c>
      <c r="AB31" s="696">
        <v>0</v>
      </c>
      <c r="AC31" s="696">
        <v>0</v>
      </c>
      <c r="AD31" s="696">
        <v>0</v>
      </c>
      <c r="AE31" s="696">
        <v>0</v>
      </c>
      <c r="AF31" s="696">
        <v>0</v>
      </c>
      <c r="AG31" s="696">
        <v>0</v>
      </c>
      <c r="AH31" s="696">
        <v>0</v>
      </c>
      <c r="AI31" s="696">
        <v>0</v>
      </c>
      <c r="AJ31" s="696">
        <v>0</v>
      </c>
      <c r="AK31" s="696">
        <v>0</v>
      </c>
      <c r="AL31" s="696">
        <v>0</v>
      </c>
      <c r="AM31" s="696">
        <v>0</v>
      </c>
      <c r="AN31" s="696">
        <v>0</v>
      </c>
      <c r="AO31" s="697">
        <v>0</v>
      </c>
      <c r="AP31" s="633"/>
      <c r="AQ31" s="695">
        <v>142765.63062954822</v>
      </c>
      <c r="AR31" s="696">
        <v>142765.63062954822</v>
      </c>
      <c r="AS31" s="696">
        <v>142765.63062954822</v>
      </c>
      <c r="AT31" s="696">
        <v>130691.71616629191</v>
      </c>
      <c r="AU31" s="696">
        <v>130691.71616629191</v>
      </c>
      <c r="AV31" s="696">
        <v>130603.50146914968</v>
      </c>
      <c r="AW31" s="696">
        <v>16904.870408403789</v>
      </c>
      <c r="AX31" s="696">
        <v>16774.278062634432</v>
      </c>
      <c r="AY31" s="696">
        <v>16774.278062634432</v>
      </c>
      <c r="AZ31" s="696">
        <v>16774.278062634432</v>
      </c>
      <c r="BA31" s="696">
        <v>16160.615116514513</v>
      </c>
      <c r="BB31" s="696">
        <v>16160.615116514513</v>
      </c>
      <c r="BC31" s="696">
        <v>518.90998318951426</v>
      </c>
      <c r="BD31" s="696">
        <v>518.90998318951426</v>
      </c>
      <c r="BE31" s="696">
        <v>518.90998318951426</v>
      </c>
      <c r="BF31" s="696">
        <v>0</v>
      </c>
      <c r="BG31" s="696">
        <v>0</v>
      </c>
      <c r="BH31" s="696">
        <v>0</v>
      </c>
      <c r="BI31" s="696">
        <v>0</v>
      </c>
      <c r="BJ31" s="696">
        <v>0</v>
      </c>
      <c r="BK31" s="696">
        <v>0</v>
      </c>
      <c r="BL31" s="696">
        <v>0</v>
      </c>
      <c r="BM31" s="696">
        <v>0</v>
      </c>
      <c r="BN31" s="696">
        <v>0</v>
      </c>
      <c r="BO31" s="696">
        <v>0</v>
      </c>
      <c r="BP31" s="696">
        <v>0</v>
      </c>
      <c r="BQ31" s="696">
        <v>0</v>
      </c>
      <c r="BR31" s="696">
        <v>0</v>
      </c>
      <c r="BS31" s="696">
        <v>0</v>
      </c>
      <c r="BT31" s="697">
        <v>0</v>
      </c>
      <c r="BU31" s="16"/>
    </row>
    <row r="32" spans="2:73" s="17" customFormat="1" ht="15.75">
      <c r="B32" s="691" t="s">
        <v>1662</v>
      </c>
      <c r="C32" s="691" t="s">
        <v>1666</v>
      </c>
      <c r="D32" s="691" t="s">
        <v>16</v>
      </c>
      <c r="E32" s="691" t="s">
        <v>991</v>
      </c>
      <c r="F32" s="691" t="s">
        <v>1665</v>
      </c>
      <c r="G32" s="691" t="s">
        <v>1664</v>
      </c>
      <c r="H32" s="691">
        <v>2011</v>
      </c>
      <c r="I32" s="643" t="s">
        <v>567</v>
      </c>
      <c r="J32" s="643" t="s">
        <v>585</v>
      </c>
      <c r="K32" s="633"/>
      <c r="L32" s="695">
        <v>4.3163119999999999</v>
      </c>
      <c r="M32" s="696">
        <v>4.3163119999999999</v>
      </c>
      <c r="N32" s="696">
        <v>4.3163119999999999</v>
      </c>
      <c r="O32" s="696">
        <v>4.3163119999999999</v>
      </c>
      <c r="P32" s="696">
        <v>4.3163119999999999</v>
      </c>
      <c r="Q32" s="696">
        <v>4.3163119999999999</v>
      </c>
      <c r="R32" s="696">
        <v>4.3163119999999999</v>
      </c>
      <c r="S32" s="696">
        <v>4.3163119999999999</v>
      </c>
      <c r="T32" s="696">
        <v>4.3163119999999999</v>
      </c>
      <c r="U32" s="696">
        <v>4.3163119999999999</v>
      </c>
      <c r="V32" s="696">
        <v>4.3163119999999999</v>
      </c>
      <c r="W32" s="696">
        <v>4.3163119999999999</v>
      </c>
      <c r="X32" s="696">
        <v>4.3163119999999999</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695">
        <v>25080.794138399997</v>
      </c>
      <c r="AR32" s="696">
        <v>25080.794138399997</v>
      </c>
      <c r="AS32" s="696">
        <v>25080.794138399997</v>
      </c>
      <c r="AT32" s="696">
        <v>25080.794138399997</v>
      </c>
      <c r="AU32" s="696">
        <v>25080.794138399997</v>
      </c>
      <c r="AV32" s="696">
        <v>25080.794138399997</v>
      </c>
      <c r="AW32" s="696">
        <v>25080.794138399997</v>
      </c>
      <c r="AX32" s="696">
        <v>25080.794138399997</v>
      </c>
      <c r="AY32" s="696">
        <v>25080.794138399997</v>
      </c>
      <c r="AZ32" s="696">
        <v>25080.794138399997</v>
      </c>
      <c r="BA32" s="696">
        <v>25080.794138399997</v>
      </c>
      <c r="BB32" s="696">
        <v>25080.794138399997</v>
      </c>
      <c r="BC32" s="696">
        <v>25080.794138399997</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v>0</v>
      </c>
      <c r="BU32" s="16"/>
    </row>
    <row r="33" spans="2:73" s="17" customFormat="1" ht="15.75">
      <c r="B33" s="691" t="s">
        <v>1662</v>
      </c>
      <c r="C33" s="691" t="s">
        <v>1666</v>
      </c>
      <c r="D33" s="691" t="s">
        <v>17</v>
      </c>
      <c r="E33" s="691" t="s">
        <v>991</v>
      </c>
      <c r="F33" s="691" t="s">
        <v>1665</v>
      </c>
      <c r="G33" s="691" t="s">
        <v>1664</v>
      </c>
      <c r="H33" s="691">
        <v>2011</v>
      </c>
      <c r="I33" s="643" t="s">
        <v>567</v>
      </c>
      <c r="J33" s="643" t="s">
        <v>585</v>
      </c>
      <c r="K33" s="633"/>
      <c r="L33" s="695">
        <v>0.11124967100930137</v>
      </c>
      <c r="M33" s="696">
        <v>0.11124967100930137</v>
      </c>
      <c r="N33" s="696">
        <v>0.11124967100930137</v>
      </c>
      <c r="O33" s="696">
        <v>0.11124967100930137</v>
      </c>
      <c r="P33" s="696">
        <v>0.11124967100930137</v>
      </c>
      <c r="Q33" s="696">
        <v>0.11124967100930137</v>
      </c>
      <c r="R33" s="696">
        <v>0.11124967100930137</v>
      </c>
      <c r="S33" s="696">
        <v>0.11124967100930137</v>
      </c>
      <c r="T33" s="696">
        <v>0.11124967100930137</v>
      </c>
      <c r="U33" s="696">
        <v>0.11124967100930137</v>
      </c>
      <c r="V33" s="696">
        <v>0.11124967100930137</v>
      </c>
      <c r="W33" s="696">
        <v>0.11124967100930137</v>
      </c>
      <c r="X33" s="696">
        <v>0.11124967100930137</v>
      </c>
      <c r="Y33" s="696">
        <v>0.11124967100930137</v>
      </c>
      <c r="Z33" s="696">
        <v>0.11124967100930137</v>
      </c>
      <c r="AA33" s="696">
        <v>0.11124967100930137</v>
      </c>
      <c r="AB33" s="696">
        <v>0.11124967100930137</v>
      </c>
      <c r="AC33" s="696">
        <v>0.11124967100930137</v>
      </c>
      <c r="AD33" s="696">
        <v>0.11124967100930137</v>
      </c>
      <c r="AE33" s="696">
        <v>0.11124967100930137</v>
      </c>
      <c r="AF33" s="696">
        <v>0.11124967100930137</v>
      </c>
      <c r="AG33" s="696">
        <v>0.11124967100930137</v>
      </c>
      <c r="AH33" s="696">
        <v>0.11124967100930137</v>
      </c>
      <c r="AI33" s="696">
        <v>0.11124967100930137</v>
      </c>
      <c r="AJ33" s="696">
        <v>0.11124967100930137</v>
      </c>
      <c r="AK33" s="696">
        <v>0.11124967100930137</v>
      </c>
      <c r="AL33" s="696">
        <v>0</v>
      </c>
      <c r="AM33" s="696">
        <v>0</v>
      </c>
      <c r="AN33" s="696">
        <v>0</v>
      </c>
      <c r="AO33" s="697">
        <v>0</v>
      </c>
      <c r="AP33" s="633"/>
      <c r="AQ33" s="695">
        <v>571.37831030377185</v>
      </c>
      <c r="AR33" s="696">
        <v>571.37831030377185</v>
      </c>
      <c r="AS33" s="696">
        <v>571.37831030377185</v>
      </c>
      <c r="AT33" s="696">
        <v>571.37831030377185</v>
      </c>
      <c r="AU33" s="696">
        <v>571.37831030377185</v>
      </c>
      <c r="AV33" s="696">
        <v>571.37831030377185</v>
      </c>
      <c r="AW33" s="696">
        <v>571.37831030377185</v>
      </c>
      <c r="AX33" s="696">
        <v>571.37831030377185</v>
      </c>
      <c r="AY33" s="696">
        <v>571.37831030377185</v>
      </c>
      <c r="AZ33" s="696">
        <v>571.37831030377185</v>
      </c>
      <c r="BA33" s="696">
        <v>571.37831030377185</v>
      </c>
      <c r="BB33" s="696">
        <v>571.37831030377185</v>
      </c>
      <c r="BC33" s="696">
        <v>571.37831030377185</v>
      </c>
      <c r="BD33" s="696">
        <v>571.37831030377185</v>
      </c>
      <c r="BE33" s="696">
        <v>571.37831030377185</v>
      </c>
      <c r="BF33" s="696">
        <v>571.37831030377185</v>
      </c>
      <c r="BG33" s="696">
        <v>571.37831030377185</v>
      </c>
      <c r="BH33" s="696">
        <v>571.37831030377185</v>
      </c>
      <c r="BI33" s="696">
        <v>571.37831030377185</v>
      </c>
      <c r="BJ33" s="696">
        <v>571.37831030377185</v>
      </c>
      <c r="BK33" s="696">
        <v>571.37831030377185</v>
      </c>
      <c r="BL33" s="696">
        <v>571.37831030377185</v>
      </c>
      <c r="BM33" s="696">
        <v>571.37831030377185</v>
      </c>
      <c r="BN33" s="696">
        <v>571.37831030377185</v>
      </c>
      <c r="BO33" s="696">
        <v>571.37831030377185</v>
      </c>
      <c r="BP33" s="696">
        <v>571.37831030377185</v>
      </c>
      <c r="BQ33" s="696">
        <v>0</v>
      </c>
      <c r="BR33" s="696">
        <v>0</v>
      </c>
      <c r="BS33" s="696">
        <v>0</v>
      </c>
      <c r="BT33" s="697">
        <v>0</v>
      </c>
      <c r="BU33" s="16"/>
    </row>
    <row r="34" spans="2:73" s="17" customFormat="1" ht="15.75">
      <c r="B34" s="691" t="s">
        <v>1662</v>
      </c>
      <c r="C34" s="691" t="s">
        <v>1663</v>
      </c>
      <c r="D34" s="691" t="s">
        <v>3</v>
      </c>
      <c r="E34" s="691" t="s">
        <v>991</v>
      </c>
      <c r="F34" s="691" t="s">
        <v>29</v>
      </c>
      <c r="G34" s="691" t="s">
        <v>1664</v>
      </c>
      <c r="H34" s="691">
        <v>2011</v>
      </c>
      <c r="I34" s="643" t="s">
        <v>567</v>
      </c>
      <c r="J34" s="643" t="s">
        <v>585</v>
      </c>
      <c r="K34" s="633"/>
      <c r="L34" s="695">
        <v>15.980383861994925</v>
      </c>
      <c r="M34" s="696">
        <v>15.980383861994925</v>
      </c>
      <c r="N34" s="696">
        <v>15.980383861994925</v>
      </c>
      <c r="O34" s="696">
        <v>15.980383861994925</v>
      </c>
      <c r="P34" s="696">
        <v>15.980383861994925</v>
      </c>
      <c r="Q34" s="696">
        <v>15.980383861994925</v>
      </c>
      <c r="R34" s="696">
        <v>15.980383861994925</v>
      </c>
      <c r="S34" s="696">
        <v>15.980383861994925</v>
      </c>
      <c r="T34" s="696">
        <v>15.980383861994925</v>
      </c>
      <c r="U34" s="696">
        <v>15.980383861994925</v>
      </c>
      <c r="V34" s="696">
        <v>15.980383861994925</v>
      </c>
      <c r="W34" s="696">
        <v>15.980383861994925</v>
      </c>
      <c r="X34" s="696">
        <v>15.980383861994925</v>
      </c>
      <c r="Y34" s="696">
        <v>15.980383861994925</v>
      </c>
      <c r="Z34" s="696">
        <v>15.980383861994925</v>
      </c>
      <c r="AA34" s="696">
        <v>15.980383861994925</v>
      </c>
      <c r="AB34" s="696">
        <v>15.980383861994925</v>
      </c>
      <c r="AC34" s="696">
        <v>15.980383861994925</v>
      </c>
      <c r="AD34" s="696">
        <v>14.759771306535244</v>
      </c>
      <c r="AE34" s="696">
        <v>0</v>
      </c>
      <c r="AF34" s="696">
        <v>0</v>
      </c>
      <c r="AG34" s="696">
        <v>0</v>
      </c>
      <c r="AH34" s="696">
        <v>0</v>
      </c>
      <c r="AI34" s="696">
        <v>0</v>
      </c>
      <c r="AJ34" s="696">
        <v>0</v>
      </c>
      <c r="AK34" s="696">
        <v>0</v>
      </c>
      <c r="AL34" s="696">
        <v>0</v>
      </c>
      <c r="AM34" s="696">
        <v>0</v>
      </c>
      <c r="AN34" s="696">
        <v>0</v>
      </c>
      <c r="AO34" s="697">
        <v>0</v>
      </c>
      <c r="AP34" s="633"/>
      <c r="AQ34" s="695">
        <v>31420.207910807298</v>
      </c>
      <c r="AR34" s="696">
        <v>31420.207910807298</v>
      </c>
      <c r="AS34" s="696">
        <v>31420.207910807298</v>
      </c>
      <c r="AT34" s="696">
        <v>31420.207910807298</v>
      </c>
      <c r="AU34" s="696">
        <v>31420.207910807298</v>
      </c>
      <c r="AV34" s="696">
        <v>31420.207910807298</v>
      </c>
      <c r="AW34" s="696">
        <v>31420.207910807298</v>
      </c>
      <c r="AX34" s="696">
        <v>31420.207910807298</v>
      </c>
      <c r="AY34" s="696">
        <v>31420.207910807298</v>
      </c>
      <c r="AZ34" s="696">
        <v>31420.207910807298</v>
      </c>
      <c r="BA34" s="696">
        <v>31420.207910807298</v>
      </c>
      <c r="BB34" s="696">
        <v>31420.207910807298</v>
      </c>
      <c r="BC34" s="696">
        <v>31420.207910807298</v>
      </c>
      <c r="BD34" s="696">
        <v>31420.207910807298</v>
      </c>
      <c r="BE34" s="696">
        <v>31420.207910807298</v>
      </c>
      <c r="BF34" s="696">
        <v>31420.207910807298</v>
      </c>
      <c r="BG34" s="696">
        <v>31420.207910807298</v>
      </c>
      <c r="BH34" s="696">
        <v>31420.207910807298</v>
      </c>
      <c r="BI34" s="696">
        <v>30329.570223768038</v>
      </c>
      <c r="BJ34" s="696">
        <v>0</v>
      </c>
      <c r="BK34" s="696">
        <v>0</v>
      </c>
      <c r="BL34" s="696">
        <v>0</v>
      </c>
      <c r="BM34" s="696">
        <v>0</v>
      </c>
      <c r="BN34" s="696">
        <v>0</v>
      </c>
      <c r="BO34" s="696">
        <v>0</v>
      </c>
      <c r="BP34" s="696">
        <v>0</v>
      </c>
      <c r="BQ34" s="696">
        <v>0</v>
      </c>
      <c r="BR34" s="696">
        <v>0</v>
      </c>
      <c r="BS34" s="696">
        <v>0</v>
      </c>
      <c r="BT34" s="697">
        <v>0</v>
      </c>
      <c r="BU34" s="16"/>
    </row>
    <row r="35" spans="2:73" s="17" customFormat="1" ht="15.75">
      <c r="B35" s="691" t="s">
        <v>1662</v>
      </c>
      <c r="C35" s="691" t="s">
        <v>1663</v>
      </c>
      <c r="D35" s="691" t="s">
        <v>6</v>
      </c>
      <c r="E35" s="691" t="s">
        <v>991</v>
      </c>
      <c r="F35" s="691" t="s">
        <v>29</v>
      </c>
      <c r="G35" s="691" t="s">
        <v>1664</v>
      </c>
      <c r="H35" s="691">
        <v>2011</v>
      </c>
      <c r="I35" s="643" t="s">
        <v>567</v>
      </c>
      <c r="J35" s="643" t="s">
        <v>585</v>
      </c>
      <c r="K35" s="633"/>
      <c r="L35" s="695">
        <v>0</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695">
        <v>0</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75">
      <c r="B36" s="691" t="s">
        <v>1662</v>
      </c>
      <c r="C36" s="691" t="s">
        <v>993</v>
      </c>
      <c r="D36" s="691" t="s">
        <v>22</v>
      </c>
      <c r="E36" s="691" t="s">
        <v>991</v>
      </c>
      <c r="F36" s="691" t="s">
        <v>1665</v>
      </c>
      <c r="G36" s="691" t="s">
        <v>1664</v>
      </c>
      <c r="H36" s="691">
        <v>2011</v>
      </c>
      <c r="I36" s="643" t="s">
        <v>567</v>
      </c>
      <c r="J36" s="643" t="s">
        <v>585</v>
      </c>
      <c r="K36" s="633"/>
      <c r="L36" s="695">
        <v>18.649321944371795</v>
      </c>
      <c r="M36" s="696">
        <v>18.649321944371795</v>
      </c>
      <c r="N36" s="696">
        <v>18.649321944371795</v>
      </c>
      <c r="O36" s="696">
        <v>18.649321944371795</v>
      </c>
      <c r="P36" s="696">
        <v>18.649321944371795</v>
      </c>
      <c r="Q36" s="696">
        <v>18.649321944371795</v>
      </c>
      <c r="R36" s="696">
        <v>18.649321944371795</v>
      </c>
      <c r="S36" s="696">
        <v>18.649321944371795</v>
      </c>
      <c r="T36" s="696">
        <v>18.649321944371795</v>
      </c>
      <c r="U36" s="696">
        <v>18.649321944371795</v>
      </c>
      <c r="V36" s="696">
        <v>18.649321944371795</v>
      </c>
      <c r="W36" s="696">
        <v>0</v>
      </c>
      <c r="X36" s="696">
        <v>0</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695">
        <v>191088.52495155111</v>
      </c>
      <c r="AR36" s="696">
        <v>191088.52495155111</v>
      </c>
      <c r="AS36" s="696">
        <v>191088.52495155111</v>
      </c>
      <c r="AT36" s="696">
        <v>191088.52495155111</v>
      </c>
      <c r="AU36" s="696">
        <v>191088.52495155111</v>
      </c>
      <c r="AV36" s="696">
        <v>191088.52495155111</v>
      </c>
      <c r="AW36" s="696">
        <v>191088.52495155111</v>
      </c>
      <c r="AX36" s="696">
        <v>191088.52495155111</v>
      </c>
      <c r="AY36" s="696">
        <v>191088.52495155111</v>
      </c>
      <c r="AZ36" s="696">
        <v>191088.52495155111</v>
      </c>
      <c r="BA36" s="696">
        <v>191088.52495155111</v>
      </c>
      <c r="BB36" s="696">
        <v>0</v>
      </c>
      <c r="BC36" s="696">
        <v>0</v>
      </c>
      <c r="BD36" s="696">
        <v>0</v>
      </c>
      <c r="BE36" s="696">
        <v>0</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75">
      <c r="B37" s="691"/>
      <c r="C37" s="691"/>
      <c r="D37" s="691"/>
      <c r="E37" s="691"/>
      <c r="F37" s="691"/>
      <c r="G37" s="691"/>
      <c r="H37" s="691"/>
      <c r="I37" s="643"/>
      <c r="J37" s="643"/>
      <c r="K37" s="633"/>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3"/>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t="s">
        <v>1667</v>
      </c>
      <c r="C38" s="691" t="s">
        <v>1663</v>
      </c>
      <c r="D38" s="691" t="s">
        <v>5</v>
      </c>
      <c r="E38" s="691" t="s">
        <v>991</v>
      </c>
      <c r="F38" s="691" t="s">
        <v>29</v>
      </c>
      <c r="G38" s="691" t="s">
        <v>1664</v>
      </c>
      <c r="H38" s="691">
        <v>2011</v>
      </c>
      <c r="I38" s="643" t="s">
        <v>568</v>
      </c>
      <c r="J38" s="643" t="s">
        <v>578</v>
      </c>
      <c r="K38" s="633"/>
      <c r="L38" s="695">
        <v>0.22075055042028097</v>
      </c>
      <c r="M38" s="696">
        <v>0.22075055042028097</v>
      </c>
      <c r="N38" s="696">
        <v>0.22075055042028097</v>
      </c>
      <c r="O38" s="696">
        <v>0.22075055042028097</v>
      </c>
      <c r="P38" s="696">
        <v>0.22075055042028097</v>
      </c>
      <c r="Q38" s="696">
        <v>0.20186314413307879</v>
      </c>
      <c r="R38" s="696">
        <v>0.11535549624932805</v>
      </c>
      <c r="S38" s="696">
        <v>0.11530451298837485</v>
      </c>
      <c r="T38" s="696">
        <v>0.11530451298837485</v>
      </c>
      <c r="U38" s="696">
        <v>3.6206742621660494E-2</v>
      </c>
      <c r="V38" s="696">
        <v>1.5043452790971761E-2</v>
      </c>
      <c r="W38" s="696">
        <v>1.50394257926822E-2</v>
      </c>
      <c r="X38" s="696">
        <v>1.50394257926822E-2</v>
      </c>
      <c r="Y38" s="696">
        <v>1.4347917523486712E-2</v>
      </c>
      <c r="Z38" s="696">
        <v>1.4347917523486712E-2</v>
      </c>
      <c r="AA38" s="696">
        <v>1.4316254256985973E-2</v>
      </c>
      <c r="AB38" s="696">
        <v>0</v>
      </c>
      <c r="AC38" s="696">
        <v>0</v>
      </c>
      <c r="AD38" s="696">
        <v>0</v>
      </c>
      <c r="AE38" s="696">
        <v>0</v>
      </c>
      <c r="AF38" s="696">
        <v>0</v>
      </c>
      <c r="AG38" s="696">
        <v>0</v>
      </c>
      <c r="AH38" s="696">
        <v>0</v>
      </c>
      <c r="AI38" s="696">
        <v>0</v>
      </c>
      <c r="AJ38" s="696">
        <v>0</v>
      </c>
      <c r="AK38" s="696">
        <v>0</v>
      </c>
      <c r="AL38" s="696">
        <v>0</v>
      </c>
      <c r="AM38" s="696">
        <v>0</v>
      </c>
      <c r="AN38" s="696">
        <v>0</v>
      </c>
      <c r="AO38" s="697">
        <v>0</v>
      </c>
      <c r="AP38" s="633"/>
      <c r="AQ38" s="695">
        <v>4468.4454155886706</v>
      </c>
      <c r="AR38" s="696">
        <v>4468.4454155886706</v>
      </c>
      <c r="AS38" s="696">
        <v>4468.4454155886706</v>
      </c>
      <c r="AT38" s="696">
        <v>4468.4454155886706</v>
      </c>
      <c r="AU38" s="696">
        <v>4468.4454155886706</v>
      </c>
      <c r="AV38" s="696">
        <v>4060.5360654242945</v>
      </c>
      <c r="AW38" s="696">
        <v>2192.2393868898848</v>
      </c>
      <c r="AX38" s="696">
        <v>2191.7927735239346</v>
      </c>
      <c r="AY38" s="696">
        <v>2191.7927735239346</v>
      </c>
      <c r="AZ38" s="696">
        <v>483.52644943898775</v>
      </c>
      <c r="BA38" s="696">
        <v>406.21606999991997</v>
      </c>
      <c r="BB38" s="696">
        <v>373.02899735189692</v>
      </c>
      <c r="BC38" s="696">
        <v>373.02899735189692</v>
      </c>
      <c r="BD38" s="696">
        <v>309.55889453774853</v>
      </c>
      <c r="BE38" s="696">
        <v>309.55889453774853</v>
      </c>
      <c r="BF38" s="696">
        <v>309.1866549570704</v>
      </c>
      <c r="BG38" s="696">
        <v>0</v>
      </c>
      <c r="BH38" s="696">
        <v>0</v>
      </c>
      <c r="BI38" s="696">
        <v>0</v>
      </c>
      <c r="BJ38" s="696">
        <v>0</v>
      </c>
      <c r="BK38" s="696">
        <v>0</v>
      </c>
      <c r="BL38" s="696">
        <v>0</v>
      </c>
      <c r="BM38" s="696">
        <v>0</v>
      </c>
      <c r="BN38" s="696">
        <v>0</v>
      </c>
      <c r="BO38" s="696">
        <v>0</v>
      </c>
      <c r="BP38" s="696">
        <v>0</v>
      </c>
      <c r="BQ38" s="696">
        <v>0</v>
      </c>
      <c r="BR38" s="696">
        <v>0</v>
      </c>
      <c r="BS38" s="696">
        <v>0</v>
      </c>
      <c r="BT38" s="697">
        <v>0</v>
      </c>
      <c r="BU38" s="16"/>
    </row>
    <row r="39" spans="2:73" s="17" customFormat="1" ht="15.75">
      <c r="B39" s="691" t="s">
        <v>1667</v>
      </c>
      <c r="C39" s="691" t="s">
        <v>1663</v>
      </c>
      <c r="D39" s="691" t="s">
        <v>4</v>
      </c>
      <c r="E39" s="691" t="s">
        <v>991</v>
      </c>
      <c r="F39" s="691" t="s">
        <v>29</v>
      </c>
      <c r="G39" s="691" t="s">
        <v>1664</v>
      </c>
      <c r="H39" s="691">
        <v>2011</v>
      </c>
      <c r="I39" s="643" t="s">
        <v>568</v>
      </c>
      <c r="J39" s="643" t="s">
        <v>578</v>
      </c>
      <c r="K39" s="633"/>
      <c r="L39" s="695">
        <v>3.2947590807174222E-2</v>
      </c>
      <c r="M39" s="696">
        <v>3.2947590807174222E-2</v>
      </c>
      <c r="N39" s="696">
        <v>3.2947590807174222E-2</v>
      </c>
      <c r="O39" s="696">
        <v>3.2947590807174222E-2</v>
      </c>
      <c r="P39" s="696">
        <v>3.2947590807174222E-2</v>
      </c>
      <c r="Q39" s="696">
        <v>3.0692794836413746E-2</v>
      </c>
      <c r="R39" s="696">
        <v>2.1468069624843673E-2</v>
      </c>
      <c r="S39" s="696">
        <v>2.1418920569940967E-2</v>
      </c>
      <c r="T39" s="696">
        <v>2.1418920569940967E-2</v>
      </c>
      <c r="U39" s="696">
        <v>1.1976155840521642E-2</v>
      </c>
      <c r="V39" s="696">
        <v>1.5830852776305354E-3</v>
      </c>
      <c r="W39" s="696">
        <v>1.5814154221635874E-3</v>
      </c>
      <c r="X39" s="696">
        <v>1.5814154221635874E-3</v>
      </c>
      <c r="Y39" s="696">
        <v>1.5403552188802444E-3</v>
      </c>
      <c r="Z39" s="696">
        <v>1.5403552188802444E-3</v>
      </c>
      <c r="AA39" s="696">
        <v>1.5121830156432882E-3</v>
      </c>
      <c r="AB39" s="696">
        <v>0</v>
      </c>
      <c r="AC39" s="696">
        <v>0</v>
      </c>
      <c r="AD39" s="696">
        <v>0</v>
      </c>
      <c r="AE39" s="696">
        <v>0</v>
      </c>
      <c r="AF39" s="696">
        <v>0</v>
      </c>
      <c r="AG39" s="696">
        <v>0</v>
      </c>
      <c r="AH39" s="696">
        <v>0</v>
      </c>
      <c r="AI39" s="696">
        <v>0</v>
      </c>
      <c r="AJ39" s="696">
        <v>0</v>
      </c>
      <c r="AK39" s="696">
        <v>0</v>
      </c>
      <c r="AL39" s="696">
        <v>0</v>
      </c>
      <c r="AM39" s="696">
        <v>0</v>
      </c>
      <c r="AN39" s="696">
        <v>0</v>
      </c>
      <c r="AO39" s="697">
        <v>0</v>
      </c>
      <c r="AP39" s="633"/>
      <c r="AQ39" s="695">
        <v>564.14543122962516</v>
      </c>
      <c r="AR39" s="696">
        <v>564.14543122962516</v>
      </c>
      <c r="AS39" s="696">
        <v>564.14543122962516</v>
      </c>
      <c r="AT39" s="696">
        <v>564.14543122962516</v>
      </c>
      <c r="AU39" s="696">
        <v>564.14543122962516</v>
      </c>
      <c r="AV39" s="696">
        <v>515.44883704403924</v>
      </c>
      <c r="AW39" s="696">
        <v>316.22340559630408</v>
      </c>
      <c r="AX39" s="696">
        <v>315.79285987535638</v>
      </c>
      <c r="AY39" s="696">
        <v>315.79285987535638</v>
      </c>
      <c r="AZ39" s="696">
        <v>111.85845162669827</v>
      </c>
      <c r="BA39" s="696">
        <v>50.519888377012641</v>
      </c>
      <c r="BB39" s="696">
        <v>36.758369074419392</v>
      </c>
      <c r="BC39" s="696">
        <v>36.758369074419392</v>
      </c>
      <c r="BD39" s="696">
        <v>32.989657346654241</v>
      </c>
      <c r="BE39" s="696">
        <v>32.989657346654241</v>
      </c>
      <c r="BF39" s="696">
        <v>32.658459391463538</v>
      </c>
      <c r="BG39" s="696">
        <v>0</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75">
      <c r="B40" s="691" t="s">
        <v>1667</v>
      </c>
      <c r="C40" s="691" t="s">
        <v>1666</v>
      </c>
      <c r="D40" s="691" t="s">
        <v>17</v>
      </c>
      <c r="E40" s="691" t="s">
        <v>991</v>
      </c>
      <c r="F40" s="691" t="s">
        <v>1668</v>
      </c>
      <c r="G40" s="691" t="s">
        <v>1664</v>
      </c>
      <c r="H40" s="691">
        <v>2011</v>
      </c>
      <c r="I40" s="643" t="s">
        <v>568</v>
      </c>
      <c r="J40" s="643" t="s">
        <v>578</v>
      </c>
      <c r="K40" s="633"/>
      <c r="L40" s="695">
        <v>0</v>
      </c>
      <c r="M40" s="696">
        <v>0</v>
      </c>
      <c r="N40" s="696">
        <v>0</v>
      </c>
      <c r="O40" s="696">
        <v>0</v>
      </c>
      <c r="P40" s="696">
        <v>0</v>
      </c>
      <c r="Q40" s="696">
        <v>0</v>
      </c>
      <c r="R40" s="696">
        <v>0</v>
      </c>
      <c r="S40" s="696">
        <v>0</v>
      </c>
      <c r="T40" s="696">
        <v>0</v>
      </c>
      <c r="U40" s="696">
        <v>0</v>
      </c>
      <c r="V40" s="696">
        <v>0</v>
      </c>
      <c r="W40" s="696">
        <v>0</v>
      </c>
      <c r="X40" s="696">
        <v>0</v>
      </c>
      <c r="Y40" s="696">
        <v>0</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695">
        <v>0</v>
      </c>
      <c r="AR40" s="696">
        <v>0</v>
      </c>
      <c r="AS40" s="696">
        <v>0</v>
      </c>
      <c r="AT40" s="696">
        <v>0</v>
      </c>
      <c r="AU40" s="696">
        <v>0</v>
      </c>
      <c r="AV40" s="696">
        <v>0</v>
      </c>
      <c r="AW40" s="696">
        <v>0</v>
      </c>
      <c r="AX40" s="696">
        <v>0</v>
      </c>
      <c r="AY40" s="696">
        <v>0</v>
      </c>
      <c r="AZ40" s="696">
        <v>0</v>
      </c>
      <c r="BA40" s="696">
        <v>0</v>
      </c>
      <c r="BB40" s="696">
        <v>0</v>
      </c>
      <c r="BC40" s="696">
        <v>0</v>
      </c>
      <c r="BD40" s="696">
        <v>0</v>
      </c>
      <c r="BE40" s="696">
        <v>0</v>
      </c>
      <c r="BF40" s="696">
        <v>0</v>
      </c>
      <c r="BG40" s="696">
        <v>0</v>
      </c>
      <c r="BH40" s="696">
        <v>0</v>
      </c>
      <c r="BI40" s="696">
        <v>0</v>
      </c>
      <c r="BJ40" s="696">
        <v>0</v>
      </c>
      <c r="BK40" s="696">
        <v>0</v>
      </c>
      <c r="BL40" s="696">
        <v>0</v>
      </c>
      <c r="BM40" s="696">
        <v>0</v>
      </c>
      <c r="BN40" s="696">
        <v>0</v>
      </c>
      <c r="BO40" s="696">
        <v>0</v>
      </c>
      <c r="BP40" s="696">
        <v>0</v>
      </c>
      <c r="BQ40" s="696">
        <v>0</v>
      </c>
      <c r="BR40" s="696">
        <v>0</v>
      </c>
      <c r="BS40" s="696">
        <v>0</v>
      </c>
      <c r="BT40" s="697">
        <v>0</v>
      </c>
      <c r="BU40" s="16"/>
    </row>
    <row r="41" spans="2:73" s="17" customFormat="1" ht="15.75">
      <c r="B41" s="691" t="s">
        <v>1667</v>
      </c>
      <c r="C41" s="691" t="s">
        <v>1663</v>
      </c>
      <c r="D41" s="691" t="s">
        <v>3</v>
      </c>
      <c r="E41" s="691" t="s">
        <v>991</v>
      </c>
      <c r="F41" s="691" t="s">
        <v>29</v>
      </c>
      <c r="G41" s="691" t="s">
        <v>1664</v>
      </c>
      <c r="H41" s="691">
        <v>2011</v>
      </c>
      <c r="I41" s="643" t="s">
        <v>568</v>
      </c>
      <c r="J41" s="643" t="s">
        <v>578</v>
      </c>
      <c r="K41" s="633"/>
      <c r="L41" s="695">
        <v>-3.3235063245353778</v>
      </c>
      <c r="M41" s="696">
        <v>-3.3235063245353778</v>
      </c>
      <c r="N41" s="696">
        <v>-3.3235063245353778</v>
      </c>
      <c r="O41" s="696">
        <v>-3.3235063245353778</v>
      </c>
      <c r="P41" s="696">
        <v>-3.3235063245353778</v>
      </c>
      <c r="Q41" s="696">
        <v>-3.3235063245353778</v>
      </c>
      <c r="R41" s="696">
        <v>-3.3235063245353778</v>
      </c>
      <c r="S41" s="696">
        <v>-3.3235063245353778</v>
      </c>
      <c r="T41" s="696">
        <v>-3.3235063245353778</v>
      </c>
      <c r="U41" s="696">
        <v>-3.3235063245353778</v>
      </c>
      <c r="V41" s="696">
        <v>-3.3235063245353778</v>
      </c>
      <c r="W41" s="696">
        <v>-3.3235063245353778</v>
      </c>
      <c r="X41" s="696">
        <v>-3.3235063245353778</v>
      </c>
      <c r="Y41" s="696">
        <v>-3.3235063245353778</v>
      </c>
      <c r="Z41" s="696">
        <v>-3.3235063245353778</v>
      </c>
      <c r="AA41" s="696">
        <v>-3.3235063245353778</v>
      </c>
      <c r="AB41" s="696">
        <v>-3.3235063245353778</v>
      </c>
      <c r="AC41" s="696">
        <v>-3.3235063245353778</v>
      </c>
      <c r="AD41" s="696">
        <v>-3.1137771155325487</v>
      </c>
      <c r="AE41" s="696">
        <v>0</v>
      </c>
      <c r="AF41" s="696">
        <v>0</v>
      </c>
      <c r="AG41" s="696">
        <v>0</v>
      </c>
      <c r="AH41" s="696">
        <v>0</v>
      </c>
      <c r="AI41" s="696">
        <v>0</v>
      </c>
      <c r="AJ41" s="696">
        <v>0</v>
      </c>
      <c r="AK41" s="696">
        <v>0</v>
      </c>
      <c r="AL41" s="696">
        <v>0</v>
      </c>
      <c r="AM41" s="696">
        <v>0</v>
      </c>
      <c r="AN41" s="696">
        <v>0</v>
      </c>
      <c r="AO41" s="697">
        <v>0</v>
      </c>
      <c r="AP41" s="633"/>
      <c r="AQ41" s="695">
        <v>-6589.9943738009879</v>
      </c>
      <c r="AR41" s="696">
        <v>-6589.9943738009879</v>
      </c>
      <c r="AS41" s="696">
        <v>-6589.9943738009879</v>
      </c>
      <c r="AT41" s="696">
        <v>-6589.9943738009879</v>
      </c>
      <c r="AU41" s="696">
        <v>-6589.9943738009879</v>
      </c>
      <c r="AV41" s="696">
        <v>-6589.9943738009879</v>
      </c>
      <c r="AW41" s="696">
        <v>-6589.9943738009879</v>
      </c>
      <c r="AX41" s="696">
        <v>-6589.9943738009879</v>
      </c>
      <c r="AY41" s="696">
        <v>-6589.9943738009879</v>
      </c>
      <c r="AZ41" s="696">
        <v>-6589.9943738009879</v>
      </c>
      <c r="BA41" s="696">
        <v>-6589.9943738009879</v>
      </c>
      <c r="BB41" s="696">
        <v>-6589.9943738009879</v>
      </c>
      <c r="BC41" s="696">
        <v>-6589.9943738009879</v>
      </c>
      <c r="BD41" s="696">
        <v>-6589.9943738009879</v>
      </c>
      <c r="BE41" s="696">
        <v>-6589.9943738009879</v>
      </c>
      <c r="BF41" s="696">
        <v>-6589.9943738009879</v>
      </c>
      <c r="BG41" s="696">
        <v>-6589.9943738009879</v>
      </c>
      <c r="BH41" s="696">
        <v>-6589.9943738009879</v>
      </c>
      <c r="BI41" s="696">
        <v>-6402.7667697204688</v>
      </c>
      <c r="BJ41" s="696">
        <v>0</v>
      </c>
      <c r="BK41" s="696">
        <v>0</v>
      </c>
      <c r="BL41" s="696">
        <v>0</v>
      </c>
      <c r="BM41" s="696">
        <v>0</v>
      </c>
      <c r="BN41" s="696">
        <v>0</v>
      </c>
      <c r="BO41" s="696">
        <v>0</v>
      </c>
      <c r="BP41" s="696">
        <v>0</v>
      </c>
      <c r="BQ41" s="696">
        <v>0</v>
      </c>
      <c r="BR41" s="696">
        <v>0</v>
      </c>
      <c r="BS41" s="696">
        <v>0</v>
      </c>
      <c r="BT41" s="697">
        <v>0</v>
      </c>
      <c r="BU41" s="16"/>
    </row>
    <row r="42" spans="2:73" s="17" customFormat="1" ht="15.75">
      <c r="B42" s="691" t="s">
        <v>1667</v>
      </c>
      <c r="C42" s="691" t="s">
        <v>1663</v>
      </c>
      <c r="D42" s="691" t="s">
        <v>7</v>
      </c>
      <c r="E42" s="691" t="s">
        <v>991</v>
      </c>
      <c r="F42" s="691" t="s">
        <v>29</v>
      </c>
      <c r="G42" s="691" t="s">
        <v>1664</v>
      </c>
      <c r="H42" s="691">
        <v>2011</v>
      </c>
      <c r="I42" s="643" t="s">
        <v>568</v>
      </c>
      <c r="J42" s="643" t="s">
        <v>578</v>
      </c>
      <c r="K42" s="633"/>
      <c r="L42" s="695">
        <v>6.4688956800528982E-2</v>
      </c>
      <c r="M42" s="696">
        <v>6.4688956800528982E-2</v>
      </c>
      <c r="N42" s="696">
        <v>6.4688956800528982E-2</v>
      </c>
      <c r="O42" s="696">
        <v>6.4688956800528982E-2</v>
      </c>
      <c r="P42" s="696">
        <v>6.4688956800528996E-2</v>
      </c>
      <c r="Q42" s="696">
        <v>6.4688956800528996E-2</v>
      </c>
      <c r="R42" s="696">
        <v>6.4688956800528996E-2</v>
      </c>
      <c r="S42" s="696">
        <v>6.4688956800528996E-2</v>
      </c>
      <c r="T42" s="696">
        <v>6.4688956800528996E-2</v>
      </c>
      <c r="U42" s="696">
        <v>6.4688956800528996E-2</v>
      </c>
      <c r="V42" s="696">
        <v>6.4688956800528996E-2</v>
      </c>
      <c r="W42" s="696">
        <v>6.4688956800528996E-2</v>
      </c>
      <c r="X42" s="696">
        <v>6.4688956800528996E-2</v>
      </c>
      <c r="Y42" s="696">
        <v>6.4688956800528996E-2</v>
      </c>
      <c r="Z42" s="696">
        <v>6.4688956800528996E-2</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695">
        <v>714.64554527093981</v>
      </c>
      <c r="AR42" s="696">
        <v>714.64554527093981</v>
      </c>
      <c r="AS42" s="696">
        <v>714.64554527093981</v>
      </c>
      <c r="AT42" s="696">
        <v>714.64554527093981</v>
      </c>
      <c r="AU42" s="696">
        <v>714.64554527094003</v>
      </c>
      <c r="AV42" s="696">
        <v>714.64554527094003</v>
      </c>
      <c r="AW42" s="696">
        <v>714.64554527094003</v>
      </c>
      <c r="AX42" s="696">
        <v>714.64554527094003</v>
      </c>
      <c r="AY42" s="696">
        <v>714.64554527094003</v>
      </c>
      <c r="AZ42" s="696">
        <v>714.64554527094003</v>
      </c>
      <c r="BA42" s="696">
        <v>714.64554527094003</v>
      </c>
      <c r="BB42" s="696">
        <v>714.64554527094003</v>
      </c>
      <c r="BC42" s="696">
        <v>714.64554527094003</v>
      </c>
      <c r="BD42" s="696">
        <v>714.64554527094003</v>
      </c>
      <c r="BE42" s="696">
        <v>714.64554527094003</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75">
      <c r="B43" s="691"/>
      <c r="C43" s="691"/>
      <c r="D43" s="691"/>
      <c r="E43" s="691"/>
      <c r="F43" s="691"/>
      <c r="G43" s="691"/>
      <c r="H43" s="691"/>
      <c r="I43" s="643"/>
      <c r="J43" s="643"/>
      <c r="K43" s="633"/>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3"/>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t="s">
        <v>1662</v>
      </c>
      <c r="C44" s="691" t="s">
        <v>1663</v>
      </c>
      <c r="D44" s="691" t="s">
        <v>2</v>
      </c>
      <c r="E44" s="691" t="s">
        <v>991</v>
      </c>
      <c r="F44" s="691" t="s">
        <v>29</v>
      </c>
      <c r="G44" s="691" t="s">
        <v>1664</v>
      </c>
      <c r="H44" s="691">
        <v>2012</v>
      </c>
      <c r="I44" s="643" t="s">
        <v>568</v>
      </c>
      <c r="J44" s="643" t="s">
        <v>585</v>
      </c>
      <c r="K44" s="633"/>
      <c r="L44" s="695">
        <v>0</v>
      </c>
      <c r="M44" s="696">
        <v>2.9572277504115823</v>
      </c>
      <c r="N44" s="696">
        <v>2.9572277504115823</v>
      </c>
      <c r="O44" s="696">
        <v>2.9572277504115823</v>
      </c>
      <c r="P44" s="696">
        <v>2.7828051071421758</v>
      </c>
      <c r="Q44" s="696">
        <v>0</v>
      </c>
      <c r="R44" s="696">
        <v>0</v>
      </c>
      <c r="S44" s="696">
        <v>0</v>
      </c>
      <c r="T44" s="696">
        <v>0</v>
      </c>
      <c r="U44" s="696">
        <v>0</v>
      </c>
      <c r="V44" s="696">
        <v>0</v>
      </c>
      <c r="W44" s="696">
        <v>0</v>
      </c>
      <c r="X44" s="696">
        <v>0</v>
      </c>
      <c r="Y44" s="696">
        <v>0</v>
      </c>
      <c r="Z44" s="696">
        <v>0</v>
      </c>
      <c r="AA44" s="696">
        <v>0</v>
      </c>
      <c r="AB44" s="696">
        <v>0</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5117.8916329546601</v>
      </c>
      <c r="AS44" s="696">
        <v>5117.8916329546601</v>
      </c>
      <c r="AT44" s="696">
        <v>5117.8916329546601</v>
      </c>
      <c r="AU44" s="696">
        <v>4961.9134132070649</v>
      </c>
      <c r="AV44" s="696">
        <v>0</v>
      </c>
      <c r="AW44" s="696">
        <v>0</v>
      </c>
      <c r="AX44" s="696">
        <v>0</v>
      </c>
      <c r="AY44" s="696">
        <v>0</v>
      </c>
      <c r="AZ44" s="696">
        <v>0</v>
      </c>
      <c r="BA44" s="696">
        <v>0</v>
      </c>
      <c r="BB44" s="696">
        <v>0</v>
      </c>
      <c r="BC44" s="696">
        <v>0</v>
      </c>
      <c r="BD44" s="696">
        <v>0</v>
      </c>
      <c r="BE44" s="696">
        <v>0</v>
      </c>
      <c r="BF44" s="696">
        <v>0</v>
      </c>
      <c r="BG44" s="696">
        <v>0</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691" t="s">
        <v>1662</v>
      </c>
      <c r="C45" s="691" t="s">
        <v>1663</v>
      </c>
      <c r="D45" s="691" t="s">
        <v>1</v>
      </c>
      <c r="E45" s="691" t="s">
        <v>991</v>
      </c>
      <c r="F45" s="691" t="s">
        <v>29</v>
      </c>
      <c r="G45" s="691" t="s">
        <v>1664</v>
      </c>
      <c r="H45" s="691">
        <v>2012</v>
      </c>
      <c r="I45" s="643" t="s">
        <v>568</v>
      </c>
      <c r="J45" s="643" t="s">
        <v>585</v>
      </c>
      <c r="K45" s="633"/>
      <c r="L45" s="695">
        <v>0</v>
      </c>
      <c r="M45" s="696">
        <v>3.9909560615124464</v>
      </c>
      <c r="N45" s="696">
        <v>3.9909560615124464</v>
      </c>
      <c r="O45" s="696">
        <v>3.9909560615124464</v>
      </c>
      <c r="P45" s="696">
        <v>3.9909560615124464</v>
      </c>
      <c r="Q45" s="696">
        <v>2.4574125114394771</v>
      </c>
      <c r="R45" s="696">
        <v>0</v>
      </c>
      <c r="S45" s="696">
        <v>0</v>
      </c>
      <c r="T45" s="696">
        <v>0</v>
      </c>
      <c r="U45" s="696">
        <v>0</v>
      </c>
      <c r="V45" s="696">
        <v>0</v>
      </c>
      <c r="W45" s="696">
        <v>0</v>
      </c>
      <c r="X45" s="696">
        <v>0</v>
      </c>
      <c r="Y45" s="696">
        <v>0</v>
      </c>
      <c r="Z45" s="696">
        <v>0</v>
      </c>
      <c r="AA45" s="696">
        <v>0</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3"/>
      <c r="AQ45" s="695">
        <v>0</v>
      </c>
      <c r="AR45" s="696">
        <v>27216.872861939424</v>
      </c>
      <c r="AS45" s="696">
        <v>27216.872861939424</v>
      </c>
      <c r="AT45" s="696">
        <v>27216.872861939424</v>
      </c>
      <c r="AU45" s="696">
        <v>27216.872861939424</v>
      </c>
      <c r="AV45" s="696">
        <v>18690.429587665003</v>
      </c>
      <c r="AW45" s="696">
        <v>0</v>
      </c>
      <c r="AX45" s="696">
        <v>0</v>
      </c>
      <c r="AY45" s="696">
        <v>0</v>
      </c>
      <c r="AZ45" s="696">
        <v>0</v>
      </c>
      <c r="BA45" s="696">
        <v>0</v>
      </c>
      <c r="BB45" s="696">
        <v>0</v>
      </c>
      <c r="BC45" s="696">
        <v>0</v>
      </c>
      <c r="BD45" s="696">
        <v>0</v>
      </c>
      <c r="BE45" s="696">
        <v>0</v>
      </c>
      <c r="BF45" s="696">
        <v>0</v>
      </c>
      <c r="BG45" s="696">
        <v>0</v>
      </c>
      <c r="BH45" s="696">
        <v>0</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75">
      <c r="B46" s="691" t="s">
        <v>1662</v>
      </c>
      <c r="C46" s="691" t="s">
        <v>1663</v>
      </c>
      <c r="D46" s="691" t="s">
        <v>5</v>
      </c>
      <c r="E46" s="691" t="s">
        <v>991</v>
      </c>
      <c r="F46" s="691" t="s">
        <v>29</v>
      </c>
      <c r="G46" s="691" t="s">
        <v>1664</v>
      </c>
      <c r="H46" s="691">
        <v>2012</v>
      </c>
      <c r="I46" s="643" t="s">
        <v>568</v>
      </c>
      <c r="J46" s="643" t="s">
        <v>585</v>
      </c>
      <c r="K46" s="633"/>
      <c r="L46" s="695">
        <v>0</v>
      </c>
      <c r="M46" s="696">
        <v>3.0288782971743498</v>
      </c>
      <c r="N46" s="696">
        <v>3.0288782971743498</v>
      </c>
      <c r="O46" s="696">
        <v>3.0288782971743498</v>
      </c>
      <c r="P46" s="696">
        <v>3.0288782971743498</v>
      </c>
      <c r="Q46" s="696">
        <v>2.7723907977647859</v>
      </c>
      <c r="R46" s="696">
        <v>2.3460959452007164</v>
      </c>
      <c r="S46" s="696">
        <v>1.7563646212597781</v>
      </c>
      <c r="T46" s="696">
        <v>1.7498798825892843</v>
      </c>
      <c r="U46" s="696">
        <v>1.7498798825892843</v>
      </c>
      <c r="V46" s="696">
        <v>1.1285168368271976</v>
      </c>
      <c r="W46" s="696">
        <v>0.44152003355039382</v>
      </c>
      <c r="X46" s="696">
        <v>0.44148126728458204</v>
      </c>
      <c r="Y46" s="696">
        <v>0.44148126728458204</v>
      </c>
      <c r="Z46" s="696">
        <v>0.43390512264277137</v>
      </c>
      <c r="AA46" s="696">
        <v>0.43390512264277137</v>
      </c>
      <c r="AB46" s="696">
        <v>0.42312447004701709</v>
      </c>
      <c r="AC46" s="696">
        <v>0.11872056476545041</v>
      </c>
      <c r="AD46" s="696">
        <v>0.11872056476545041</v>
      </c>
      <c r="AE46" s="696">
        <v>0.11872056476545041</v>
      </c>
      <c r="AF46" s="696">
        <v>0.11872056476545041</v>
      </c>
      <c r="AG46" s="696">
        <v>0</v>
      </c>
      <c r="AH46" s="696">
        <v>0</v>
      </c>
      <c r="AI46" s="696">
        <v>0</v>
      </c>
      <c r="AJ46" s="696">
        <v>0</v>
      </c>
      <c r="AK46" s="696">
        <v>0</v>
      </c>
      <c r="AL46" s="696">
        <v>0</v>
      </c>
      <c r="AM46" s="696">
        <v>0</v>
      </c>
      <c r="AN46" s="696">
        <v>0</v>
      </c>
      <c r="AO46" s="697">
        <v>0</v>
      </c>
      <c r="AP46" s="633"/>
      <c r="AQ46" s="695">
        <v>0</v>
      </c>
      <c r="AR46" s="696">
        <v>54810.367029946137</v>
      </c>
      <c r="AS46" s="696">
        <v>54810.367029946137</v>
      </c>
      <c r="AT46" s="696">
        <v>54810.367029946137</v>
      </c>
      <c r="AU46" s="696">
        <v>54810.367029946137</v>
      </c>
      <c r="AV46" s="696">
        <v>49271.033168084257</v>
      </c>
      <c r="AW46" s="696">
        <v>40064.387552288172</v>
      </c>
      <c r="AX46" s="696">
        <v>27328.02145403123</v>
      </c>
      <c r="AY46" s="696">
        <v>27271.215143277699</v>
      </c>
      <c r="AZ46" s="696">
        <v>27271.215143277699</v>
      </c>
      <c r="BA46" s="696">
        <v>13851.702037091534</v>
      </c>
      <c r="BB46" s="696">
        <v>10279.769656062657</v>
      </c>
      <c r="BC46" s="696">
        <v>9960.2912785518129</v>
      </c>
      <c r="BD46" s="696">
        <v>9960.2912785518129</v>
      </c>
      <c r="BE46" s="696">
        <v>9264.9146637355861</v>
      </c>
      <c r="BF46" s="696">
        <v>9264.9146637355861</v>
      </c>
      <c r="BG46" s="696">
        <v>9138.1751941490766</v>
      </c>
      <c r="BH46" s="696">
        <v>2563.9956957688041</v>
      </c>
      <c r="BI46" s="696">
        <v>2563.9956957688041</v>
      </c>
      <c r="BJ46" s="696">
        <v>2563.9956957688041</v>
      </c>
      <c r="BK46" s="696">
        <v>2563.9956957688041</v>
      </c>
      <c r="BL46" s="696">
        <v>0</v>
      </c>
      <c r="BM46" s="696">
        <v>0</v>
      </c>
      <c r="BN46" s="696">
        <v>0</v>
      </c>
      <c r="BO46" s="696">
        <v>0</v>
      </c>
      <c r="BP46" s="696">
        <v>0</v>
      </c>
      <c r="BQ46" s="696">
        <v>0</v>
      </c>
      <c r="BR46" s="696">
        <v>0</v>
      </c>
      <c r="BS46" s="696">
        <v>0</v>
      </c>
      <c r="BT46" s="697">
        <v>0</v>
      </c>
      <c r="BU46" s="16"/>
    </row>
    <row r="47" spans="2:73" s="17" customFormat="1" ht="15.75">
      <c r="B47" s="691" t="s">
        <v>1662</v>
      </c>
      <c r="C47" s="691" t="s">
        <v>1663</v>
      </c>
      <c r="D47" s="691" t="s">
        <v>4</v>
      </c>
      <c r="E47" s="691" t="s">
        <v>991</v>
      </c>
      <c r="F47" s="691" t="s">
        <v>29</v>
      </c>
      <c r="G47" s="691" t="s">
        <v>1664</v>
      </c>
      <c r="H47" s="691">
        <v>2012</v>
      </c>
      <c r="I47" s="643" t="s">
        <v>568</v>
      </c>
      <c r="J47" s="643" t="s">
        <v>585</v>
      </c>
      <c r="K47" s="633"/>
      <c r="L47" s="695">
        <v>0</v>
      </c>
      <c r="M47" s="696">
        <v>0.47155982851428047</v>
      </c>
      <c r="N47" s="696">
        <v>0.47155982851428047</v>
      </c>
      <c r="O47" s="696">
        <v>0.47155982851428047</v>
      </c>
      <c r="P47" s="696">
        <v>0.47155982851428047</v>
      </c>
      <c r="Q47" s="696">
        <v>0.46956927279807897</v>
      </c>
      <c r="R47" s="696">
        <v>0.46956927279807897</v>
      </c>
      <c r="S47" s="696">
        <v>0.4005182767073196</v>
      </c>
      <c r="T47" s="696">
        <v>0.3996820867208612</v>
      </c>
      <c r="U47" s="696">
        <v>0.3996820867208612</v>
      </c>
      <c r="V47" s="696">
        <v>0.3996820867208612</v>
      </c>
      <c r="W47" s="696">
        <v>7.3520274471604516E-3</v>
      </c>
      <c r="X47" s="696">
        <v>7.3469642136104289E-3</v>
      </c>
      <c r="Y47" s="696">
        <v>7.3469642136104289E-3</v>
      </c>
      <c r="Z47" s="696">
        <v>7.0824066045834912E-3</v>
      </c>
      <c r="AA47" s="696">
        <v>7.0824066045834912E-3</v>
      </c>
      <c r="AB47" s="696">
        <v>6.6155279488618489E-3</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2861.507313307442</v>
      </c>
      <c r="AS47" s="696">
        <v>2861.507313307442</v>
      </c>
      <c r="AT47" s="696">
        <v>2861.507313307442</v>
      </c>
      <c r="AU47" s="696">
        <v>2861.507313307442</v>
      </c>
      <c r="AV47" s="696">
        <v>2818.5174884307498</v>
      </c>
      <c r="AW47" s="696">
        <v>2818.5174884307498</v>
      </c>
      <c r="AX47" s="696">
        <v>1327.230303981818</v>
      </c>
      <c r="AY47" s="696">
        <v>1319.905279700442</v>
      </c>
      <c r="AZ47" s="696">
        <v>1319.905279700442</v>
      </c>
      <c r="BA47" s="696">
        <v>1319.905279700442</v>
      </c>
      <c r="BB47" s="696">
        <v>214.37284958906346</v>
      </c>
      <c r="BC47" s="696">
        <v>172.64601297874506</v>
      </c>
      <c r="BD47" s="696">
        <v>172.64601297874506</v>
      </c>
      <c r="BE47" s="696">
        <v>148.36358658818219</v>
      </c>
      <c r="BF47" s="696">
        <v>148.36358658818219</v>
      </c>
      <c r="BG47" s="696">
        <v>142.8748694013648</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t="s">
        <v>1662</v>
      </c>
      <c r="C48" s="691" t="s">
        <v>993</v>
      </c>
      <c r="D48" s="691" t="s">
        <v>21</v>
      </c>
      <c r="E48" s="691" t="s">
        <v>991</v>
      </c>
      <c r="F48" s="691" t="s">
        <v>1668</v>
      </c>
      <c r="G48" s="691" t="s">
        <v>1664</v>
      </c>
      <c r="H48" s="691">
        <v>2012</v>
      </c>
      <c r="I48" s="643" t="s">
        <v>568</v>
      </c>
      <c r="J48" s="643" t="s">
        <v>585</v>
      </c>
      <c r="K48" s="633"/>
      <c r="L48" s="695">
        <v>0</v>
      </c>
      <c r="M48" s="696">
        <v>234.44929270389795</v>
      </c>
      <c r="N48" s="696">
        <v>234.44929270389795</v>
      </c>
      <c r="O48" s="696">
        <v>234.44929270389795</v>
      </c>
      <c r="P48" s="696">
        <v>170.08215811348313</v>
      </c>
      <c r="Q48" s="696">
        <v>170.08215811348313</v>
      </c>
      <c r="R48" s="696">
        <v>29.888783217059512</v>
      </c>
      <c r="S48" s="696">
        <v>29.888783217059512</v>
      </c>
      <c r="T48" s="696">
        <v>29.746338813172311</v>
      </c>
      <c r="U48" s="696">
        <v>29.746338813172311</v>
      </c>
      <c r="V48" s="696">
        <v>29.746338813172311</v>
      </c>
      <c r="W48" s="696">
        <v>28.278116495153252</v>
      </c>
      <c r="X48" s="696">
        <v>28.278116495153252</v>
      </c>
      <c r="Y48" s="696">
        <v>0.56600425385642383</v>
      </c>
      <c r="Z48" s="696">
        <v>0.56600425385642383</v>
      </c>
      <c r="AA48" s="696">
        <v>0.56600425385642383</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884949.77999261068</v>
      </c>
      <c r="AS48" s="696">
        <v>884949.77999261045</v>
      </c>
      <c r="AT48" s="696">
        <v>884949.77999261045</v>
      </c>
      <c r="AU48" s="696">
        <v>616889.80859801953</v>
      </c>
      <c r="AV48" s="696">
        <v>616889.80859801953</v>
      </c>
      <c r="AW48" s="696">
        <v>114731.30872190371</v>
      </c>
      <c r="AX48" s="696">
        <v>114731.30872190371</v>
      </c>
      <c r="AY48" s="696">
        <v>114589.06085794847</v>
      </c>
      <c r="AZ48" s="696">
        <v>114589.06085794847</v>
      </c>
      <c r="BA48" s="696">
        <v>114589.06085794847</v>
      </c>
      <c r="BB48" s="696">
        <v>100222.82521586024</v>
      </c>
      <c r="BC48" s="696">
        <v>100222.82521586024</v>
      </c>
      <c r="BD48" s="696">
        <v>565.22330048443575</v>
      </c>
      <c r="BE48" s="696">
        <v>565.22330048443575</v>
      </c>
      <c r="BF48" s="696">
        <v>565.22330048443575</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75">
      <c r="B49" s="691" t="s">
        <v>1662</v>
      </c>
      <c r="C49" s="691" t="s">
        <v>1669</v>
      </c>
      <c r="D49" s="691" t="s">
        <v>17</v>
      </c>
      <c r="E49" s="691" t="s">
        <v>991</v>
      </c>
      <c r="F49" s="691" t="s">
        <v>1668</v>
      </c>
      <c r="G49" s="691" t="s">
        <v>1664</v>
      </c>
      <c r="H49" s="691">
        <v>2012</v>
      </c>
      <c r="I49" s="643" t="s">
        <v>568</v>
      </c>
      <c r="J49" s="643" t="s">
        <v>585</v>
      </c>
      <c r="K49" s="633"/>
      <c r="L49" s="695">
        <v>0</v>
      </c>
      <c r="M49" s="696">
        <v>0.23126154874252797</v>
      </c>
      <c r="N49" s="696">
        <v>0.23126154874252797</v>
      </c>
      <c r="O49" s="696">
        <v>0.23126154874252797</v>
      </c>
      <c r="P49" s="696">
        <v>0.23126154874252797</v>
      </c>
      <c r="Q49" s="696">
        <v>0.23126154874252797</v>
      </c>
      <c r="R49" s="696">
        <v>0.23126154874252797</v>
      </c>
      <c r="S49" s="696">
        <v>0.23126154874252797</v>
      </c>
      <c r="T49" s="696">
        <v>0.23126154874252797</v>
      </c>
      <c r="U49" s="696">
        <v>0.23126154874252797</v>
      </c>
      <c r="V49" s="696">
        <v>0.23126154874252797</v>
      </c>
      <c r="W49" s="696">
        <v>0.23126154874252797</v>
      </c>
      <c r="X49" s="696">
        <v>0.23126154874252797</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695">
        <v>0</v>
      </c>
      <c r="AR49" s="696">
        <v>224.0545793275119</v>
      </c>
      <c r="AS49" s="696">
        <v>224.0545793275119</v>
      </c>
      <c r="AT49" s="696">
        <v>224.0545793275119</v>
      </c>
      <c r="AU49" s="696">
        <v>224.0545793275119</v>
      </c>
      <c r="AV49" s="696">
        <v>224.0545793275119</v>
      </c>
      <c r="AW49" s="696">
        <v>224.0545793275119</v>
      </c>
      <c r="AX49" s="696">
        <v>224.0545793275119</v>
      </c>
      <c r="AY49" s="696">
        <v>224.0545793275119</v>
      </c>
      <c r="AZ49" s="696">
        <v>224.0545793275119</v>
      </c>
      <c r="BA49" s="696">
        <v>224.0545793275119</v>
      </c>
      <c r="BB49" s="696">
        <v>224.0545793275119</v>
      </c>
      <c r="BC49" s="696">
        <v>224.0545793275119</v>
      </c>
      <c r="BD49" s="696">
        <v>0</v>
      </c>
      <c r="BE49" s="696">
        <v>0</v>
      </c>
      <c r="BF49" s="696">
        <v>0</v>
      </c>
      <c r="BG49" s="696">
        <v>0</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75">
      <c r="B50" s="691" t="s">
        <v>1662</v>
      </c>
      <c r="C50" s="691" t="s">
        <v>1670</v>
      </c>
      <c r="D50" s="691" t="s">
        <v>14</v>
      </c>
      <c r="E50" s="691" t="s">
        <v>991</v>
      </c>
      <c r="F50" s="691" t="s">
        <v>29</v>
      </c>
      <c r="G50" s="691" t="s">
        <v>1664</v>
      </c>
      <c r="H50" s="691">
        <v>2012</v>
      </c>
      <c r="I50" s="643" t="s">
        <v>568</v>
      </c>
      <c r="J50" s="643" t="s">
        <v>585</v>
      </c>
      <c r="K50" s="633"/>
      <c r="L50" s="695">
        <v>0</v>
      </c>
      <c r="M50" s="696">
        <v>0.30933996150270104</v>
      </c>
      <c r="N50" s="696">
        <v>0.25448468374088401</v>
      </c>
      <c r="O50" s="696">
        <v>0.25448468374088401</v>
      </c>
      <c r="P50" s="696">
        <v>0.25448468374088401</v>
      </c>
      <c r="Q50" s="696">
        <v>0.25448468374088401</v>
      </c>
      <c r="R50" s="696">
        <v>0.25448468374088401</v>
      </c>
      <c r="S50" s="696">
        <v>0.25448468374088401</v>
      </c>
      <c r="T50" s="696">
        <v>0.25448468374088401</v>
      </c>
      <c r="U50" s="696">
        <v>0.17978592216968536</v>
      </c>
      <c r="V50" s="696">
        <v>0.17978592216968536</v>
      </c>
      <c r="W50" s="696">
        <v>0.14587979018688202</v>
      </c>
      <c r="X50" s="696">
        <v>0.14587979018688202</v>
      </c>
      <c r="Y50" s="696">
        <v>0</v>
      </c>
      <c r="Z50" s="696">
        <v>0</v>
      </c>
      <c r="AA50" s="696">
        <v>0</v>
      </c>
      <c r="AB50" s="696">
        <v>0</v>
      </c>
      <c r="AC50" s="696">
        <v>0</v>
      </c>
      <c r="AD50" s="696">
        <v>0</v>
      </c>
      <c r="AE50" s="696">
        <v>0</v>
      </c>
      <c r="AF50" s="696">
        <v>0</v>
      </c>
      <c r="AG50" s="696">
        <v>0</v>
      </c>
      <c r="AH50" s="696">
        <v>0</v>
      </c>
      <c r="AI50" s="696">
        <v>0</v>
      </c>
      <c r="AJ50" s="696">
        <v>0</v>
      </c>
      <c r="AK50" s="696">
        <v>0</v>
      </c>
      <c r="AL50" s="696">
        <v>0</v>
      </c>
      <c r="AM50" s="696">
        <v>0</v>
      </c>
      <c r="AN50" s="696">
        <v>0</v>
      </c>
      <c r="AO50" s="697">
        <v>0</v>
      </c>
      <c r="AP50" s="633"/>
      <c r="AQ50" s="695">
        <v>0</v>
      </c>
      <c r="AR50" s="696">
        <v>3258.6000061035156</v>
      </c>
      <c r="AS50" s="696">
        <v>3258.5999908447266</v>
      </c>
      <c r="AT50" s="696">
        <v>3258.5999908447266</v>
      </c>
      <c r="AU50" s="696">
        <v>2202.6000061035161</v>
      </c>
      <c r="AV50" s="696">
        <v>2202.6000061035161</v>
      </c>
      <c r="AW50" s="696">
        <v>2202.6000061035161</v>
      </c>
      <c r="AX50" s="696">
        <v>2202.6000061035161</v>
      </c>
      <c r="AY50" s="696">
        <v>2202.6000061035161</v>
      </c>
      <c r="AZ50" s="696">
        <v>764.60000610351563</v>
      </c>
      <c r="BA50" s="696">
        <v>764.60000610351563</v>
      </c>
      <c r="BB50" s="696">
        <v>484.99999999999994</v>
      </c>
      <c r="BC50" s="696">
        <v>484.99999999999994</v>
      </c>
      <c r="BD50" s="696">
        <v>0</v>
      </c>
      <c r="BE50" s="696">
        <v>0</v>
      </c>
      <c r="BF50" s="696">
        <v>0</v>
      </c>
      <c r="BG50" s="696">
        <v>0</v>
      </c>
      <c r="BH50" s="696">
        <v>0</v>
      </c>
      <c r="BI50" s="696">
        <v>0</v>
      </c>
      <c r="BJ50" s="696">
        <v>0</v>
      </c>
      <c r="BK50" s="696">
        <v>0</v>
      </c>
      <c r="BL50" s="696">
        <v>0</v>
      </c>
      <c r="BM50" s="696">
        <v>0</v>
      </c>
      <c r="BN50" s="696">
        <v>0</v>
      </c>
      <c r="BO50" s="696">
        <v>0</v>
      </c>
      <c r="BP50" s="696">
        <v>0</v>
      </c>
      <c r="BQ50" s="696">
        <v>0</v>
      </c>
      <c r="BR50" s="696">
        <v>0</v>
      </c>
      <c r="BS50" s="696">
        <v>0</v>
      </c>
      <c r="BT50" s="697">
        <v>0</v>
      </c>
      <c r="BU50" s="16"/>
    </row>
    <row r="51" spans="2:73" s="17" customFormat="1" ht="15.75">
      <c r="B51" s="691" t="s">
        <v>1662</v>
      </c>
      <c r="C51" s="691" t="s">
        <v>1663</v>
      </c>
      <c r="D51" s="691" t="s">
        <v>3</v>
      </c>
      <c r="E51" s="691" t="s">
        <v>991</v>
      </c>
      <c r="F51" s="691" t="s">
        <v>29</v>
      </c>
      <c r="G51" s="691" t="s">
        <v>1664</v>
      </c>
      <c r="H51" s="691">
        <v>2012</v>
      </c>
      <c r="I51" s="643" t="s">
        <v>568</v>
      </c>
      <c r="J51" s="643" t="s">
        <v>585</v>
      </c>
      <c r="K51" s="633"/>
      <c r="L51" s="695">
        <v>0</v>
      </c>
      <c r="M51" s="696">
        <v>13.62510002583527</v>
      </c>
      <c r="N51" s="696">
        <v>13.62510002583527</v>
      </c>
      <c r="O51" s="696">
        <v>13.62510002583527</v>
      </c>
      <c r="P51" s="696">
        <v>13.62510002583527</v>
      </c>
      <c r="Q51" s="696">
        <v>13.62510002583527</v>
      </c>
      <c r="R51" s="696">
        <v>13.62510002583527</v>
      </c>
      <c r="S51" s="696">
        <v>13.62510002583527</v>
      </c>
      <c r="T51" s="696">
        <v>13.62510002583527</v>
      </c>
      <c r="U51" s="696">
        <v>13.62510002583527</v>
      </c>
      <c r="V51" s="696">
        <v>13.62510002583527</v>
      </c>
      <c r="W51" s="696">
        <v>13.62510002583527</v>
      </c>
      <c r="X51" s="696">
        <v>13.62510002583527</v>
      </c>
      <c r="Y51" s="696">
        <v>13.62510002583527</v>
      </c>
      <c r="Z51" s="696">
        <v>13.62510002583527</v>
      </c>
      <c r="AA51" s="696">
        <v>13.62510002583527</v>
      </c>
      <c r="AB51" s="696">
        <v>13.62510002583527</v>
      </c>
      <c r="AC51" s="696">
        <v>13.62510002583527</v>
      </c>
      <c r="AD51" s="696">
        <v>13.62510002583527</v>
      </c>
      <c r="AE51" s="696">
        <v>12.899510570116458</v>
      </c>
      <c r="AF51" s="696">
        <v>0</v>
      </c>
      <c r="AG51" s="696">
        <v>0</v>
      </c>
      <c r="AH51" s="696">
        <v>0</v>
      </c>
      <c r="AI51" s="696">
        <v>0</v>
      </c>
      <c r="AJ51" s="696">
        <v>0</v>
      </c>
      <c r="AK51" s="696">
        <v>0</v>
      </c>
      <c r="AL51" s="696">
        <v>0</v>
      </c>
      <c r="AM51" s="696">
        <v>0</v>
      </c>
      <c r="AN51" s="696">
        <v>0</v>
      </c>
      <c r="AO51" s="697">
        <v>0</v>
      </c>
      <c r="AP51" s="633"/>
      <c r="AQ51" s="695">
        <v>0</v>
      </c>
      <c r="AR51" s="696">
        <v>25550.601508520725</v>
      </c>
      <c r="AS51" s="696">
        <v>25550.601508520725</v>
      </c>
      <c r="AT51" s="696">
        <v>25550.601508520725</v>
      </c>
      <c r="AU51" s="696">
        <v>25550.601508520725</v>
      </c>
      <c r="AV51" s="696">
        <v>25550.601508520725</v>
      </c>
      <c r="AW51" s="696">
        <v>25550.601508520725</v>
      </c>
      <c r="AX51" s="696">
        <v>25550.601508520725</v>
      </c>
      <c r="AY51" s="696">
        <v>25550.601508520725</v>
      </c>
      <c r="AZ51" s="696">
        <v>25550.601508520725</v>
      </c>
      <c r="BA51" s="696">
        <v>25550.601508520725</v>
      </c>
      <c r="BB51" s="696">
        <v>25550.601508520725</v>
      </c>
      <c r="BC51" s="696">
        <v>25550.601508520725</v>
      </c>
      <c r="BD51" s="696">
        <v>25550.601508520725</v>
      </c>
      <c r="BE51" s="696">
        <v>25550.601508520725</v>
      </c>
      <c r="BF51" s="696">
        <v>25550.601508520725</v>
      </c>
      <c r="BG51" s="696">
        <v>25550.601508520725</v>
      </c>
      <c r="BH51" s="696">
        <v>25550.601508520725</v>
      </c>
      <c r="BI51" s="696">
        <v>25550.601508520725</v>
      </c>
      <c r="BJ51" s="696">
        <v>24901.739930406471</v>
      </c>
      <c r="BK51" s="696">
        <v>0</v>
      </c>
      <c r="BL51" s="696">
        <v>0</v>
      </c>
      <c r="BM51" s="696">
        <v>0</v>
      </c>
      <c r="BN51" s="696">
        <v>0</v>
      </c>
      <c r="BO51" s="696">
        <v>0</v>
      </c>
      <c r="BP51" s="696">
        <v>0</v>
      </c>
      <c r="BQ51" s="696">
        <v>0</v>
      </c>
      <c r="BR51" s="696">
        <v>0</v>
      </c>
      <c r="BS51" s="696">
        <v>0</v>
      </c>
      <c r="BT51" s="697">
        <v>0</v>
      </c>
      <c r="BU51" s="16"/>
    </row>
    <row r="52" spans="2:73" s="17" customFormat="1" ht="15.75">
      <c r="B52" s="691" t="s">
        <v>1662</v>
      </c>
      <c r="C52" s="691" t="s">
        <v>1663</v>
      </c>
      <c r="D52" s="691" t="s">
        <v>7</v>
      </c>
      <c r="E52" s="691" t="s">
        <v>991</v>
      </c>
      <c r="F52" s="691" t="s">
        <v>29</v>
      </c>
      <c r="G52" s="691" t="s">
        <v>1664</v>
      </c>
      <c r="H52" s="691">
        <v>2012</v>
      </c>
      <c r="I52" s="643" t="s">
        <v>568</v>
      </c>
      <c r="J52" s="643" t="s">
        <v>585</v>
      </c>
      <c r="K52" s="633"/>
      <c r="L52" s="695">
        <v>0</v>
      </c>
      <c r="M52" s="696">
        <v>3.716737895907047E-2</v>
      </c>
      <c r="N52" s="696">
        <v>3.716737895907047E-2</v>
      </c>
      <c r="O52" s="696">
        <v>3.716737895907047E-2</v>
      </c>
      <c r="P52" s="696">
        <v>3.716737895907047E-2</v>
      </c>
      <c r="Q52" s="696">
        <v>3.716737895907047E-2</v>
      </c>
      <c r="R52" s="696">
        <v>3.716737895907047E-2</v>
      </c>
      <c r="S52" s="696">
        <v>3.716737895907047E-2</v>
      </c>
      <c r="T52" s="696">
        <v>3.716737895907047E-2</v>
      </c>
      <c r="U52" s="696">
        <v>3.716737895907047E-2</v>
      </c>
      <c r="V52" s="696">
        <v>3.716737895907047E-2</v>
      </c>
      <c r="W52" s="696">
        <v>3.716737895907047E-2</v>
      </c>
      <c r="X52" s="696">
        <v>3.716737895907047E-2</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410.60334122252186</v>
      </c>
      <c r="AS52" s="696">
        <v>410.60334122252186</v>
      </c>
      <c r="AT52" s="696">
        <v>410.60334122252186</v>
      </c>
      <c r="AU52" s="696">
        <v>410.60334122252186</v>
      </c>
      <c r="AV52" s="696">
        <v>410.60334122252186</v>
      </c>
      <c r="AW52" s="696">
        <v>410.60334122252186</v>
      </c>
      <c r="AX52" s="696">
        <v>410.60334122252186</v>
      </c>
      <c r="AY52" s="696">
        <v>410.60334122252186</v>
      </c>
      <c r="AZ52" s="696">
        <v>410.60334122252186</v>
      </c>
      <c r="BA52" s="696">
        <v>410.60334122252186</v>
      </c>
      <c r="BB52" s="696">
        <v>410.60334122252186</v>
      </c>
      <c r="BC52" s="696">
        <v>410.60334122252186</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s="12" customFormat="1">
      <c r="B53" s="691" t="s">
        <v>1662</v>
      </c>
      <c r="C53" s="691" t="s">
        <v>993</v>
      </c>
      <c r="D53" s="691" t="s">
        <v>22</v>
      </c>
      <c r="E53" s="691" t="s">
        <v>991</v>
      </c>
      <c r="F53" s="691" t="s">
        <v>1668</v>
      </c>
      <c r="G53" s="691" t="s">
        <v>1664</v>
      </c>
      <c r="H53" s="691">
        <v>2012</v>
      </c>
      <c r="I53" s="643" t="s">
        <v>568</v>
      </c>
      <c r="J53" s="643" t="s">
        <v>585</v>
      </c>
      <c r="K53" s="633"/>
      <c r="L53" s="695">
        <v>0</v>
      </c>
      <c r="M53" s="696">
        <v>54.663814797807213</v>
      </c>
      <c r="N53" s="696">
        <v>54.663814797807213</v>
      </c>
      <c r="O53" s="696">
        <v>54.663814797807213</v>
      </c>
      <c r="P53" s="696">
        <v>54.019630948431868</v>
      </c>
      <c r="Q53" s="696">
        <v>54.019630948431868</v>
      </c>
      <c r="R53" s="696">
        <v>50.141595679544906</v>
      </c>
      <c r="S53" s="696">
        <v>49.911042676745922</v>
      </c>
      <c r="T53" s="696">
        <v>49.911042676745922</v>
      </c>
      <c r="U53" s="696">
        <v>49.911042676745922</v>
      </c>
      <c r="V53" s="696">
        <v>46.802063621095705</v>
      </c>
      <c r="W53" s="696">
        <v>46.171620205144933</v>
      </c>
      <c r="X53" s="696">
        <v>46.171620205144933</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0</v>
      </c>
      <c r="AR53" s="696">
        <v>334108.73460275587</v>
      </c>
      <c r="AS53" s="696">
        <v>334108.73460275587</v>
      </c>
      <c r="AT53" s="696">
        <v>334108.73460275587</v>
      </c>
      <c r="AU53" s="696">
        <v>331977.88490680652</v>
      </c>
      <c r="AV53" s="696">
        <v>331977.88490680652</v>
      </c>
      <c r="AW53" s="696">
        <v>319150.00932190713</v>
      </c>
      <c r="AX53" s="696">
        <v>318446.29806984053</v>
      </c>
      <c r="AY53" s="696">
        <v>318446.29806984053</v>
      </c>
      <c r="AZ53" s="696">
        <v>313221.74236406531</v>
      </c>
      <c r="BA53" s="696">
        <v>303732.28216472064</v>
      </c>
      <c r="BB53" s="696">
        <v>275481.06907181256</v>
      </c>
      <c r="BC53" s="696">
        <v>275481.06907181256</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c r="BU53" s="16"/>
    </row>
    <row r="54" spans="2:73" s="12" customFormat="1">
      <c r="B54" s="691"/>
      <c r="C54" s="691"/>
      <c r="D54" s="691"/>
      <c r="E54" s="691"/>
      <c r="F54" s="691"/>
      <c r="G54" s="691"/>
      <c r="H54" s="691"/>
      <c r="I54" s="643"/>
      <c r="J54" s="643"/>
      <c r="K54" s="633"/>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3"/>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c r="BU54" s="16"/>
    </row>
    <row r="55" spans="2:73" s="12" customFormat="1">
      <c r="B55" s="691" t="s">
        <v>208</v>
      </c>
      <c r="C55" s="691" t="s">
        <v>1663</v>
      </c>
      <c r="D55" s="691" t="s">
        <v>1671</v>
      </c>
      <c r="E55" s="691" t="s">
        <v>991</v>
      </c>
      <c r="F55" s="691" t="s">
        <v>1087</v>
      </c>
      <c r="G55" s="691" t="s">
        <v>1664</v>
      </c>
      <c r="H55" s="691">
        <v>2012</v>
      </c>
      <c r="I55" s="643" t="s">
        <v>569</v>
      </c>
      <c r="J55" s="643" t="s">
        <v>578</v>
      </c>
      <c r="K55" s="633"/>
      <c r="L55" s="695">
        <v>0</v>
      </c>
      <c r="M55" s="696">
        <v>0.50961756474730424</v>
      </c>
      <c r="N55" s="696">
        <v>0.50961756474730424</v>
      </c>
      <c r="O55" s="696">
        <v>0.50961756474730424</v>
      </c>
      <c r="P55" s="696">
        <v>0.50961756474730424</v>
      </c>
      <c r="Q55" s="696">
        <v>0.50961756474730424</v>
      </c>
      <c r="R55" s="696">
        <v>0.50961756474730424</v>
      </c>
      <c r="S55" s="696">
        <v>0.50961756474730424</v>
      </c>
      <c r="T55" s="696">
        <v>0.50961756474730424</v>
      </c>
      <c r="U55" s="696">
        <v>0.50961756474730424</v>
      </c>
      <c r="V55" s="696">
        <v>0.50961756474730424</v>
      </c>
      <c r="W55" s="696">
        <v>0.50961756474730424</v>
      </c>
      <c r="X55" s="696">
        <v>0.50961756474730424</v>
      </c>
      <c r="Y55" s="696">
        <v>0.50961756474730424</v>
      </c>
      <c r="Z55" s="696">
        <v>0.50961756474730424</v>
      </c>
      <c r="AA55" s="696">
        <v>0.50961756474730424</v>
      </c>
      <c r="AB55" s="696">
        <v>0.50961756474730424</v>
      </c>
      <c r="AC55" s="696">
        <v>0.50961756474730424</v>
      </c>
      <c r="AD55" s="696">
        <v>0.50961756474730424</v>
      </c>
      <c r="AE55" s="696">
        <v>0.50961756474730424</v>
      </c>
      <c r="AF55" s="696">
        <v>0.50844384998365588</v>
      </c>
      <c r="AG55" s="696">
        <v>0</v>
      </c>
      <c r="AH55" s="696">
        <v>0</v>
      </c>
      <c r="AI55" s="696">
        <v>0</v>
      </c>
      <c r="AJ55" s="696">
        <v>0</v>
      </c>
      <c r="AK55" s="696">
        <v>0</v>
      </c>
      <c r="AL55" s="696">
        <v>0</v>
      </c>
      <c r="AM55" s="696">
        <v>0</v>
      </c>
      <c r="AN55" s="696">
        <v>0</v>
      </c>
      <c r="AO55" s="697">
        <v>0</v>
      </c>
      <c r="AP55" s="633"/>
      <c r="AQ55" s="695">
        <v>0</v>
      </c>
      <c r="AR55" s="696">
        <v>1120.5731042577395</v>
      </c>
      <c r="AS55" s="696">
        <v>1120.5731042577395</v>
      </c>
      <c r="AT55" s="696">
        <v>1120.5731042577395</v>
      </c>
      <c r="AU55" s="696">
        <v>1120.5731042577395</v>
      </c>
      <c r="AV55" s="696">
        <v>1120.5731042577395</v>
      </c>
      <c r="AW55" s="696">
        <v>1120.5731042577395</v>
      </c>
      <c r="AX55" s="696">
        <v>1120.5731042577395</v>
      </c>
      <c r="AY55" s="696">
        <v>1120.5731042577395</v>
      </c>
      <c r="AZ55" s="696">
        <v>1120.5731042577395</v>
      </c>
      <c r="BA55" s="696">
        <v>1120.5731042577395</v>
      </c>
      <c r="BB55" s="696">
        <v>1120.5731042577395</v>
      </c>
      <c r="BC55" s="696">
        <v>1120.5731042577395</v>
      </c>
      <c r="BD55" s="696">
        <v>1120.5731042577395</v>
      </c>
      <c r="BE55" s="696">
        <v>1120.5731042577395</v>
      </c>
      <c r="BF55" s="696">
        <v>1120.5731042577395</v>
      </c>
      <c r="BG55" s="696">
        <v>1120.5731042577395</v>
      </c>
      <c r="BH55" s="696">
        <v>1120.5731042577395</v>
      </c>
      <c r="BI55" s="696">
        <v>1120.5731042577395</v>
      </c>
      <c r="BJ55" s="696">
        <v>1119.3966629437869</v>
      </c>
      <c r="BK55" s="696">
        <v>0</v>
      </c>
      <c r="BL55" s="696">
        <v>0</v>
      </c>
      <c r="BM55" s="696">
        <v>0</v>
      </c>
      <c r="BN55" s="696">
        <v>0</v>
      </c>
      <c r="BO55" s="696">
        <v>0</v>
      </c>
      <c r="BP55" s="696">
        <v>0</v>
      </c>
      <c r="BQ55" s="696">
        <v>0</v>
      </c>
      <c r="BR55" s="696">
        <v>0</v>
      </c>
      <c r="BS55" s="696">
        <v>0</v>
      </c>
      <c r="BT55" s="697">
        <v>0</v>
      </c>
      <c r="BU55" s="16"/>
    </row>
    <row r="56" spans="2:73" s="12" customFormat="1">
      <c r="B56" s="691" t="s">
        <v>208</v>
      </c>
      <c r="C56" s="691" t="s">
        <v>993</v>
      </c>
      <c r="D56" s="691" t="s">
        <v>22</v>
      </c>
      <c r="E56" s="691" t="s">
        <v>991</v>
      </c>
      <c r="F56" s="691" t="s">
        <v>1668</v>
      </c>
      <c r="G56" s="691" t="s">
        <v>1664</v>
      </c>
      <c r="H56" s="691">
        <v>2012</v>
      </c>
      <c r="I56" s="643" t="s">
        <v>569</v>
      </c>
      <c r="J56" s="643" t="s">
        <v>578</v>
      </c>
      <c r="K56" s="633"/>
      <c r="L56" s="695">
        <v>0</v>
      </c>
      <c r="M56" s="696">
        <v>12.677534960999999</v>
      </c>
      <c r="N56" s="696">
        <v>12.677534960999999</v>
      </c>
      <c r="O56" s="696">
        <v>12.677534960999999</v>
      </c>
      <c r="P56" s="696">
        <v>12.677534960999999</v>
      </c>
      <c r="Q56" s="696">
        <v>12.677534960999999</v>
      </c>
      <c r="R56" s="696">
        <v>12.677534960999999</v>
      </c>
      <c r="S56" s="696">
        <v>12.677534960999999</v>
      </c>
      <c r="T56" s="696">
        <v>12.677534960999999</v>
      </c>
      <c r="U56" s="696">
        <v>12.677534960999999</v>
      </c>
      <c r="V56" s="696">
        <v>12.677534960999999</v>
      </c>
      <c r="W56" s="696">
        <v>12.677534960999999</v>
      </c>
      <c r="X56" s="696">
        <v>12.677534960999999</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0</v>
      </c>
      <c r="AR56" s="696">
        <v>72053.117194587001</v>
      </c>
      <c r="AS56" s="696">
        <v>72053.117194587001</v>
      </c>
      <c r="AT56" s="696">
        <v>72053.117194587001</v>
      </c>
      <c r="AU56" s="696">
        <v>72053.117194587001</v>
      </c>
      <c r="AV56" s="696">
        <v>72053.117194587001</v>
      </c>
      <c r="AW56" s="696">
        <v>72053.117194587001</v>
      </c>
      <c r="AX56" s="696">
        <v>72053.117194587001</v>
      </c>
      <c r="AY56" s="696">
        <v>72053.117194587001</v>
      </c>
      <c r="AZ56" s="696">
        <v>72053.117194587001</v>
      </c>
      <c r="BA56" s="696">
        <v>72053.117194587001</v>
      </c>
      <c r="BB56" s="696">
        <v>72053.117194587001</v>
      </c>
      <c r="BC56" s="696">
        <v>72053.117194587001</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c r="BU56" s="16"/>
    </row>
    <row r="57" spans="2:73" s="12" customFormat="1">
      <c r="B57" s="691" t="s">
        <v>208</v>
      </c>
      <c r="C57" s="691" t="s">
        <v>993</v>
      </c>
      <c r="D57" s="691" t="s">
        <v>21</v>
      </c>
      <c r="E57" s="691" t="s">
        <v>991</v>
      </c>
      <c r="F57" s="691" t="s">
        <v>1668</v>
      </c>
      <c r="G57" s="691" t="s">
        <v>1664</v>
      </c>
      <c r="H57" s="691">
        <v>2012</v>
      </c>
      <c r="I57" s="643" t="s">
        <v>569</v>
      </c>
      <c r="J57" s="643" t="s">
        <v>578</v>
      </c>
      <c r="K57" s="633"/>
      <c r="L57" s="695">
        <v>0</v>
      </c>
      <c r="M57" s="696">
        <v>16.307622012</v>
      </c>
      <c r="N57" s="696">
        <v>16.307622012</v>
      </c>
      <c r="O57" s="696">
        <v>16.307622012</v>
      </c>
      <c r="P57" s="696">
        <v>12.031079989</v>
      </c>
      <c r="Q57" s="696">
        <v>12.031079989</v>
      </c>
      <c r="R57" s="696">
        <v>1.587090968</v>
      </c>
      <c r="S57" s="696">
        <v>1.587090968</v>
      </c>
      <c r="T57" s="696">
        <v>1.587090968</v>
      </c>
      <c r="U57" s="696">
        <v>1.587090968</v>
      </c>
      <c r="V57" s="696">
        <v>1.587090968</v>
      </c>
      <c r="W57" s="696">
        <v>1.566978333</v>
      </c>
      <c r="X57" s="696">
        <v>1.566978333</v>
      </c>
      <c r="Y57" s="696">
        <v>0</v>
      </c>
      <c r="Z57" s="696">
        <v>0</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3"/>
      <c r="AQ57" s="695">
        <v>0</v>
      </c>
      <c r="AR57" s="696">
        <v>60868.218153490998</v>
      </c>
      <c r="AS57" s="696">
        <v>60868.218153490998</v>
      </c>
      <c r="AT57" s="696">
        <v>60868.218153490998</v>
      </c>
      <c r="AU57" s="696">
        <v>43272.278679723997</v>
      </c>
      <c r="AV57" s="696">
        <v>43272.278679723997</v>
      </c>
      <c r="AW57" s="696">
        <v>5769.1956526029999</v>
      </c>
      <c r="AX57" s="696">
        <v>5769.1956526029999</v>
      </c>
      <c r="AY57" s="696">
        <v>5769.1956526029999</v>
      </c>
      <c r="AZ57" s="696">
        <v>5769.1956526029999</v>
      </c>
      <c r="BA57" s="696">
        <v>5769.1956526029999</v>
      </c>
      <c r="BB57" s="696">
        <v>5572.397904081</v>
      </c>
      <c r="BC57" s="696">
        <v>5572.397904081</v>
      </c>
      <c r="BD57" s="696">
        <v>0</v>
      </c>
      <c r="BE57" s="696">
        <v>0</v>
      </c>
      <c r="BF57" s="696">
        <v>0</v>
      </c>
      <c r="BG57" s="696">
        <v>0</v>
      </c>
      <c r="BH57" s="696">
        <v>0</v>
      </c>
      <c r="BI57" s="696">
        <v>0</v>
      </c>
      <c r="BJ57" s="696">
        <v>0</v>
      </c>
      <c r="BK57" s="696">
        <v>0</v>
      </c>
      <c r="BL57" s="696">
        <v>0</v>
      </c>
      <c r="BM57" s="696">
        <v>0</v>
      </c>
      <c r="BN57" s="696">
        <v>0</v>
      </c>
      <c r="BO57" s="696">
        <v>0</v>
      </c>
      <c r="BP57" s="696">
        <v>0</v>
      </c>
      <c r="BQ57" s="696">
        <v>0</v>
      </c>
      <c r="BR57" s="696">
        <v>0</v>
      </c>
      <c r="BS57" s="696">
        <v>0</v>
      </c>
      <c r="BT57" s="697">
        <v>0</v>
      </c>
      <c r="BU57" s="16"/>
    </row>
    <row r="58" spans="2:73" s="12" customFormat="1">
      <c r="B58" s="691"/>
      <c r="C58" s="691"/>
      <c r="D58" s="691"/>
      <c r="E58" s="691"/>
      <c r="F58" s="691"/>
      <c r="G58" s="691"/>
      <c r="H58" s="691"/>
      <c r="I58" s="643"/>
      <c r="J58" s="643"/>
      <c r="K58" s="633"/>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3"/>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c r="BU58" s="16"/>
    </row>
    <row r="59" spans="2:73" s="12" customFormat="1">
      <c r="B59" s="691" t="s">
        <v>208</v>
      </c>
      <c r="C59" s="691" t="s">
        <v>1669</v>
      </c>
      <c r="D59" s="691" t="s">
        <v>17</v>
      </c>
      <c r="E59" s="691" t="s">
        <v>991</v>
      </c>
      <c r="F59" s="691" t="s">
        <v>1672</v>
      </c>
      <c r="G59" s="691" t="s">
        <v>1664</v>
      </c>
      <c r="H59" s="691">
        <v>2012</v>
      </c>
      <c r="I59" s="643" t="s">
        <v>570</v>
      </c>
      <c r="J59" s="643" t="s">
        <v>578</v>
      </c>
      <c r="K59" s="633"/>
      <c r="L59" s="695">
        <v>0</v>
      </c>
      <c r="M59" s="696">
        <v>0.96286959999999999</v>
      </c>
      <c r="N59" s="696">
        <v>0.96286959999999999</v>
      </c>
      <c r="O59" s="696">
        <v>0.96286959999999999</v>
      </c>
      <c r="P59" s="696">
        <v>0.96286959999999999</v>
      </c>
      <c r="Q59" s="696">
        <v>0</v>
      </c>
      <c r="R59" s="696">
        <v>0</v>
      </c>
      <c r="S59" s="696">
        <v>0</v>
      </c>
      <c r="T59" s="696">
        <v>0</v>
      </c>
      <c r="U59" s="696">
        <v>0</v>
      </c>
      <c r="V59" s="696">
        <v>0</v>
      </c>
      <c r="W59" s="696">
        <v>0</v>
      </c>
      <c r="X59" s="696">
        <v>0</v>
      </c>
      <c r="Y59" s="696">
        <v>0</v>
      </c>
      <c r="Z59" s="696">
        <v>0</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6">
        <v>5992.3001599999998</v>
      </c>
      <c r="AS59" s="696">
        <v>5992.3001599999998</v>
      </c>
      <c r="AT59" s="696">
        <v>5992.3001599999998</v>
      </c>
      <c r="AU59" s="696">
        <v>5992.3001599999998</v>
      </c>
      <c r="AV59" s="696">
        <v>0</v>
      </c>
      <c r="AW59" s="696">
        <v>0</v>
      </c>
      <c r="AX59" s="696">
        <v>0</v>
      </c>
      <c r="AY59" s="696">
        <v>0</v>
      </c>
      <c r="AZ59" s="696">
        <v>0</v>
      </c>
      <c r="BA59" s="696">
        <v>0</v>
      </c>
      <c r="BB59" s="696">
        <v>0</v>
      </c>
      <c r="BC59" s="696">
        <v>0</v>
      </c>
      <c r="BD59" s="696">
        <v>0</v>
      </c>
      <c r="BE59" s="696">
        <v>0</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c r="BU59" s="16"/>
    </row>
    <row r="60" spans="2:73" s="12" customFormat="1" ht="15.75">
      <c r="B60" s="691" t="s">
        <v>208</v>
      </c>
      <c r="C60" s="691" t="s">
        <v>993</v>
      </c>
      <c r="D60" s="691" t="s">
        <v>22</v>
      </c>
      <c r="E60" s="691" t="s">
        <v>991</v>
      </c>
      <c r="F60" s="691" t="s">
        <v>1672</v>
      </c>
      <c r="G60" s="691" t="s">
        <v>1664</v>
      </c>
      <c r="H60" s="691">
        <v>2012</v>
      </c>
      <c r="I60" s="643" t="s">
        <v>570</v>
      </c>
      <c r="J60" s="643" t="s">
        <v>578</v>
      </c>
      <c r="K60" s="633"/>
      <c r="L60" s="695">
        <v>0</v>
      </c>
      <c r="M60" s="696">
        <v>1.22</v>
      </c>
      <c r="N60" s="696">
        <v>1.22</v>
      </c>
      <c r="O60" s="696">
        <v>1.04</v>
      </c>
      <c r="P60" s="696">
        <v>1.04</v>
      </c>
      <c r="Q60" s="696">
        <v>1.04</v>
      </c>
      <c r="R60" s="696">
        <v>0.57999999999999996</v>
      </c>
      <c r="S60" s="696">
        <v>0.57999999999999996</v>
      </c>
      <c r="T60" s="696">
        <v>0.57999999999999996</v>
      </c>
      <c r="U60" s="696">
        <v>0.57999999999999996</v>
      </c>
      <c r="V60" s="696">
        <v>0.57999999999999996</v>
      </c>
      <c r="W60" s="696">
        <v>0.54</v>
      </c>
      <c r="X60" s="696">
        <v>0.54</v>
      </c>
      <c r="Y60" s="696">
        <v>0.44</v>
      </c>
      <c r="Z60" s="696">
        <v>0.44</v>
      </c>
      <c r="AA60" s="696">
        <v>0.44</v>
      </c>
      <c r="AB60" s="696">
        <v>0.44</v>
      </c>
      <c r="AC60" s="696">
        <v>0.44</v>
      </c>
      <c r="AD60" s="696">
        <v>0.44</v>
      </c>
      <c r="AE60" s="696">
        <v>0.44</v>
      </c>
      <c r="AF60" s="696">
        <v>0.44</v>
      </c>
      <c r="AG60" s="696">
        <v>0</v>
      </c>
      <c r="AH60" s="696">
        <v>0</v>
      </c>
      <c r="AI60" s="696">
        <v>0</v>
      </c>
      <c r="AJ60" s="696">
        <v>0</v>
      </c>
      <c r="AK60" s="696">
        <v>0</v>
      </c>
      <c r="AL60" s="696">
        <v>0</v>
      </c>
      <c r="AM60" s="696">
        <v>0</v>
      </c>
      <c r="AN60" s="696">
        <v>0</v>
      </c>
      <c r="AO60" s="697">
        <v>0</v>
      </c>
      <c r="AP60" s="633"/>
      <c r="AQ60" s="695">
        <v>0</v>
      </c>
      <c r="AR60" s="696">
        <v>4704</v>
      </c>
      <c r="AS60" s="696">
        <v>4704</v>
      </c>
      <c r="AT60" s="696">
        <v>4070.0000000000005</v>
      </c>
      <c r="AU60" s="696">
        <v>4070.0000000000005</v>
      </c>
      <c r="AV60" s="696">
        <v>4070.0000000000005</v>
      </c>
      <c r="AW60" s="696">
        <v>2403</v>
      </c>
      <c r="AX60" s="696">
        <v>2403</v>
      </c>
      <c r="AY60" s="696">
        <v>2403</v>
      </c>
      <c r="AZ60" s="696">
        <v>2403</v>
      </c>
      <c r="BA60" s="696">
        <v>2403</v>
      </c>
      <c r="BB60" s="696">
        <v>1962</v>
      </c>
      <c r="BC60" s="696">
        <v>1962</v>
      </c>
      <c r="BD60" s="696">
        <v>1578</v>
      </c>
      <c r="BE60" s="696">
        <v>1578</v>
      </c>
      <c r="BF60" s="696">
        <v>1578</v>
      </c>
      <c r="BG60" s="696">
        <v>1578</v>
      </c>
      <c r="BH60" s="696">
        <v>1578</v>
      </c>
      <c r="BI60" s="696">
        <v>1578</v>
      </c>
      <c r="BJ60" s="696">
        <v>1578</v>
      </c>
      <c r="BK60" s="696">
        <v>1578</v>
      </c>
      <c r="BL60" s="696">
        <v>0</v>
      </c>
      <c r="BM60" s="696">
        <v>0</v>
      </c>
      <c r="BN60" s="696">
        <v>0</v>
      </c>
      <c r="BO60" s="696">
        <v>0</v>
      </c>
      <c r="BP60" s="696">
        <v>0</v>
      </c>
      <c r="BQ60" s="696">
        <v>0</v>
      </c>
      <c r="BR60" s="696">
        <v>0</v>
      </c>
      <c r="BS60" s="696">
        <v>0</v>
      </c>
      <c r="BT60" s="697">
        <v>0</v>
      </c>
      <c r="BU60" s="163"/>
    </row>
    <row r="61" spans="2:73" s="12" customFormat="1">
      <c r="B61" s="691"/>
      <c r="C61" s="691"/>
      <c r="D61" s="691"/>
      <c r="E61" s="691"/>
      <c r="F61" s="691"/>
      <c r="G61" s="691"/>
      <c r="H61" s="691"/>
      <c r="I61" s="643"/>
      <c r="J61" s="643"/>
      <c r="K61" s="633"/>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3"/>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c r="BU61" s="16"/>
    </row>
    <row r="62" spans="2:73" s="12" customFormat="1">
      <c r="B62" s="691" t="s">
        <v>208</v>
      </c>
      <c r="C62" s="691" t="s">
        <v>1663</v>
      </c>
      <c r="D62" s="691" t="s">
        <v>1673</v>
      </c>
      <c r="E62" s="691" t="s">
        <v>991</v>
      </c>
      <c r="F62" s="691" t="s">
        <v>1087</v>
      </c>
      <c r="G62" s="691" t="s">
        <v>1664</v>
      </c>
      <c r="H62" s="691">
        <v>2013</v>
      </c>
      <c r="I62" s="643" t="s">
        <v>569</v>
      </c>
      <c r="J62" s="643" t="s">
        <v>585</v>
      </c>
      <c r="K62" s="633"/>
      <c r="L62" s="695">
        <v>0</v>
      </c>
      <c r="M62" s="696">
        <v>0</v>
      </c>
      <c r="N62" s="696">
        <v>1.057225133</v>
      </c>
      <c r="O62" s="696">
        <v>1.057225133</v>
      </c>
      <c r="P62" s="696">
        <v>1.0190649439999999</v>
      </c>
      <c r="Q62" s="696">
        <v>0.87359153599999995</v>
      </c>
      <c r="R62" s="696">
        <v>0.87359153599999995</v>
      </c>
      <c r="S62" s="696">
        <v>0.87359153599999995</v>
      </c>
      <c r="T62" s="696">
        <v>0.87359153599999995</v>
      </c>
      <c r="U62" s="696">
        <v>0.87236914099999996</v>
      </c>
      <c r="V62" s="696">
        <v>0.65248159400000005</v>
      </c>
      <c r="W62" s="696">
        <v>0.65248159400000005</v>
      </c>
      <c r="X62" s="696">
        <v>0.52411621200000003</v>
      </c>
      <c r="Y62" s="696">
        <v>0.52410154499999995</v>
      </c>
      <c r="Z62" s="696">
        <v>0.52410154499999995</v>
      </c>
      <c r="AA62" s="696">
        <v>0.52332020999999995</v>
      </c>
      <c r="AB62" s="696">
        <v>0.52332020999999995</v>
      </c>
      <c r="AC62" s="696">
        <v>0.52268014799999996</v>
      </c>
      <c r="AD62" s="696">
        <v>0.50652865899999999</v>
      </c>
      <c r="AE62" s="696">
        <v>0.29732108400000001</v>
      </c>
      <c r="AF62" s="696">
        <v>0.29732108400000001</v>
      </c>
      <c r="AG62" s="696">
        <v>0.29732108400000001</v>
      </c>
      <c r="AH62" s="696">
        <v>0</v>
      </c>
      <c r="AI62" s="696">
        <v>0</v>
      </c>
      <c r="AJ62" s="696">
        <v>0</v>
      </c>
      <c r="AK62" s="696">
        <v>0</v>
      </c>
      <c r="AL62" s="696">
        <v>0</v>
      </c>
      <c r="AM62" s="696">
        <v>0</v>
      </c>
      <c r="AN62" s="696">
        <v>0</v>
      </c>
      <c r="AO62" s="697">
        <v>0</v>
      </c>
      <c r="AP62" s="633"/>
      <c r="AQ62" s="695">
        <v>0</v>
      </c>
      <c r="AR62" s="696">
        <v>0</v>
      </c>
      <c r="AS62" s="696">
        <v>15774.028820031001</v>
      </c>
      <c r="AT62" s="696">
        <v>15774.028820031001</v>
      </c>
      <c r="AU62" s="696">
        <v>15166.162775788</v>
      </c>
      <c r="AV62" s="696">
        <v>12848.869575674</v>
      </c>
      <c r="AW62" s="696">
        <v>12848.869575674</v>
      </c>
      <c r="AX62" s="696">
        <v>12848.869575674</v>
      </c>
      <c r="AY62" s="696">
        <v>12848.869575674</v>
      </c>
      <c r="AZ62" s="696">
        <v>12838.161391445001</v>
      </c>
      <c r="BA62" s="696">
        <v>9335.5011957170009</v>
      </c>
      <c r="BB62" s="696">
        <v>9335.5011957170009</v>
      </c>
      <c r="BC62" s="696">
        <v>8488.2682899699994</v>
      </c>
      <c r="BD62" s="696">
        <v>8367.3916160499994</v>
      </c>
      <c r="BE62" s="696">
        <v>8367.3916160499994</v>
      </c>
      <c r="BF62" s="696">
        <v>8332.9945371850008</v>
      </c>
      <c r="BG62" s="696">
        <v>8332.9945371850008</v>
      </c>
      <c r="BH62" s="696">
        <v>8325.9419577040007</v>
      </c>
      <c r="BI62" s="696">
        <v>8068.6596322189989</v>
      </c>
      <c r="BJ62" s="696">
        <v>4736.1241795710002</v>
      </c>
      <c r="BK62" s="696">
        <v>4736.1241795710002</v>
      </c>
      <c r="BL62" s="696">
        <v>4736.1241795710002</v>
      </c>
      <c r="BM62" s="696">
        <v>0</v>
      </c>
      <c r="BN62" s="696">
        <v>0</v>
      </c>
      <c r="BO62" s="696">
        <v>0</v>
      </c>
      <c r="BP62" s="696">
        <v>0</v>
      </c>
      <c r="BQ62" s="696">
        <v>0</v>
      </c>
      <c r="BR62" s="696">
        <v>0</v>
      </c>
      <c r="BS62" s="696">
        <v>0</v>
      </c>
      <c r="BT62" s="697">
        <v>0</v>
      </c>
      <c r="BU62" s="16"/>
    </row>
    <row r="63" spans="2:73" s="12" customFormat="1">
      <c r="B63" s="691" t="s">
        <v>208</v>
      </c>
      <c r="C63" s="691" t="s">
        <v>1663</v>
      </c>
      <c r="D63" s="691" t="s">
        <v>2</v>
      </c>
      <c r="E63" s="691" t="s">
        <v>991</v>
      </c>
      <c r="F63" s="691" t="s">
        <v>1087</v>
      </c>
      <c r="G63" s="691" t="s">
        <v>1664</v>
      </c>
      <c r="H63" s="691">
        <v>2013</v>
      </c>
      <c r="I63" s="643" t="s">
        <v>569</v>
      </c>
      <c r="J63" s="643" t="s">
        <v>585</v>
      </c>
      <c r="K63" s="633"/>
      <c r="L63" s="695">
        <v>0</v>
      </c>
      <c r="M63" s="696">
        <v>0</v>
      </c>
      <c r="N63" s="696">
        <v>2.0719409899999999</v>
      </c>
      <c r="O63" s="696">
        <v>2.0719409899999999</v>
      </c>
      <c r="P63" s="696">
        <v>2.0719409899999999</v>
      </c>
      <c r="Q63" s="696">
        <v>2.0719409899999999</v>
      </c>
      <c r="R63" s="696">
        <v>0</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3"/>
      <c r="AQ63" s="695">
        <v>0</v>
      </c>
      <c r="AR63" s="696">
        <v>0</v>
      </c>
      <c r="AS63" s="696">
        <v>3694.39878</v>
      </c>
      <c r="AT63" s="696">
        <v>3694.39878</v>
      </c>
      <c r="AU63" s="696">
        <v>3694.39878</v>
      </c>
      <c r="AV63" s="696">
        <v>3694.39878</v>
      </c>
      <c r="AW63" s="696">
        <v>0</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c r="BU63" s="16"/>
    </row>
    <row r="64" spans="2:73" s="12" customFormat="1">
      <c r="B64" s="691" t="s">
        <v>208</v>
      </c>
      <c r="C64" s="691" t="s">
        <v>1663</v>
      </c>
      <c r="D64" s="691" t="s">
        <v>1</v>
      </c>
      <c r="E64" s="691" t="s">
        <v>991</v>
      </c>
      <c r="F64" s="691" t="s">
        <v>1087</v>
      </c>
      <c r="G64" s="691" t="s">
        <v>1664</v>
      </c>
      <c r="H64" s="691">
        <v>2013</v>
      </c>
      <c r="I64" s="643" t="s">
        <v>569</v>
      </c>
      <c r="J64" s="643" t="s">
        <v>585</v>
      </c>
      <c r="K64" s="633"/>
      <c r="L64" s="695">
        <v>0</v>
      </c>
      <c r="M64" s="696">
        <v>0</v>
      </c>
      <c r="N64" s="696">
        <v>2.3106263434647141</v>
      </c>
      <c r="O64" s="696">
        <v>2.3106263434647141</v>
      </c>
      <c r="P64" s="696">
        <v>2.3106263434647141</v>
      </c>
      <c r="Q64" s="696">
        <v>2.3106263434647141</v>
      </c>
      <c r="R64" s="696">
        <v>1.5181500447061373</v>
      </c>
      <c r="S64" s="696">
        <v>0</v>
      </c>
      <c r="T64" s="696">
        <v>0</v>
      </c>
      <c r="U64" s="696">
        <v>0</v>
      </c>
      <c r="V64" s="696">
        <v>0</v>
      </c>
      <c r="W64" s="696">
        <v>0</v>
      </c>
      <c r="X64" s="696">
        <v>0</v>
      </c>
      <c r="Y64" s="696">
        <v>0</v>
      </c>
      <c r="Z64" s="696">
        <v>0</v>
      </c>
      <c r="AA64" s="696">
        <v>0</v>
      </c>
      <c r="AB64" s="696">
        <v>0</v>
      </c>
      <c r="AC64" s="696">
        <v>0</v>
      </c>
      <c r="AD64" s="696">
        <v>0</v>
      </c>
      <c r="AE64" s="696">
        <v>0</v>
      </c>
      <c r="AF64" s="696">
        <v>0</v>
      </c>
      <c r="AG64" s="696">
        <v>0</v>
      </c>
      <c r="AH64" s="696">
        <v>0</v>
      </c>
      <c r="AI64" s="696">
        <v>0</v>
      </c>
      <c r="AJ64" s="696">
        <v>0</v>
      </c>
      <c r="AK64" s="696">
        <v>0</v>
      </c>
      <c r="AL64" s="696">
        <v>0</v>
      </c>
      <c r="AM64" s="696">
        <v>0</v>
      </c>
      <c r="AN64" s="696">
        <v>0</v>
      </c>
      <c r="AO64" s="697">
        <v>0</v>
      </c>
      <c r="AP64" s="633"/>
      <c r="AQ64" s="695">
        <v>0</v>
      </c>
      <c r="AR64" s="696">
        <v>0</v>
      </c>
      <c r="AS64" s="696">
        <v>14247.435780543936</v>
      </c>
      <c r="AT64" s="696">
        <v>14247.435780543936</v>
      </c>
      <c r="AU64" s="696">
        <v>14247.435780543936</v>
      </c>
      <c r="AV64" s="696">
        <v>14247.435780543936</v>
      </c>
      <c r="AW64" s="696">
        <v>10329.743726522927</v>
      </c>
      <c r="AX64" s="696">
        <v>0</v>
      </c>
      <c r="AY64" s="696">
        <v>0</v>
      </c>
      <c r="AZ64" s="696">
        <v>0</v>
      </c>
      <c r="BA64" s="696">
        <v>0</v>
      </c>
      <c r="BB64" s="696">
        <v>0</v>
      </c>
      <c r="BC64" s="696">
        <v>0</v>
      </c>
      <c r="BD64" s="696">
        <v>0</v>
      </c>
      <c r="BE64" s="696">
        <v>0</v>
      </c>
      <c r="BF64" s="696">
        <v>0</v>
      </c>
      <c r="BG64" s="696">
        <v>0</v>
      </c>
      <c r="BH64" s="696">
        <v>0</v>
      </c>
      <c r="BI64" s="696">
        <v>0</v>
      </c>
      <c r="BJ64" s="696">
        <v>0</v>
      </c>
      <c r="BK64" s="696">
        <v>0</v>
      </c>
      <c r="BL64" s="696">
        <v>0</v>
      </c>
      <c r="BM64" s="696">
        <v>0</v>
      </c>
      <c r="BN64" s="696">
        <v>0</v>
      </c>
      <c r="BO64" s="696">
        <v>0</v>
      </c>
      <c r="BP64" s="696">
        <v>0</v>
      </c>
      <c r="BQ64" s="696">
        <v>0</v>
      </c>
      <c r="BR64" s="696">
        <v>0</v>
      </c>
      <c r="BS64" s="696">
        <v>0</v>
      </c>
      <c r="BT64" s="697">
        <v>0</v>
      </c>
      <c r="BU64" s="16"/>
    </row>
    <row r="65" spans="2:73" s="12" customFormat="1">
      <c r="B65" s="691" t="s">
        <v>208</v>
      </c>
      <c r="C65" s="691" t="s">
        <v>1663</v>
      </c>
      <c r="D65" s="691" t="s">
        <v>1674</v>
      </c>
      <c r="E65" s="691" t="s">
        <v>991</v>
      </c>
      <c r="F65" s="691" t="s">
        <v>1087</v>
      </c>
      <c r="G65" s="691" t="s">
        <v>1664</v>
      </c>
      <c r="H65" s="691">
        <v>2013</v>
      </c>
      <c r="I65" s="643" t="s">
        <v>569</v>
      </c>
      <c r="J65" s="643" t="s">
        <v>585</v>
      </c>
      <c r="K65" s="633"/>
      <c r="L65" s="695">
        <v>0</v>
      </c>
      <c r="M65" s="696">
        <v>0</v>
      </c>
      <c r="N65" s="696">
        <v>2.4224372280000002</v>
      </c>
      <c r="O65" s="696">
        <v>2.4224372280000002</v>
      </c>
      <c r="P65" s="696">
        <v>2.2894465629999998</v>
      </c>
      <c r="Q65" s="696">
        <v>1.8355831789999999</v>
      </c>
      <c r="R65" s="696">
        <v>1.8355831789999999</v>
      </c>
      <c r="S65" s="696">
        <v>1.8355831789999999</v>
      </c>
      <c r="T65" s="696">
        <v>1.8355831789999999</v>
      </c>
      <c r="U65" s="696">
        <v>1.832110868</v>
      </c>
      <c r="V65" s="696">
        <v>1.574681352</v>
      </c>
      <c r="W65" s="696">
        <v>1.574681352</v>
      </c>
      <c r="X65" s="696">
        <v>1.142634221</v>
      </c>
      <c r="Y65" s="696">
        <v>0.73805895899999996</v>
      </c>
      <c r="Z65" s="696">
        <v>0.73805895899999996</v>
      </c>
      <c r="AA65" s="696">
        <v>0.72351971999999998</v>
      </c>
      <c r="AB65" s="696">
        <v>0.72351971999999998</v>
      </c>
      <c r="AC65" s="696">
        <v>0.71606069500000002</v>
      </c>
      <c r="AD65" s="696">
        <v>0.61808069399999999</v>
      </c>
      <c r="AE65" s="696">
        <v>0.36279940900000002</v>
      </c>
      <c r="AF65" s="696">
        <v>0.36279940900000002</v>
      </c>
      <c r="AG65" s="696">
        <v>0.36279940900000002</v>
      </c>
      <c r="AH65" s="696">
        <v>0</v>
      </c>
      <c r="AI65" s="696">
        <v>0</v>
      </c>
      <c r="AJ65" s="696">
        <v>0</v>
      </c>
      <c r="AK65" s="696">
        <v>0</v>
      </c>
      <c r="AL65" s="696">
        <v>0</v>
      </c>
      <c r="AM65" s="696">
        <v>0</v>
      </c>
      <c r="AN65" s="696">
        <v>0</v>
      </c>
      <c r="AO65" s="697">
        <v>0</v>
      </c>
      <c r="AP65" s="633"/>
      <c r="AQ65" s="695">
        <v>0</v>
      </c>
      <c r="AR65" s="696">
        <v>0</v>
      </c>
      <c r="AS65" s="696">
        <v>35159.616164337</v>
      </c>
      <c r="AT65" s="696">
        <v>35159.616164337</v>
      </c>
      <c r="AU65" s="696">
        <v>33041.164633148001</v>
      </c>
      <c r="AV65" s="696">
        <v>25811.427285113001</v>
      </c>
      <c r="AW65" s="696">
        <v>25811.427285113001</v>
      </c>
      <c r="AX65" s="696">
        <v>25811.427285113001</v>
      </c>
      <c r="AY65" s="696">
        <v>25811.427285113001</v>
      </c>
      <c r="AZ65" s="696">
        <v>25781.009834257999</v>
      </c>
      <c r="BA65" s="696">
        <v>21680.33141594</v>
      </c>
      <c r="BB65" s="696">
        <v>21680.33141594</v>
      </c>
      <c r="BC65" s="696">
        <v>18865.38574958</v>
      </c>
      <c r="BD65" s="696">
        <v>12128.619770256</v>
      </c>
      <c r="BE65" s="696">
        <v>12128.619770256</v>
      </c>
      <c r="BF65" s="696">
        <v>11488.551444661</v>
      </c>
      <c r="BG65" s="696">
        <v>11488.551444661</v>
      </c>
      <c r="BH65" s="696">
        <v>11406.363541299999</v>
      </c>
      <c r="BI65" s="696">
        <v>9845.608263434</v>
      </c>
      <c r="BJ65" s="696">
        <v>5779.1497018110003</v>
      </c>
      <c r="BK65" s="696">
        <v>5779.1497018110003</v>
      </c>
      <c r="BL65" s="696">
        <v>5779.1497018110003</v>
      </c>
      <c r="BM65" s="696">
        <v>0</v>
      </c>
      <c r="BN65" s="696">
        <v>0</v>
      </c>
      <c r="BO65" s="696">
        <v>0</v>
      </c>
      <c r="BP65" s="696">
        <v>0</v>
      </c>
      <c r="BQ65" s="696">
        <v>0</v>
      </c>
      <c r="BR65" s="696">
        <v>0</v>
      </c>
      <c r="BS65" s="696">
        <v>0</v>
      </c>
      <c r="BT65" s="697">
        <v>0</v>
      </c>
      <c r="BU65" s="16"/>
    </row>
    <row r="66" spans="2:73" s="12" customFormat="1">
      <c r="B66" s="691" t="s">
        <v>208</v>
      </c>
      <c r="C66" s="691" t="s">
        <v>993</v>
      </c>
      <c r="D66" s="691" t="s">
        <v>1675</v>
      </c>
      <c r="E66" s="691" t="s">
        <v>991</v>
      </c>
      <c r="F66" s="691" t="s">
        <v>1668</v>
      </c>
      <c r="G66" s="691" t="s">
        <v>1664</v>
      </c>
      <c r="H66" s="691">
        <v>2013</v>
      </c>
      <c r="I66" s="643" t="s">
        <v>569</v>
      </c>
      <c r="J66" s="643" t="s">
        <v>585</v>
      </c>
      <c r="K66" s="633"/>
      <c r="L66" s="695"/>
      <c r="M66" s="696"/>
      <c r="N66" s="696">
        <v>8.8126766229999998</v>
      </c>
      <c r="O66" s="696">
        <v>8.8126766229999998</v>
      </c>
      <c r="P66" s="696">
        <v>8.8126766229999998</v>
      </c>
      <c r="Q66" s="696">
        <v>8.8126766229999998</v>
      </c>
      <c r="R66" s="696">
        <v>0</v>
      </c>
      <c r="S66" s="696">
        <v>0</v>
      </c>
      <c r="T66" s="696">
        <v>0</v>
      </c>
      <c r="U66" s="696">
        <v>0</v>
      </c>
      <c r="V66" s="696">
        <v>0</v>
      </c>
      <c r="W66" s="696">
        <v>0</v>
      </c>
      <c r="X66" s="696">
        <v>0</v>
      </c>
      <c r="Y66" s="696">
        <v>0</v>
      </c>
      <c r="Z66" s="696">
        <v>0</v>
      </c>
      <c r="AA66" s="696">
        <v>0</v>
      </c>
      <c r="AB66" s="696">
        <v>0</v>
      </c>
      <c r="AC66" s="696">
        <v>0</v>
      </c>
      <c r="AD66" s="696">
        <v>0</v>
      </c>
      <c r="AE66" s="696">
        <v>0</v>
      </c>
      <c r="AF66" s="696">
        <v>0</v>
      </c>
      <c r="AG66" s="696">
        <v>0</v>
      </c>
      <c r="AH66" s="696">
        <v>0</v>
      </c>
      <c r="AI66" s="696">
        <v>0</v>
      </c>
      <c r="AJ66" s="696">
        <v>0</v>
      </c>
      <c r="AK66" s="696">
        <v>0</v>
      </c>
      <c r="AL66" s="696">
        <v>0</v>
      </c>
      <c r="AM66" s="696">
        <v>0</v>
      </c>
      <c r="AN66" s="696">
        <v>0</v>
      </c>
      <c r="AO66" s="697">
        <v>0</v>
      </c>
      <c r="AP66" s="633"/>
      <c r="AQ66" s="695">
        <v>0</v>
      </c>
      <c r="AR66" s="696">
        <v>0</v>
      </c>
      <c r="AS66" s="696">
        <v>48450.767796975</v>
      </c>
      <c r="AT66" s="696">
        <v>48450.767796975</v>
      </c>
      <c r="AU66" s="696">
        <v>48450.767796975</v>
      </c>
      <c r="AV66" s="696">
        <v>48450.767796975</v>
      </c>
      <c r="AW66" s="696">
        <v>0</v>
      </c>
      <c r="AX66" s="696">
        <v>0</v>
      </c>
      <c r="AY66" s="696">
        <v>0</v>
      </c>
      <c r="AZ66" s="696">
        <v>0</v>
      </c>
      <c r="BA66" s="696">
        <v>0</v>
      </c>
      <c r="BB66" s="696">
        <v>0</v>
      </c>
      <c r="BC66" s="696">
        <v>0</v>
      </c>
      <c r="BD66" s="696">
        <v>0</v>
      </c>
      <c r="BE66" s="696">
        <v>0</v>
      </c>
      <c r="BF66" s="696">
        <v>0</v>
      </c>
      <c r="BG66" s="696">
        <v>0</v>
      </c>
      <c r="BH66" s="696">
        <v>0</v>
      </c>
      <c r="BI66" s="696">
        <v>0</v>
      </c>
      <c r="BJ66" s="696">
        <v>0</v>
      </c>
      <c r="BK66" s="696">
        <v>0</v>
      </c>
      <c r="BL66" s="696">
        <v>0</v>
      </c>
      <c r="BM66" s="696">
        <v>0</v>
      </c>
      <c r="BN66" s="696">
        <v>0</v>
      </c>
      <c r="BO66" s="696">
        <v>0</v>
      </c>
      <c r="BP66" s="696">
        <v>0</v>
      </c>
      <c r="BQ66" s="696">
        <v>0</v>
      </c>
      <c r="BR66" s="696">
        <v>0</v>
      </c>
      <c r="BS66" s="696">
        <v>0</v>
      </c>
      <c r="BT66" s="697">
        <v>0</v>
      </c>
      <c r="BU66" s="16"/>
    </row>
    <row r="67" spans="2:73" s="12" customFormat="1">
      <c r="B67" s="691" t="s">
        <v>208</v>
      </c>
      <c r="C67" s="691" t="s">
        <v>14</v>
      </c>
      <c r="D67" s="691" t="s">
        <v>14</v>
      </c>
      <c r="E67" s="691" t="s">
        <v>991</v>
      </c>
      <c r="F67" s="691" t="s">
        <v>1087</v>
      </c>
      <c r="G67" s="691" t="s">
        <v>1664</v>
      </c>
      <c r="H67" s="691">
        <v>2013</v>
      </c>
      <c r="I67" s="643" t="s">
        <v>569</v>
      </c>
      <c r="J67" s="643" t="s">
        <v>585</v>
      </c>
      <c r="K67" s="633"/>
      <c r="L67" s="695">
        <v>0</v>
      </c>
      <c r="M67" s="696">
        <v>0</v>
      </c>
      <c r="N67" s="696">
        <v>7.1933452410000003</v>
      </c>
      <c r="O67" s="696">
        <v>6.9420451080000003</v>
      </c>
      <c r="P67" s="696">
        <v>6.9191996150000001</v>
      </c>
      <c r="Q67" s="696">
        <v>6.378340262</v>
      </c>
      <c r="R67" s="696">
        <v>6.1992924509999998</v>
      </c>
      <c r="S67" s="696">
        <v>6.0202446439999999</v>
      </c>
      <c r="T67" s="696">
        <v>5.7328741120000002</v>
      </c>
      <c r="U67" s="696">
        <v>5.7328741120000002</v>
      </c>
      <c r="V67" s="696">
        <v>3.568948781</v>
      </c>
      <c r="W67" s="696">
        <v>3.4450918939999999</v>
      </c>
      <c r="X67" s="696">
        <v>2.7236257510000002</v>
      </c>
      <c r="Y67" s="696">
        <v>2.7236257510000002</v>
      </c>
      <c r="Z67" s="696">
        <v>2.2577377279999999</v>
      </c>
      <c r="AA67" s="696">
        <v>2.2577377279999999</v>
      </c>
      <c r="AB67" s="696">
        <v>0.36597550099999998</v>
      </c>
      <c r="AC67" s="696">
        <v>0.2569227</v>
      </c>
      <c r="AD67" s="696">
        <v>0.2569227</v>
      </c>
      <c r="AE67" s="696">
        <v>0.2569227</v>
      </c>
      <c r="AF67" s="696">
        <v>0.2569227</v>
      </c>
      <c r="AG67" s="696">
        <v>0.2569227</v>
      </c>
      <c r="AH67" s="696">
        <v>0.2569227</v>
      </c>
      <c r="AI67" s="696">
        <v>0</v>
      </c>
      <c r="AJ67" s="696">
        <v>0</v>
      </c>
      <c r="AK67" s="696">
        <v>0</v>
      </c>
      <c r="AL67" s="696">
        <v>0</v>
      </c>
      <c r="AM67" s="696">
        <v>0</v>
      </c>
      <c r="AN67" s="696">
        <v>0</v>
      </c>
      <c r="AO67" s="697">
        <v>0</v>
      </c>
      <c r="AP67" s="633"/>
      <c r="AQ67" s="695">
        <v>0</v>
      </c>
      <c r="AR67" s="696">
        <v>0</v>
      </c>
      <c r="AS67" s="696">
        <v>95179.881980895996</v>
      </c>
      <c r="AT67" s="696">
        <v>90342.189765930001</v>
      </c>
      <c r="AU67" s="696">
        <v>89902.399856567004</v>
      </c>
      <c r="AV67" s="696">
        <v>79490.503145217997</v>
      </c>
      <c r="AW67" s="696">
        <v>76043.716733933004</v>
      </c>
      <c r="AX67" s="696">
        <v>72596.929147720002</v>
      </c>
      <c r="AY67" s="696">
        <v>67064.858148575004</v>
      </c>
      <c r="AZ67" s="696">
        <v>66876.320611953997</v>
      </c>
      <c r="BA67" s="696">
        <v>25219.341171265001</v>
      </c>
      <c r="BB67" s="696">
        <v>25103.666450500001</v>
      </c>
      <c r="BC67" s="696">
        <v>19154.243377686002</v>
      </c>
      <c r="BD67" s="696">
        <v>19154.243377686002</v>
      </c>
      <c r="BE67" s="696">
        <v>17605.326324463</v>
      </c>
      <c r="BF67" s="696">
        <v>17605.326324463</v>
      </c>
      <c r="BG67" s="696">
        <v>2793.4114074710001</v>
      </c>
      <c r="BH67" s="696">
        <v>1894.1297607419999</v>
      </c>
      <c r="BI67" s="696">
        <v>1894.1297607419999</v>
      </c>
      <c r="BJ67" s="696">
        <v>1894.1297607419999</v>
      </c>
      <c r="BK67" s="696">
        <v>1894.1297607419999</v>
      </c>
      <c r="BL67" s="696">
        <v>1894.1297607419999</v>
      </c>
      <c r="BM67" s="696">
        <v>1894.1297607419999</v>
      </c>
      <c r="BN67" s="696">
        <v>0</v>
      </c>
      <c r="BO67" s="696">
        <v>0</v>
      </c>
      <c r="BP67" s="696">
        <v>0</v>
      </c>
      <c r="BQ67" s="696">
        <v>0</v>
      </c>
      <c r="BR67" s="696">
        <v>0</v>
      </c>
      <c r="BS67" s="696">
        <v>0</v>
      </c>
      <c r="BT67" s="697">
        <v>0</v>
      </c>
      <c r="BU67" s="16"/>
    </row>
    <row r="68" spans="2:73" s="12" customFormat="1">
      <c r="B68" s="691" t="s">
        <v>208</v>
      </c>
      <c r="C68" s="691" t="s">
        <v>1663</v>
      </c>
      <c r="D68" s="691" t="s">
        <v>1671</v>
      </c>
      <c r="E68" s="691" t="s">
        <v>991</v>
      </c>
      <c r="F68" s="691" t="s">
        <v>1087</v>
      </c>
      <c r="G68" s="691" t="s">
        <v>1664</v>
      </c>
      <c r="H68" s="691">
        <v>2013</v>
      </c>
      <c r="I68" s="643" t="s">
        <v>569</v>
      </c>
      <c r="J68" s="643" t="s">
        <v>585</v>
      </c>
      <c r="K68" s="633"/>
      <c r="L68" s="695">
        <v>0</v>
      </c>
      <c r="M68" s="696">
        <v>0</v>
      </c>
      <c r="N68" s="696">
        <v>11.567089695</v>
      </c>
      <c r="O68" s="696">
        <v>11.567089695</v>
      </c>
      <c r="P68" s="696">
        <v>11.567089695</v>
      </c>
      <c r="Q68" s="696">
        <v>11.567089695</v>
      </c>
      <c r="R68" s="696">
        <v>11.567089695</v>
      </c>
      <c r="S68" s="696">
        <v>11.567089695</v>
      </c>
      <c r="T68" s="696">
        <v>11.567089695</v>
      </c>
      <c r="U68" s="696">
        <v>11.567089695</v>
      </c>
      <c r="V68" s="696">
        <v>11.567089695</v>
      </c>
      <c r="W68" s="696">
        <v>11.567089695</v>
      </c>
      <c r="X68" s="696">
        <v>11.567089695</v>
      </c>
      <c r="Y68" s="696">
        <v>11.567089695</v>
      </c>
      <c r="Z68" s="696">
        <v>11.567089695</v>
      </c>
      <c r="AA68" s="696">
        <v>11.567089695</v>
      </c>
      <c r="AB68" s="696">
        <v>11.567089695</v>
      </c>
      <c r="AC68" s="696">
        <v>11.567089695</v>
      </c>
      <c r="AD68" s="696">
        <v>11.567089695</v>
      </c>
      <c r="AE68" s="696">
        <v>11.567089695</v>
      </c>
      <c r="AF68" s="696">
        <v>10.254542149000001</v>
      </c>
      <c r="AG68" s="696">
        <v>0</v>
      </c>
      <c r="AH68" s="696">
        <v>0</v>
      </c>
      <c r="AI68" s="696">
        <v>0</v>
      </c>
      <c r="AJ68" s="696">
        <v>0</v>
      </c>
      <c r="AK68" s="696">
        <v>0</v>
      </c>
      <c r="AL68" s="696">
        <v>0</v>
      </c>
      <c r="AM68" s="696">
        <v>0</v>
      </c>
      <c r="AN68" s="696">
        <v>0</v>
      </c>
      <c r="AO68" s="697">
        <v>0</v>
      </c>
      <c r="AP68" s="633"/>
      <c r="AQ68" s="695">
        <v>0</v>
      </c>
      <c r="AR68" s="696">
        <v>0</v>
      </c>
      <c r="AS68" s="696">
        <v>21085.291996071999</v>
      </c>
      <c r="AT68" s="696">
        <v>21085.291996071999</v>
      </c>
      <c r="AU68" s="696">
        <v>21085.291996071999</v>
      </c>
      <c r="AV68" s="696">
        <v>21085.291996071999</v>
      </c>
      <c r="AW68" s="696">
        <v>21085.291996071999</v>
      </c>
      <c r="AX68" s="696">
        <v>21085.291996071999</v>
      </c>
      <c r="AY68" s="696">
        <v>21085.291996071999</v>
      </c>
      <c r="AZ68" s="696">
        <v>21085.291996071999</v>
      </c>
      <c r="BA68" s="696">
        <v>21085.291996071999</v>
      </c>
      <c r="BB68" s="696">
        <v>21085.291996071999</v>
      </c>
      <c r="BC68" s="696">
        <v>21085.291996071999</v>
      </c>
      <c r="BD68" s="696">
        <v>21085.291996071999</v>
      </c>
      <c r="BE68" s="696">
        <v>21085.291996071999</v>
      </c>
      <c r="BF68" s="696">
        <v>21085.291996071999</v>
      </c>
      <c r="BG68" s="696">
        <v>21085.291996071999</v>
      </c>
      <c r="BH68" s="696">
        <v>21085.291996071999</v>
      </c>
      <c r="BI68" s="696">
        <v>21085.291996071999</v>
      </c>
      <c r="BJ68" s="696">
        <v>21085.291996071999</v>
      </c>
      <c r="BK68" s="696">
        <v>19911.540551373</v>
      </c>
      <c r="BL68" s="696">
        <v>0</v>
      </c>
      <c r="BM68" s="696">
        <v>0</v>
      </c>
      <c r="BN68" s="696">
        <v>0</v>
      </c>
      <c r="BO68" s="696">
        <v>0</v>
      </c>
      <c r="BP68" s="696">
        <v>0</v>
      </c>
      <c r="BQ68" s="696">
        <v>0</v>
      </c>
      <c r="BR68" s="696">
        <v>0</v>
      </c>
      <c r="BS68" s="696">
        <v>0</v>
      </c>
      <c r="BT68" s="697">
        <v>0</v>
      </c>
      <c r="BU68" s="16"/>
    </row>
    <row r="69" spans="2:73" s="12" customFormat="1">
      <c r="B69" s="691" t="s">
        <v>208</v>
      </c>
      <c r="C69" s="691" t="s">
        <v>1663</v>
      </c>
      <c r="D69" s="691" t="s">
        <v>7</v>
      </c>
      <c r="E69" s="691" t="s">
        <v>991</v>
      </c>
      <c r="F69" s="691" t="s">
        <v>1087</v>
      </c>
      <c r="G69" s="691" t="s">
        <v>1664</v>
      </c>
      <c r="H69" s="691">
        <v>2013</v>
      </c>
      <c r="I69" s="643" t="s">
        <v>569</v>
      </c>
      <c r="J69" s="643" t="s">
        <v>585</v>
      </c>
      <c r="K69" s="633"/>
      <c r="L69" s="695">
        <v>0</v>
      </c>
      <c r="M69" s="696">
        <v>0</v>
      </c>
      <c r="N69" s="696">
        <v>0.31170821999999998</v>
      </c>
      <c r="O69" s="696">
        <v>0.31170821999999998</v>
      </c>
      <c r="P69" s="696">
        <v>0.31170821999999998</v>
      </c>
      <c r="Q69" s="696">
        <v>0.31170821999999998</v>
      </c>
      <c r="R69" s="696">
        <v>0.31170821999999998</v>
      </c>
      <c r="S69" s="696">
        <v>0.31170821999999998</v>
      </c>
      <c r="T69" s="696">
        <v>0.31170821999999998</v>
      </c>
      <c r="U69" s="696">
        <v>0.31170821999999998</v>
      </c>
      <c r="V69" s="696">
        <v>0.31170821999999998</v>
      </c>
      <c r="W69" s="696">
        <v>0.31170821999999998</v>
      </c>
      <c r="X69" s="696">
        <v>0.31170821999999998</v>
      </c>
      <c r="Y69" s="696">
        <v>0.31170821999999998</v>
      </c>
      <c r="Z69" s="696">
        <v>0.183653134</v>
      </c>
      <c r="AA69" s="696">
        <v>5.5598048999999997E-2</v>
      </c>
      <c r="AB69" s="696">
        <v>5.5598048999999997E-2</v>
      </c>
      <c r="AC69" s="696">
        <v>5.5598048999999997E-2</v>
      </c>
      <c r="AD69" s="696">
        <v>5.5598048999999997E-2</v>
      </c>
      <c r="AE69" s="696">
        <v>5.5598048999999997E-2</v>
      </c>
      <c r="AF69" s="696">
        <v>0</v>
      </c>
      <c r="AG69" s="696">
        <v>0</v>
      </c>
      <c r="AH69" s="696">
        <v>0</v>
      </c>
      <c r="AI69" s="696">
        <v>0</v>
      </c>
      <c r="AJ69" s="696">
        <v>0</v>
      </c>
      <c r="AK69" s="696">
        <v>0</v>
      </c>
      <c r="AL69" s="696">
        <v>0</v>
      </c>
      <c r="AM69" s="696">
        <v>0</v>
      </c>
      <c r="AN69" s="696">
        <v>0</v>
      </c>
      <c r="AO69" s="697">
        <v>0</v>
      </c>
      <c r="AP69" s="633"/>
      <c r="AQ69" s="695">
        <v>0</v>
      </c>
      <c r="AR69" s="696">
        <v>0</v>
      </c>
      <c r="AS69" s="696">
        <v>4102.4340000000002</v>
      </c>
      <c r="AT69" s="696">
        <v>4102.4340000000002</v>
      </c>
      <c r="AU69" s="696">
        <v>4102.4340000000002</v>
      </c>
      <c r="AV69" s="696">
        <v>4102.4340000000002</v>
      </c>
      <c r="AW69" s="696">
        <v>4102.4340000000002</v>
      </c>
      <c r="AX69" s="696">
        <v>4102.4340000000002</v>
      </c>
      <c r="AY69" s="696">
        <v>4102.4340000000002</v>
      </c>
      <c r="AZ69" s="696">
        <v>4102.4340000000002</v>
      </c>
      <c r="BA69" s="696">
        <v>4102.4340000000002</v>
      </c>
      <c r="BB69" s="696">
        <v>4102.4340000000002</v>
      </c>
      <c r="BC69" s="696">
        <v>4102.4340000000002</v>
      </c>
      <c r="BD69" s="696">
        <v>4102.4340000000002</v>
      </c>
      <c r="BE69" s="696">
        <v>2147.922</v>
      </c>
      <c r="BF69" s="696">
        <v>193.41</v>
      </c>
      <c r="BG69" s="696">
        <v>193.41</v>
      </c>
      <c r="BH69" s="696">
        <v>193.41</v>
      </c>
      <c r="BI69" s="696">
        <v>193.41</v>
      </c>
      <c r="BJ69" s="696">
        <v>193.41</v>
      </c>
      <c r="BK69" s="696">
        <v>0</v>
      </c>
      <c r="BL69" s="696">
        <v>0</v>
      </c>
      <c r="BM69" s="696">
        <v>0</v>
      </c>
      <c r="BN69" s="696">
        <v>0</v>
      </c>
      <c r="BO69" s="696">
        <v>0</v>
      </c>
      <c r="BP69" s="696">
        <v>0</v>
      </c>
      <c r="BQ69" s="696">
        <v>0</v>
      </c>
      <c r="BR69" s="696">
        <v>0</v>
      </c>
      <c r="BS69" s="696">
        <v>0</v>
      </c>
      <c r="BT69" s="697">
        <v>0</v>
      </c>
      <c r="BU69" s="16"/>
    </row>
    <row r="70" spans="2:73" s="12" customFormat="1">
      <c r="B70" s="691" t="s">
        <v>208</v>
      </c>
      <c r="C70" s="691" t="s">
        <v>993</v>
      </c>
      <c r="D70" s="691" t="s">
        <v>22</v>
      </c>
      <c r="E70" s="691" t="s">
        <v>991</v>
      </c>
      <c r="F70" s="691" t="s">
        <v>1668</v>
      </c>
      <c r="G70" s="691" t="s">
        <v>1664</v>
      </c>
      <c r="H70" s="691">
        <v>2013</v>
      </c>
      <c r="I70" s="643" t="s">
        <v>569</v>
      </c>
      <c r="J70" s="643" t="s">
        <v>585</v>
      </c>
      <c r="K70" s="633"/>
      <c r="L70" s="695">
        <v>0</v>
      </c>
      <c r="M70" s="696">
        <v>0</v>
      </c>
      <c r="N70" s="696">
        <v>24.079357472000002</v>
      </c>
      <c r="O70" s="696">
        <v>24.044550115</v>
      </c>
      <c r="P70" s="696">
        <v>24.044550115</v>
      </c>
      <c r="Q70" s="696">
        <v>24.044550115</v>
      </c>
      <c r="R70" s="696">
        <v>22.787578293999999</v>
      </c>
      <c r="S70" s="696">
        <v>21.764049841999999</v>
      </c>
      <c r="T70" s="696">
        <v>21.764049841999999</v>
      </c>
      <c r="U70" s="696">
        <v>21.762240495</v>
      </c>
      <c r="V70" s="696">
        <v>21.761240237999999</v>
      </c>
      <c r="W70" s="696">
        <v>14.29996777</v>
      </c>
      <c r="X70" s="696">
        <v>5.7245780320000001</v>
      </c>
      <c r="Y70" s="696">
        <v>5.709575901</v>
      </c>
      <c r="Z70" s="696">
        <v>0.43631831700000001</v>
      </c>
      <c r="AA70" s="696">
        <v>0.43631831700000001</v>
      </c>
      <c r="AB70" s="696">
        <v>0.43631831700000001</v>
      </c>
      <c r="AC70" s="696">
        <v>0.43631831700000001</v>
      </c>
      <c r="AD70" s="696">
        <v>0.43631831700000001</v>
      </c>
      <c r="AE70" s="696">
        <v>0.43631831700000001</v>
      </c>
      <c r="AF70" s="696">
        <v>0.43631831700000001</v>
      </c>
      <c r="AG70" s="696">
        <v>0.43631831700000001</v>
      </c>
      <c r="AH70" s="696">
        <v>0</v>
      </c>
      <c r="AI70" s="696">
        <v>0</v>
      </c>
      <c r="AJ70" s="696">
        <v>0</v>
      </c>
      <c r="AK70" s="696">
        <v>0</v>
      </c>
      <c r="AL70" s="696">
        <v>0</v>
      </c>
      <c r="AM70" s="696">
        <v>0</v>
      </c>
      <c r="AN70" s="696">
        <v>0</v>
      </c>
      <c r="AO70" s="697">
        <v>0</v>
      </c>
      <c r="AP70" s="633"/>
      <c r="AQ70" s="695">
        <v>0</v>
      </c>
      <c r="AR70" s="696">
        <v>0</v>
      </c>
      <c r="AS70" s="696">
        <v>109208.978533599</v>
      </c>
      <c r="AT70" s="696">
        <v>109099.93602265501</v>
      </c>
      <c r="AU70" s="696">
        <v>109099.93602265501</v>
      </c>
      <c r="AV70" s="696">
        <v>109099.93602265501</v>
      </c>
      <c r="AW70" s="696">
        <v>105162.15508707</v>
      </c>
      <c r="AX70" s="696">
        <v>100840.304994135</v>
      </c>
      <c r="AY70" s="696">
        <v>100840.304994135</v>
      </c>
      <c r="AZ70" s="696">
        <v>100726.723487593</v>
      </c>
      <c r="BA70" s="696">
        <v>100663.932465351</v>
      </c>
      <c r="BB70" s="696">
        <v>69158.700714891005</v>
      </c>
      <c r="BC70" s="696">
        <v>31948.785806905002</v>
      </c>
      <c r="BD70" s="696">
        <v>31007.028940357999</v>
      </c>
      <c r="BE70" s="696">
        <v>1366.876303989</v>
      </c>
      <c r="BF70" s="696">
        <v>1366.876303989</v>
      </c>
      <c r="BG70" s="696">
        <v>1366.876303989</v>
      </c>
      <c r="BH70" s="696">
        <v>1366.876303989</v>
      </c>
      <c r="BI70" s="696">
        <v>1366.876303989</v>
      </c>
      <c r="BJ70" s="696">
        <v>1366.876303989</v>
      </c>
      <c r="BK70" s="696">
        <v>1366.876303989</v>
      </c>
      <c r="BL70" s="696">
        <v>1366.876303989</v>
      </c>
      <c r="BM70" s="696">
        <v>0</v>
      </c>
      <c r="BN70" s="696">
        <v>0</v>
      </c>
      <c r="BO70" s="696">
        <v>0</v>
      </c>
      <c r="BP70" s="696">
        <v>0</v>
      </c>
      <c r="BQ70" s="696">
        <v>0</v>
      </c>
      <c r="BR70" s="696">
        <v>0</v>
      </c>
      <c r="BS70" s="696">
        <v>0</v>
      </c>
      <c r="BT70" s="697">
        <v>0</v>
      </c>
      <c r="BU70" s="16"/>
    </row>
    <row r="71" spans="2:73" s="12" customFormat="1">
      <c r="B71" s="691" t="s">
        <v>208</v>
      </c>
      <c r="C71" s="691" t="s">
        <v>993</v>
      </c>
      <c r="D71" s="691" t="s">
        <v>21</v>
      </c>
      <c r="E71" s="691" t="s">
        <v>991</v>
      </c>
      <c r="F71" s="691" t="s">
        <v>1668</v>
      </c>
      <c r="G71" s="691" t="s">
        <v>1664</v>
      </c>
      <c r="H71" s="691">
        <v>2013</v>
      </c>
      <c r="I71" s="643" t="s">
        <v>569</v>
      </c>
      <c r="J71" s="643" t="s">
        <v>585</v>
      </c>
      <c r="K71" s="633"/>
      <c r="L71" s="695">
        <v>0</v>
      </c>
      <c r="M71" s="696">
        <v>0</v>
      </c>
      <c r="N71" s="696">
        <v>107.69694951300001</v>
      </c>
      <c r="O71" s="696">
        <v>107.69694951300001</v>
      </c>
      <c r="P71" s="696">
        <v>106.12793945</v>
      </c>
      <c r="Q71" s="696">
        <v>78.438352788000003</v>
      </c>
      <c r="R71" s="696">
        <v>13.919555409000001</v>
      </c>
      <c r="S71" s="696">
        <v>13.887440932000001</v>
      </c>
      <c r="T71" s="696">
        <v>13.887440932000001</v>
      </c>
      <c r="U71" s="696">
        <v>12.407341339</v>
      </c>
      <c r="V71" s="696">
        <v>12.407341339</v>
      </c>
      <c r="W71" s="696">
        <v>12.407341339</v>
      </c>
      <c r="X71" s="696">
        <v>10.995800443</v>
      </c>
      <c r="Y71" s="696">
        <v>10.798859942</v>
      </c>
      <c r="Z71" s="696">
        <v>0.56672607200000003</v>
      </c>
      <c r="AA71" s="696">
        <v>0.56672607200000003</v>
      </c>
      <c r="AB71" s="696">
        <v>0.56672607200000003</v>
      </c>
      <c r="AC71" s="696">
        <v>0</v>
      </c>
      <c r="AD71" s="696">
        <v>0</v>
      </c>
      <c r="AE71" s="696">
        <v>0</v>
      </c>
      <c r="AF71" s="696">
        <v>0</v>
      </c>
      <c r="AG71" s="696">
        <v>0</v>
      </c>
      <c r="AH71" s="696">
        <v>0</v>
      </c>
      <c r="AI71" s="696">
        <v>0</v>
      </c>
      <c r="AJ71" s="696">
        <v>0</v>
      </c>
      <c r="AK71" s="696">
        <v>0</v>
      </c>
      <c r="AL71" s="696">
        <v>0</v>
      </c>
      <c r="AM71" s="696">
        <v>0</v>
      </c>
      <c r="AN71" s="696">
        <v>0</v>
      </c>
      <c r="AO71" s="697">
        <v>0</v>
      </c>
      <c r="AP71" s="633"/>
      <c r="AQ71" s="698">
        <v>0</v>
      </c>
      <c r="AR71" s="699">
        <v>0</v>
      </c>
      <c r="AS71" s="699">
        <v>384018.91699277703</v>
      </c>
      <c r="AT71" s="699">
        <v>384018.91699277703</v>
      </c>
      <c r="AU71" s="699">
        <v>378082.87740865001</v>
      </c>
      <c r="AV71" s="699">
        <v>265613.39390099799</v>
      </c>
      <c r="AW71" s="699">
        <v>50059.728085950999</v>
      </c>
      <c r="AX71" s="699">
        <v>50027.636495293998</v>
      </c>
      <c r="AY71" s="699">
        <v>50027.636495293998</v>
      </c>
      <c r="AZ71" s="699">
        <v>48548.591714102004</v>
      </c>
      <c r="BA71" s="699">
        <v>48548.591714102004</v>
      </c>
      <c r="BB71" s="699">
        <v>48548.591714102004</v>
      </c>
      <c r="BC71" s="699">
        <v>35743.269303383997</v>
      </c>
      <c r="BD71" s="699">
        <v>35095.925629488003</v>
      </c>
      <c r="BE71" s="699">
        <v>566.32218807599997</v>
      </c>
      <c r="BF71" s="699">
        <v>566.32218807599997</v>
      </c>
      <c r="BG71" s="699">
        <v>566.32218807599997</v>
      </c>
      <c r="BH71" s="699">
        <v>0</v>
      </c>
      <c r="BI71" s="699">
        <v>0</v>
      </c>
      <c r="BJ71" s="699">
        <v>0</v>
      </c>
      <c r="BK71" s="699">
        <v>0</v>
      </c>
      <c r="BL71" s="699">
        <v>0</v>
      </c>
      <c r="BM71" s="699">
        <v>0</v>
      </c>
      <c r="BN71" s="699">
        <v>0</v>
      </c>
      <c r="BO71" s="699">
        <v>0</v>
      </c>
      <c r="BP71" s="699">
        <v>0</v>
      </c>
      <c r="BQ71" s="699">
        <v>0</v>
      </c>
      <c r="BR71" s="699">
        <v>0</v>
      </c>
      <c r="BS71" s="699">
        <v>0</v>
      </c>
      <c r="BT71" s="700">
        <v>0</v>
      </c>
      <c r="BU71" s="16"/>
    </row>
    <row r="72" spans="2:73" s="12" customFormat="1">
      <c r="B72" s="691"/>
      <c r="C72" s="691"/>
      <c r="D72" s="691"/>
      <c r="E72" s="691"/>
      <c r="F72" s="691"/>
      <c r="G72" s="691"/>
      <c r="H72" s="691"/>
      <c r="I72" s="643"/>
      <c r="J72" s="643"/>
      <c r="K72" s="633"/>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3"/>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c r="BU72" s="16"/>
    </row>
    <row r="73" spans="2:73" s="12" customFormat="1">
      <c r="B73" s="691" t="s">
        <v>208</v>
      </c>
      <c r="C73" s="691" t="s">
        <v>1663</v>
      </c>
      <c r="D73" s="691" t="s">
        <v>4</v>
      </c>
      <c r="E73" s="691" t="s">
        <v>991</v>
      </c>
      <c r="F73" s="691" t="s">
        <v>1087</v>
      </c>
      <c r="G73" s="691" t="s">
        <v>1664</v>
      </c>
      <c r="H73" s="691">
        <v>2013</v>
      </c>
      <c r="I73" s="643" t="s">
        <v>570</v>
      </c>
      <c r="J73" s="643" t="s">
        <v>578</v>
      </c>
      <c r="K73" s="633"/>
      <c r="L73" s="695">
        <v>0</v>
      </c>
      <c r="M73" s="696">
        <v>0</v>
      </c>
      <c r="N73" s="696">
        <v>3.0000000000000001E-3</v>
      </c>
      <c r="O73" s="696">
        <v>3.0000000000000001E-3</v>
      </c>
      <c r="P73" s="696">
        <v>3.0000000000000001E-3</v>
      </c>
      <c r="Q73" s="696">
        <v>3.0000000000000001E-3</v>
      </c>
      <c r="R73" s="696">
        <v>3.0000000000000001E-3</v>
      </c>
      <c r="S73" s="696">
        <v>3.0000000000000001E-3</v>
      </c>
      <c r="T73" s="696">
        <v>3.0000000000000001E-3</v>
      </c>
      <c r="U73" s="696">
        <v>3.0000000000000001E-3</v>
      </c>
      <c r="V73" s="696">
        <v>2E-3</v>
      </c>
      <c r="W73" s="696">
        <v>2E-3</v>
      </c>
      <c r="X73" s="696">
        <v>2E-3</v>
      </c>
      <c r="Y73" s="696">
        <v>2E-3</v>
      </c>
      <c r="Z73" s="696">
        <v>2E-3</v>
      </c>
      <c r="AA73" s="696">
        <v>2E-3</v>
      </c>
      <c r="AB73" s="696">
        <v>2E-3</v>
      </c>
      <c r="AC73" s="696">
        <v>2E-3</v>
      </c>
      <c r="AD73" s="696">
        <v>1E-3</v>
      </c>
      <c r="AE73" s="696">
        <v>1E-3</v>
      </c>
      <c r="AF73" s="696">
        <v>1E-3</v>
      </c>
      <c r="AG73" s="696">
        <v>1E-3</v>
      </c>
      <c r="AH73" s="696">
        <v>0</v>
      </c>
      <c r="AI73" s="696">
        <v>0</v>
      </c>
      <c r="AJ73" s="696">
        <v>0</v>
      </c>
      <c r="AK73" s="696">
        <v>0</v>
      </c>
      <c r="AL73" s="696">
        <v>0</v>
      </c>
      <c r="AM73" s="696">
        <v>0</v>
      </c>
      <c r="AN73" s="696">
        <v>0</v>
      </c>
      <c r="AO73" s="697">
        <v>0</v>
      </c>
      <c r="AP73" s="633"/>
      <c r="AQ73" s="695">
        <v>0</v>
      </c>
      <c r="AR73" s="696">
        <v>0</v>
      </c>
      <c r="AS73" s="696">
        <v>48</v>
      </c>
      <c r="AT73" s="696">
        <v>48</v>
      </c>
      <c r="AU73" s="696">
        <v>46</v>
      </c>
      <c r="AV73" s="696">
        <v>40</v>
      </c>
      <c r="AW73" s="696">
        <v>40</v>
      </c>
      <c r="AX73" s="696">
        <v>40</v>
      </c>
      <c r="AY73" s="696">
        <v>40</v>
      </c>
      <c r="AZ73" s="696">
        <v>40</v>
      </c>
      <c r="BA73" s="696">
        <v>33</v>
      </c>
      <c r="BB73" s="696">
        <v>33</v>
      </c>
      <c r="BC73" s="696">
        <v>32</v>
      </c>
      <c r="BD73" s="696">
        <v>32</v>
      </c>
      <c r="BE73" s="696">
        <v>32</v>
      </c>
      <c r="BF73" s="696">
        <v>32</v>
      </c>
      <c r="BG73" s="696">
        <v>32</v>
      </c>
      <c r="BH73" s="696">
        <v>32</v>
      </c>
      <c r="BI73" s="696">
        <v>17</v>
      </c>
      <c r="BJ73" s="696">
        <v>17</v>
      </c>
      <c r="BK73" s="696">
        <v>17</v>
      </c>
      <c r="BL73" s="696">
        <v>17</v>
      </c>
      <c r="BM73" s="696">
        <v>0</v>
      </c>
      <c r="BN73" s="696">
        <v>0</v>
      </c>
      <c r="BO73" s="696">
        <v>0</v>
      </c>
      <c r="BP73" s="696">
        <v>0</v>
      </c>
      <c r="BQ73" s="696">
        <v>0</v>
      </c>
      <c r="BR73" s="696">
        <v>0</v>
      </c>
      <c r="BS73" s="696">
        <v>0</v>
      </c>
      <c r="BT73" s="697">
        <v>0</v>
      </c>
      <c r="BU73" s="16"/>
    </row>
    <row r="74" spans="2:73" s="12" customFormat="1">
      <c r="B74" s="691" t="s">
        <v>208</v>
      </c>
      <c r="C74" s="691" t="s">
        <v>993</v>
      </c>
      <c r="D74" s="691" t="s">
        <v>20</v>
      </c>
      <c r="E74" s="691" t="s">
        <v>991</v>
      </c>
      <c r="F74" s="691" t="s">
        <v>1676</v>
      </c>
      <c r="G74" s="691" t="s">
        <v>1664</v>
      </c>
      <c r="H74" s="691">
        <v>2013</v>
      </c>
      <c r="I74" s="643" t="s">
        <v>570</v>
      </c>
      <c r="J74" s="643" t="s">
        <v>578</v>
      </c>
      <c r="K74" s="633"/>
      <c r="L74" s="695">
        <v>0</v>
      </c>
      <c r="M74" s="696">
        <v>0</v>
      </c>
      <c r="N74" s="696">
        <v>5.8450300000000002E-3</v>
      </c>
      <c r="O74" s="696">
        <v>5.8450300000000002E-3</v>
      </c>
      <c r="P74" s="696">
        <v>5.8450300000000002E-3</v>
      </c>
      <c r="Q74" s="696">
        <v>5.8450300000000002E-3</v>
      </c>
      <c r="R74" s="696">
        <v>0</v>
      </c>
      <c r="S74" s="696">
        <v>0</v>
      </c>
      <c r="T74" s="696">
        <v>0</v>
      </c>
      <c r="U74" s="696">
        <v>0</v>
      </c>
      <c r="V74" s="696">
        <v>0</v>
      </c>
      <c r="W74" s="696">
        <v>0</v>
      </c>
      <c r="X74" s="696">
        <v>0</v>
      </c>
      <c r="Y74" s="696">
        <v>0</v>
      </c>
      <c r="Z74" s="696">
        <v>0</v>
      </c>
      <c r="AA74" s="696">
        <v>0</v>
      </c>
      <c r="AB74" s="696">
        <v>0</v>
      </c>
      <c r="AC74" s="696">
        <v>0</v>
      </c>
      <c r="AD74" s="696">
        <v>0</v>
      </c>
      <c r="AE74" s="696">
        <v>0</v>
      </c>
      <c r="AF74" s="696">
        <v>0</v>
      </c>
      <c r="AG74" s="696">
        <v>0</v>
      </c>
      <c r="AH74" s="696">
        <v>0</v>
      </c>
      <c r="AI74" s="696">
        <v>0</v>
      </c>
      <c r="AJ74" s="696">
        <v>0</v>
      </c>
      <c r="AK74" s="696">
        <v>0</v>
      </c>
      <c r="AL74" s="696">
        <v>0</v>
      </c>
      <c r="AM74" s="696">
        <v>0</v>
      </c>
      <c r="AN74" s="696">
        <v>0</v>
      </c>
      <c r="AO74" s="697">
        <v>0</v>
      </c>
      <c r="AP74" s="633"/>
      <c r="AQ74" s="695">
        <v>0</v>
      </c>
      <c r="AR74" s="696">
        <v>0</v>
      </c>
      <c r="AS74" s="696">
        <v>32.135094899999999</v>
      </c>
      <c r="AT74" s="696">
        <v>32.135094899999999</v>
      </c>
      <c r="AU74" s="696">
        <v>32.135094899999999</v>
      </c>
      <c r="AV74" s="696">
        <v>32.135094899999999</v>
      </c>
      <c r="AW74" s="696">
        <v>0</v>
      </c>
      <c r="AX74" s="696">
        <v>0</v>
      </c>
      <c r="AY74" s="696">
        <v>0</v>
      </c>
      <c r="AZ74" s="696">
        <v>0</v>
      </c>
      <c r="BA74" s="696">
        <v>0</v>
      </c>
      <c r="BB74" s="696">
        <v>0</v>
      </c>
      <c r="BC74" s="696">
        <v>0</v>
      </c>
      <c r="BD74" s="696">
        <v>0</v>
      </c>
      <c r="BE74" s="696">
        <v>0</v>
      </c>
      <c r="BF74" s="696">
        <v>0</v>
      </c>
      <c r="BG74" s="696">
        <v>0</v>
      </c>
      <c r="BH74" s="696">
        <v>0</v>
      </c>
      <c r="BI74" s="696">
        <v>0</v>
      </c>
      <c r="BJ74" s="696">
        <v>0</v>
      </c>
      <c r="BK74" s="696">
        <v>0</v>
      </c>
      <c r="BL74" s="696">
        <v>0</v>
      </c>
      <c r="BM74" s="696">
        <v>0</v>
      </c>
      <c r="BN74" s="696">
        <v>0</v>
      </c>
      <c r="BO74" s="696">
        <v>0</v>
      </c>
      <c r="BP74" s="696">
        <v>0</v>
      </c>
      <c r="BQ74" s="696">
        <v>0</v>
      </c>
      <c r="BR74" s="696">
        <v>0</v>
      </c>
      <c r="BS74" s="696">
        <v>0</v>
      </c>
      <c r="BT74" s="697">
        <v>0</v>
      </c>
      <c r="BU74" s="16"/>
    </row>
    <row r="75" spans="2:73" s="12" customFormat="1">
      <c r="B75" s="691" t="s">
        <v>208</v>
      </c>
      <c r="C75" s="691" t="s">
        <v>1669</v>
      </c>
      <c r="D75" s="691" t="s">
        <v>17</v>
      </c>
      <c r="E75" s="691" t="s">
        <v>991</v>
      </c>
      <c r="F75" s="691" t="s">
        <v>1676</v>
      </c>
      <c r="G75" s="691" t="s">
        <v>1664</v>
      </c>
      <c r="H75" s="691">
        <v>2013</v>
      </c>
      <c r="I75" s="643" t="s">
        <v>570</v>
      </c>
      <c r="J75" s="643" t="s">
        <v>578</v>
      </c>
      <c r="K75" s="633"/>
      <c r="L75" s="695">
        <v>0</v>
      </c>
      <c r="M75" s="696">
        <v>0</v>
      </c>
      <c r="N75" s="696">
        <v>10.853999999999999</v>
      </c>
      <c r="O75" s="696">
        <v>10.853999999999999</v>
      </c>
      <c r="P75" s="696">
        <v>10.853999999999999</v>
      </c>
      <c r="Q75" s="696">
        <v>10.853999999999999</v>
      </c>
      <c r="R75" s="696">
        <v>10.853999999999999</v>
      </c>
      <c r="S75" s="696">
        <v>10.853999999999999</v>
      </c>
      <c r="T75" s="696">
        <v>10.853999999999999</v>
      </c>
      <c r="U75" s="696">
        <v>10.853999999999999</v>
      </c>
      <c r="V75" s="696">
        <v>10.853999999999999</v>
      </c>
      <c r="W75" s="696">
        <v>10.853999999999999</v>
      </c>
      <c r="X75" s="696">
        <v>10.853999999999999</v>
      </c>
      <c r="Y75" s="696">
        <v>10.853999999999999</v>
      </c>
      <c r="Z75" s="696">
        <v>10.853999999999999</v>
      </c>
      <c r="AA75" s="696">
        <v>10.853999999999999</v>
      </c>
      <c r="AB75" s="696">
        <v>10.853999999999999</v>
      </c>
      <c r="AC75" s="696">
        <v>0</v>
      </c>
      <c r="AD75" s="696">
        <v>0</v>
      </c>
      <c r="AE75" s="696">
        <v>0</v>
      </c>
      <c r="AF75" s="696">
        <v>0</v>
      </c>
      <c r="AG75" s="696">
        <v>0</v>
      </c>
      <c r="AH75" s="696">
        <v>0</v>
      </c>
      <c r="AI75" s="696">
        <v>0</v>
      </c>
      <c r="AJ75" s="696">
        <v>0</v>
      </c>
      <c r="AK75" s="696">
        <v>0</v>
      </c>
      <c r="AL75" s="696">
        <v>0</v>
      </c>
      <c r="AM75" s="696">
        <v>0</v>
      </c>
      <c r="AN75" s="696">
        <v>0</v>
      </c>
      <c r="AO75" s="697">
        <v>0</v>
      </c>
      <c r="AP75" s="633"/>
      <c r="AQ75" s="695">
        <v>0</v>
      </c>
      <c r="AR75" s="696">
        <v>0</v>
      </c>
      <c r="AS75" s="696">
        <v>25956.288</v>
      </c>
      <c r="AT75" s="696">
        <v>25956.288</v>
      </c>
      <c r="AU75" s="696">
        <v>25956.288</v>
      </c>
      <c r="AV75" s="696">
        <v>25956.288</v>
      </c>
      <c r="AW75" s="696">
        <v>25956.288</v>
      </c>
      <c r="AX75" s="696">
        <v>25956.288</v>
      </c>
      <c r="AY75" s="696">
        <v>25956.288</v>
      </c>
      <c r="AZ75" s="696">
        <v>25956.288</v>
      </c>
      <c r="BA75" s="696">
        <v>25956.288</v>
      </c>
      <c r="BB75" s="696">
        <v>25956.288</v>
      </c>
      <c r="BC75" s="696">
        <v>25956.288</v>
      </c>
      <c r="BD75" s="696">
        <v>25956.288</v>
      </c>
      <c r="BE75" s="696">
        <v>25956.288</v>
      </c>
      <c r="BF75" s="696">
        <v>25956.288</v>
      </c>
      <c r="BG75" s="696">
        <v>25956.288</v>
      </c>
      <c r="BH75" s="696">
        <v>0</v>
      </c>
      <c r="BI75" s="696">
        <v>0</v>
      </c>
      <c r="BJ75" s="696">
        <v>0</v>
      </c>
      <c r="BK75" s="696">
        <v>0</v>
      </c>
      <c r="BL75" s="696">
        <v>0</v>
      </c>
      <c r="BM75" s="696">
        <v>0</v>
      </c>
      <c r="BN75" s="696">
        <v>0</v>
      </c>
      <c r="BO75" s="696">
        <v>0</v>
      </c>
      <c r="BP75" s="696">
        <v>0</v>
      </c>
      <c r="BQ75" s="696">
        <v>0</v>
      </c>
      <c r="BR75" s="696">
        <v>0</v>
      </c>
      <c r="BS75" s="696">
        <v>0</v>
      </c>
      <c r="BT75" s="697">
        <v>0</v>
      </c>
      <c r="BU75" s="16"/>
    </row>
    <row r="76" spans="2:73" s="12" customFormat="1">
      <c r="B76" s="691" t="s">
        <v>208</v>
      </c>
      <c r="C76" s="691" t="s">
        <v>1677</v>
      </c>
      <c r="D76" s="691" t="s">
        <v>14</v>
      </c>
      <c r="E76" s="691" t="s">
        <v>991</v>
      </c>
      <c r="F76" s="691" t="s">
        <v>1087</v>
      </c>
      <c r="G76" s="691" t="s">
        <v>1664</v>
      </c>
      <c r="H76" s="691">
        <v>2013</v>
      </c>
      <c r="I76" s="643" t="s">
        <v>570</v>
      </c>
      <c r="J76" s="643" t="s">
        <v>578</v>
      </c>
      <c r="K76" s="633"/>
      <c r="L76" s="695">
        <v>0</v>
      </c>
      <c r="M76" s="696">
        <v>0</v>
      </c>
      <c r="N76" s="696">
        <v>0.88426572999999997</v>
      </c>
      <c r="O76" s="696">
        <v>0.85777330200000002</v>
      </c>
      <c r="P76" s="696">
        <v>0.85536489800000004</v>
      </c>
      <c r="Q76" s="696">
        <v>0.80192733599999999</v>
      </c>
      <c r="R76" s="696">
        <v>0.78484216600000001</v>
      </c>
      <c r="S76" s="696">
        <v>0.767756993</v>
      </c>
      <c r="T76" s="696">
        <v>0.75544562000000004</v>
      </c>
      <c r="U76" s="696">
        <v>0.75544562000000004</v>
      </c>
      <c r="V76" s="696">
        <v>0.47866041399999998</v>
      </c>
      <c r="W76" s="696">
        <v>0.47866041399999998</v>
      </c>
      <c r="X76" s="696">
        <v>0.47866041399999998</v>
      </c>
      <c r="Y76" s="696">
        <v>0.47866041399999998</v>
      </c>
      <c r="Z76" s="696">
        <v>0.34293947600000002</v>
      </c>
      <c r="AA76" s="696">
        <v>0.34293947600000002</v>
      </c>
      <c r="AB76" s="696">
        <v>0.10203947300000001</v>
      </c>
      <c r="AC76" s="696">
        <v>8.3639473000000006E-2</v>
      </c>
      <c r="AD76" s="696">
        <v>8.3639473000000006E-2</v>
      </c>
      <c r="AE76" s="696">
        <v>8.3639473000000006E-2</v>
      </c>
      <c r="AF76" s="696">
        <v>8.3639473000000006E-2</v>
      </c>
      <c r="AG76" s="696">
        <v>8.3639473000000006E-2</v>
      </c>
      <c r="AH76" s="696">
        <v>8.3639473000000006E-2</v>
      </c>
      <c r="AI76" s="696">
        <v>0</v>
      </c>
      <c r="AJ76" s="696">
        <v>0</v>
      </c>
      <c r="AK76" s="696">
        <v>0</v>
      </c>
      <c r="AL76" s="696">
        <v>0</v>
      </c>
      <c r="AM76" s="696">
        <v>0</v>
      </c>
      <c r="AN76" s="696">
        <v>0</v>
      </c>
      <c r="AO76" s="697">
        <v>0</v>
      </c>
      <c r="AP76" s="633"/>
      <c r="AQ76" s="695">
        <v>0</v>
      </c>
      <c r="AR76" s="696">
        <v>0</v>
      </c>
      <c r="AS76" s="696">
        <v>11011.10821</v>
      </c>
      <c r="AT76" s="696">
        <v>10495.20304</v>
      </c>
      <c r="AU76" s="696">
        <v>10448.302589999999</v>
      </c>
      <c r="AV76" s="696">
        <v>9418.1672209999997</v>
      </c>
      <c r="AW76" s="696">
        <v>9090.7014849999996</v>
      </c>
      <c r="AX76" s="696">
        <v>8763.2356569999993</v>
      </c>
      <c r="AY76" s="696">
        <v>8527.0582809999996</v>
      </c>
      <c r="AZ76" s="696">
        <v>8527.0582809999996</v>
      </c>
      <c r="BA76" s="696">
        <v>3200.5049130000002</v>
      </c>
      <c r="BB76" s="696">
        <v>3200.5049130000002</v>
      </c>
      <c r="BC76" s="696">
        <v>3200.5049130000002</v>
      </c>
      <c r="BD76" s="696">
        <v>3200.5049130000002</v>
      </c>
      <c r="BE76" s="696">
        <v>2749.3421020000001</v>
      </c>
      <c r="BF76" s="696">
        <v>2749.3421020000001</v>
      </c>
      <c r="BG76" s="696">
        <v>768.34210210000003</v>
      </c>
      <c r="BH76" s="696">
        <v>616.34210210000003</v>
      </c>
      <c r="BI76" s="696">
        <v>616.34210210000003</v>
      </c>
      <c r="BJ76" s="696">
        <v>616.34210210000003</v>
      </c>
      <c r="BK76" s="696">
        <v>616.34210210000003</v>
      </c>
      <c r="BL76" s="696">
        <v>616.34210210000003</v>
      </c>
      <c r="BM76" s="696">
        <v>616.34210210000003</v>
      </c>
      <c r="BN76" s="696">
        <v>0</v>
      </c>
      <c r="BO76" s="696">
        <v>0</v>
      </c>
      <c r="BP76" s="696">
        <v>0</v>
      </c>
      <c r="BQ76" s="696">
        <v>0</v>
      </c>
      <c r="BR76" s="696">
        <v>0</v>
      </c>
      <c r="BS76" s="696">
        <v>0</v>
      </c>
      <c r="BT76" s="697">
        <v>0</v>
      </c>
      <c r="BU76" s="16"/>
    </row>
    <row r="77" spans="2:73" s="12" customFormat="1">
      <c r="B77" s="691" t="s">
        <v>208</v>
      </c>
      <c r="C77" s="691" t="s">
        <v>1663</v>
      </c>
      <c r="D77" s="691" t="s">
        <v>3</v>
      </c>
      <c r="E77" s="691" t="s">
        <v>991</v>
      </c>
      <c r="F77" s="691" t="s">
        <v>1087</v>
      </c>
      <c r="G77" s="691" t="s">
        <v>1678</v>
      </c>
      <c r="H77" s="691">
        <v>2013</v>
      </c>
      <c r="I77" s="643" t="s">
        <v>570</v>
      </c>
      <c r="J77" s="643" t="s">
        <v>578</v>
      </c>
      <c r="K77" s="633"/>
      <c r="L77" s="695">
        <v>0</v>
      </c>
      <c r="M77" s="696">
        <v>0</v>
      </c>
      <c r="N77" s="696">
        <v>0.87341554099999996</v>
      </c>
      <c r="O77" s="696">
        <v>0.87341554099999996</v>
      </c>
      <c r="P77" s="696">
        <v>0.87341554099999996</v>
      </c>
      <c r="Q77" s="696">
        <v>0.87341554099999996</v>
      </c>
      <c r="R77" s="696">
        <v>0.87341554099999996</v>
      </c>
      <c r="S77" s="696">
        <v>0.87341554099999996</v>
      </c>
      <c r="T77" s="696">
        <v>0.87341554099999996</v>
      </c>
      <c r="U77" s="696">
        <v>0.87341554099999996</v>
      </c>
      <c r="V77" s="696">
        <v>0.87341554099999996</v>
      </c>
      <c r="W77" s="696">
        <v>0.87341554099999996</v>
      </c>
      <c r="X77" s="696">
        <v>0.87341554099999996</v>
      </c>
      <c r="Y77" s="696">
        <v>0.87341554099999996</v>
      </c>
      <c r="Z77" s="696">
        <v>0.87341554099999996</v>
      </c>
      <c r="AA77" s="696">
        <v>0.87341554099999996</v>
      </c>
      <c r="AB77" s="696">
        <v>0.87341554099999996</v>
      </c>
      <c r="AC77" s="696">
        <v>0.87341554099999996</v>
      </c>
      <c r="AD77" s="696">
        <v>0.87341554099999996</v>
      </c>
      <c r="AE77" s="696">
        <v>0.87341554099999996</v>
      </c>
      <c r="AF77" s="696">
        <v>0.78881093499999999</v>
      </c>
      <c r="AG77" s="696">
        <v>0</v>
      </c>
      <c r="AH77" s="696">
        <v>0</v>
      </c>
      <c r="AI77" s="696">
        <v>0</v>
      </c>
      <c r="AJ77" s="696">
        <v>0</v>
      </c>
      <c r="AK77" s="696">
        <v>0</v>
      </c>
      <c r="AL77" s="696">
        <v>0</v>
      </c>
      <c r="AM77" s="696">
        <v>0</v>
      </c>
      <c r="AN77" s="696">
        <v>0</v>
      </c>
      <c r="AO77" s="697">
        <v>0</v>
      </c>
      <c r="AP77" s="633"/>
      <c r="AQ77" s="695">
        <v>0</v>
      </c>
      <c r="AR77" s="696">
        <v>0</v>
      </c>
      <c r="AS77" s="696">
        <v>1607.31500809</v>
      </c>
      <c r="AT77" s="696">
        <v>1607.31500809</v>
      </c>
      <c r="AU77" s="696">
        <v>1607.31500809</v>
      </c>
      <c r="AV77" s="696">
        <v>1607.31500809</v>
      </c>
      <c r="AW77" s="696">
        <v>1607.31500809</v>
      </c>
      <c r="AX77" s="696">
        <v>1607.31500809</v>
      </c>
      <c r="AY77" s="696">
        <v>1607.31500809</v>
      </c>
      <c r="AZ77" s="696">
        <v>1607.31500809</v>
      </c>
      <c r="BA77" s="696">
        <v>1607.31500809</v>
      </c>
      <c r="BB77" s="696">
        <v>1607.31500809</v>
      </c>
      <c r="BC77" s="696">
        <v>1607.31500809</v>
      </c>
      <c r="BD77" s="696">
        <v>1607.31500809</v>
      </c>
      <c r="BE77" s="696">
        <v>1607.31500809</v>
      </c>
      <c r="BF77" s="696">
        <v>1607.31500809</v>
      </c>
      <c r="BG77" s="696">
        <v>1607.31500809</v>
      </c>
      <c r="BH77" s="696">
        <v>1607.31500809</v>
      </c>
      <c r="BI77" s="696">
        <v>1607.31500809</v>
      </c>
      <c r="BJ77" s="696">
        <v>1607.31500809</v>
      </c>
      <c r="BK77" s="696">
        <v>1531.6569649999999</v>
      </c>
      <c r="BL77" s="696">
        <v>0</v>
      </c>
      <c r="BM77" s="696">
        <v>0</v>
      </c>
      <c r="BN77" s="696">
        <v>0</v>
      </c>
      <c r="BO77" s="696">
        <v>0</v>
      </c>
      <c r="BP77" s="696">
        <v>0</v>
      </c>
      <c r="BQ77" s="696">
        <v>0</v>
      </c>
      <c r="BR77" s="696">
        <v>0</v>
      </c>
      <c r="BS77" s="696">
        <v>0</v>
      </c>
      <c r="BT77" s="697">
        <v>0</v>
      </c>
      <c r="BU77" s="16"/>
    </row>
    <row r="78" spans="2:73" s="12" customFormat="1">
      <c r="B78" s="691" t="s">
        <v>208</v>
      </c>
      <c r="C78" s="691" t="s">
        <v>993</v>
      </c>
      <c r="D78" s="691" t="s">
        <v>22</v>
      </c>
      <c r="E78" s="691" t="s">
        <v>991</v>
      </c>
      <c r="F78" s="691" t="s">
        <v>1676</v>
      </c>
      <c r="G78" s="691" t="s">
        <v>1664</v>
      </c>
      <c r="H78" s="691">
        <v>2013</v>
      </c>
      <c r="I78" s="643" t="s">
        <v>570</v>
      </c>
      <c r="J78" s="643" t="s">
        <v>578</v>
      </c>
      <c r="K78" s="633"/>
      <c r="L78" s="695">
        <v>0</v>
      </c>
      <c r="M78" s="696">
        <v>0</v>
      </c>
      <c r="N78" s="696">
        <v>0</v>
      </c>
      <c r="O78" s="696">
        <v>0</v>
      </c>
      <c r="P78" s="696">
        <v>0</v>
      </c>
      <c r="Q78" s="696">
        <v>0</v>
      </c>
      <c r="R78" s="696">
        <v>0</v>
      </c>
      <c r="S78" s="696">
        <v>0</v>
      </c>
      <c r="T78" s="696">
        <v>0</v>
      </c>
      <c r="U78" s="696">
        <v>0</v>
      </c>
      <c r="V78" s="696">
        <v>0</v>
      </c>
      <c r="W78" s="696">
        <v>0</v>
      </c>
      <c r="X78" s="696">
        <v>0</v>
      </c>
      <c r="Y78" s="696">
        <v>0</v>
      </c>
      <c r="Z78" s="696">
        <v>0</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3"/>
      <c r="AQ78" s="695">
        <v>0</v>
      </c>
      <c r="AR78" s="696">
        <v>0</v>
      </c>
      <c r="AS78" s="696">
        <v>0</v>
      </c>
      <c r="AT78" s="696">
        <v>0</v>
      </c>
      <c r="AU78" s="696">
        <v>0</v>
      </c>
      <c r="AV78" s="696">
        <v>0</v>
      </c>
      <c r="AW78" s="696">
        <v>0</v>
      </c>
      <c r="AX78" s="696">
        <v>0</v>
      </c>
      <c r="AY78" s="696">
        <v>0</v>
      </c>
      <c r="AZ78" s="696">
        <v>0</v>
      </c>
      <c r="BA78" s="696">
        <v>0</v>
      </c>
      <c r="BB78" s="696">
        <v>0</v>
      </c>
      <c r="BC78" s="696">
        <v>0</v>
      </c>
      <c r="BD78" s="696">
        <v>0</v>
      </c>
      <c r="BE78" s="696">
        <v>0</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c r="BU78" s="16"/>
    </row>
    <row r="79" spans="2:73" s="12" customFormat="1" ht="15.75">
      <c r="B79" s="691"/>
      <c r="C79" s="691"/>
      <c r="D79" s="691"/>
      <c r="E79" s="691"/>
      <c r="F79" s="691"/>
      <c r="G79" s="691"/>
      <c r="H79" s="691"/>
      <c r="I79" s="643"/>
      <c r="J79" s="643"/>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3"/>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s="12" customFormat="1" ht="15.75">
      <c r="B80" s="691" t="s">
        <v>208</v>
      </c>
      <c r="C80" s="691" t="s">
        <v>1663</v>
      </c>
      <c r="D80" s="691" t="s">
        <v>2</v>
      </c>
      <c r="E80" s="691" t="s">
        <v>991</v>
      </c>
      <c r="F80" s="691" t="s">
        <v>1087</v>
      </c>
      <c r="G80" s="691" t="s">
        <v>1664</v>
      </c>
      <c r="H80" s="691">
        <v>2014</v>
      </c>
      <c r="I80" s="643" t="s">
        <v>570</v>
      </c>
      <c r="J80" s="643" t="s">
        <v>585</v>
      </c>
      <c r="K80" s="633"/>
      <c r="L80" s="695">
        <v>0</v>
      </c>
      <c r="M80" s="696">
        <v>0</v>
      </c>
      <c r="N80" s="696">
        <v>0</v>
      </c>
      <c r="O80" s="696">
        <v>3.7294937830000001</v>
      </c>
      <c r="P80" s="696">
        <v>3.7294937830000001</v>
      </c>
      <c r="Q80" s="696">
        <v>3.7294937830000001</v>
      </c>
      <c r="R80" s="696">
        <v>3.7294937830000001</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3"/>
      <c r="AQ80" s="695">
        <v>0</v>
      </c>
      <c r="AR80" s="696">
        <v>0</v>
      </c>
      <c r="AS80" s="696">
        <v>0</v>
      </c>
      <c r="AT80" s="696">
        <v>6649.9178030000003</v>
      </c>
      <c r="AU80" s="696">
        <v>6649.9178030000003</v>
      </c>
      <c r="AV80" s="696">
        <v>6649.9178030000003</v>
      </c>
      <c r="AW80" s="696">
        <v>6649.9178030000003</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s="12" customFormat="1">
      <c r="B81" s="691" t="s">
        <v>208</v>
      </c>
      <c r="C81" s="691" t="s">
        <v>1663</v>
      </c>
      <c r="D81" s="691" t="s">
        <v>1</v>
      </c>
      <c r="E81" s="691" t="s">
        <v>991</v>
      </c>
      <c r="F81" s="691" t="s">
        <v>1087</v>
      </c>
      <c r="G81" s="691" t="s">
        <v>1664</v>
      </c>
      <c r="H81" s="691">
        <v>2014</v>
      </c>
      <c r="I81" s="643" t="s">
        <v>570</v>
      </c>
      <c r="J81" s="643" t="s">
        <v>585</v>
      </c>
      <c r="K81" s="633"/>
      <c r="L81" s="695">
        <v>0</v>
      </c>
      <c r="M81" s="696">
        <v>0</v>
      </c>
      <c r="N81" s="696">
        <v>0</v>
      </c>
      <c r="O81" s="696">
        <v>3.1518551682088156</v>
      </c>
      <c r="P81" s="696">
        <v>3.1518551682088156</v>
      </c>
      <c r="Q81" s="696">
        <v>3.1518551682088156</v>
      </c>
      <c r="R81" s="696">
        <v>3.1518551682088156</v>
      </c>
      <c r="S81" s="696">
        <v>2.1009317493368918</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3"/>
      <c r="AQ81" s="695">
        <v>0</v>
      </c>
      <c r="AR81" s="696">
        <v>0</v>
      </c>
      <c r="AS81" s="696">
        <v>0</v>
      </c>
      <c r="AT81" s="696">
        <v>19972.97545174836</v>
      </c>
      <c r="AU81" s="696">
        <v>19972.97545174836</v>
      </c>
      <c r="AV81" s="696">
        <v>19972.97545174836</v>
      </c>
      <c r="AW81" s="696">
        <v>19972.97545174836</v>
      </c>
      <c r="AX81" s="696">
        <v>14295.538825600564</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c r="BU81" s="16"/>
    </row>
    <row r="82" spans="2:73" s="12" customFormat="1" ht="15.75">
      <c r="B82" s="691" t="s">
        <v>208</v>
      </c>
      <c r="C82" s="691" t="s">
        <v>1663</v>
      </c>
      <c r="D82" s="691" t="s">
        <v>5</v>
      </c>
      <c r="E82" s="691" t="s">
        <v>991</v>
      </c>
      <c r="F82" s="691" t="s">
        <v>1087</v>
      </c>
      <c r="G82" s="691" t="s">
        <v>1664</v>
      </c>
      <c r="H82" s="691">
        <v>2014</v>
      </c>
      <c r="I82" s="643" t="s">
        <v>570</v>
      </c>
      <c r="J82" s="643" t="s">
        <v>585</v>
      </c>
      <c r="K82" s="633"/>
      <c r="L82" s="695">
        <v>0</v>
      </c>
      <c r="M82" s="696">
        <v>0</v>
      </c>
      <c r="N82" s="696">
        <v>0</v>
      </c>
      <c r="O82" s="696">
        <v>16.461336119999999</v>
      </c>
      <c r="P82" s="696">
        <v>14.368959869999999</v>
      </c>
      <c r="Q82" s="696">
        <v>13.27852923</v>
      </c>
      <c r="R82" s="696">
        <v>13.27852923</v>
      </c>
      <c r="S82" s="696">
        <v>13.27852923</v>
      </c>
      <c r="T82" s="696">
        <v>13.27852923</v>
      </c>
      <c r="U82" s="696">
        <v>13.27852923</v>
      </c>
      <c r="V82" s="696">
        <v>13.26859821</v>
      </c>
      <c r="W82" s="696">
        <v>13.26859821</v>
      </c>
      <c r="X82" s="696">
        <v>12.38715891</v>
      </c>
      <c r="Y82" s="696">
        <v>11.27307532</v>
      </c>
      <c r="Z82" s="696">
        <v>9.5493342139999999</v>
      </c>
      <c r="AA82" s="696">
        <v>9.5493342139999999</v>
      </c>
      <c r="AB82" s="696">
        <v>9.5033830179999992</v>
      </c>
      <c r="AC82" s="696">
        <v>9.5033830179999992</v>
      </c>
      <c r="AD82" s="696">
        <v>9.4839716999999997</v>
      </c>
      <c r="AE82" s="696">
        <v>7.7098459110000004</v>
      </c>
      <c r="AF82" s="696">
        <v>7.7098459110000004</v>
      </c>
      <c r="AG82" s="696">
        <v>7.7098459110000004</v>
      </c>
      <c r="AH82" s="696">
        <v>7.7098459110000004</v>
      </c>
      <c r="AI82" s="696">
        <v>0</v>
      </c>
      <c r="AJ82" s="696">
        <v>0</v>
      </c>
      <c r="AK82" s="696">
        <v>0</v>
      </c>
      <c r="AL82" s="696">
        <v>0</v>
      </c>
      <c r="AM82" s="696">
        <v>0</v>
      </c>
      <c r="AN82" s="696">
        <v>0</v>
      </c>
      <c r="AO82" s="697">
        <v>0</v>
      </c>
      <c r="AP82" s="633"/>
      <c r="AQ82" s="695">
        <v>0</v>
      </c>
      <c r="AR82" s="696">
        <v>0</v>
      </c>
      <c r="AS82" s="696">
        <v>0</v>
      </c>
      <c r="AT82" s="696">
        <v>251528.18340000001</v>
      </c>
      <c r="AU82" s="696">
        <v>218198.04209999999</v>
      </c>
      <c r="AV82" s="696">
        <v>200828.21799999999</v>
      </c>
      <c r="AW82" s="696">
        <v>200828.21799999999</v>
      </c>
      <c r="AX82" s="696">
        <v>200828.21799999999</v>
      </c>
      <c r="AY82" s="696">
        <v>200828.21799999999</v>
      </c>
      <c r="AZ82" s="696">
        <v>200828.21799999999</v>
      </c>
      <c r="BA82" s="696">
        <v>200741.22219999999</v>
      </c>
      <c r="BB82" s="696">
        <v>200741.22219999999</v>
      </c>
      <c r="BC82" s="696">
        <v>186700.48920000001</v>
      </c>
      <c r="BD82" s="696">
        <v>181508.4295</v>
      </c>
      <c r="BE82" s="696">
        <v>153485.04550000001</v>
      </c>
      <c r="BF82" s="696">
        <v>153485.04550000001</v>
      </c>
      <c r="BG82" s="696">
        <v>151287.15289999999</v>
      </c>
      <c r="BH82" s="696">
        <v>151287.15289999999</v>
      </c>
      <c r="BI82" s="696">
        <v>151073.26759999999</v>
      </c>
      <c r="BJ82" s="696">
        <v>122812.6413</v>
      </c>
      <c r="BK82" s="696">
        <v>122812.6413</v>
      </c>
      <c r="BL82" s="696">
        <v>122812.6413</v>
      </c>
      <c r="BM82" s="696">
        <v>122812.6413</v>
      </c>
      <c r="BN82" s="696">
        <v>0</v>
      </c>
      <c r="BO82" s="696">
        <v>0</v>
      </c>
      <c r="BP82" s="696">
        <v>0</v>
      </c>
      <c r="BQ82" s="696">
        <v>0</v>
      </c>
      <c r="BR82" s="696">
        <v>0</v>
      </c>
      <c r="BS82" s="696">
        <v>0</v>
      </c>
      <c r="BT82" s="697">
        <v>0</v>
      </c>
      <c r="BU82" s="163"/>
    </row>
    <row r="83" spans="2:73" s="12" customFormat="1" ht="15.75">
      <c r="B83" s="691" t="s">
        <v>208</v>
      </c>
      <c r="C83" s="691" t="s">
        <v>1663</v>
      </c>
      <c r="D83" s="691" t="s">
        <v>4</v>
      </c>
      <c r="E83" s="691" t="s">
        <v>991</v>
      </c>
      <c r="F83" s="691" t="s">
        <v>1087</v>
      </c>
      <c r="G83" s="691" t="s">
        <v>1664</v>
      </c>
      <c r="H83" s="691">
        <v>2014</v>
      </c>
      <c r="I83" s="643" t="s">
        <v>570</v>
      </c>
      <c r="J83" s="643" t="s">
        <v>585</v>
      </c>
      <c r="K83" s="633"/>
      <c r="L83" s="695">
        <v>0</v>
      </c>
      <c r="M83" s="696">
        <v>0</v>
      </c>
      <c r="N83" s="696">
        <v>0</v>
      </c>
      <c r="O83" s="696">
        <v>4.3155428369999997</v>
      </c>
      <c r="P83" s="696">
        <v>4.0665137600000003</v>
      </c>
      <c r="Q83" s="696">
        <v>3.9462388980000003</v>
      </c>
      <c r="R83" s="696">
        <v>3.9462388980000003</v>
      </c>
      <c r="S83" s="696">
        <v>3.9462388980000003</v>
      </c>
      <c r="T83" s="696">
        <v>3.9462388980000003</v>
      </c>
      <c r="U83" s="696">
        <v>3.9462388980000003</v>
      </c>
      <c r="V83" s="696">
        <v>3.9347561560000006</v>
      </c>
      <c r="W83" s="696">
        <v>3.9347561560000006</v>
      </c>
      <c r="X83" s="696">
        <v>3.466649887</v>
      </c>
      <c r="Y83" s="696">
        <v>2.5272486729999999</v>
      </c>
      <c r="Z83" s="696">
        <v>2.5271864939999999</v>
      </c>
      <c r="AA83" s="696">
        <v>2.5271864939999999</v>
      </c>
      <c r="AB83" s="696">
        <v>2.5221994520000002</v>
      </c>
      <c r="AC83" s="696">
        <v>2.5221994520000002</v>
      </c>
      <c r="AD83" s="696">
        <v>2.5178546150000001</v>
      </c>
      <c r="AE83" s="696">
        <v>1.132680176</v>
      </c>
      <c r="AF83" s="696">
        <v>1.132680176</v>
      </c>
      <c r="AG83" s="696">
        <v>1.132680176</v>
      </c>
      <c r="AH83" s="696">
        <v>1.132680176</v>
      </c>
      <c r="AI83" s="696">
        <v>0</v>
      </c>
      <c r="AJ83" s="696">
        <v>0</v>
      </c>
      <c r="AK83" s="696">
        <v>0</v>
      </c>
      <c r="AL83" s="696">
        <v>0</v>
      </c>
      <c r="AM83" s="696">
        <v>0</v>
      </c>
      <c r="AN83" s="696">
        <v>0</v>
      </c>
      <c r="AO83" s="697">
        <v>0</v>
      </c>
      <c r="AP83" s="633"/>
      <c r="AQ83" s="695">
        <v>0</v>
      </c>
      <c r="AR83" s="696">
        <v>0</v>
      </c>
      <c r="AS83" s="696">
        <v>0</v>
      </c>
      <c r="AT83" s="696">
        <v>57693.637990000003</v>
      </c>
      <c r="AU83" s="696">
        <v>53726.77289</v>
      </c>
      <c r="AV83" s="696">
        <v>51810.875529999998</v>
      </c>
      <c r="AW83" s="696">
        <v>51810.875529999998</v>
      </c>
      <c r="AX83" s="696">
        <v>51810.875529999998</v>
      </c>
      <c r="AY83" s="696">
        <v>51810.875529999998</v>
      </c>
      <c r="AZ83" s="696">
        <v>51810.875529999998</v>
      </c>
      <c r="BA83" s="696">
        <v>51710.28671</v>
      </c>
      <c r="BB83" s="696">
        <v>51710.28671</v>
      </c>
      <c r="BC83" s="696">
        <v>44253.669809999999</v>
      </c>
      <c r="BD83" s="696">
        <v>40909.536639999998</v>
      </c>
      <c r="BE83" s="696">
        <v>40397.104370000001</v>
      </c>
      <c r="BF83" s="696">
        <v>40397.104370000001</v>
      </c>
      <c r="BG83" s="696">
        <v>40155.598449999998</v>
      </c>
      <c r="BH83" s="696">
        <v>40155.598449999998</v>
      </c>
      <c r="BI83" s="696">
        <v>40107.724490000001</v>
      </c>
      <c r="BJ83" s="696">
        <v>18042.830669999999</v>
      </c>
      <c r="BK83" s="696">
        <v>18042.830669999999</v>
      </c>
      <c r="BL83" s="696">
        <v>18042.830669999999</v>
      </c>
      <c r="BM83" s="696">
        <v>18042.830669999999</v>
      </c>
      <c r="BN83" s="696">
        <v>0</v>
      </c>
      <c r="BO83" s="696">
        <v>0</v>
      </c>
      <c r="BP83" s="696">
        <v>0</v>
      </c>
      <c r="BQ83" s="696">
        <v>0</v>
      </c>
      <c r="BR83" s="696">
        <v>0</v>
      </c>
      <c r="BS83" s="696">
        <v>0</v>
      </c>
      <c r="BT83" s="697">
        <v>0</v>
      </c>
      <c r="BU83" s="163"/>
    </row>
    <row r="84" spans="2:73" s="12" customFormat="1" ht="15.75">
      <c r="B84" s="691" t="s">
        <v>208</v>
      </c>
      <c r="C84" s="691" t="s">
        <v>993</v>
      </c>
      <c r="D84" s="691" t="s">
        <v>21</v>
      </c>
      <c r="E84" s="691" t="s">
        <v>991</v>
      </c>
      <c r="F84" s="691" t="s">
        <v>1676</v>
      </c>
      <c r="G84" s="691" t="s">
        <v>1664</v>
      </c>
      <c r="H84" s="691">
        <v>2014</v>
      </c>
      <c r="I84" s="643" t="s">
        <v>570</v>
      </c>
      <c r="J84" s="643" t="s">
        <v>585</v>
      </c>
      <c r="K84" s="633"/>
      <c r="L84" s="695">
        <v>0</v>
      </c>
      <c r="M84" s="696">
        <v>0</v>
      </c>
      <c r="N84" s="696">
        <v>0</v>
      </c>
      <c r="O84" s="696">
        <v>128.3195929</v>
      </c>
      <c r="P84" s="696">
        <v>127.4300528</v>
      </c>
      <c r="Q84" s="696">
        <v>104.1294329</v>
      </c>
      <c r="R84" s="696">
        <v>60.063868130000003</v>
      </c>
      <c r="S84" s="696">
        <v>60.063868130000003</v>
      </c>
      <c r="T84" s="696">
        <v>60.063868130000003</v>
      </c>
      <c r="U84" s="696">
        <v>60.063868130000003</v>
      </c>
      <c r="V84" s="696">
        <v>60.063868130000003</v>
      </c>
      <c r="W84" s="696">
        <v>60.063868130000003</v>
      </c>
      <c r="X84" s="696">
        <v>60.063868130000003</v>
      </c>
      <c r="Y84" s="696">
        <v>59.223783509999997</v>
      </c>
      <c r="Z84" s="696">
        <v>10.48897084</v>
      </c>
      <c r="AA84" s="696">
        <v>0</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3"/>
      <c r="AQ84" s="695">
        <v>0</v>
      </c>
      <c r="AR84" s="696">
        <v>0</v>
      </c>
      <c r="AS84" s="696">
        <v>0</v>
      </c>
      <c r="AT84" s="696">
        <v>478358.06400000001</v>
      </c>
      <c r="AU84" s="696">
        <v>475228.47409999999</v>
      </c>
      <c r="AV84" s="696">
        <v>383682.87650000001</v>
      </c>
      <c r="AW84" s="696">
        <v>233489.1979</v>
      </c>
      <c r="AX84" s="696">
        <v>233489.1979</v>
      </c>
      <c r="AY84" s="696">
        <v>233489.1979</v>
      </c>
      <c r="AZ84" s="696">
        <v>233489.1979</v>
      </c>
      <c r="BA84" s="696">
        <v>233489.1979</v>
      </c>
      <c r="BB84" s="696">
        <v>233489.1979</v>
      </c>
      <c r="BC84" s="696">
        <v>233489.1979</v>
      </c>
      <c r="BD84" s="696">
        <v>225742.75039999999</v>
      </c>
      <c r="BE84" s="696">
        <v>35249.348859999998</v>
      </c>
      <c r="BF84" s="696">
        <v>0</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s="12" customFormat="1">
      <c r="B85" s="691" t="s">
        <v>1662</v>
      </c>
      <c r="C85" s="691" t="s">
        <v>1679</v>
      </c>
      <c r="D85" s="691" t="s">
        <v>1680</v>
      </c>
      <c r="E85" s="691" t="s">
        <v>991</v>
      </c>
      <c r="F85" s="691" t="s">
        <v>1679</v>
      </c>
      <c r="G85" s="691" t="s">
        <v>1664</v>
      </c>
      <c r="H85" s="691">
        <v>2014</v>
      </c>
      <c r="I85" s="643" t="s">
        <v>570</v>
      </c>
      <c r="J85" s="643" t="s">
        <v>585</v>
      </c>
      <c r="K85" s="633"/>
      <c r="L85" s="695">
        <v>0</v>
      </c>
      <c r="M85" s="696">
        <v>0</v>
      </c>
      <c r="N85" s="696">
        <v>0</v>
      </c>
      <c r="O85" s="696">
        <v>0.4914</v>
      </c>
      <c r="P85" s="696">
        <v>0.4914</v>
      </c>
      <c r="Q85" s="696">
        <v>0.4914</v>
      </c>
      <c r="R85" s="696">
        <v>0.4914</v>
      </c>
      <c r="S85" s="696">
        <v>0.4914</v>
      </c>
      <c r="T85" s="696">
        <v>0.4914</v>
      </c>
      <c r="U85" s="696">
        <v>0.4914</v>
      </c>
      <c r="V85" s="696">
        <v>0.4914</v>
      </c>
      <c r="W85" s="696">
        <v>0.4914</v>
      </c>
      <c r="X85" s="696">
        <v>0.4914</v>
      </c>
      <c r="Y85" s="696">
        <v>0.4914</v>
      </c>
      <c r="Z85" s="696">
        <v>0</v>
      </c>
      <c r="AA85" s="696">
        <v>0</v>
      </c>
      <c r="AB85" s="696">
        <v>0</v>
      </c>
      <c r="AC85" s="696">
        <v>0</v>
      </c>
      <c r="AD85" s="696">
        <v>0</v>
      </c>
      <c r="AE85" s="696">
        <v>0</v>
      </c>
      <c r="AF85" s="696">
        <v>0</v>
      </c>
      <c r="AG85" s="696">
        <v>0</v>
      </c>
      <c r="AH85" s="696">
        <v>0</v>
      </c>
      <c r="AI85" s="696">
        <v>0</v>
      </c>
      <c r="AJ85" s="696">
        <v>0</v>
      </c>
      <c r="AK85" s="696">
        <v>0</v>
      </c>
      <c r="AL85" s="696">
        <v>0</v>
      </c>
      <c r="AM85" s="696">
        <v>0</v>
      </c>
      <c r="AN85" s="696">
        <v>0</v>
      </c>
      <c r="AO85" s="697">
        <v>0</v>
      </c>
      <c r="AP85" s="633"/>
      <c r="AQ85" s="695">
        <v>0</v>
      </c>
      <c r="AR85" s="696">
        <v>0</v>
      </c>
      <c r="AS85" s="696">
        <v>0</v>
      </c>
      <c r="AT85" s="696">
        <v>3312.576</v>
      </c>
      <c r="AU85" s="696">
        <v>3312.576</v>
      </c>
      <c r="AV85" s="696">
        <v>3312.576</v>
      </c>
      <c r="AW85" s="696">
        <v>3312.576</v>
      </c>
      <c r="AX85" s="696">
        <v>3312.576</v>
      </c>
      <c r="AY85" s="696">
        <v>3312.576</v>
      </c>
      <c r="AZ85" s="696">
        <v>3312.576</v>
      </c>
      <c r="BA85" s="696">
        <v>3312.576</v>
      </c>
      <c r="BB85" s="696">
        <v>3312.576</v>
      </c>
      <c r="BC85" s="696">
        <v>3312.576</v>
      </c>
      <c r="BD85" s="696">
        <v>3312.576</v>
      </c>
      <c r="BE85" s="696">
        <v>0</v>
      </c>
      <c r="BF85" s="696">
        <v>0</v>
      </c>
      <c r="BG85" s="696">
        <v>0</v>
      </c>
      <c r="BH85" s="696">
        <v>0</v>
      </c>
      <c r="BI85" s="696">
        <v>0</v>
      </c>
      <c r="BJ85" s="696">
        <v>0</v>
      </c>
      <c r="BK85" s="696">
        <v>0</v>
      </c>
      <c r="BL85" s="696">
        <v>0</v>
      </c>
      <c r="BM85" s="696">
        <v>0</v>
      </c>
      <c r="BN85" s="696">
        <v>0</v>
      </c>
      <c r="BO85" s="696">
        <v>0</v>
      </c>
      <c r="BP85" s="696">
        <v>0</v>
      </c>
      <c r="BQ85" s="696">
        <v>0</v>
      </c>
      <c r="BR85" s="696">
        <v>0</v>
      </c>
      <c r="BS85" s="696">
        <v>0</v>
      </c>
      <c r="BT85" s="697">
        <v>0</v>
      </c>
      <c r="BU85" s="16"/>
    </row>
    <row r="86" spans="2:73" s="12" customFormat="1">
      <c r="B86" s="691" t="s">
        <v>208</v>
      </c>
      <c r="C86" s="691" t="s">
        <v>1670</v>
      </c>
      <c r="D86" s="691" t="s">
        <v>14</v>
      </c>
      <c r="E86" s="691" t="s">
        <v>991</v>
      </c>
      <c r="F86" s="691" t="s">
        <v>1087</v>
      </c>
      <c r="G86" s="691" t="s">
        <v>1664</v>
      </c>
      <c r="H86" s="691">
        <v>2014</v>
      </c>
      <c r="I86" s="643" t="s">
        <v>570</v>
      </c>
      <c r="J86" s="643" t="s">
        <v>585</v>
      </c>
      <c r="K86" s="633"/>
      <c r="L86" s="695">
        <v>0</v>
      </c>
      <c r="M86" s="696">
        <v>0</v>
      </c>
      <c r="N86" s="696">
        <v>0</v>
      </c>
      <c r="O86" s="696">
        <v>0.81935835800000001</v>
      </c>
      <c r="P86" s="696">
        <v>0.81813030200000003</v>
      </c>
      <c r="Q86" s="696">
        <v>0.75968392100000004</v>
      </c>
      <c r="R86" s="696">
        <v>0.73537294499999994</v>
      </c>
      <c r="S86" s="696">
        <v>0.71106197500000001</v>
      </c>
      <c r="T86" s="696">
        <v>0.71106197500000001</v>
      </c>
      <c r="U86" s="696">
        <v>0.69725307999999997</v>
      </c>
      <c r="V86" s="696">
        <v>0.69725307999999997</v>
      </c>
      <c r="W86" s="696">
        <v>0.43506245700000001</v>
      </c>
      <c r="X86" s="696">
        <v>0.43506245700000001</v>
      </c>
      <c r="Y86" s="696">
        <v>0.32569999199999999</v>
      </c>
      <c r="Z86" s="696">
        <v>0.32569999199999999</v>
      </c>
      <c r="AA86" s="696">
        <v>0.32569999199999999</v>
      </c>
      <c r="AB86" s="696">
        <v>0.32569999199999999</v>
      </c>
      <c r="AC86" s="696">
        <v>0</v>
      </c>
      <c r="AD86" s="696">
        <v>0</v>
      </c>
      <c r="AE86" s="696">
        <v>0</v>
      </c>
      <c r="AF86" s="696">
        <v>0</v>
      </c>
      <c r="AG86" s="696">
        <v>0</v>
      </c>
      <c r="AH86" s="696">
        <v>0</v>
      </c>
      <c r="AI86" s="696">
        <v>0</v>
      </c>
      <c r="AJ86" s="696">
        <v>0</v>
      </c>
      <c r="AK86" s="696">
        <v>0</v>
      </c>
      <c r="AL86" s="696">
        <v>0</v>
      </c>
      <c r="AM86" s="696">
        <v>0</v>
      </c>
      <c r="AN86" s="696">
        <v>0</v>
      </c>
      <c r="AO86" s="697">
        <v>0</v>
      </c>
      <c r="AP86" s="633"/>
      <c r="AQ86" s="695">
        <v>0</v>
      </c>
      <c r="AR86" s="696">
        <v>0</v>
      </c>
      <c r="AS86" s="696">
        <v>0</v>
      </c>
      <c r="AT86" s="696">
        <v>10959.48314</v>
      </c>
      <c r="AU86" s="696">
        <v>10935.568370000001</v>
      </c>
      <c r="AV86" s="696">
        <v>9812.3297000000002</v>
      </c>
      <c r="AW86" s="696">
        <v>9346.3694419999993</v>
      </c>
      <c r="AX86" s="696">
        <v>8880.4091489999992</v>
      </c>
      <c r="AY86" s="696">
        <v>8880.4091489999992</v>
      </c>
      <c r="AZ86" s="696">
        <v>8615.503815</v>
      </c>
      <c r="BA86" s="696">
        <v>8615.503815</v>
      </c>
      <c r="BB86" s="696">
        <v>3579.6152339999999</v>
      </c>
      <c r="BC86" s="696">
        <v>3579.6152339999999</v>
      </c>
      <c r="BD86" s="696">
        <v>2678</v>
      </c>
      <c r="BE86" s="696">
        <v>2678</v>
      </c>
      <c r="BF86" s="696">
        <v>2678</v>
      </c>
      <c r="BG86" s="696">
        <v>2678</v>
      </c>
      <c r="BH86" s="696">
        <v>0</v>
      </c>
      <c r="BI86" s="696">
        <v>0</v>
      </c>
      <c r="BJ86" s="696">
        <v>0</v>
      </c>
      <c r="BK86" s="696">
        <v>0</v>
      </c>
      <c r="BL86" s="696">
        <v>0</v>
      </c>
      <c r="BM86" s="696">
        <v>0</v>
      </c>
      <c r="BN86" s="696">
        <v>0</v>
      </c>
      <c r="BO86" s="696">
        <v>0</v>
      </c>
      <c r="BP86" s="696">
        <v>0</v>
      </c>
      <c r="BQ86" s="696">
        <v>0</v>
      </c>
      <c r="BR86" s="696">
        <v>0</v>
      </c>
      <c r="BS86" s="696">
        <v>0</v>
      </c>
      <c r="BT86" s="697">
        <v>0</v>
      </c>
      <c r="BU86" s="16"/>
    </row>
    <row r="87" spans="2:73" s="12" customFormat="1">
      <c r="B87" s="691" t="s">
        <v>208</v>
      </c>
      <c r="C87" s="691" t="s">
        <v>1663</v>
      </c>
      <c r="D87" s="691" t="s">
        <v>3</v>
      </c>
      <c r="E87" s="691" t="s">
        <v>991</v>
      </c>
      <c r="F87" s="691" t="s">
        <v>1087</v>
      </c>
      <c r="G87" s="691" t="s">
        <v>1664</v>
      </c>
      <c r="H87" s="691">
        <v>2014</v>
      </c>
      <c r="I87" s="643" t="s">
        <v>570</v>
      </c>
      <c r="J87" s="643" t="s">
        <v>585</v>
      </c>
      <c r="K87" s="633"/>
      <c r="L87" s="695">
        <v>0</v>
      </c>
      <c r="M87" s="696">
        <v>0</v>
      </c>
      <c r="N87" s="696">
        <v>0</v>
      </c>
      <c r="O87" s="696">
        <v>15.726592405000003</v>
      </c>
      <c r="P87" s="696">
        <v>15.726592405000003</v>
      </c>
      <c r="Q87" s="696">
        <v>15.726592405000003</v>
      </c>
      <c r="R87" s="696">
        <v>15.726592405000003</v>
      </c>
      <c r="S87" s="696">
        <v>15.726592405000003</v>
      </c>
      <c r="T87" s="696">
        <v>15.726592405000003</v>
      </c>
      <c r="U87" s="696">
        <v>15.726592405000003</v>
      </c>
      <c r="V87" s="696">
        <v>15.726592405000003</v>
      </c>
      <c r="W87" s="696">
        <v>15.726592405000003</v>
      </c>
      <c r="X87" s="696">
        <v>15.726592405000003</v>
      </c>
      <c r="Y87" s="696">
        <v>15.726592405000003</v>
      </c>
      <c r="Z87" s="696">
        <v>15.726592405000003</v>
      </c>
      <c r="AA87" s="696">
        <v>15.726592405000003</v>
      </c>
      <c r="AB87" s="696">
        <v>15.726592405000003</v>
      </c>
      <c r="AC87" s="696">
        <v>15.726592405000003</v>
      </c>
      <c r="AD87" s="696">
        <v>15.726592405000003</v>
      </c>
      <c r="AE87" s="696">
        <v>15.726592405000003</v>
      </c>
      <c r="AF87" s="696">
        <v>15.726592405000003</v>
      </c>
      <c r="AG87" s="696">
        <v>14.871622370000001</v>
      </c>
      <c r="AH87" s="696">
        <v>0</v>
      </c>
      <c r="AI87" s="696">
        <v>0</v>
      </c>
      <c r="AJ87" s="696">
        <v>0</v>
      </c>
      <c r="AK87" s="696">
        <v>0</v>
      </c>
      <c r="AL87" s="696">
        <v>0</v>
      </c>
      <c r="AM87" s="696">
        <v>0</v>
      </c>
      <c r="AN87" s="696">
        <v>0</v>
      </c>
      <c r="AO87" s="697">
        <v>0</v>
      </c>
      <c r="AP87" s="633"/>
      <c r="AQ87" s="695">
        <v>0</v>
      </c>
      <c r="AR87" s="696">
        <v>0</v>
      </c>
      <c r="AS87" s="696">
        <v>0</v>
      </c>
      <c r="AT87" s="696">
        <v>29839.1425132</v>
      </c>
      <c r="AU87" s="696">
        <v>29839.1425132</v>
      </c>
      <c r="AV87" s="696">
        <v>29839.1425132</v>
      </c>
      <c r="AW87" s="696">
        <v>29839.1425132</v>
      </c>
      <c r="AX87" s="696">
        <v>29839.1425132</v>
      </c>
      <c r="AY87" s="696">
        <v>29839.1425132</v>
      </c>
      <c r="AZ87" s="696">
        <v>29839.1425132</v>
      </c>
      <c r="BA87" s="696">
        <v>29839.1425132</v>
      </c>
      <c r="BB87" s="696">
        <v>29839.1425132</v>
      </c>
      <c r="BC87" s="696">
        <v>29839.1425132</v>
      </c>
      <c r="BD87" s="696">
        <v>29839.1425132</v>
      </c>
      <c r="BE87" s="696">
        <v>29839.1425132</v>
      </c>
      <c r="BF87" s="696">
        <v>29839.1425132</v>
      </c>
      <c r="BG87" s="696">
        <v>29839.1425132</v>
      </c>
      <c r="BH87" s="696">
        <v>29839.1425132</v>
      </c>
      <c r="BI87" s="696">
        <v>29839.1425132</v>
      </c>
      <c r="BJ87" s="696">
        <v>29839.1425132</v>
      </c>
      <c r="BK87" s="696">
        <v>29839.1425132</v>
      </c>
      <c r="BL87" s="696">
        <v>29074.58178</v>
      </c>
      <c r="BM87" s="696">
        <v>0</v>
      </c>
      <c r="BN87" s="696">
        <v>0</v>
      </c>
      <c r="BO87" s="696">
        <v>0</v>
      </c>
      <c r="BP87" s="696">
        <v>0</v>
      </c>
      <c r="BQ87" s="696">
        <v>0</v>
      </c>
      <c r="BR87" s="696">
        <v>0</v>
      </c>
      <c r="BS87" s="696">
        <v>0</v>
      </c>
      <c r="BT87" s="697">
        <v>0</v>
      </c>
      <c r="BU87" s="16"/>
    </row>
    <row r="88" spans="2:73" s="12" customFormat="1">
      <c r="B88" s="691" t="s">
        <v>1662</v>
      </c>
      <c r="C88" s="691" t="s">
        <v>1663</v>
      </c>
      <c r="D88" s="691" t="s">
        <v>42</v>
      </c>
      <c r="E88" s="691" t="s">
        <v>991</v>
      </c>
      <c r="F88" s="691" t="s">
        <v>1087</v>
      </c>
      <c r="G88" s="691" t="s">
        <v>1678</v>
      </c>
      <c r="H88" s="691">
        <v>2014</v>
      </c>
      <c r="I88" s="643" t="s">
        <v>570</v>
      </c>
      <c r="J88" s="643" t="s">
        <v>585</v>
      </c>
      <c r="K88" s="633"/>
      <c r="L88" s="695">
        <v>0</v>
      </c>
      <c r="M88" s="696">
        <v>0</v>
      </c>
      <c r="N88" s="696">
        <v>0</v>
      </c>
      <c r="O88" s="696">
        <v>5.8859750000000002</v>
      </c>
      <c r="P88" s="696">
        <v>0</v>
      </c>
      <c r="Q88" s="696">
        <v>0</v>
      </c>
      <c r="R88" s="696">
        <v>0</v>
      </c>
      <c r="S88" s="696">
        <v>0</v>
      </c>
      <c r="T88" s="696">
        <v>0</v>
      </c>
      <c r="U88" s="696">
        <v>0</v>
      </c>
      <c r="V88" s="696">
        <v>0</v>
      </c>
      <c r="W88" s="696">
        <v>0</v>
      </c>
      <c r="X88" s="696">
        <v>0</v>
      </c>
      <c r="Y88" s="696">
        <v>0</v>
      </c>
      <c r="Z88" s="696">
        <v>0</v>
      </c>
      <c r="AA88" s="696">
        <v>0</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8">
        <v>0</v>
      </c>
      <c r="AR88" s="699">
        <v>0</v>
      </c>
      <c r="AS88" s="699">
        <v>0</v>
      </c>
      <c r="AT88" s="699">
        <v>0</v>
      </c>
      <c r="AU88" s="699">
        <v>0</v>
      </c>
      <c r="AV88" s="699">
        <v>0</v>
      </c>
      <c r="AW88" s="699">
        <v>0</v>
      </c>
      <c r="AX88" s="699">
        <v>0</v>
      </c>
      <c r="AY88" s="699">
        <v>0</v>
      </c>
      <c r="AZ88" s="699">
        <v>0</v>
      </c>
      <c r="BA88" s="699">
        <v>0</v>
      </c>
      <c r="BB88" s="699">
        <v>0</v>
      </c>
      <c r="BC88" s="699">
        <v>0</v>
      </c>
      <c r="BD88" s="699">
        <v>0</v>
      </c>
      <c r="BE88" s="699">
        <v>0</v>
      </c>
      <c r="BF88" s="699">
        <v>0</v>
      </c>
      <c r="BG88" s="699">
        <v>0</v>
      </c>
      <c r="BH88" s="699">
        <v>0</v>
      </c>
      <c r="BI88" s="699">
        <v>0</v>
      </c>
      <c r="BJ88" s="699">
        <v>0</v>
      </c>
      <c r="BK88" s="699">
        <v>0</v>
      </c>
      <c r="BL88" s="699">
        <v>0</v>
      </c>
      <c r="BM88" s="699">
        <v>0</v>
      </c>
      <c r="BN88" s="699">
        <v>0</v>
      </c>
      <c r="BO88" s="699">
        <v>0</v>
      </c>
      <c r="BP88" s="699">
        <v>0</v>
      </c>
      <c r="BQ88" s="699">
        <v>0</v>
      </c>
      <c r="BR88" s="699">
        <v>0</v>
      </c>
      <c r="BS88" s="699">
        <v>0</v>
      </c>
      <c r="BT88" s="700">
        <v>0</v>
      </c>
      <c r="BU88" s="16"/>
    </row>
    <row r="89" spans="2:73" s="12" customFormat="1">
      <c r="B89" s="691" t="s">
        <v>208</v>
      </c>
      <c r="C89" s="691" t="s">
        <v>1663</v>
      </c>
      <c r="D89" s="691" t="s">
        <v>7</v>
      </c>
      <c r="E89" s="691" t="s">
        <v>991</v>
      </c>
      <c r="F89" s="691" t="s">
        <v>1087</v>
      </c>
      <c r="G89" s="691" t="s">
        <v>1664</v>
      </c>
      <c r="H89" s="691">
        <v>2014</v>
      </c>
      <c r="I89" s="643" t="s">
        <v>570</v>
      </c>
      <c r="J89" s="643" t="s">
        <v>585</v>
      </c>
      <c r="K89" s="633"/>
      <c r="L89" s="695">
        <v>0</v>
      </c>
      <c r="M89" s="696">
        <v>0</v>
      </c>
      <c r="N89" s="696">
        <v>0</v>
      </c>
      <c r="O89" s="696">
        <v>0.50674754700000002</v>
      </c>
      <c r="P89" s="696">
        <v>0.50674754700000002</v>
      </c>
      <c r="Q89" s="696">
        <v>0.50674754700000002</v>
      </c>
      <c r="R89" s="696">
        <v>0.50674754700000002</v>
      </c>
      <c r="S89" s="696">
        <v>0.50674754700000002</v>
      </c>
      <c r="T89" s="696">
        <v>0.50674754700000002</v>
      </c>
      <c r="U89" s="696">
        <v>0.50674754700000002</v>
      </c>
      <c r="V89" s="696">
        <v>0.50674754700000002</v>
      </c>
      <c r="W89" s="696">
        <v>0.50674754700000002</v>
      </c>
      <c r="X89" s="696">
        <v>0.50674754700000002</v>
      </c>
      <c r="Y89" s="696">
        <v>0.50674754700000002</v>
      </c>
      <c r="Z89" s="696">
        <v>0.50674754700000002</v>
      </c>
      <c r="AA89" s="696">
        <v>0.25337377300000002</v>
      </c>
      <c r="AB89" s="696">
        <v>0</v>
      </c>
      <c r="AC89" s="696">
        <v>0</v>
      </c>
      <c r="AD89" s="696">
        <v>0</v>
      </c>
      <c r="AE89" s="696">
        <v>0</v>
      </c>
      <c r="AF89" s="696">
        <v>0</v>
      </c>
      <c r="AG89" s="696">
        <v>0</v>
      </c>
      <c r="AH89" s="696">
        <v>0</v>
      </c>
      <c r="AI89" s="696">
        <v>0</v>
      </c>
      <c r="AJ89" s="696">
        <v>0</v>
      </c>
      <c r="AK89" s="696">
        <v>0</v>
      </c>
      <c r="AL89" s="696">
        <v>0</v>
      </c>
      <c r="AM89" s="696">
        <v>0</v>
      </c>
      <c r="AN89" s="696">
        <v>0</v>
      </c>
      <c r="AO89" s="697">
        <v>0</v>
      </c>
      <c r="AP89" s="633"/>
      <c r="AQ89" s="692">
        <v>0</v>
      </c>
      <c r="AR89" s="693">
        <v>0</v>
      </c>
      <c r="AS89" s="693">
        <v>0</v>
      </c>
      <c r="AT89" s="693">
        <v>7734.42</v>
      </c>
      <c r="AU89" s="693">
        <v>7734.42</v>
      </c>
      <c r="AV89" s="693">
        <v>7734.42</v>
      </c>
      <c r="AW89" s="693">
        <v>7734.42</v>
      </c>
      <c r="AX89" s="693">
        <v>7734.42</v>
      </c>
      <c r="AY89" s="693">
        <v>7734.42</v>
      </c>
      <c r="AZ89" s="693">
        <v>7734.42</v>
      </c>
      <c r="BA89" s="693">
        <v>7734.42</v>
      </c>
      <c r="BB89" s="693">
        <v>7734.42</v>
      </c>
      <c r="BC89" s="693">
        <v>7734.42</v>
      </c>
      <c r="BD89" s="693">
        <v>7734.42</v>
      </c>
      <c r="BE89" s="693">
        <v>7734.42</v>
      </c>
      <c r="BF89" s="693">
        <v>3867.21</v>
      </c>
      <c r="BG89" s="693">
        <v>0</v>
      </c>
      <c r="BH89" s="693">
        <v>0</v>
      </c>
      <c r="BI89" s="693">
        <v>0</v>
      </c>
      <c r="BJ89" s="693">
        <v>0</v>
      </c>
      <c r="BK89" s="693">
        <v>0</v>
      </c>
      <c r="BL89" s="693">
        <v>0</v>
      </c>
      <c r="BM89" s="693">
        <v>0</v>
      </c>
      <c r="BN89" s="693">
        <v>0</v>
      </c>
      <c r="BO89" s="693">
        <v>0</v>
      </c>
      <c r="BP89" s="693">
        <v>0</v>
      </c>
      <c r="BQ89" s="693">
        <v>0</v>
      </c>
      <c r="BR89" s="693">
        <v>0</v>
      </c>
      <c r="BS89" s="693">
        <v>0</v>
      </c>
      <c r="BT89" s="694">
        <v>0</v>
      </c>
      <c r="BU89" s="16"/>
    </row>
    <row r="90" spans="2:73" s="12" customFormat="1">
      <c r="B90" s="691" t="s">
        <v>208</v>
      </c>
      <c r="C90" s="691" t="s">
        <v>993</v>
      </c>
      <c r="D90" s="691" t="s">
        <v>22</v>
      </c>
      <c r="E90" s="691" t="s">
        <v>991</v>
      </c>
      <c r="F90" s="691" t="s">
        <v>1676</v>
      </c>
      <c r="G90" s="691" t="s">
        <v>1664</v>
      </c>
      <c r="H90" s="691">
        <v>2014</v>
      </c>
      <c r="I90" s="643" t="s">
        <v>570</v>
      </c>
      <c r="J90" s="643" t="s">
        <v>585</v>
      </c>
      <c r="K90" s="633"/>
      <c r="L90" s="695">
        <v>0</v>
      </c>
      <c r="M90" s="696">
        <v>0</v>
      </c>
      <c r="N90" s="696">
        <v>0</v>
      </c>
      <c r="O90" s="696">
        <v>151.37413219999999</v>
      </c>
      <c r="P90" s="696">
        <v>151.37413219999999</v>
      </c>
      <c r="Q90" s="696">
        <v>151.37413219999999</v>
      </c>
      <c r="R90" s="696">
        <v>151.27034080000001</v>
      </c>
      <c r="S90" s="696">
        <v>151.27034080000001</v>
      </c>
      <c r="T90" s="696">
        <v>151.27034080000001</v>
      </c>
      <c r="U90" s="696">
        <v>141.89364359999999</v>
      </c>
      <c r="V90" s="696">
        <v>141.89364359999999</v>
      </c>
      <c r="W90" s="696">
        <v>138.32600450000001</v>
      </c>
      <c r="X90" s="696">
        <v>98.601761800000006</v>
      </c>
      <c r="Y90" s="696">
        <v>59.723302490000002</v>
      </c>
      <c r="Z90" s="696">
        <v>59.723302490000002</v>
      </c>
      <c r="AA90" s="696">
        <v>45.623635759999999</v>
      </c>
      <c r="AB90" s="696">
        <v>45.623635759999999</v>
      </c>
      <c r="AC90" s="696">
        <v>45.623635759999999</v>
      </c>
      <c r="AD90" s="696">
        <v>36.496685769999999</v>
      </c>
      <c r="AE90" s="696">
        <v>4.1939579900000004</v>
      </c>
      <c r="AF90" s="696">
        <v>4.1939579900000004</v>
      </c>
      <c r="AG90" s="696">
        <v>4.1939579900000004</v>
      </c>
      <c r="AH90" s="696">
        <v>4.1939579900000004</v>
      </c>
      <c r="AI90" s="696">
        <v>0</v>
      </c>
      <c r="AJ90" s="696">
        <v>0</v>
      </c>
      <c r="AK90" s="696">
        <v>0</v>
      </c>
      <c r="AL90" s="696">
        <v>0</v>
      </c>
      <c r="AM90" s="696">
        <v>0</v>
      </c>
      <c r="AN90" s="696">
        <v>0</v>
      </c>
      <c r="AO90" s="697">
        <v>0</v>
      </c>
      <c r="AP90" s="633"/>
      <c r="AQ90" s="695">
        <v>0</v>
      </c>
      <c r="AR90" s="696">
        <v>0</v>
      </c>
      <c r="AS90" s="696">
        <v>0</v>
      </c>
      <c r="AT90" s="696">
        <v>1293084.9709999999</v>
      </c>
      <c r="AU90" s="696">
        <v>1293084.9709999999</v>
      </c>
      <c r="AV90" s="696">
        <v>1293084.9709999999</v>
      </c>
      <c r="AW90" s="696">
        <v>1292720.449</v>
      </c>
      <c r="AX90" s="696">
        <v>1292720.449</v>
      </c>
      <c r="AY90" s="696">
        <v>1292720.449</v>
      </c>
      <c r="AZ90" s="696">
        <v>1204616.4720000001</v>
      </c>
      <c r="BA90" s="696">
        <v>1204616.4720000001</v>
      </c>
      <c r="BB90" s="696">
        <v>1190945.0819999999</v>
      </c>
      <c r="BC90" s="696">
        <v>817351.66830000002</v>
      </c>
      <c r="BD90" s="696">
        <v>451145.47350000002</v>
      </c>
      <c r="BE90" s="696">
        <v>449944.42070000002</v>
      </c>
      <c r="BF90" s="696">
        <v>358887.80540000001</v>
      </c>
      <c r="BG90" s="696">
        <v>358887.80540000001</v>
      </c>
      <c r="BH90" s="696">
        <v>358887.80540000001</v>
      </c>
      <c r="BI90" s="696">
        <v>284808.95309999998</v>
      </c>
      <c r="BJ90" s="696">
        <v>14609.60455</v>
      </c>
      <c r="BK90" s="696">
        <v>14609.60455</v>
      </c>
      <c r="BL90" s="696">
        <v>14609.60455</v>
      </c>
      <c r="BM90" s="696">
        <v>14609.60455</v>
      </c>
      <c r="BN90" s="696">
        <v>0</v>
      </c>
      <c r="BO90" s="696">
        <v>0</v>
      </c>
      <c r="BP90" s="696">
        <v>0</v>
      </c>
      <c r="BQ90" s="696">
        <v>0</v>
      </c>
      <c r="BR90" s="696">
        <v>0</v>
      </c>
      <c r="BS90" s="696">
        <v>0</v>
      </c>
      <c r="BT90" s="697">
        <v>0</v>
      </c>
      <c r="BU90" s="16"/>
    </row>
    <row r="91" spans="2:73" s="12" customFormat="1">
      <c r="B91" s="691" t="s">
        <v>208</v>
      </c>
      <c r="C91" s="691" t="s">
        <v>489</v>
      </c>
      <c r="D91" s="691" t="s">
        <v>1681</v>
      </c>
      <c r="E91" s="691" t="s">
        <v>991</v>
      </c>
      <c r="F91" s="691" t="s">
        <v>489</v>
      </c>
      <c r="G91" s="691" t="s">
        <v>1678</v>
      </c>
      <c r="H91" s="691">
        <v>2014</v>
      </c>
      <c r="I91" s="643" t="s">
        <v>570</v>
      </c>
      <c r="J91" s="643" t="s">
        <v>585</v>
      </c>
      <c r="K91" s="633"/>
      <c r="L91" s="695">
        <v>0</v>
      </c>
      <c r="M91" s="696">
        <v>0</v>
      </c>
      <c r="N91" s="696">
        <v>0</v>
      </c>
      <c r="O91" s="696">
        <v>95.580107819999995</v>
      </c>
      <c r="P91" s="696">
        <v>0</v>
      </c>
      <c r="Q91" s="696">
        <v>0</v>
      </c>
      <c r="R91" s="696">
        <v>0</v>
      </c>
      <c r="S91" s="696">
        <v>0</v>
      </c>
      <c r="T91" s="696">
        <v>0</v>
      </c>
      <c r="U91" s="696">
        <v>0</v>
      </c>
      <c r="V91" s="696">
        <v>0</v>
      </c>
      <c r="W91" s="696">
        <v>0</v>
      </c>
      <c r="X91" s="696">
        <v>0</v>
      </c>
      <c r="Y91" s="696">
        <v>0</v>
      </c>
      <c r="Z91" s="696">
        <v>0</v>
      </c>
      <c r="AA91" s="696">
        <v>0</v>
      </c>
      <c r="AB91" s="696">
        <v>0</v>
      </c>
      <c r="AC91" s="696">
        <v>0</v>
      </c>
      <c r="AD91" s="696">
        <v>0</v>
      </c>
      <c r="AE91" s="696">
        <v>0</v>
      </c>
      <c r="AF91" s="696">
        <v>0</v>
      </c>
      <c r="AG91" s="696">
        <v>0</v>
      </c>
      <c r="AH91" s="696">
        <v>0</v>
      </c>
      <c r="AI91" s="696">
        <v>0</v>
      </c>
      <c r="AJ91" s="696">
        <v>0</v>
      </c>
      <c r="AK91" s="696">
        <v>0</v>
      </c>
      <c r="AL91" s="696">
        <v>0</v>
      </c>
      <c r="AM91" s="696">
        <v>0</v>
      </c>
      <c r="AN91" s="696">
        <v>0</v>
      </c>
      <c r="AO91" s="697">
        <v>0</v>
      </c>
      <c r="AP91" s="633"/>
      <c r="AQ91" s="695">
        <v>0</v>
      </c>
      <c r="AR91" s="696">
        <v>0</v>
      </c>
      <c r="AS91" s="696">
        <v>0</v>
      </c>
      <c r="AT91" s="696">
        <v>0</v>
      </c>
      <c r="AU91" s="696">
        <v>0</v>
      </c>
      <c r="AV91" s="696">
        <v>0</v>
      </c>
      <c r="AW91" s="696">
        <v>0</v>
      </c>
      <c r="AX91" s="696">
        <v>0</v>
      </c>
      <c r="AY91" s="696">
        <v>0</v>
      </c>
      <c r="AZ91" s="696">
        <v>0</v>
      </c>
      <c r="BA91" s="696">
        <v>0</v>
      </c>
      <c r="BB91" s="696">
        <v>0</v>
      </c>
      <c r="BC91" s="696">
        <v>0</v>
      </c>
      <c r="BD91" s="696">
        <v>0</v>
      </c>
      <c r="BE91" s="696">
        <v>0</v>
      </c>
      <c r="BF91" s="696">
        <v>0</v>
      </c>
      <c r="BG91" s="696">
        <v>0</v>
      </c>
      <c r="BH91" s="696">
        <v>0</v>
      </c>
      <c r="BI91" s="696">
        <v>0</v>
      </c>
      <c r="BJ91" s="696">
        <v>0</v>
      </c>
      <c r="BK91" s="696">
        <v>0</v>
      </c>
      <c r="BL91" s="696">
        <v>0</v>
      </c>
      <c r="BM91" s="696">
        <v>0</v>
      </c>
      <c r="BN91" s="696">
        <v>0</v>
      </c>
      <c r="BO91" s="696">
        <v>0</v>
      </c>
      <c r="BP91" s="696">
        <v>0</v>
      </c>
      <c r="BQ91" s="696">
        <v>0</v>
      </c>
      <c r="BR91" s="696">
        <v>0</v>
      </c>
      <c r="BS91" s="696">
        <v>0</v>
      </c>
      <c r="BT91" s="697">
        <v>0</v>
      </c>
      <c r="BU91" s="16"/>
    </row>
    <row r="92" spans="2:73" s="12" customFormat="1">
      <c r="B92" s="691"/>
      <c r="C92" s="691"/>
      <c r="D92" s="691"/>
      <c r="E92" s="691"/>
      <c r="F92" s="691"/>
      <c r="G92" s="691"/>
      <c r="H92" s="691"/>
      <c r="I92" s="643"/>
      <c r="J92" s="643"/>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c r="BU92" s="16"/>
    </row>
    <row r="93" spans="2:73" s="12" customFormat="1">
      <c r="B93" s="691"/>
      <c r="C93" s="691"/>
      <c r="D93" s="691"/>
      <c r="E93" s="691"/>
      <c r="F93" s="691"/>
      <c r="G93" s="691"/>
      <c r="H93" s="691"/>
      <c r="I93" s="643"/>
      <c r="J93" s="643"/>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c r="BU93" s="16"/>
    </row>
    <row r="94" spans="2:73" s="12" customFormat="1">
      <c r="B94" s="691" t="s">
        <v>208</v>
      </c>
      <c r="C94" s="691" t="s">
        <v>1663</v>
      </c>
      <c r="D94" s="691" t="s">
        <v>1</v>
      </c>
      <c r="E94" s="691" t="s">
        <v>991</v>
      </c>
      <c r="F94" s="691" t="s">
        <v>1087</v>
      </c>
      <c r="G94" s="691" t="s">
        <v>1664</v>
      </c>
      <c r="H94" s="691">
        <v>2015</v>
      </c>
      <c r="I94" s="643" t="s">
        <v>571</v>
      </c>
      <c r="J94" s="643" t="s">
        <v>585</v>
      </c>
      <c r="K94" s="633"/>
      <c r="L94" s="695"/>
      <c r="M94" s="696"/>
      <c r="N94" s="696"/>
      <c r="O94" s="696"/>
      <c r="P94" s="696">
        <v>2.4189866265166629</v>
      </c>
      <c r="Q94" s="696">
        <v>2.4189866265166629</v>
      </c>
      <c r="R94" s="696">
        <v>2.4189866265166629</v>
      </c>
      <c r="S94" s="696">
        <v>2.1854780315682851</v>
      </c>
      <c r="T94" s="696">
        <v>1.3756472598342819</v>
      </c>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v>14466.955357365281</v>
      </c>
      <c r="AV94" s="696">
        <v>14466.955357365281</v>
      </c>
      <c r="AW94" s="696">
        <v>14466.955357365281</v>
      </c>
      <c r="AX94" s="696">
        <v>14258.139264149942</v>
      </c>
      <c r="AY94" s="696">
        <v>9360.4272584636674</v>
      </c>
      <c r="AZ94" s="696">
        <v>0</v>
      </c>
      <c r="BA94" s="696"/>
      <c r="BB94" s="696"/>
      <c r="BC94" s="696"/>
      <c r="BD94" s="696"/>
      <c r="BE94" s="696"/>
      <c r="BF94" s="696"/>
      <c r="BG94" s="696"/>
      <c r="BH94" s="696"/>
      <c r="BI94" s="696"/>
      <c r="BJ94" s="696"/>
      <c r="BK94" s="696"/>
      <c r="BL94" s="696"/>
      <c r="BM94" s="696"/>
      <c r="BN94" s="696"/>
      <c r="BO94" s="696"/>
      <c r="BP94" s="696"/>
      <c r="BQ94" s="696"/>
      <c r="BR94" s="696"/>
      <c r="BS94" s="696"/>
      <c r="BT94" s="697"/>
      <c r="BU94" s="16"/>
    </row>
    <row r="95" spans="2:73" s="12" customFormat="1">
      <c r="B95" s="691" t="s">
        <v>208</v>
      </c>
      <c r="C95" s="691" t="s">
        <v>993</v>
      </c>
      <c r="D95" s="691" t="s">
        <v>1682</v>
      </c>
      <c r="E95" s="691" t="s">
        <v>991</v>
      </c>
      <c r="F95" s="691" t="s">
        <v>1672</v>
      </c>
      <c r="G95" s="691" t="s">
        <v>1664</v>
      </c>
      <c r="H95" s="691">
        <v>2015</v>
      </c>
      <c r="I95" s="643" t="s">
        <v>571</v>
      </c>
      <c r="J95" s="643" t="s">
        <v>585</v>
      </c>
      <c r="K95" s="633"/>
      <c r="L95" s="695"/>
      <c r="M95" s="696"/>
      <c r="N95" s="696"/>
      <c r="O95" s="696"/>
      <c r="P95" s="696">
        <v>78.281616016322161</v>
      </c>
      <c r="Q95" s="696">
        <v>78.281616016322161</v>
      </c>
      <c r="R95" s="696">
        <v>78.281616016322161</v>
      </c>
      <c r="S95" s="696">
        <v>78.281616016322161</v>
      </c>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v>367255.38245388109</v>
      </c>
      <c r="AV95" s="696">
        <v>367255.38245388109</v>
      </c>
      <c r="AW95" s="696">
        <v>367255.38245388109</v>
      </c>
      <c r="AX95" s="696">
        <v>367255.38245388109</v>
      </c>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c r="BU95" s="16"/>
    </row>
    <row r="96" spans="2:73" s="12" customFormat="1">
      <c r="B96" s="691" t="s">
        <v>208</v>
      </c>
      <c r="C96" s="691" t="s">
        <v>1663</v>
      </c>
      <c r="D96" s="691" t="s">
        <v>1674</v>
      </c>
      <c r="E96" s="691" t="s">
        <v>991</v>
      </c>
      <c r="F96" s="691" t="s">
        <v>1087</v>
      </c>
      <c r="G96" s="691" t="s">
        <v>1664</v>
      </c>
      <c r="H96" s="691">
        <v>2015</v>
      </c>
      <c r="I96" s="643" t="s">
        <v>571</v>
      </c>
      <c r="J96" s="643" t="s">
        <v>585</v>
      </c>
      <c r="K96" s="633"/>
      <c r="L96" s="695">
        <v>0</v>
      </c>
      <c r="M96" s="696">
        <v>0</v>
      </c>
      <c r="N96" s="696">
        <v>0</v>
      </c>
      <c r="O96" s="696">
        <v>0</v>
      </c>
      <c r="P96" s="696">
        <v>18.095978877256879</v>
      </c>
      <c r="Q96" s="696">
        <v>17.796814597927565</v>
      </c>
      <c r="R96" s="696">
        <v>17.796814597927565</v>
      </c>
      <c r="S96" s="696">
        <v>17.796814597927565</v>
      </c>
      <c r="T96" s="696">
        <v>17.796814597927565</v>
      </c>
      <c r="U96" s="696">
        <v>17.796814597927565</v>
      </c>
      <c r="V96" s="696">
        <v>17.796814597927565</v>
      </c>
      <c r="W96" s="696">
        <v>17.781076746356423</v>
      </c>
      <c r="X96" s="696">
        <v>17.781076746356423</v>
      </c>
      <c r="Y96" s="696">
        <v>17.781076746356423</v>
      </c>
      <c r="Z96" s="696">
        <v>14.984360200458678</v>
      </c>
      <c r="AA96" s="696">
        <v>14.234958008655234</v>
      </c>
      <c r="AB96" s="696">
        <v>14.234958008655234</v>
      </c>
      <c r="AC96" s="696">
        <v>14.15779995891868</v>
      </c>
      <c r="AD96" s="696">
        <v>14.15779995891868</v>
      </c>
      <c r="AE96" s="696">
        <v>14.110133582067011</v>
      </c>
      <c r="AF96" s="696">
        <v>5.2272846183045294</v>
      </c>
      <c r="AG96" s="696">
        <v>5.2272846183045294</v>
      </c>
      <c r="AH96" s="696">
        <v>5.2272846183045294</v>
      </c>
      <c r="AI96" s="696">
        <v>5.2272846183045294</v>
      </c>
      <c r="AJ96" s="696"/>
      <c r="AK96" s="696"/>
      <c r="AL96" s="696"/>
      <c r="AM96" s="696"/>
      <c r="AN96" s="696"/>
      <c r="AO96" s="697"/>
      <c r="AP96" s="633"/>
      <c r="AQ96" s="695">
        <v>0</v>
      </c>
      <c r="AR96" s="696">
        <v>0</v>
      </c>
      <c r="AS96" s="696">
        <v>0</v>
      </c>
      <c r="AT96" s="696">
        <v>0</v>
      </c>
      <c r="AU96" s="696">
        <v>268139.10644202412</v>
      </c>
      <c r="AV96" s="696">
        <v>263373.62140415551</v>
      </c>
      <c r="AW96" s="696">
        <v>263373.62140415551</v>
      </c>
      <c r="AX96" s="696">
        <v>263373.62140415551</v>
      </c>
      <c r="AY96" s="696">
        <v>263373.62140415551</v>
      </c>
      <c r="AZ96" s="696">
        <v>263373.62140415551</v>
      </c>
      <c r="BA96" s="696">
        <v>263373.62140415551</v>
      </c>
      <c r="BB96" s="696">
        <v>263235.75782439229</v>
      </c>
      <c r="BC96" s="696">
        <v>263235.75782439229</v>
      </c>
      <c r="BD96" s="696">
        <v>263235.75782439229</v>
      </c>
      <c r="BE96" s="696">
        <v>242741.14589276467</v>
      </c>
      <c r="BF96" s="696">
        <v>230242.44566325675</v>
      </c>
      <c r="BG96" s="696">
        <v>230242.44566325675</v>
      </c>
      <c r="BH96" s="696">
        <v>225290.11982794525</v>
      </c>
      <c r="BI96" s="696">
        <v>225290.11982794525</v>
      </c>
      <c r="BJ96" s="696">
        <v>224764.90381276136</v>
      </c>
      <c r="BK96" s="696">
        <v>83267.115623084726</v>
      </c>
      <c r="BL96" s="696">
        <v>83267.115623084726</v>
      </c>
      <c r="BM96" s="696">
        <v>83267.115623084726</v>
      </c>
      <c r="BN96" s="696">
        <v>83267.115623084726</v>
      </c>
      <c r="BO96" s="696"/>
      <c r="BP96" s="696"/>
      <c r="BQ96" s="696"/>
      <c r="BR96" s="696"/>
      <c r="BS96" s="696"/>
      <c r="BT96" s="697"/>
      <c r="BU96" s="16"/>
    </row>
    <row r="97" spans="2:73" s="12" customFormat="1">
      <c r="B97" s="691" t="s">
        <v>208</v>
      </c>
      <c r="C97" s="691" t="s">
        <v>1663</v>
      </c>
      <c r="D97" s="691" t="s">
        <v>1683</v>
      </c>
      <c r="E97" s="691" t="s">
        <v>991</v>
      </c>
      <c r="F97" s="691" t="s">
        <v>1087</v>
      </c>
      <c r="G97" s="691" t="s">
        <v>1664</v>
      </c>
      <c r="H97" s="691">
        <v>2015</v>
      </c>
      <c r="I97" s="643" t="s">
        <v>571</v>
      </c>
      <c r="J97" s="643" t="s">
        <v>585</v>
      </c>
      <c r="K97" s="633"/>
      <c r="L97" s="695">
        <v>0</v>
      </c>
      <c r="M97" s="696">
        <v>0</v>
      </c>
      <c r="N97" s="696">
        <v>0</v>
      </c>
      <c r="O97" s="696">
        <v>0</v>
      </c>
      <c r="P97" s="696">
        <v>9.4336920394272088</v>
      </c>
      <c r="Q97" s="696">
        <v>9.3507613838025421</v>
      </c>
      <c r="R97" s="696">
        <v>9.3507613838025421</v>
      </c>
      <c r="S97" s="696">
        <v>9.3507613838025421</v>
      </c>
      <c r="T97" s="696">
        <v>9.3507613838025421</v>
      </c>
      <c r="U97" s="696">
        <v>9.3507613838025421</v>
      </c>
      <c r="V97" s="696">
        <v>9.3507613838025421</v>
      </c>
      <c r="W97" s="696">
        <v>9.3471864671271128</v>
      </c>
      <c r="X97" s="696">
        <v>9.3471864671271128</v>
      </c>
      <c r="Y97" s="696">
        <v>9.3471864671271128</v>
      </c>
      <c r="Z97" s="696">
        <v>8.2777787541610675</v>
      </c>
      <c r="AA97" s="696">
        <v>8.277720289760655</v>
      </c>
      <c r="AB97" s="696">
        <v>8.277720289760655</v>
      </c>
      <c r="AC97" s="696">
        <v>8.2705563806530407</v>
      </c>
      <c r="AD97" s="696">
        <v>8.2705563806530407</v>
      </c>
      <c r="AE97" s="696">
        <v>8.2654058852949603</v>
      </c>
      <c r="AF97" s="696">
        <v>3.0893609122715304</v>
      </c>
      <c r="AG97" s="696">
        <v>3.0893609122715304</v>
      </c>
      <c r="AH97" s="696">
        <v>3.0893609122715304</v>
      </c>
      <c r="AI97" s="696">
        <v>3.0893609122715304</v>
      </c>
      <c r="AJ97" s="696"/>
      <c r="AK97" s="696"/>
      <c r="AL97" s="696"/>
      <c r="AM97" s="696"/>
      <c r="AN97" s="696"/>
      <c r="AO97" s="697"/>
      <c r="AP97" s="633"/>
      <c r="AQ97" s="695">
        <v>0</v>
      </c>
      <c r="AR97" s="696">
        <v>0</v>
      </c>
      <c r="AS97" s="696">
        <v>0</v>
      </c>
      <c r="AT97" s="696">
        <v>0</v>
      </c>
      <c r="AU97" s="696">
        <v>145141.66197794076</v>
      </c>
      <c r="AV97" s="696">
        <v>143820.63261091211</v>
      </c>
      <c r="AW97" s="696">
        <v>143820.63261091211</v>
      </c>
      <c r="AX97" s="696">
        <v>143820.63261091211</v>
      </c>
      <c r="AY97" s="696">
        <v>143820.63261091211</v>
      </c>
      <c r="AZ97" s="696">
        <v>143820.63261091211</v>
      </c>
      <c r="BA97" s="696">
        <v>143820.63261091211</v>
      </c>
      <c r="BB97" s="696">
        <v>143789.31634083536</v>
      </c>
      <c r="BC97" s="696">
        <v>143789.31634083536</v>
      </c>
      <c r="BD97" s="696">
        <v>143789.31634083536</v>
      </c>
      <c r="BE97" s="696">
        <v>132658.5650830997</v>
      </c>
      <c r="BF97" s="696">
        <v>132176.75154251716</v>
      </c>
      <c r="BG97" s="696">
        <v>132176.75154251716</v>
      </c>
      <c r="BH97" s="696">
        <v>131719.08788526288</v>
      </c>
      <c r="BI97" s="696">
        <v>131719.08788526288</v>
      </c>
      <c r="BJ97" s="696">
        <v>131662.3367154265</v>
      </c>
      <c r="BK97" s="696">
        <v>49211.434055601239</v>
      </c>
      <c r="BL97" s="696">
        <v>49211.434055601239</v>
      </c>
      <c r="BM97" s="696">
        <v>49211.434055601239</v>
      </c>
      <c r="BN97" s="696">
        <v>49211.434055601239</v>
      </c>
      <c r="BO97" s="696"/>
      <c r="BP97" s="696"/>
      <c r="BQ97" s="696"/>
      <c r="BR97" s="696"/>
      <c r="BS97" s="696"/>
      <c r="BT97" s="697"/>
      <c r="BU97" s="16"/>
    </row>
    <row r="98" spans="2:73" s="12" customFormat="1" ht="15.75">
      <c r="B98" s="691" t="s">
        <v>208</v>
      </c>
      <c r="C98" s="691" t="s">
        <v>13</v>
      </c>
      <c r="D98" s="691" t="s">
        <v>1684</v>
      </c>
      <c r="E98" s="691" t="s">
        <v>991</v>
      </c>
      <c r="F98" s="691" t="s">
        <v>1685</v>
      </c>
      <c r="G98" s="691" t="s">
        <v>1664</v>
      </c>
      <c r="H98" s="691">
        <v>2015</v>
      </c>
      <c r="I98" s="643" t="s">
        <v>571</v>
      </c>
      <c r="J98" s="643" t="s">
        <v>585</v>
      </c>
      <c r="K98" s="633"/>
      <c r="L98" s="695">
        <v>0</v>
      </c>
      <c r="M98" s="696">
        <v>0</v>
      </c>
      <c r="N98" s="696">
        <v>0</v>
      </c>
      <c r="O98" s="696">
        <v>0</v>
      </c>
      <c r="P98" s="696">
        <v>0</v>
      </c>
      <c r="Q98" s="696">
        <v>0</v>
      </c>
      <c r="R98" s="696">
        <v>0</v>
      </c>
      <c r="S98" s="696">
        <v>0</v>
      </c>
      <c r="T98" s="696">
        <v>0</v>
      </c>
      <c r="U98" s="696">
        <v>0</v>
      </c>
      <c r="V98" s="696">
        <v>0</v>
      </c>
      <c r="W98" s="696">
        <v>0</v>
      </c>
      <c r="X98" s="696">
        <v>0</v>
      </c>
      <c r="Y98" s="696">
        <v>0</v>
      </c>
      <c r="Z98" s="696">
        <v>0</v>
      </c>
      <c r="AA98" s="696">
        <v>0</v>
      </c>
      <c r="AB98" s="696">
        <v>0</v>
      </c>
      <c r="AC98" s="696">
        <v>0</v>
      </c>
      <c r="AD98" s="696">
        <v>0</v>
      </c>
      <c r="AE98" s="696">
        <v>0</v>
      </c>
      <c r="AF98" s="696">
        <v>0</v>
      </c>
      <c r="AG98" s="696">
        <v>0</v>
      </c>
      <c r="AH98" s="696">
        <v>0</v>
      </c>
      <c r="AI98" s="696">
        <v>0</v>
      </c>
      <c r="AJ98" s="696">
        <v>0</v>
      </c>
      <c r="AK98" s="696">
        <v>0</v>
      </c>
      <c r="AL98" s="696">
        <v>0</v>
      </c>
      <c r="AM98" s="696">
        <v>0</v>
      </c>
      <c r="AN98" s="696">
        <v>0</v>
      </c>
      <c r="AO98" s="697">
        <v>1</v>
      </c>
      <c r="AP98" s="633"/>
      <c r="AQ98" s="695">
        <v>0</v>
      </c>
      <c r="AR98" s="696">
        <v>0</v>
      </c>
      <c r="AS98" s="696">
        <v>0</v>
      </c>
      <c r="AT98" s="696">
        <v>0</v>
      </c>
      <c r="AU98" s="696">
        <v>0</v>
      </c>
      <c r="AV98" s="696">
        <v>0</v>
      </c>
      <c r="AW98" s="696">
        <v>0</v>
      </c>
      <c r="AX98" s="696">
        <v>0</v>
      </c>
      <c r="AY98" s="696">
        <v>0</v>
      </c>
      <c r="AZ98" s="696">
        <v>0</v>
      </c>
      <c r="BA98" s="696">
        <v>0</v>
      </c>
      <c r="BB98" s="696">
        <v>0</v>
      </c>
      <c r="BC98" s="696">
        <v>0</v>
      </c>
      <c r="BD98" s="696">
        <v>0</v>
      </c>
      <c r="BE98" s="696">
        <v>0</v>
      </c>
      <c r="BF98" s="696">
        <v>0</v>
      </c>
      <c r="BG98" s="696">
        <v>0</v>
      </c>
      <c r="BH98" s="696">
        <v>0</v>
      </c>
      <c r="BI98" s="696">
        <v>0</v>
      </c>
      <c r="BJ98" s="696">
        <v>0</v>
      </c>
      <c r="BK98" s="696">
        <v>0</v>
      </c>
      <c r="BL98" s="696">
        <v>0</v>
      </c>
      <c r="BM98" s="696">
        <v>0</v>
      </c>
      <c r="BN98" s="696">
        <v>0</v>
      </c>
      <c r="BO98" s="696">
        <v>0</v>
      </c>
      <c r="BP98" s="696">
        <v>0</v>
      </c>
      <c r="BQ98" s="696">
        <v>0</v>
      </c>
      <c r="BR98" s="696">
        <v>0</v>
      </c>
      <c r="BS98" s="696">
        <v>0</v>
      </c>
      <c r="BT98" s="697">
        <v>0</v>
      </c>
      <c r="BU98" s="163"/>
    </row>
    <row r="99" spans="2:73" s="12" customFormat="1" ht="15.75">
      <c r="B99" s="691" t="s">
        <v>208</v>
      </c>
      <c r="C99" s="691" t="s">
        <v>1686</v>
      </c>
      <c r="D99" s="691" t="s">
        <v>1686</v>
      </c>
      <c r="E99" s="691" t="s">
        <v>991</v>
      </c>
      <c r="F99" s="691" t="s">
        <v>1087</v>
      </c>
      <c r="G99" s="691" t="s">
        <v>1664</v>
      </c>
      <c r="H99" s="691">
        <v>2015</v>
      </c>
      <c r="I99" s="643" t="s">
        <v>571</v>
      </c>
      <c r="J99" s="643" t="s">
        <v>585</v>
      </c>
      <c r="K99" s="633"/>
      <c r="L99" s="695"/>
      <c r="M99" s="696"/>
      <c r="N99" s="696"/>
      <c r="O99" s="696"/>
      <c r="P99" s="696">
        <v>6.1002579281339422</v>
      </c>
      <c r="Q99" s="696">
        <v>4.8856501178815961</v>
      </c>
      <c r="R99" s="696">
        <v>4.7068186567630619</v>
      </c>
      <c r="S99" s="696">
        <v>4.5279871401144192</v>
      </c>
      <c r="T99" s="696">
        <v>4.5279871401144192</v>
      </c>
      <c r="U99" s="696">
        <v>4.5279871401144192</v>
      </c>
      <c r="V99" s="696">
        <v>4.200669605168514</v>
      </c>
      <c r="W99" s="696">
        <v>4.200669605168514</v>
      </c>
      <c r="X99" s="696">
        <v>2.4161688550375402</v>
      </c>
      <c r="Y99" s="696">
        <v>2.3004636629484594</v>
      </c>
      <c r="Z99" s="696">
        <v>2.128460593521595</v>
      </c>
      <c r="AA99" s="696">
        <v>2.128460593521595</v>
      </c>
      <c r="AB99" s="696">
        <v>2.0554369390010834</v>
      </c>
      <c r="AC99" s="696">
        <v>2.0554369390010834</v>
      </c>
      <c r="AD99" s="696">
        <v>0.74965375661849976</v>
      </c>
      <c r="AE99" s="696">
        <v>0.74965375661849976</v>
      </c>
      <c r="AF99" s="696">
        <v>0.74965375661849976</v>
      </c>
      <c r="AG99" s="696">
        <v>0.74965375661849976</v>
      </c>
      <c r="AH99" s="696">
        <v>0.74965375661849976</v>
      </c>
      <c r="AI99" s="696">
        <v>0.74965375661849976</v>
      </c>
      <c r="AJ99" s="696"/>
      <c r="AK99" s="696"/>
      <c r="AL99" s="696"/>
      <c r="AM99" s="696"/>
      <c r="AN99" s="696"/>
      <c r="AO99" s="697"/>
      <c r="AP99" s="633"/>
      <c r="AQ99" s="695"/>
      <c r="AR99" s="696"/>
      <c r="AS99" s="696"/>
      <c r="AT99" s="696"/>
      <c r="AU99" s="696">
        <v>84933.993465423584</v>
      </c>
      <c r="AV99" s="696">
        <v>61552.004341125488</v>
      </c>
      <c r="AW99" s="696">
        <v>58109.382982254028</v>
      </c>
      <c r="AX99" s="696">
        <v>54666.759592056274</v>
      </c>
      <c r="AY99" s="696">
        <v>54666.759592056274</v>
      </c>
      <c r="AZ99" s="696">
        <v>54666.759592056274</v>
      </c>
      <c r="BA99" s="696">
        <v>48365.684412002563</v>
      </c>
      <c r="BB99" s="696">
        <v>48365.684412002563</v>
      </c>
      <c r="BC99" s="696">
        <v>14012.887134552002</v>
      </c>
      <c r="BD99" s="696">
        <v>13904.825595855713</v>
      </c>
      <c r="BE99" s="696">
        <v>12363.700317382813</v>
      </c>
      <c r="BF99" s="696">
        <v>12363.700317382813</v>
      </c>
      <c r="BG99" s="696">
        <v>12120.921875</v>
      </c>
      <c r="BH99" s="696">
        <v>12120.921875</v>
      </c>
      <c r="BI99" s="696">
        <v>1897.04638671875</v>
      </c>
      <c r="BJ99" s="696">
        <v>1897.04638671875</v>
      </c>
      <c r="BK99" s="696">
        <v>1897.04638671875</v>
      </c>
      <c r="BL99" s="696">
        <v>1897.04638671875</v>
      </c>
      <c r="BM99" s="696">
        <v>1897.04638671875</v>
      </c>
      <c r="BN99" s="696">
        <v>1897.04638671875</v>
      </c>
      <c r="BO99" s="696"/>
      <c r="BP99" s="696"/>
      <c r="BQ99" s="696"/>
      <c r="BR99" s="696"/>
      <c r="BS99" s="696"/>
      <c r="BT99" s="697"/>
      <c r="BU99" s="163"/>
    </row>
    <row r="100" spans="2:73" s="12" customFormat="1" ht="15.75">
      <c r="B100" s="691" t="s">
        <v>208</v>
      </c>
      <c r="C100" s="691" t="s">
        <v>1663</v>
      </c>
      <c r="D100" s="691" t="s">
        <v>1671</v>
      </c>
      <c r="E100" s="691" t="s">
        <v>991</v>
      </c>
      <c r="F100" s="691" t="s">
        <v>1087</v>
      </c>
      <c r="G100" s="691" t="s">
        <v>1664</v>
      </c>
      <c r="H100" s="691">
        <v>2015</v>
      </c>
      <c r="I100" s="643" t="s">
        <v>571</v>
      </c>
      <c r="J100" s="643" t="s">
        <v>585</v>
      </c>
      <c r="K100" s="633"/>
      <c r="L100" s="695"/>
      <c r="M100" s="696"/>
      <c r="N100" s="696"/>
      <c r="O100" s="696"/>
      <c r="P100" s="696">
        <v>16.417373917595231</v>
      </c>
      <c r="Q100" s="696">
        <v>16.417373917595231</v>
      </c>
      <c r="R100" s="696">
        <v>16.417373917595231</v>
      </c>
      <c r="S100" s="696">
        <v>16.417373917595231</v>
      </c>
      <c r="T100" s="696">
        <v>16.417373917595231</v>
      </c>
      <c r="U100" s="696">
        <v>16.417373917595231</v>
      </c>
      <c r="V100" s="696">
        <v>16.417373917595231</v>
      </c>
      <c r="W100" s="696">
        <v>16.417373917595231</v>
      </c>
      <c r="X100" s="696">
        <v>16.417373917595231</v>
      </c>
      <c r="Y100" s="696">
        <v>16.417373917595231</v>
      </c>
      <c r="Z100" s="696">
        <v>16.417373917595231</v>
      </c>
      <c r="AA100" s="696">
        <v>16.417373917595231</v>
      </c>
      <c r="AB100" s="696">
        <v>16.417373917595231</v>
      </c>
      <c r="AC100" s="696">
        <v>16.417373917595231</v>
      </c>
      <c r="AD100" s="696">
        <v>16.417373917595231</v>
      </c>
      <c r="AE100" s="696">
        <v>16.417373917595231</v>
      </c>
      <c r="AF100" s="696">
        <v>16.417373917595231</v>
      </c>
      <c r="AG100" s="696">
        <v>16.417373917595231</v>
      </c>
      <c r="AH100" s="696">
        <v>16.033919933788258</v>
      </c>
      <c r="AI100" s="696"/>
      <c r="AJ100" s="696"/>
      <c r="AK100" s="696"/>
      <c r="AL100" s="696"/>
      <c r="AM100" s="696"/>
      <c r="AN100" s="696"/>
      <c r="AO100" s="697"/>
      <c r="AP100" s="633"/>
      <c r="AQ100" s="695"/>
      <c r="AR100" s="696"/>
      <c r="AS100" s="696"/>
      <c r="AT100" s="696"/>
      <c r="AU100" s="696">
        <v>32577.099036435397</v>
      </c>
      <c r="AV100" s="696">
        <v>32577.099036435397</v>
      </c>
      <c r="AW100" s="696">
        <v>32577.099036435397</v>
      </c>
      <c r="AX100" s="696">
        <v>32577.099036435397</v>
      </c>
      <c r="AY100" s="696">
        <v>32577.099036435397</v>
      </c>
      <c r="AZ100" s="696">
        <v>32577.099036435397</v>
      </c>
      <c r="BA100" s="696">
        <v>32577.099036435397</v>
      </c>
      <c r="BB100" s="696">
        <v>32577.099036435397</v>
      </c>
      <c r="BC100" s="696">
        <v>32577.099036435397</v>
      </c>
      <c r="BD100" s="696">
        <v>32577.099036435397</v>
      </c>
      <c r="BE100" s="696">
        <v>32577.099036435397</v>
      </c>
      <c r="BF100" s="696">
        <v>32577.099036435397</v>
      </c>
      <c r="BG100" s="696">
        <v>32577.099036435397</v>
      </c>
      <c r="BH100" s="696">
        <v>32577.099036435397</v>
      </c>
      <c r="BI100" s="696">
        <v>32577.099036435397</v>
      </c>
      <c r="BJ100" s="696">
        <v>32577.099036435397</v>
      </c>
      <c r="BK100" s="696">
        <v>32577.099036435397</v>
      </c>
      <c r="BL100" s="696">
        <v>32577.099036435397</v>
      </c>
      <c r="BM100" s="696">
        <v>32234.193616426626</v>
      </c>
      <c r="BN100" s="696"/>
      <c r="BO100" s="696"/>
      <c r="BP100" s="696"/>
      <c r="BQ100" s="696"/>
      <c r="BR100" s="696"/>
      <c r="BS100" s="696"/>
      <c r="BT100" s="697"/>
      <c r="BU100" s="163"/>
    </row>
    <row r="101" spans="2:73" s="12" customFormat="1">
      <c r="B101" s="691" t="s">
        <v>208</v>
      </c>
      <c r="C101" s="691" t="s">
        <v>1663</v>
      </c>
      <c r="D101" s="691" t="s">
        <v>24</v>
      </c>
      <c r="E101" s="691" t="s">
        <v>991</v>
      </c>
      <c r="F101" s="691" t="s">
        <v>1087</v>
      </c>
      <c r="G101" s="691" t="s">
        <v>1664</v>
      </c>
      <c r="H101" s="691">
        <v>2015</v>
      </c>
      <c r="I101" s="643" t="s">
        <v>571</v>
      </c>
      <c r="J101" s="643" t="s">
        <v>585</v>
      </c>
      <c r="K101" s="633"/>
      <c r="L101" s="695"/>
      <c r="M101" s="696"/>
      <c r="N101" s="696"/>
      <c r="O101" s="696"/>
      <c r="P101" s="696">
        <v>8.7356219999999998E-2</v>
      </c>
      <c r="Q101" s="696">
        <v>8.7356219999999998E-2</v>
      </c>
      <c r="R101" s="696">
        <v>8.7356219999999998E-2</v>
      </c>
      <c r="S101" s="696">
        <v>8.7356219999999998E-2</v>
      </c>
      <c r="T101" s="696">
        <v>8.7356219999999998E-2</v>
      </c>
      <c r="U101" s="696">
        <v>8.7356219999999998E-2</v>
      </c>
      <c r="V101" s="696">
        <v>8.7356219999999998E-2</v>
      </c>
      <c r="W101" s="696">
        <v>8.7356219999999998E-2</v>
      </c>
      <c r="X101" s="696">
        <v>8.7356219999999998E-2</v>
      </c>
      <c r="Y101" s="696">
        <v>8.7356219999999998E-2</v>
      </c>
      <c r="Z101" s="696">
        <v>8.7356219999999998E-2</v>
      </c>
      <c r="AA101" s="696">
        <v>8.7356219999999998E-2</v>
      </c>
      <c r="AB101" s="696">
        <v>8.7356219999999998E-2</v>
      </c>
      <c r="AC101" s="696">
        <v>8.7356219999999998E-2</v>
      </c>
      <c r="AD101" s="696">
        <v>8.7356219999999998E-2</v>
      </c>
      <c r="AE101" s="696">
        <v>8.7356219999999998E-2</v>
      </c>
      <c r="AF101" s="696">
        <v>8.7356219999999998E-2</v>
      </c>
      <c r="AG101" s="696">
        <v>8.7356219999999998E-2</v>
      </c>
      <c r="AH101" s="696">
        <v>8.7356219999999998E-2</v>
      </c>
      <c r="AI101" s="696">
        <v>8.7356219999999998E-2</v>
      </c>
      <c r="AJ101" s="696">
        <v>8.7356219999999998E-2</v>
      </c>
      <c r="AK101" s="696">
        <v>8.7356219999999998E-2</v>
      </c>
      <c r="AL101" s="696">
        <v>8.7356219999999998E-2</v>
      </c>
      <c r="AM101" s="696">
        <v>8.7356219999999998E-2</v>
      </c>
      <c r="AN101" s="696">
        <v>8.7356219999999998E-2</v>
      </c>
      <c r="AO101" s="697">
        <v>1</v>
      </c>
      <c r="AP101" s="633"/>
      <c r="AQ101" s="695"/>
      <c r="AR101" s="696"/>
      <c r="AS101" s="696"/>
      <c r="AT101" s="696"/>
      <c r="AU101" s="696">
        <v>153.87631699999997</v>
      </c>
      <c r="AV101" s="696">
        <v>153.87631699999997</v>
      </c>
      <c r="AW101" s="696">
        <v>153.87631699999997</v>
      </c>
      <c r="AX101" s="696">
        <v>153.87631699999997</v>
      </c>
      <c r="AY101" s="696">
        <v>153.87631699999997</v>
      </c>
      <c r="AZ101" s="696">
        <v>153.87631699999997</v>
      </c>
      <c r="BA101" s="696">
        <v>153.87631699999997</v>
      </c>
      <c r="BB101" s="696">
        <v>153.87631699999997</v>
      </c>
      <c r="BC101" s="696">
        <v>153.87631699999997</v>
      </c>
      <c r="BD101" s="696">
        <v>153.87631699999997</v>
      </c>
      <c r="BE101" s="696">
        <v>153.87631699999997</v>
      </c>
      <c r="BF101" s="696">
        <v>153.87631699999997</v>
      </c>
      <c r="BG101" s="696">
        <v>153.87631699999997</v>
      </c>
      <c r="BH101" s="696">
        <v>153.87631699999997</v>
      </c>
      <c r="BI101" s="696">
        <v>153.87631699999997</v>
      </c>
      <c r="BJ101" s="696">
        <v>153.87631699999997</v>
      </c>
      <c r="BK101" s="696">
        <v>153.87631699999997</v>
      </c>
      <c r="BL101" s="696">
        <v>153.87631699999997</v>
      </c>
      <c r="BM101" s="696">
        <v>153.87631699999997</v>
      </c>
      <c r="BN101" s="696">
        <v>153.87631699999997</v>
      </c>
      <c r="BO101" s="696">
        <v>153.87631699999997</v>
      </c>
      <c r="BP101" s="696">
        <v>153.87631699999997</v>
      </c>
      <c r="BQ101" s="696">
        <v>153.87631699999997</v>
      </c>
      <c r="BR101" s="696">
        <v>153.87631699999997</v>
      </c>
      <c r="BS101" s="696">
        <v>153.87631699999997</v>
      </c>
      <c r="BT101" s="697">
        <v>153.87631699999997</v>
      </c>
      <c r="BU101" s="16"/>
    </row>
    <row r="102" spans="2:73" s="12" customFormat="1" ht="15.75">
      <c r="B102" s="691" t="s">
        <v>208</v>
      </c>
      <c r="C102" s="691" t="s">
        <v>993</v>
      </c>
      <c r="D102" s="691" t="s">
        <v>1687</v>
      </c>
      <c r="E102" s="691" t="s">
        <v>991</v>
      </c>
      <c r="F102" s="691" t="s">
        <v>1676</v>
      </c>
      <c r="G102" s="691" t="s">
        <v>1664</v>
      </c>
      <c r="H102" s="691">
        <v>2015</v>
      </c>
      <c r="I102" s="643" t="s">
        <v>571</v>
      </c>
      <c r="J102" s="643" t="s">
        <v>585</v>
      </c>
      <c r="K102" s="633"/>
      <c r="L102" s="695"/>
      <c r="M102" s="696"/>
      <c r="N102" s="696"/>
      <c r="O102" s="696">
        <v>0</v>
      </c>
      <c r="P102" s="696">
        <v>238.12473638690179</v>
      </c>
      <c r="Q102" s="696">
        <v>238.12473638690179</v>
      </c>
      <c r="R102" s="696">
        <v>235.10034279794382</v>
      </c>
      <c r="S102" s="696">
        <v>235.10034279794382</v>
      </c>
      <c r="T102" s="696">
        <v>235.10034279794382</v>
      </c>
      <c r="U102" s="696">
        <v>235.10034279794382</v>
      </c>
      <c r="V102" s="696">
        <v>216.96074575601463</v>
      </c>
      <c r="W102" s="696">
        <v>216.96074575601463</v>
      </c>
      <c r="X102" s="696">
        <v>215.61017764377539</v>
      </c>
      <c r="Y102" s="696">
        <v>156.48407154083142</v>
      </c>
      <c r="Z102" s="696">
        <v>15.157267322769602</v>
      </c>
      <c r="AA102" s="696">
        <v>15.157267322769602</v>
      </c>
      <c r="AB102" s="696">
        <v>12.084442956932996</v>
      </c>
      <c r="AC102" s="696">
        <v>12.084442956932996</v>
      </c>
      <c r="AD102" s="696">
        <v>12.084442956932996</v>
      </c>
      <c r="AE102" s="696">
        <v>11.24566971683252</v>
      </c>
      <c r="AF102" s="696">
        <v>10.470409308970362</v>
      </c>
      <c r="AG102" s="696">
        <v>10.470409308970362</v>
      </c>
      <c r="AH102" s="696">
        <v>10.470409308970362</v>
      </c>
      <c r="AI102" s="696">
        <v>10.470409308970362</v>
      </c>
      <c r="AJ102" s="696">
        <v>0</v>
      </c>
      <c r="AK102" s="696">
        <v>0</v>
      </c>
      <c r="AL102" s="696">
        <v>0</v>
      </c>
      <c r="AM102" s="696">
        <v>0</v>
      </c>
      <c r="AN102" s="696">
        <v>0</v>
      </c>
      <c r="AO102" s="697">
        <v>78</v>
      </c>
      <c r="AP102" s="633"/>
      <c r="AQ102" s="695"/>
      <c r="AR102" s="696"/>
      <c r="AS102" s="696"/>
      <c r="AT102" s="696">
        <v>0</v>
      </c>
      <c r="AU102" s="696">
        <v>2642643.6573933167</v>
      </c>
      <c r="AV102" s="696">
        <v>2642643.6573933167</v>
      </c>
      <c r="AW102" s="696">
        <v>2633086.5052218302</v>
      </c>
      <c r="AX102" s="696">
        <v>2633086.5052218302</v>
      </c>
      <c r="AY102" s="696">
        <v>2633086.5052218302</v>
      </c>
      <c r="AZ102" s="696">
        <v>2633086.5052218302</v>
      </c>
      <c r="BA102" s="696">
        <v>2513914.0874414169</v>
      </c>
      <c r="BB102" s="696">
        <v>2513914.0874414169</v>
      </c>
      <c r="BC102" s="696">
        <v>2504760.178066602</v>
      </c>
      <c r="BD102" s="696">
        <v>2114456.3778052181</v>
      </c>
      <c r="BE102" s="696">
        <v>1167570.4414514303</v>
      </c>
      <c r="BF102" s="696">
        <v>1154598.0784262414</v>
      </c>
      <c r="BG102" s="696">
        <v>74335.383503032004</v>
      </c>
      <c r="BH102" s="696">
        <v>74335.383503032004</v>
      </c>
      <c r="BI102" s="696">
        <v>74335.383503032004</v>
      </c>
      <c r="BJ102" s="696">
        <v>60691.982546772109</v>
      </c>
      <c r="BK102" s="696">
        <v>31568.081870397684</v>
      </c>
      <c r="BL102" s="696">
        <v>31568.081870397684</v>
      </c>
      <c r="BM102" s="696">
        <v>31568.081870397684</v>
      </c>
      <c r="BN102" s="696">
        <v>31568.081870397684</v>
      </c>
      <c r="BO102" s="696">
        <v>0</v>
      </c>
      <c r="BP102" s="696">
        <v>0</v>
      </c>
      <c r="BQ102" s="696">
        <v>0</v>
      </c>
      <c r="BR102" s="696">
        <v>0</v>
      </c>
      <c r="BS102" s="696">
        <v>0</v>
      </c>
      <c r="BT102" s="697">
        <v>0</v>
      </c>
      <c r="BU102" s="163"/>
    </row>
    <row r="103" spans="2:73" s="12" customFormat="1" ht="15.75">
      <c r="B103" s="691" t="s">
        <v>208</v>
      </c>
      <c r="C103" s="691" t="s">
        <v>993</v>
      </c>
      <c r="D103" s="691" t="s">
        <v>21</v>
      </c>
      <c r="E103" s="691" t="s">
        <v>991</v>
      </c>
      <c r="F103" s="691" t="s">
        <v>993</v>
      </c>
      <c r="G103" s="691" t="s">
        <v>1664</v>
      </c>
      <c r="H103" s="691">
        <v>2015</v>
      </c>
      <c r="I103" s="643" t="s">
        <v>571</v>
      </c>
      <c r="J103" s="643" t="s">
        <v>585</v>
      </c>
      <c r="K103" s="633"/>
      <c r="L103" s="695"/>
      <c r="M103" s="696"/>
      <c r="N103" s="696"/>
      <c r="O103" s="696"/>
      <c r="P103" s="696">
        <v>32.157849935263677</v>
      </c>
      <c r="Q103" s="696">
        <v>26.159948596767936</v>
      </c>
      <c r="R103" s="696">
        <v>24.763458653920615</v>
      </c>
      <c r="S103" s="696">
        <v>24.122055850498597</v>
      </c>
      <c r="T103" s="696">
        <v>24.122055850498597</v>
      </c>
      <c r="U103" s="696">
        <v>24.122055850498597</v>
      </c>
      <c r="V103" s="696">
        <v>24.122055850498597</v>
      </c>
      <c r="W103" s="696">
        <v>24.122055850498597</v>
      </c>
      <c r="X103" s="696">
        <v>24.122055850498597</v>
      </c>
      <c r="Y103" s="696">
        <v>24.122055850498597</v>
      </c>
      <c r="Z103" s="696">
        <v>23.659080853194936</v>
      </c>
      <c r="AA103" s="696">
        <v>0.9481405173539047</v>
      </c>
      <c r="AB103" s="696">
        <v>0</v>
      </c>
      <c r="AC103" s="696">
        <v>0</v>
      </c>
      <c r="AD103" s="696">
        <v>0</v>
      </c>
      <c r="AE103" s="696">
        <v>0</v>
      </c>
      <c r="AF103" s="696"/>
      <c r="AG103" s="696"/>
      <c r="AH103" s="696"/>
      <c r="AI103" s="696"/>
      <c r="AJ103" s="696"/>
      <c r="AK103" s="696"/>
      <c r="AL103" s="696"/>
      <c r="AM103" s="696"/>
      <c r="AN103" s="696"/>
      <c r="AO103" s="697"/>
      <c r="AP103" s="633"/>
      <c r="AQ103" s="695"/>
      <c r="AR103" s="696"/>
      <c r="AS103" s="696"/>
      <c r="AT103" s="696"/>
      <c r="AU103" s="696">
        <v>144108.18518393696</v>
      </c>
      <c r="AV103" s="696">
        <v>117529.86441352483</v>
      </c>
      <c r="AW103" s="696">
        <v>112462.98048377711</v>
      </c>
      <c r="AX103" s="696">
        <v>109766.6731055428</v>
      </c>
      <c r="AY103" s="696">
        <v>109766.6731055428</v>
      </c>
      <c r="AZ103" s="696">
        <v>109766.6731055428</v>
      </c>
      <c r="BA103" s="696">
        <v>109766.6731055428</v>
      </c>
      <c r="BB103" s="696">
        <v>109766.6731055428</v>
      </c>
      <c r="BC103" s="696">
        <v>109766.6731055428</v>
      </c>
      <c r="BD103" s="696">
        <v>109766.6731055428</v>
      </c>
      <c r="BE103" s="696">
        <v>104785.41058734595</v>
      </c>
      <c r="BF103" s="696">
        <v>3644.2191304248854</v>
      </c>
      <c r="BG103" s="696">
        <v>0</v>
      </c>
      <c r="BH103" s="696">
        <v>0</v>
      </c>
      <c r="BI103" s="696">
        <v>0</v>
      </c>
      <c r="BJ103" s="696">
        <v>0</v>
      </c>
      <c r="BK103" s="696"/>
      <c r="BL103" s="696"/>
      <c r="BM103" s="696"/>
      <c r="BN103" s="696"/>
      <c r="BO103" s="696"/>
      <c r="BP103" s="696"/>
      <c r="BQ103" s="696"/>
      <c r="BR103" s="696"/>
      <c r="BS103" s="696"/>
      <c r="BT103" s="697"/>
      <c r="BU103" s="163"/>
    </row>
    <row r="104" spans="2:73" s="12" customFormat="1" ht="15.75">
      <c r="B104" s="691"/>
      <c r="C104" s="691"/>
      <c r="D104" s="691"/>
      <c r="E104" s="691"/>
      <c r="F104" s="691"/>
      <c r="G104" s="691"/>
      <c r="H104" s="691"/>
      <c r="I104" s="643"/>
      <c r="J104" s="643"/>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s="12" customFormat="1" ht="15.75">
      <c r="B105" s="691" t="s">
        <v>208</v>
      </c>
      <c r="C105" s="691" t="s">
        <v>1663</v>
      </c>
      <c r="D105" s="691" t="s">
        <v>96</v>
      </c>
      <c r="E105" s="691" t="s">
        <v>991</v>
      </c>
      <c r="F105" s="691" t="s">
        <v>1087</v>
      </c>
      <c r="G105" s="691" t="s">
        <v>1664</v>
      </c>
      <c r="H105" s="691">
        <v>2015</v>
      </c>
      <c r="I105" s="643" t="s">
        <v>572</v>
      </c>
      <c r="J105" s="643" t="s">
        <v>578</v>
      </c>
      <c r="K105" s="633"/>
      <c r="L105" s="695"/>
      <c r="M105" s="696"/>
      <c r="N105" s="696"/>
      <c r="O105" s="696"/>
      <c r="P105" s="696">
        <v>0.17801844719688092</v>
      </c>
      <c r="Q105" s="696">
        <v>0.17597482116848359</v>
      </c>
      <c r="R105" s="696">
        <v>0.17597482116848359</v>
      </c>
      <c r="S105" s="696">
        <v>0.17597482116848359</v>
      </c>
      <c r="T105" s="696">
        <v>0.17597482116848359</v>
      </c>
      <c r="U105" s="696">
        <v>0.17597482116848359</v>
      </c>
      <c r="V105" s="696">
        <v>0.17597482116848359</v>
      </c>
      <c r="W105" s="696">
        <v>0.17519409227521035</v>
      </c>
      <c r="X105" s="696">
        <v>0.17519409227521035</v>
      </c>
      <c r="Y105" s="696">
        <v>0.17519409227521035</v>
      </c>
      <c r="Z105" s="696">
        <v>0.14184803712999192</v>
      </c>
      <c r="AA105" s="696">
        <v>0.14127759897155942</v>
      </c>
      <c r="AB105" s="696">
        <v>0.14127759897155942</v>
      </c>
      <c r="AC105" s="696">
        <v>0.1401715922530361</v>
      </c>
      <c r="AD105" s="696">
        <v>0.1401715922530361</v>
      </c>
      <c r="AE105" s="696">
        <v>0.13942452747874456</v>
      </c>
      <c r="AF105" s="696">
        <v>5.8257821749579504E-2</v>
      </c>
      <c r="AG105" s="696">
        <v>5.8257821749579504E-2</v>
      </c>
      <c r="AH105" s="696">
        <v>5.8257821749579504E-2</v>
      </c>
      <c r="AI105" s="696">
        <v>5.8257821749579504E-2</v>
      </c>
      <c r="AJ105" s="696">
        <v>0</v>
      </c>
      <c r="AK105" s="696">
        <v>0</v>
      </c>
      <c r="AL105" s="696">
        <v>0</v>
      </c>
      <c r="AM105" s="696">
        <v>0</v>
      </c>
      <c r="AN105" s="696">
        <v>0</v>
      </c>
      <c r="AO105" s="697">
        <v>0</v>
      </c>
      <c r="AP105" s="633"/>
      <c r="AQ105" s="695"/>
      <c r="AR105" s="696"/>
      <c r="AS105" s="696"/>
      <c r="AT105" s="696"/>
      <c r="AU105" s="696">
        <v>2773.5461502152789</v>
      </c>
      <c r="AV105" s="696">
        <v>2740.9925670028724</v>
      </c>
      <c r="AW105" s="696">
        <v>2740.9925670028724</v>
      </c>
      <c r="AX105" s="696">
        <v>2740.9925670028724</v>
      </c>
      <c r="AY105" s="696">
        <v>2740.9925670028724</v>
      </c>
      <c r="AZ105" s="696">
        <v>2740.9925670028724</v>
      </c>
      <c r="BA105" s="696">
        <v>2740.9925670028724</v>
      </c>
      <c r="BB105" s="696">
        <v>2734.1533818977987</v>
      </c>
      <c r="BC105" s="696">
        <v>2734.1533818977987</v>
      </c>
      <c r="BD105" s="696">
        <v>2734.1533818977987</v>
      </c>
      <c r="BE105" s="696">
        <v>2318.863117373839</v>
      </c>
      <c r="BF105" s="696">
        <v>2299.8829600452104</v>
      </c>
      <c r="BG105" s="696">
        <v>2299.8829600452104</v>
      </c>
      <c r="BH105" s="696">
        <v>2229.1702096261906</v>
      </c>
      <c r="BI105" s="696">
        <v>2229.1702096261906</v>
      </c>
      <c r="BJ105" s="696">
        <v>2220.9386130637204</v>
      </c>
      <c r="BK105" s="696">
        <v>928.00777722807584</v>
      </c>
      <c r="BL105" s="696">
        <v>928.00777722807584</v>
      </c>
      <c r="BM105" s="696">
        <v>928.00777722807584</v>
      </c>
      <c r="BN105" s="696">
        <v>928.00777722807584</v>
      </c>
      <c r="BO105" s="696">
        <v>0</v>
      </c>
      <c r="BP105" s="696">
        <v>0</v>
      </c>
      <c r="BQ105" s="696">
        <v>0</v>
      </c>
      <c r="BR105" s="696">
        <v>0</v>
      </c>
      <c r="BS105" s="696">
        <v>0</v>
      </c>
      <c r="BT105" s="697">
        <v>0</v>
      </c>
      <c r="BU105" s="163"/>
    </row>
    <row r="106" spans="2:73" s="12" customFormat="1" ht="15.75">
      <c r="B106" s="691" t="s">
        <v>208</v>
      </c>
      <c r="C106" s="691" t="s">
        <v>1663</v>
      </c>
      <c r="D106" s="691" t="s">
        <v>95</v>
      </c>
      <c r="E106" s="691" t="s">
        <v>991</v>
      </c>
      <c r="F106" s="691" t="s">
        <v>1087</v>
      </c>
      <c r="G106" s="691" t="s">
        <v>1664</v>
      </c>
      <c r="H106" s="691">
        <v>2015</v>
      </c>
      <c r="I106" s="643" t="s">
        <v>572</v>
      </c>
      <c r="J106" s="643" t="s">
        <v>578</v>
      </c>
      <c r="K106" s="633"/>
      <c r="L106" s="695"/>
      <c r="M106" s="696"/>
      <c r="N106" s="696"/>
      <c r="O106" s="696"/>
      <c r="P106" s="696">
        <v>1.5548183654131269</v>
      </c>
      <c r="Q106" s="696">
        <v>1.5329240688714314</v>
      </c>
      <c r="R106" s="696">
        <v>1.5329240688714314</v>
      </c>
      <c r="S106" s="696">
        <v>1.5329240688714314</v>
      </c>
      <c r="T106" s="696">
        <v>1.5329240688714314</v>
      </c>
      <c r="U106" s="696">
        <v>1.5329240688714314</v>
      </c>
      <c r="V106" s="696">
        <v>1.5329240688714314</v>
      </c>
      <c r="W106" s="696">
        <v>1.5318146119721603</v>
      </c>
      <c r="X106" s="696">
        <v>1.5318146119721603</v>
      </c>
      <c r="Y106" s="696">
        <v>1.5318146119721603</v>
      </c>
      <c r="Z106" s="696">
        <v>1.4590292452910059</v>
      </c>
      <c r="AA106" s="696">
        <v>1.4590260742169188</v>
      </c>
      <c r="AB106" s="696">
        <v>1.4590260742169188</v>
      </c>
      <c r="AC106" s="696">
        <v>1.4581741328859714</v>
      </c>
      <c r="AD106" s="696">
        <v>1.4581741328859714</v>
      </c>
      <c r="AE106" s="696">
        <v>1.4543173350647671</v>
      </c>
      <c r="AF106" s="696">
        <v>0.75370781513861596</v>
      </c>
      <c r="AG106" s="696">
        <v>0.75370781513861596</v>
      </c>
      <c r="AH106" s="696">
        <v>0.75370781513861596</v>
      </c>
      <c r="AI106" s="696">
        <v>0.75370781513861596</v>
      </c>
      <c r="AJ106" s="696">
        <v>0</v>
      </c>
      <c r="AK106" s="696">
        <v>0</v>
      </c>
      <c r="AL106" s="696">
        <v>0</v>
      </c>
      <c r="AM106" s="696">
        <v>0</v>
      </c>
      <c r="AN106" s="696">
        <v>0</v>
      </c>
      <c r="AO106" s="697">
        <v>0</v>
      </c>
      <c r="AP106" s="633"/>
      <c r="AQ106" s="695"/>
      <c r="AR106" s="696"/>
      <c r="AS106" s="696"/>
      <c r="AT106" s="696"/>
      <c r="AU106" s="696">
        <v>24240.403957729424</v>
      </c>
      <c r="AV106" s="696">
        <v>23891.64259217463</v>
      </c>
      <c r="AW106" s="696">
        <v>23891.64259217463</v>
      </c>
      <c r="AX106" s="696">
        <v>23891.64259217463</v>
      </c>
      <c r="AY106" s="696">
        <v>23891.64259217463</v>
      </c>
      <c r="AZ106" s="696">
        <v>23891.64259217463</v>
      </c>
      <c r="BA106" s="696">
        <v>23891.64259217463</v>
      </c>
      <c r="BB106" s="696">
        <v>23881.923749737016</v>
      </c>
      <c r="BC106" s="696">
        <v>23881.923749737016</v>
      </c>
      <c r="BD106" s="696">
        <v>23881.923749737016</v>
      </c>
      <c r="BE106" s="696">
        <v>23288.409106368446</v>
      </c>
      <c r="BF106" s="696">
        <v>23262.275828294456</v>
      </c>
      <c r="BG106" s="696">
        <v>23262.275828294456</v>
      </c>
      <c r="BH106" s="696">
        <v>23208.78995685366</v>
      </c>
      <c r="BI106" s="696">
        <v>23208.78995685366</v>
      </c>
      <c r="BJ106" s="696">
        <v>23166.293503025707</v>
      </c>
      <c r="BK106" s="696">
        <v>12006.056752564131</v>
      </c>
      <c r="BL106" s="696">
        <v>12006.056752564131</v>
      </c>
      <c r="BM106" s="696">
        <v>12006.056752564131</v>
      </c>
      <c r="BN106" s="696">
        <v>12006.056752564131</v>
      </c>
      <c r="BO106" s="696">
        <v>0</v>
      </c>
      <c r="BP106" s="696">
        <v>0</v>
      </c>
      <c r="BQ106" s="696">
        <v>0</v>
      </c>
      <c r="BR106" s="696">
        <v>0</v>
      </c>
      <c r="BS106" s="696">
        <v>0</v>
      </c>
      <c r="BT106" s="697">
        <v>0</v>
      </c>
      <c r="BU106" s="163"/>
    </row>
    <row r="107" spans="2:73" s="12" customFormat="1" ht="15.75">
      <c r="B107" s="691" t="s">
        <v>208</v>
      </c>
      <c r="C107" s="691" t="s">
        <v>993</v>
      </c>
      <c r="D107" s="691" t="s">
        <v>100</v>
      </c>
      <c r="E107" s="691" t="s">
        <v>991</v>
      </c>
      <c r="F107" s="691" t="s">
        <v>1672</v>
      </c>
      <c r="G107" s="691" t="s">
        <v>1664</v>
      </c>
      <c r="H107" s="691">
        <v>2015</v>
      </c>
      <c r="I107" s="643" t="s">
        <v>572</v>
      </c>
      <c r="J107" s="643" t="s">
        <v>578</v>
      </c>
      <c r="K107" s="633"/>
      <c r="L107" s="695"/>
      <c r="M107" s="696"/>
      <c r="N107" s="696"/>
      <c r="O107" s="696"/>
      <c r="P107" s="696">
        <v>26.180043369836529</v>
      </c>
      <c r="Q107" s="696">
        <v>26.180043369836529</v>
      </c>
      <c r="R107" s="696">
        <v>26.180043369836529</v>
      </c>
      <c r="S107" s="696">
        <v>26.180043369836529</v>
      </c>
      <c r="T107" s="696">
        <v>26.180043369836529</v>
      </c>
      <c r="U107" s="696">
        <v>26.180043369836529</v>
      </c>
      <c r="V107" s="696">
        <v>23.581997204697242</v>
      </c>
      <c r="W107" s="696">
        <v>23.581997204697242</v>
      </c>
      <c r="X107" s="696">
        <v>23.581997204697242</v>
      </c>
      <c r="Y107" s="696">
        <v>12.575411945116111</v>
      </c>
      <c r="Z107" s="696">
        <v>1.803171919982228</v>
      </c>
      <c r="AA107" s="696">
        <v>1.803171919982228</v>
      </c>
      <c r="AB107" s="696">
        <v>1.803171919982228</v>
      </c>
      <c r="AC107" s="696">
        <v>1.803171919982228</v>
      </c>
      <c r="AD107" s="696">
        <v>1.803171919982228</v>
      </c>
      <c r="AE107" s="696">
        <v>0.83798610427525289</v>
      </c>
      <c r="AF107" s="696">
        <v>0</v>
      </c>
      <c r="AG107" s="696">
        <v>0</v>
      </c>
      <c r="AH107" s="696">
        <v>0</v>
      </c>
      <c r="AI107" s="696">
        <v>0</v>
      </c>
      <c r="AJ107" s="696">
        <v>0</v>
      </c>
      <c r="AK107" s="696">
        <v>0</v>
      </c>
      <c r="AL107" s="696">
        <v>0</v>
      </c>
      <c r="AM107" s="696">
        <v>0</v>
      </c>
      <c r="AN107" s="696">
        <v>0</v>
      </c>
      <c r="AO107" s="697">
        <v>0</v>
      </c>
      <c r="AP107" s="633"/>
      <c r="AQ107" s="698"/>
      <c r="AR107" s="699"/>
      <c r="AS107" s="699"/>
      <c r="AT107" s="699"/>
      <c r="AU107" s="699">
        <v>277554.81490191276</v>
      </c>
      <c r="AV107" s="699">
        <v>277554.81490191276</v>
      </c>
      <c r="AW107" s="699">
        <v>277554.81490191276</v>
      </c>
      <c r="AX107" s="699">
        <v>277554.81490191276</v>
      </c>
      <c r="AY107" s="699">
        <v>277554.81490191276</v>
      </c>
      <c r="AZ107" s="699">
        <v>277554.81490191276</v>
      </c>
      <c r="BA107" s="699">
        <v>268990.67761154001</v>
      </c>
      <c r="BB107" s="699">
        <v>268990.67761154001</v>
      </c>
      <c r="BC107" s="699">
        <v>268990.67761154001</v>
      </c>
      <c r="BD107" s="699">
        <v>232708.83299843949</v>
      </c>
      <c r="BE107" s="699">
        <v>197199.47841576274</v>
      </c>
      <c r="BF107" s="699">
        <v>197199.47841576274</v>
      </c>
      <c r="BG107" s="699">
        <v>1244.4571962782093</v>
      </c>
      <c r="BH107" s="699">
        <v>1244.4571962782093</v>
      </c>
      <c r="BI107" s="699">
        <v>1244.4571962782093</v>
      </c>
      <c r="BJ107" s="699">
        <v>578.33522488347012</v>
      </c>
      <c r="BK107" s="699">
        <v>0</v>
      </c>
      <c r="BL107" s="699">
        <v>0</v>
      </c>
      <c r="BM107" s="699">
        <v>0</v>
      </c>
      <c r="BN107" s="699">
        <v>0</v>
      </c>
      <c r="BO107" s="699">
        <v>0</v>
      </c>
      <c r="BP107" s="699">
        <v>0</v>
      </c>
      <c r="BQ107" s="699">
        <v>0</v>
      </c>
      <c r="BR107" s="699">
        <v>0</v>
      </c>
      <c r="BS107" s="699">
        <v>0</v>
      </c>
      <c r="BT107" s="700">
        <v>0</v>
      </c>
      <c r="BU107" s="163"/>
    </row>
    <row r="108" spans="2:73" s="12" customFormat="1" ht="15.75">
      <c r="B108" s="691" t="s">
        <v>208</v>
      </c>
      <c r="C108" s="691" t="s">
        <v>993</v>
      </c>
      <c r="D108" s="691" t="s">
        <v>99</v>
      </c>
      <c r="E108" s="691" t="s">
        <v>991</v>
      </c>
      <c r="F108" s="691" t="s">
        <v>1672</v>
      </c>
      <c r="G108" s="691" t="s">
        <v>1664</v>
      </c>
      <c r="H108" s="691">
        <v>2015</v>
      </c>
      <c r="I108" s="643" t="s">
        <v>572</v>
      </c>
      <c r="J108" s="643" t="s">
        <v>578</v>
      </c>
      <c r="K108" s="633"/>
      <c r="L108" s="695"/>
      <c r="M108" s="696"/>
      <c r="N108" s="696"/>
      <c r="O108" s="696"/>
      <c r="P108" s="696">
        <v>5.2227161232970456</v>
      </c>
      <c r="Q108" s="696">
        <v>5.2227161232970456</v>
      </c>
      <c r="R108" s="696">
        <v>5.2227161232970456</v>
      </c>
      <c r="S108" s="696">
        <v>5.2227161232970456</v>
      </c>
      <c r="T108" s="696">
        <v>83.56345797275273</v>
      </c>
      <c r="U108" s="696">
        <v>83.56345797275273</v>
      </c>
      <c r="V108" s="696">
        <v>83.56345797275273</v>
      </c>
      <c r="W108" s="696">
        <v>83.56345797275273</v>
      </c>
      <c r="X108" s="696">
        <v>83.56345797275273</v>
      </c>
      <c r="Y108" s="696">
        <v>83.56345797275273</v>
      </c>
      <c r="Z108" s="696">
        <v>83.56345797275273</v>
      </c>
      <c r="AA108" s="696">
        <v>83.56345797275273</v>
      </c>
      <c r="AB108" s="696">
        <v>83.56345797275273</v>
      </c>
      <c r="AC108" s="696">
        <v>58.49442058092685</v>
      </c>
      <c r="AD108" s="696">
        <v>0</v>
      </c>
      <c r="AE108" s="696">
        <v>0</v>
      </c>
      <c r="AF108" s="696">
        <v>0</v>
      </c>
      <c r="AG108" s="696">
        <v>0</v>
      </c>
      <c r="AH108" s="696">
        <v>0</v>
      </c>
      <c r="AI108" s="696">
        <v>0</v>
      </c>
      <c r="AJ108" s="696">
        <v>0</v>
      </c>
      <c r="AK108" s="696">
        <v>0</v>
      </c>
      <c r="AL108" s="696">
        <v>0</v>
      </c>
      <c r="AM108" s="696">
        <v>0</v>
      </c>
      <c r="AN108" s="696">
        <v>0</v>
      </c>
      <c r="AO108" s="697">
        <v>0</v>
      </c>
      <c r="AP108" s="633"/>
      <c r="AQ108" s="692"/>
      <c r="AR108" s="693"/>
      <c r="AS108" s="693"/>
      <c r="AT108" s="693"/>
      <c r="AU108" s="693">
        <v>24713.027688641909</v>
      </c>
      <c r="AV108" s="693">
        <v>24713.027688641909</v>
      </c>
      <c r="AW108" s="693">
        <v>24713.027688641909</v>
      </c>
      <c r="AX108" s="693">
        <v>24713.027688641909</v>
      </c>
      <c r="AY108" s="693">
        <v>391969.0694710603</v>
      </c>
      <c r="AZ108" s="693">
        <v>391969.0694710603</v>
      </c>
      <c r="BA108" s="693">
        <v>391969.0694710603</v>
      </c>
      <c r="BB108" s="693">
        <v>391969.0694710603</v>
      </c>
      <c r="BC108" s="693">
        <v>391969.0694710603</v>
      </c>
      <c r="BD108" s="693">
        <v>391969.0694710603</v>
      </c>
      <c r="BE108" s="693">
        <v>391969.0694710603</v>
      </c>
      <c r="BF108" s="693">
        <v>391969.0694710603</v>
      </c>
      <c r="BG108" s="693">
        <v>391969.0694710603</v>
      </c>
      <c r="BH108" s="693">
        <v>274378.34862974193</v>
      </c>
      <c r="BI108" s="693">
        <v>0</v>
      </c>
      <c r="BJ108" s="693">
        <v>0</v>
      </c>
      <c r="BK108" s="693">
        <v>0</v>
      </c>
      <c r="BL108" s="693">
        <v>0</v>
      </c>
      <c r="BM108" s="693">
        <v>0</v>
      </c>
      <c r="BN108" s="693">
        <v>0</v>
      </c>
      <c r="BO108" s="693">
        <v>0</v>
      </c>
      <c r="BP108" s="693">
        <v>0</v>
      </c>
      <c r="BQ108" s="693">
        <v>0</v>
      </c>
      <c r="BR108" s="693">
        <v>0</v>
      </c>
      <c r="BS108" s="693">
        <v>0</v>
      </c>
      <c r="BT108" s="694">
        <v>0</v>
      </c>
      <c r="BU108" s="163"/>
    </row>
    <row r="109" spans="2:73" s="12" customFormat="1" ht="15.75">
      <c r="B109" s="691" t="s">
        <v>208</v>
      </c>
      <c r="C109" s="691" t="s">
        <v>1663</v>
      </c>
      <c r="D109" s="691" t="s">
        <v>672</v>
      </c>
      <c r="E109" s="691" t="s">
        <v>991</v>
      </c>
      <c r="F109" s="691" t="s">
        <v>1087</v>
      </c>
      <c r="G109" s="691" t="s">
        <v>1664</v>
      </c>
      <c r="H109" s="691">
        <v>2015</v>
      </c>
      <c r="I109" s="643" t="s">
        <v>572</v>
      </c>
      <c r="J109" s="643" t="s">
        <v>578</v>
      </c>
      <c r="K109" s="633"/>
      <c r="L109" s="695"/>
      <c r="M109" s="696"/>
      <c r="N109" s="696"/>
      <c r="O109" s="696"/>
      <c r="P109" s="696">
        <v>1.0111030222480766</v>
      </c>
      <c r="Q109" s="696">
        <v>1.0111030222480766</v>
      </c>
      <c r="R109" s="696">
        <v>1.0111030222480766</v>
      </c>
      <c r="S109" s="696">
        <v>1.0111030222480766</v>
      </c>
      <c r="T109" s="696">
        <v>1.0111030222480766</v>
      </c>
      <c r="U109" s="696">
        <v>1.0111030222480766</v>
      </c>
      <c r="V109" s="696">
        <v>1.0111030222480766</v>
      </c>
      <c r="W109" s="696">
        <v>1.0111030222480766</v>
      </c>
      <c r="X109" s="696">
        <v>1.0111030222480766</v>
      </c>
      <c r="Y109" s="696">
        <v>1.0111030222480766</v>
      </c>
      <c r="Z109" s="696">
        <v>1.0111030222480766</v>
      </c>
      <c r="AA109" s="696">
        <v>1.0111030222480766</v>
      </c>
      <c r="AB109" s="696">
        <v>1.0111030222480766</v>
      </c>
      <c r="AC109" s="696">
        <v>1.0111030222480766</v>
      </c>
      <c r="AD109" s="696">
        <v>1.0111030222480766</v>
      </c>
      <c r="AE109" s="696">
        <v>1.0111030222480766</v>
      </c>
      <c r="AF109" s="696">
        <v>1.0111030222480766</v>
      </c>
      <c r="AG109" s="696">
        <v>1.0111030222480766</v>
      </c>
      <c r="AH109" s="696">
        <v>0.96145064169125138</v>
      </c>
      <c r="AI109" s="696">
        <v>0</v>
      </c>
      <c r="AJ109" s="696">
        <v>0</v>
      </c>
      <c r="AK109" s="696">
        <v>0</v>
      </c>
      <c r="AL109" s="696">
        <v>0</v>
      </c>
      <c r="AM109" s="696">
        <v>0</v>
      </c>
      <c r="AN109" s="696">
        <v>0</v>
      </c>
      <c r="AO109" s="697">
        <v>0</v>
      </c>
      <c r="AP109" s="633"/>
      <c r="AQ109" s="695"/>
      <c r="AR109" s="696"/>
      <c r="AS109" s="696"/>
      <c r="AT109" s="696"/>
      <c r="AU109" s="696">
        <v>1976.4355773283157</v>
      </c>
      <c r="AV109" s="696">
        <v>1976.4355773283157</v>
      </c>
      <c r="AW109" s="696">
        <v>1976.4355773283157</v>
      </c>
      <c r="AX109" s="696">
        <v>1976.4355773283157</v>
      </c>
      <c r="AY109" s="696">
        <v>1976.4355773283157</v>
      </c>
      <c r="AZ109" s="696">
        <v>1976.4355773283157</v>
      </c>
      <c r="BA109" s="696">
        <v>1976.4355773283157</v>
      </c>
      <c r="BB109" s="696">
        <v>1976.4355773283157</v>
      </c>
      <c r="BC109" s="696">
        <v>1976.4355773283157</v>
      </c>
      <c r="BD109" s="696">
        <v>1976.4355773283157</v>
      </c>
      <c r="BE109" s="696">
        <v>1976.4355773283157</v>
      </c>
      <c r="BF109" s="696">
        <v>1976.4355773283157</v>
      </c>
      <c r="BG109" s="696">
        <v>1976.4355773283157</v>
      </c>
      <c r="BH109" s="696">
        <v>1976.4355773283157</v>
      </c>
      <c r="BI109" s="696">
        <v>1976.4355773283157</v>
      </c>
      <c r="BJ109" s="696">
        <v>1976.4355773283157</v>
      </c>
      <c r="BK109" s="696">
        <v>1976.4355773283157</v>
      </c>
      <c r="BL109" s="696">
        <v>1976.4355773283157</v>
      </c>
      <c r="BM109" s="696">
        <v>1934.0053612161198</v>
      </c>
      <c r="BN109" s="696">
        <v>0</v>
      </c>
      <c r="BO109" s="696">
        <v>0</v>
      </c>
      <c r="BP109" s="696">
        <v>0</v>
      </c>
      <c r="BQ109" s="696">
        <v>0</v>
      </c>
      <c r="BR109" s="696">
        <v>0</v>
      </c>
      <c r="BS109" s="696">
        <v>0</v>
      </c>
      <c r="BT109" s="697">
        <v>0</v>
      </c>
      <c r="BU109" s="163"/>
    </row>
    <row r="110" spans="2:73" s="12" customFormat="1" ht="15.75">
      <c r="B110" s="691" t="s">
        <v>208</v>
      </c>
      <c r="C110" s="691" t="s">
        <v>1663</v>
      </c>
      <c r="D110" s="691" t="s">
        <v>98</v>
      </c>
      <c r="E110" s="691" t="s">
        <v>991</v>
      </c>
      <c r="F110" s="691" t="s">
        <v>1087</v>
      </c>
      <c r="G110" s="691" t="s">
        <v>1664</v>
      </c>
      <c r="H110" s="691">
        <v>2015</v>
      </c>
      <c r="I110" s="643" t="s">
        <v>572</v>
      </c>
      <c r="J110" s="643" t="s">
        <v>578</v>
      </c>
      <c r="K110" s="633"/>
      <c r="L110" s="695"/>
      <c r="M110" s="696"/>
      <c r="N110" s="696"/>
      <c r="O110" s="696"/>
      <c r="P110" s="696">
        <v>0.11563999999999999</v>
      </c>
      <c r="Q110" s="696">
        <v>0.11563999999999999</v>
      </c>
      <c r="R110" s="696">
        <v>0.11563999999999999</v>
      </c>
      <c r="S110" s="696">
        <v>0.11563999999999999</v>
      </c>
      <c r="T110" s="696">
        <v>0.11563999999999999</v>
      </c>
      <c r="U110" s="696">
        <v>0.11563999999999999</v>
      </c>
      <c r="V110" s="696">
        <v>0.11563999999999999</v>
      </c>
      <c r="W110" s="696">
        <v>0.11563999999999999</v>
      </c>
      <c r="X110" s="696">
        <v>0.11563999999999999</v>
      </c>
      <c r="Y110" s="696">
        <v>0.11563999999999999</v>
      </c>
      <c r="Z110" s="696">
        <v>0.11563999999999999</v>
      </c>
      <c r="AA110" s="696">
        <v>0.11563999999999999</v>
      </c>
      <c r="AB110" s="696">
        <v>0.11563999999999999</v>
      </c>
      <c r="AC110" s="696">
        <v>0.11563999999999999</v>
      </c>
      <c r="AD110" s="696">
        <v>0.11563999999999999</v>
      </c>
      <c r="AE110" s="696">
        <v>0.11563999999999999</v>
      </c>
      <c r="AF110" s="696">
        <v>0.11563999999999999</v>
      </c>
      <c r="AG110" s="696">
        <v>0.11563999999999999</v>
      </c>
      <c r="AH110" s="696">
        <v>0.11563999999999999</v>
      </c>
      <c r="AI110" s="696">
        <v>0.11563999999999999</v>
      </c>
      <c r="AJ110" s="696">
        <v>0.11563999999999999</v>
      </c>
      <c r="AK110" s="696">
        <v>0.11563999999999999</v>
      </c>
      <c r="AL110" s="696">
        <v>0.11563999999999999</v>
      </c>
      <c r="AM110" s="696">
        <v>0</v>
      </c>
      <c r="AN110" s="696">
        <v>0</v>
      </c>
      <c r="AO110" s="697">
        <v>0</v>
      </c>
      <c r="AP110" s="633"/>
      <c r="AQ110" s="695"/>
      <c r="AR110" s="696"/>
      <c r="AS110" s="696"/>
      <c r="AT110" s="696"/>
      <c r="AU110" s="696">
        <v>2442.65</v>
      </c>
      <c r="AV110" s="696">
        <v>2442.65</v>
      </c>
      <c r="AW110" s="696">
        <v>2442.65</v>
      </c>
      <c r="AX110" s="696">
        <v>2442.65</v>
      </c>
      <c r="AY110" s="696">
        <v>2442.65</v>
      </c>
      <c r="AZ110" s="696">
        <v>2442.65</v>
      </c>
      <c r="BA110" s="696">
        <v>2442.65</v>
      </c>
      <c r="BB110" s="696">
        <v>2442.65</v>
      </c>
      <c r="BC110" s="696">
        <v>2442.65</v>
      </c>
      <c r="BD110" s="696">
        <v>2442.65</v>
      </c>
      <c r="BE110" s="696">
        <v>2442.65</v>
      </c>
      <c r="BF110" s="696">
        <v>2442.65</v>
      </c>
      <c r="BG110" s="696">
        <v>2442.65</v>
      </c>
      <c r="BH110" s="696">
        <v>2442.65</v>
      </c>
      <c r="BI110" s="696">
        <v>2442.65</v>
      </c>
      <c r="BJ110" s="696">
        <v>2442.65</v>
      </c>
      <c r="BK110" s="696">
        <v>2442.65</v>
      </c>
      <c r="BL110" s="696">
        <v>2442.65</v>
      </c>
      <c r="BM110" s="696">
        <v>2442.65</v>
      </c>
      <c r="BN110" s="696">
        <v>2442.65</v>
      </c>
      <c r="BO110" s="696">
        <v>2442.65</v>
      </c>
      <c r="BP110" s="696">
        <v>2442.65</v>
      </c>
      <c r="BQ110" s="696">
        <v>2442.65</v>
      </c>
      <c r="BR110" s="696">
        <v>0</v>
      </c>
      <c r="BS110" s="696">
        <v>0</v>
      </c>
      <c r="BT110" s="697">
        <v>0</v>
      </c>
      <c r="BU110" s="163"/>
    </row>
    <row r="111" spans="2:73" s="12" customFormat="1" ht="15.75">
      <c r="B111" s="691" t="s">
        <v>208</v>
      </c>
      <c r="C111" s="691" t="s">
        <v>1663</v>
      </c>
      <c r="D111" s="691" t="s">
        <v>113</v>
      </c>
      <c r="E111" s="691" t="s">
        <v>991</v>
      </c>
      <c r="F111" s="691" t="s">
        <v>1087</v>
      </c>
      <c r="G111" s="691" t="s">
        <v>1664</v>
      </c>
      <c r="H111" s="691">
        <v>2015</v>
      </c>
      <c r="I111" s="643" t="s">
        <v>572</v>
      </c>
      <c r="J111" s="643" t="s">
        <v>578</v>
      </c>
      <c r="K111" s="633"/>
      <c r="L111" s="695"/>
      <c r="M111" s="696"/>
      <c r="N111" s="696"/>
      <c r="O111" s="696"/>
      <c r="P111" s="696">
        <v>0</v>
      </c>
      <c r="Q111" s="696">
        <v>0</v>
      </c>
      <c r="R111" s="696">
        <v>0</v>
      </c>
      <c r="S111" s="696">
        <v>0</v>
      </c>
      <c r="T111" s="696">
        <v>0</v>
      </c>
      <c r="U111" s="696">
        <v>0</v>
      </c>
      <c r="V111" s="696">
        <v>0</v>
      </c>
      <c r="W111" s="696">
        <v>0</v>
      </c>
      <c r="X111" s="696">
        <v>0</v>
      </c>
      <c r="Y111" s="696">
        <v>0</v>
      </c>
      <c r="Z111" s="696">
        <v>0</v>
      </c>
      <c r="AA111" s="696">
        <v>0</v>
      </c>
      <c r="AB111" s="696">
        <v>0</v>
      </c>
      <c r="AC111" s="696">
        <v>0</v>
      </c>
      <c r="AD111" s="696">
        <v>0</v>
      </c>
      <c r="AE111" s="696">
        <v>0</v>
      </c>
      <c r="AF111" s="696">
        <v>0</v>
      </c>
      <c r="AG111" s="696">
        <v>0</v>
      </c>
      <c r="AH111" s="696">
        <v>0</v>
      </c>
      <c r="AI111" s="696">
        <v>0</v>
      </c>
      <c r="AJ111" s="696">
        <v>0</v>
      </c>
      <c r="AK111" s="696">
        <v>0</v>
      </c>
      <c r="AL111" s="696">
        <v>0</v>
      </c>
      <c r="AM111" s="696">
        <v>0</v>
      </c>
      <c r="AN111" s="696">
        <v>0</v>
      </c>
      <c r="AO111" s="697">
        <v>0</v>
      </c>
      <c r="AP111" s="633"/>
      <c r="AQ111" s="695"/>
      <c r="AR111" s="696"/>
      <c r="AS111" s="696"/>
      <c r="AT111" s="696"/>
      <c r="AU111" s="696">
        <v>0</v>
      </c>
      <c r="AV111" s="696">
        <v>0</v>
      </c>
      <c r="AW111" s="696">
        <v>0</v>
      </c>
      <c r="AX111" s="696">
        <v>0</v>
      </c>
      <c r="AY111" s="696">
        <v>0</v>
      </c>
      <c r="AZ111" s="696">
        <v>0</v>
      </c>
      <c r="BA111" s="696">
        <v>0</v>
      </c>
      <c r="BB111" s="696">
        <v>0</v>
      </c>
      <c r="BC111" s="696">
        <v>0</v>
      </c>
      <c r="BD111" s="696">
        <v>0</v>
      </c>
      <c r="BE111" s="696">
        <v>0</v>
      </c>
      <c r="BF111" s="696">
        <v>0</v>
      </c>
      <c r="BG111" s="696">
        <v>0</v>
      </c>
      <c r="BH111" s="696">
        <v>0</v>
      </c>
      <c r="BI111" s="696">
        <v>0</v>
      </c>
      <c r="BJ111" s="696">
        <v>0</v>
      </c>
      <c r="BK111" s="696">
        <v>0</v>
      </c>
      <c r="BL111" s="696">
        <v>0</v>
      </c>
      <c r="BM111" s="696">
        <v>0</v>
      </c>
      <c r="BN111" s="696">
        <v>0</v>
      </c>
      <c r="BO111" s="696">
        <v>0</v>
      </c>
      <c r="BP111" s="696">
        <v>0</v>
      </c>
      <c r="BQ111" s="696">
        <v>0</v>
      </c>
      <c r="BR111" s="696">
        <v>0</v>
      </c>
      <c r="BS111" s="696">
        <v>0</v>
      </c>
      <c r="BT111" s="697">
        <v>0</v>
      </c>
      <c r="BU111" s="163"/>
    </row>
    <row r="112" spans="2:73" s="12" customFormat="1">
      <c r="B112" s="691" t="s">
        <v>208</v>
      </c>
      <c r="C112" s="691" t="s">
        <v>1663</v>
      </c>
      <c r="D112" s="691" t="s">
        <v>115</v>
      </c>
      <c r="E112" s="691" t="s">
        <v>991</v>
      </c>
      <c r="F112" s="691" t="s">
        <v>1087</v>
      </c>
      <c r="G112" s="691" t="s">
        <v>1664</v>
      </c>
      <c r="H112" s="691">
        <v>2015</v>
      </c>
      <c r="I112" s="643" t="s">
        <v>572</v>
      </c>
      <c r="J112" s="643" t="s">
        <v>578</v>
      </c>
      <c r="K112" s="633"/>
      <c r="L112" s="695"/>
      <c r="M112" s="696"/>
      <c r="N112" s="696"/>
      <c r="O112" s="696"/>
      <c r="P112" s="696">
        <v>0</v>
      </c>
      <c r="Q112" s="696">
        <v>0</v>
      </c>
      <c r="R112" s="696">
        <v>0</v>
      </c>
      <c r="S112" s="696">
        <v>0</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v>0</v>
      </c>
      <c r="AM112" s="696">
        <v>0</v>
      </c>
      <c r="AN112" s="696">
        <v>0</v>
      </c>
      <c r="AO112" s="697">
        <v>0</v>
      </c>
      <c r="AP112" s="633"/>
      <c r="AQ112" s="695"/>
      <c r="AR112" s="696"/>
      <c r="AS112" s="696"/>
      <c r="AT112" s="696"/>
      <c r="AU112" s="696">
        <v>0</v>
      </c>
      <c r="AV112" s="696">
        <v>0</v>
      </c>
      <c r="AW112" s="696">
        <v>0</v>
      </c>
      <c r="AX112" s="696">
        <v>0</v>
      </c>
      <c r="AY112" s="696">
        <v>0</v>
      </c>
      <c r="AZ112" s="696">
        <v>0</v>
      </c>
      <c r="BA112" s="696">
        <v>0</v>
      </c>
      <c r="BB112" s="696">
        <v>0</v>
      </c>
      <c r="BC112" s="696">
        <v>0</v>
      </c>
      <c r="BD112" s="696">
        <v>0</v>
      </c>
      <c r="BE112" s="696">
        <v>0</v>
      </c>
      <c r="BF112" s="696">
        <v>0</v>
      </c>
      <c r="BG112" s="696">
        <v>0</v>
      </c>
      <c r="BH112" s="696">
        <v>0</v>
      </c>
      <c r="BI112" s="696">
        <v>0</v>
      </c>
      <c r="BJ112" s="696">
        <v>0</v>
      </c>
      <c r="BK112" s="696">
        <v>0</v>
      </c>
      <c r="BL112" s="696">
        <v>0</v>
      </c>
      <c r="BM112" s="696">
        <v>0</v>
      </c>
      <c r="BN112" s="696">
        <v>0</v>
      </c>
      <c r="BO112" s="696">
        <v>0</v>
      </c>
      <c r="BP112" s="696">
        <v>0</v>
      </c>
      <c r="BQ112" s="696">
        <v>0</v>
      </c>
      <c r="BR112" s="696">
        <v>0</v>
      </c>
      <c r="BS112" s="696">
        <v>0</v>
      </c>
      <c r="BT112" s="697">
        <v>0</v>
      </c>
      <c r="BU112" s="16"/>
    </row>
    <row r="113" spans="2:73" s="12" customFormat="1">
      <c r="B113" s="691"/>
      <c r="C113" s="691"/>
      <c r="D113" s="691"/>
      <c r="E113" s="691"/>
      <c r="F113" s="691"/>
      <c r="G113" s="691"/>
      <c r="H113" s="691"/>
      <c r="I113" s="643"/>
      <c r="J113" s="643"/>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c r="BU113" s="16"/>
    </row>
    <row r="114" spans="2:73" s="12" customFormat="1">
      <c r="B114" s="691" t="s">
        <v>208</v>
      </c>
      <c r="C114" s="691" t="s">
        <v>993</v>
      </c>
      <c r="D114" s="691" t="s">
        <v>101</v>
      </c>
      <c r="E114" s="691" t="s">
        <v>991</v>
      </c>
      <c r="F114" s="691" t="s">
        <v>993</v>
      </c>
      <c r="G114" s="691" t="s">
        <v>1664</v>
      </c>
      <c r="H114" s="691">
        <v>2015</v>
      </c>
      <c r="I114" s="643" t="s">
        <v>573</v>
      </c>
      <c r="J114" s="643" t="s">
        <v>578</v>
      </c>
      <c r="K114" s="633"/>
      <c r="L114" s="695"/>
      <c r="M114" s="696"/>
      <c r="N114" s="696"/>
      <c r="O114" s="696"/>
      <c r="P114" s="696">
        <v>-7.2005603725830971</v>
      </c>
      <c r="Q114" s="696">
        <v>-1.9009983495761702</v>
      </c>
      <c r="R114" s="696">
        <v>-0.80483668219703941</v>
      </c>
      <c r="S114" s="696">
        <v>0.48323886089289009</v>
      </c>
      <c r="T114" s="696">
        <v>0.48323886089289009</v>
      </c>
      <c r="U114" s="696">
        <v>0.48323886089289009</v>
      </c>
      <c r="V114" s="696">
        <v>0.48323886089289009</v>
      </c>
      <c r="W114" s="696">
        <v>0.48323886089289009</v>
      </c>
      <c r="X114" s="696">
        <v>0.48323886089289009</v>
      </c>
      <c r="Y114" s="696">
        <v>0.48323886089289009</v>
      </c>
      <c r="Z114" s="696">
        <v>0.48759524201289189</v>
      </c>
      <c r="AA114" s="696">
        <v>0.30662220813689722</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3"/>
      <c r="AQ114" s="695"/>
      <c r="AR114" s="696"/>
      <c r="AS114" s="696"/>
      <c r="AT114" s="696"/>
      <c r="AU114" s="696">
        <v>-30983.209249427404</v>
      </c>
      <c r="AV114" s="696">
        <v>-7859.1494342711476</v>
      </c>
      <c r="AW114" s="696">
        <v>-3785.3083962228011</v>
      </c>
      <c r="AX114" s="696">
        <v>1854.0135689445883</v>
      </c>
      <c r="AY114" s="696">
        <v>1854.0135689445883</v>
      </c>
      <c r="AZ114" s="696">
        <v>1854.0135689445883</v>
      </c>
      <c r="BA114" s="696">
        <v>1854.0135689445883</v>
      </c>
      <c r="BB114" s="696">
        <v>1854.0135689445883</v>
      </c>
      <c r="BC114" s="696">
        <v>1854.0135689445883</v>
      </c>
      <c r="BD114" s="696">
        <v>1854.0135689445883</v>
      </c>
      <c r="BE114" s="696">
        <v>1899.9750615861517</v>
      </c>
      <c r="BF114" s="696">
        <v>1123.025390358745</v>
      </c>
      <c r="BG114" s="696">
        <v>0</v>
      </c>
      <c r="BH114" s="696">
        <v>0</v>
      </c>
      <c r="BI114" s="696">
        <v>0</v>
      </c>
      <c r="BJ114" s="696">
        <v>0</v>
      </c>
      <c r="BK114" s="696">
        <v>0</v>
      </c>
      <c r="BL114" s="696">
        <v>0</v>
      </c>
      <c r="BM114" s="696">
        <v>0</v>
      </c>
      <c r="BN114" s="696">
        <v>0</v>
      </c>
      <c r="BO114" s="696">
        <v>0</v>
      </c>
      <c r="BP114" s="696">
        <v>0</v>
      </c>
      <c r="BQ114" s="696">
        <v>0</v>
      </c>
      <c r="BR114" s="696">
        <v>0</v>
      </c>
      <c r="BS114" s="696">
        <v>0</v>
      </c>
      <c r="BT114" s="697">
        <v>0</v>
      </c>
      <c r="BU114" s="16"/>
    </row>
    <row r="115" spans="2:73" s="12" customFormat="1" ht="15.75">
      <c r="B115" s="691" t="s">
        <v>208</v>
      </c>
      <c r="C115" s="691" t="s">
        <v>1688</v>
      </c>
      <c r="D115" s="691" t="s">
        <v>100</v>
      </c>
      <c r="E115" s="691" t="s">
        <v>991</v>
      </c>
      <c r="F115" s="691" t="s">
        <v>1676</v>
      </c>
      <c r="G115" s="691" t="s">
        <v>1664</v>
      </c>
      <c r="H115" s="691">
        <v>2015</v>
      </c>
      <c r="I115" s="643" t="s">
        <v>573</v>
      </c>
      <c r="J115" s="643" t="s">
        <v>578</v>
      </c>
      <c r="K115" s="633"/>
      <c r="L115" s="695"/>
      <c r="M115" s="696"/>
      <c r="N115" s="696"/>
      <c r="O115" s="696"/>
      <c r="P115" s="696">
        <v>30.180288124826056</v>
      </c>
      <c r="Q115" s="696">
        <v>30.180288124826056</v>
      </c>
      <c r="R115" s="696">
        <v>32.539315124213275</v>
      </c>
      <c r="S115" s="696">
        <v>32.539315124213275</v>
      </c>
      <c r="T115" s="696">
        <v>32.539315124213275</v>
      </c>
      <c r="U115" s="696">
        <v>32.539315124213275</v>
      </c>
      <c r="V115" s="696">
        <v>50.271388514535573</v>
      </c>
      <c r="W115" s="696">
        <v>50.271388514535573</v>
      </c>
      <c r="X115" s="696">
        <v>50.271388514535573</v>
      </c>
      <c r="Y115" s="696">
        <v>35.424313344550811</v>
      </c>
      <c r="Z115" s="696">
        <v>0.92161499378779532</v>
      </c>
      <c r="AA115" s="696">
        <v>0.92161499378779532</v>
      </c>
      <c r="AB115" s="696">
        <v>0.43182370450297636</v>
      </c>
      <c r="AC115" s="696">
        <v>0.43182370450297636</v>
      </c>
      <c r="AD115" s="696">
        <v>0.43182370450297636</v>
      </c>
      <c r="AE115" s="696">
        <v>0.18684096531353198</v>
      </c>
      <c r="AF115" s="696">
        <v>-0.02</v>
      </c>
      <c r="AG115" s="696">
        <v>-0.02</v>
      </c>
      <c r="AH115" s="696">
        <v>-0.02</v>
      </c>
      <c r="AI115" s="696">
        <v>-0.02</v>
      </c>
      <c r="AJ115" s="696">
        <v>0</v>
      </c>
      <c r="AK115" s="696">
        <v>0</v>
      </c>
      <c r="AL115" s="696">
        <v>0</v>
      </c>
      <c r="AM115" s="696">
        <v>0</v>
      </c>
      <c r="AN115" s="696">
        <v>0</v>
      </c>
      <c r="AO115" s="697">
        <v>0</v>
      </c>
      <c r="AP115" s="633"/>
      <c r="AQ115" s="695"/>
      <c r="AR115" s="696"/>
      <c r="AS115" s="696"/>
      <c r="AT115" s="696"/>
      <c r="AU115" s="696">
        <v>259542.78698424116</v>
      </c>
      <c r="AV115" s="696">
        <v>259542.78698424116</v>
      </c>
      <c r="AW115" s="696">
        <v>266997.3656780009</v>
      </c>
      <c r="AX115" s="696">
        <v>266997.3656780009</v>
      </c>
      <c r="AY115" s="696">
        <v>266997.3656780009</v>
      </c>
      <c r="AZ115" s="696">
        <v>266997.3656780009</v>
      </c>
      <c r="BA115" s="696">
        <v>379480.60313754319</v>
      </c>
      <c r="BB115" s="696">
        <v>379480.60313754319</v>
      </c>
      <c r="BC115" s="696">
        <v>383291.74833149073</v>
      </c>
      <c r="BD115" s="696">
        <v>267962.60659533943</v>
      </c>
      <c r="BE115" s="696">
        <v>-11915.735629832921</v>
      </c>
      <c r="BF115" s="696">
        <v>-14134.982965898253</v>
      </c>
      <c r="BG115" s="696">
        <v>778.55429998986369</v>
      </c>
      <c r="BH115" s="696">
        <v>778.55429998986369</v>
      </c>
      <c r="BI115" s="696">
        <v>778.55429998986369</v>
      </c>
      <c r="BJ115" s="696">
        <v>341.59748939626667</v>
      </c>
      <c r="BK115" s="696">
        <v>-37.773746159719771</v>
      </c>
      <c r="BL115" s="696">
        <v>-37.773746159719771</v>
      </c>
      <c r="BM115" s="696">
        <v>-37.773746159719771</v>
      </c>
      <c r="BN115" s="696">
        <v>-37.773746159719771</v>
      </c>
      <c r="BO115" s="696">
        <v>0</v>
      </c>
      <c r="BP115" s="696">
        <v>0</v>
      </c>
      <c r="BQ115" s="696">
        <v>0</v>
      </c>
      <c r="BR115" s="696">
        <v>0</v>
      </c>
      <c r="BS115" s="696">
        <v>0</v>
      </c>
      <c r="BT115" s="697">
        <v>0</v>
      </c>
      <c r="BU115" s="163"/>
    </row>
    <row r="116" spans="2:73" s="12" customFormat="1" ht="15.75">
      <c r="B116" s="691"/>
      <c r="C116" s="691"/>
      <c r="D116" s="691"/>
      <c r="E116" s="691"/>
      <c r="F116" s="691"/>
      <c r="G116" s="691"/>
      <c r="H116" s="691"/>
      <c r="I116" s="643"/>
      <c r="J116" s="643"/>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s="12" customFormat="1" ht="15.75">
      <c r="B117" s="691" t="s">
        <v>208</v>
      </c>
      <c r="C117" s="691" t="s">
        <v>1663</v>
      </c>
      <c r="D117" s="691" t="s">
        <v>1081</v>
      </c>
      <c r="E117" s="691" t="s">
        <v>991</v>
      </c>
      <c r="F117" s="691" t="s">
        <v>1087</v>
      </c>
      <c r="G117" s="691" t="s">
        <v>1664</v>
      </c>
      <c r="H117" s="691">
        <v>2016</v>
      </c>
      <c r="I117" s="643" t="s">
        <v>572</v>
      </c>
      <c r="J117" s="643" t="s">
        <v>585</v>
      </c>
      <c r="K117" s="633"/>
      <c r="L117" s="695"/>
      <c r="M117" s="696"/>
      <c r="N117" s="696"/>
      <c r="O117" s="696"/>
      <c r="P117" s="696">
        <v>0</v>
      </c>
      <c r="Q117" s="696">
        <v>7.7687302598165281E-2</v>
      </c>
      <c r="R117" s="696">
        <v>7.7687302598165281E-2</v>
      </c>
      <c r="S117" s="696">
        <v>7.7687302598165281E-2</v>
      </c>
      <c r="T117" s="696">
        <v>7.7687302598165281E-2</v>
      </c>
      <c r="U117" s="696">
        <v>7.7687302598165281E-2</v>
      </c>
      <c r="V117" s="696">
        <v>7.7687302598165281E-2</v>
      </c>
      <c r="W117" s="696">
        <v>7.7687302598165281E-2</v>
      </c>
      <c r="X117" s="696">
        <v>7.7687302598165281E-2</v>
      </c>
      <c r="Y117" s="696">
        <v>7.7687302598165281E-2</v>
      </c>
      <c r="Z117" s="696">
        <v>7.7687302598165281E-2</v>
      </c>
      <c r="AA117" s="696">
        <v>7.7687302598165281E-2</v>
      </c>
      <c r="AB117" s="696">
        <v>7.7687302598165281E-2</v>
      </c>
      <c r="AC117" s="696">
        <v>7.7687302598165281E-2</v>
      </c>
      <c r="AD117" s="696">
        <v>7.7687302598165281E-2</v>
      </c>
      <c r="AE117" s="696">
        <v>4.7763151531477421E-2</v>
      </c>
      <c r="AF117" s="696">
        <v>4.7763151531477421E-2</v>
      </c>
      <c r="AG117" s="696">
        <v>4.7763151531477421E-2</v>
      </c>
      <c r="AH117" s="696">
        <v>4.7763151531477421E-2</v>
      </c>
      <c r="AI117" s="696">
        <v>0</v>
      </c>
      <c r="AJ117" s="696">
        <v>0</v>
      </c>
      <c r="AK117" s="696">
        <v>0</v>
      </c>
      <c r="AL117" s="696">
        <v>0</v>
      </c>
      <c r="AM117" s="696">
        <v>0</v>
      </c>
      <c r="AN117" s="696">
        <v>0</v>
      </c>
      <c r="AO117" s="697">
        <v>0</v>
      </c>
      <c r="AP117" s="633"/>
      <c r="AQ117" s="695"/>
      <c r="AR117" s="696"/>
      <c r="AS117" s="696"/>
      <c r="AT117" s="696"/>
      <c r="AU117" s="696">
        <v>0</v>
      </c>
      <c r="AV117" s="696">
        <v>536.76819085587715</v>
      </c>
      <c r="AW117" s="696">
        <v>536.76819085587715</v>
      </c>
      <c r="AX117" s="696">
        <v>536.76819085587715</v>
      </c>
      <c r="AY117" s="696">
        <v>536.76819085587715</v>
      </c>
      <c r="AZ117" s="696">
        <v>536.76819085587715</v>
      </c>
      <c r="BA117" s="696">
        <v>536.76819085587715</v>
      </c>
      <c r="BB117" s="696">
        <v>536.76819085587715</v>
      </c>
      <c r="BC117" s="696">
        <v>536.76819085587715</v>
      </c>
      <c r="BD117" s="696">
        <v>536.76819085587715</v>
      </c>
      <c r="BE117" s="696">
        <v>536.76819085587715</v>
      </c>
      <c r="BF117" s="696">
        <v>536.76819085587715</v>
      </c>
      <c r="BG117" s="696">
        <v>536.76819085587715</v>
      </c>
      <c r="BH117" s="696">
        <v>536.76819085587715</v>
      </c>
      <c r="BI117" s="696">
        <v>536.76819085587715</v>
      </c>
      <c r="BJ117" s="696">
        <v>305.21225998269728</v>
      </c>
      <c r="BK117" s="696">
        <v>305.21225998269728</v>
      </c>
      <c r="BL117" s="696">
        <v>305.21225998269728</v>
      </c>
      <c r="BM117" s="696">
        <v>305.21225998269728</v>
      </c>
      <c r="BN117" s="696">
        <v>0</v>
      </c>
      <c r="BO117" s="696">
        <v>0</v>
      </c>
      <c r="BP117" s="696">
        <v>0</v>
      </c>
      <c r="BQ117" s="696">
        <v>0</v>
      </c>
      <c r="BR117" s="696">
        <v>0</v>
      </c>
      <c r="BS117" s="696">
        <v>0</v>
      </c>
      <c r="BT117" s="697">
        <v>0</v>
      </c>
      <c r="BU117" s="163"/>
    </row>
    <row r="118" spans="2:73" s="12" customFormat="1" ht="15.75">
      <c r="B118" s="691" t="s">
        <v>208</v>
      </c>
      <c r="C118" s="691" t="s">
        <v>993</v>
      </c>
      <c r="D118" s="691" t="s">
        <v>117</v>
      </c>
      <c r="E118" s="691" t="s">
        <v>991</v>
      </c>
      <c r="F118" s="691" t="s">
        <v>1672</v>
      </c>
      <c r="G118" s="691" t="s">
        <v>1664</v>
      </c>
      <c r="H118" s="691">
        <v>2016</v>
      </c>
      <c r="I118" s="643" t="s">
        <v>572</v>
      </c>
      <c r="J118" s="643" t="s">
        <v>585</v>
      </c>
      <c r="K118" s="633"/>
      <c r="L118" s="695"/>
      <c r="M118" s="696"/>
      <c r="N118" s="696"/>
      <c r="O118" s="696"/>
      <c r="P118" s="696">
        <v>0</v>
      </c>
      <c r="Q118" s="696">
        <v>1.7149847194239736</v>
      </c>
      <c r="R118" s="696">
        <v>1.7149847194239736</v>
      </c>
      <c r="S118" s="696">
        <v>1.7149847194239736</v>
      </c>
      <c r="T118" s="696">
        <v>1.7149847194239736</v>
      </c>
      <c r="U118" s="696">
        <v>1.7149847194239736</v>
      </c>
      <c r="V118" s="696">
        <v>1.7149847194239736</v>
      </c>
      <c r="W118" s="696">
        <v>1.7149847194239736</v>
      </c>
      <c r="X118" s="696">
        <v>1.7149847194239736</v>
      </c>
      <c r="Y118" s="696">
        <v>1.7149847194239736</v>
      </c>
      <c r="Z118" s="696">
        <v>1.7149847194239736</v>
      </c>
      <c r="AA118" s="696">
        <v>0.42340981224303831</v>
      </c>
      <c r="AB118" s="696">
        <v>0</v>
      </c>
      <c r="AC118" s="696">
        <v>0</v>
      </c>
      <c r="AD118" s="696">
        <v>0</v>
      </c>
      <c r="AE118" s="696">
        <v>0</v>
      </c>
      <c r="AF118" s="696">
        <v>0</v>
      </c>
      <c r="AG118" s="696">
        <v>0</v>
      </c>
      <c r="AH118" s="696">
        <v>0</v>
      </c>
      <c r="AI118" s="696">
        <v>0</v>
      </c>
      <c r="AJ118" s="696">
        <v>0</v>
      </c>
      <c r="AK118" s="696">
        <v>0</v>
      </c>
      <c r="AL118" s="696">
        <v>0</v>
      </c>
      <c r="AM118" s="696">
        <v>0</v>
      </c>
      <c r="AN118" s="696">
        <v>0</v>
      </c>
      <c r="AO118" s="697">
        <v>0</v>
      </c>
      <c r="AP118" s="633"/>
      <c r="AQ118" s="695"/>
      <c r="AR118" s="696"/>
      <c r="AS118" s="696"/>
      <c r="AT118" s="696"/>
      <c r="AU118" s="696">
        <v>0</v>
      </c>
      <c r="AV118" s="696">
        <v>13142.640539737338</v>
      </c>
      <c r="AW118" s="696">
        <v>13142.640539737338</v>
      </c>
      <c r="AX118" s="696">
        <v>13142.640539737338</v>
      </c>
      <c r="AY118" s="696">
        <v>13142.640539737338</v>
      </c>
      <c r="AZ118" s="696">
        <v>13142.640539737338</v>
      </c>
      <c r="BA118" s="696">
        <v>13142.640539737338</v>
      </c>
      <c r="BB118" s="696">
        <v>13142.640539737338</v>
      </c>
      <c r="BC118" s="696">
        <v>13142.640539737338</v>
      </c>
      <c r="BD118" s="696">
        <v>13142.640539737338</v>
      </c>
      <c r="BE118" s="696">
        <v>13142.640539737338</v>
      </c>
      <c r="BF118" s="696">
        <v>3244.76533247305</v>
      </c>
      <c r="BG118" s="696">
        <v>0</v>
      </c>
      <c r="BH118" s="696">
        <v>0</v>
      </c>
      <c r="BI118" s="696">
        <v>0</v>
      </c>
      <c r="BJ118" s="696">
        <v>0</v>
      </c>
      <c r="BK118" s="696">
        <v>0</v>
      </c>
      <c r="BL118" s="696">
        <v>0</v>
      </c>
      <c r="BM118" s="696">
        <v>0</v>
      </c>
      <c r="BN118" s="696">
        <v>0</v>
      </c>
      <c r="BO118" s="696">
        <v>0</v>
      </c>
      <c r="BP118" s="696">
        <v>0</v>
      </c>
      <c r="BQ118" s="696">
        <v>0</v>
      </c>
      <c r="BR118" s="696">
        <v>0</v>
      </c>
      <c r="BS118" s="696">
        <v>0</v>
      </c>
      <c r="BT118" s="697">
        <v>0</v>
      </c>
      <c r="BU118" s="163"/>
    </row>
    <row r="119" spans="2:73" s="12" customFormat="1" ht="15.75">
      <c r="B119" s="691" t="s">
        <v>208</v>
      </c>
      <c r="C119" s="691" t="s">
        <v>1663</v>
      </c>
      <c r="D119" s="691" t="s">
        <v>113</v>
      </c>
      <c r="E119" s="691" t="s">
        <v>991</v>
      </c>
      <c r="F119" s="691" t="s">
        <v>1087</v>
      </c>
      <c r="G119" s="691" t="s">
        <v>1664</v>
      </c>
      <c r="H119" s="691">
        <v>2016</v>
      </c>
      <c r="I119" s="643" t="s">
        <v>572</v>
      </c>
      <c r="J119" s="643" t="s">
        <v>585</v>
      </c>
      <c r="K119" s="633"/>
      <c r="L119" s="695"/>
      <c r="M119" s="696"/>
      <c r="N119" s="696"/>
      <c r="O119" s="696"/>
      <c r="P119" s="696">
        <v>0</v>
      </c>
      <c r="Q119" s="696">
        <v>46.742182209799218</v>
      </c>
      <c r="R119" s="696">
        <v>46.742182209799218</v>
      </c>
      <c r="S119" s="696">
        <v>46.742182209799218</v>
      </c>
      <c r="T119" s="696">
        <v>46.742182209799218</v>
      </c>
      <c r="U119" s="696">
        <v>46.742182209799218</v>
      </c>
      <c r="V119" s="696">
        <v>46.742182209799218</v>
      </c>
      <c r="W119" s="696">
        <v>46.742182209799218</v>
      </c>
      <c r="X119" s="696">
        <v>46.741232788375683</v>
      </c>
      <c r="Y119" s="696">
        <v>46.741232788375683</v>
      </c>
      <c r="Z119" s="696">
        <v>46.534123328201098</v>
      </c>
      <c r="AA119" s="696">
        <v>44.953194538622185</v>
      </c>
      <c r="AB119" s="696">
        <v>44.953144184152819</v>
      </c>
      <c r="AC119" s="696">
        <v>44.953144184152819</v>
      </c>
      <c r="AD119" s="696">
        <v>44.908241759718379</v>
      </c>
      <c r="AE119" s="696">
        <v>38.929379544617291</v>
      </c>
      <c r="AF119" s="696">
        <v>38.929379544617291</v>
      </c>
      <c r="AG119" s="696">
        <v>16.840217808852127</v>
      </c>
      <c r="AH119" s="696">
        <v>0</v>
      </c>
      <c r="AI119" s="696">
        <v>0</v>
      </c>
      <c r="AJ119" s="696">
        <v>0</v>
      </c>
      <c r="AK119" s="696">
        <v>0</v>
      </c>
      <c r="AL119" s="696">
        <v>0</v>
      </c>
      <c r="AM119" s="696">
        <v>0</v>
      </c>
      <c r="AN119" s="696">
        <v>0</v>
      </c>
      <c r="AO119" s="697">
        <v>0</v>
      </c>
      <c r="AP119" s="633"/>
      <c r="AQ119" s="695"/>
      <c r="AR119" s="696"/>
      <c r="AS119" s="696"/>
      <c r="AT119" s="696"/>
      <c r="AU119" s="696">
        <v>0</v>
      </c>
      <c r="AV119" s="696">
        <v>720083.76447592198</v>
      </c>
      <c r="AW119" s="696">
        <v>720083.76447592198</v>
      </c>
      <c r="AX119" s="696">
        <v>720083.76447592198</v>
      </c>
      <c r="AY119" s="696">
        <v>720083.76447592198</v>
      </c>
      <c r="AZ119" s="696">
        <v>720083.76447592198</v>
      </c>
      <c r="BA119" s="696">
        <v>720083.76447592198</v>
      </c>
      <c r="BB119" s="696">
        <v>720083.76447592198</v>
      </c>
      <c r="BC119" s="696">
        <v>719978.10279471672</v>
      </c>
      <c r="BD119" s="696">
        <v>719978.10279471672</v>
      </c>
      <c r="BE119" s="696">
        <v>716678.98889022367</v>
      </c>
      <c r="BF119" s="696">
        <v>708070.00424591533</v>
      </c>
      <c r="BG119" s="696">
        <v>707655.02581464394</v>
      </c>
      <c r="BH119" s="696">
        <v>707655.02581464394</v>
      </c>
      <c r="BI119" s="696">
        <v>703854.6862317014</v>
      </c>
      <c r="BJ119" s="696">
        <v>608615.44679637288</v>
      </c>
      <c r="BK119" s="696">
        <v>608615.44679637288</v>
      </c>
      <c r="BL119" s="696">
        <v>268253.30277547368</v>
      </c>
      <c r="BM119" s="696">
        <v>0</v>
      </c>
      <c r="BN119" s="696">
        <v>0</v>
      </c>
      <c r="BO119" s="696">
        <v>0</v>
      </c>
      <c r="BP119" s="696">
        <v>0</v>
      </c>
      <c r="BQ119" s="696">
        <v>0</v>
      </c>
      <c r="BR119" s="696">
        <v>0</v>
      </c>
      <c r="BS119" s="696">
        <v>0</v>
      </c>
      <c r="BT119" s="697">
        <v>0</v>
      </c>
      <c r="BU119" s="163"/>
    </row>
    <row r="120" spans="2:73" s="12" customFormat="1">
      <c r="B120" s="691" t="s">
        <v>208</v>
      </c>
      <c r="C120" s="691" t="s">
        <v>1663</v>
      </c>
      <c r="D120" s="691" t="s">
        <v>1097</v>
      </c>
      <c r="E120" s="691" t="s">
        <v>991</v>
      </c>
      <c r="F120" s="691" t="s">
        <v>1087</v>
      </c>
      <c r="G120" s="691" t="s">
        <v>1664</v>
      </c>
      <c r="H120" s="691">
        <v>2016</v>
      </c>
      <c r="I120" s="643" t="s">
        <v>572</v>
      </c>
      <c r="J120" s="643" t="s">
        <v>585</v>
      </c>
      <c r="K120" s="633"/>
      <c r="L120" s="695"/>
      <c r="M120" s="696"/>
      <c r="N120" s="696"/>
      <c r="O120" s="696"/>
      <c r="P120" s="696"/>
      <c r="Q120" s="696">
        <v>15.042999999999996</v>
      </c>
      <c r="R120" s="696">
        <v>15.042999999999996</v>
      </c>
      <c r="S120" s="696">
        <v>15.042999999999996</v>
      </c>
      <c r="T120" s="696">
        <v>15.042999999999996</v>
      </c>
      <c r="U120" s="696">
        <v>15.042999999999996</v>
      </c>
      <c r="V120" s="696">
        <v>15.042999999999996</v>
      </c>
      <c r="W120" s="696">
        <v>15.042999999999996</v>
      </c>
      <c r="X120" s="696">
        <v>15.042999999999996</v>
      </c>
      <c r="Y120" s="696">
        <v>15.042999999999996</v>
      </c>
      <c r="Z120" s="696">
        <v>15.042999999999996</v>
      </c>
      <c r="AA120" s="696">
        <v>15.042999999999996</v>
      </c>
      <c r="AB120" s="696">
        <v>15.042999999999996</v>
      </c>
      <c r="AC120" s="696">
        <v>15.042999999999996</v>
      </c>
      <c r="AD120" s="696">
        <v>15.042999999999996</v>
      </c>
      <c r="AE120" s="696">
        <v>15.042999999999996</v>
      </c>
      <c r="AF120" s="696">
        <v>15.042999999999996</v>
      </c>
      <c r="AG120" s="696">
        <v>15.042999999999996</v>
      </c>
      <c r="AH120" s="696">
        <v>15.042999999999996</v>
      </c>
      <c r="AI120" s="696">
        <v>14.508999999999991</v>
      </c>
      <c r="AJ120" s="696"/>
      <c r="AK120" s="696"/>
      <c r="AL120" s="696"/>
      <c r="AM120" s="696"/>
      <c r="AN120" s="696"/>
      <c r="AO120" s="697"/>
      <c r="AP120" s="633"/>
      <c r="AQ120" s="695"/>
      <c r="AR120" s="696"/>
      <c r="AS120" s="696"/>
      <c r="AT120" s="696"/>
      <c r="AU120" s="696"/>
      <c r="AV120" s="696">
        <v>53101.000000000029</v>
      </c>
      <c r="AW120" s="696">
        <v>53101.000000000029</v>
      </c>
      <c r="AX120" s="696">
        <v>53101.000000000029</v>
      </c>
      <c r="AY120" s="696">
        <v>53101.000000000029</v>
      </c>
      <c r="AZ120" s="696">
        <v>53101.000000000029</v>
      </c>
      <c r="BA120" s="696">
        <v>53101.000000000029</v>
      </c>
      <c r="BB120" s="696">
        <v>53101.000000000029</v>
      </c>
      <c r="BC120" s="696">
        <v>53101.000000000029</v>
      </c>
      <c r="BD120" s="696">
        <v>53101.000000000029</v>
      </c>
      <c r="BE120" s="696">
        <v>53101.000000000029</v>
      </c>
      <c r="BF120" s="696">
        <v>53101.000000000029</v>
      </c>
      <c r="BG120" s="696">
        <v>53101.000000000029</v>
      </c>
      <c r="BH120" s="696">
        <v>53101.000000000029</v>
      </c>
      <c r="BI120" s="696">
        <v>53101.000000000029</v>
      </c>
      <c r="BJ120" s="696">
        <v>53101.000000000029</v>
      </c>
      <c r="BK120" s="696">
        <v>53101.000000000029</v>
      </c>
      <c r="BL120" s="696">
        <v>53101.000000000029</v>
      </c>
      <c r="BM120" s="696">
        <v>53101.000000000029</v>
      </c>
      <c r="BN120" s="696">
        <v>52624.000000000044</v>
      </c>
      <c r="BO120" s="696"/>
      <c r="BP120" s="696"/>
      <c r="BQ120" s="696"/>
      <c r="BR120" s="696"/>
      <c r="BS120" s="696"/>
      <c r="BT120" s="697"/>
      <c r="BU120" s="16"/>
    </row>
    <row r="121" spans="2:73" s="12" customFormat="1" ht="15.75">
      <c r="B121" s="691" t="s">
        <v>208</v>
      </c>
      <c r="C121" s="691" t="s">
        <v>993</v>
      </c>
      <c r="D121" s="691" t="s">
        <v>120</v>
      </c>
      <c r="E121" s="691" t="s">
        <v>991</v>
      </c>
      <c r="F121" s="691" t="s">
        <v>1676</v>
      </c>
      <c r="G121" s="691" t="s">
        <v>1664</v>
      </c>
      <c r="H121" s="691">
        <v>2016</v>
      </c>
      <c r="I121" s="643" t="s">
        <v>572</v>
      </c>
      <c r="J121" s="643" t="s">
        <v>585</v>
      </c>
      <c r="K121" s="633"/>
      <c r="L121" s="695"/>
      <c r="M121" s="696"/>
      <c r="N121" s="696"/>
      <c r="O121" s="696"/>
      <c r="P121" s="696">
        <v>0</v>
      </c>
      <c r="Q121" s="696">
        <v>12.403097192943251</v>
      </c>
      <c r="R121" s="696">
        <v>12.403097192943251</v>
      </c>
      <c r="S121" s="696">
        <v>12.403097192943251</v>
      </c>
      <c r="T121" s="696">
        <v>12.403097192943251</v>
      </c>
      <c r="U121" s="696">
        <v>12.403097192943251</v>
      </c>
      <c r="V121" s="696">
        <v>12.403097192943251</v>
      </c>
      <c r="W121" s="696">
        <v>12.403097192943251</v>
      </c>
      <c r="X121" s="696">
        <v>12.403097192943251</v>
      </c>
      <c r="Y121" s="696">
        <v>12.403097192943251</v>
      </c>
      <c r="Z121" s="696">
        <v>12.403097192943251</v>
      </c>
      <c r="AA121" s="696">
        <v>12.403097192943251</v>
      </c>
      <c r="AB121" s="696">
        <v>12.403097192943251</v>
      </c>
      <c r="AC121" s="696">
        <v>12.403097192943251</v>
      </c>
      <c r="AD121" s="696">
        <v>12.403097192943251</v>
      </c>
      <c r="AE121" s="696">
        <v>12.403097192943251</v>
      </c>
      <c r="AF121" s="696">
        <v>12.403097192943251</v>
      </c>
      <c r="AG121" s="696">
        <v>12.403097192943251</v>
      </c>
      <c r="AH121" s="696">
        <v>12.403097192943251</v>
      </c>
      <c r="AI121" s="696">
        <v>12.403097192943251</v>
      </c>
      <c r="AJ121" s="696">
        <v>10.63556746646247</v>
      </c>
      <c r="AK121" s="696">
        <v>0</v>
      </c>
      <c r="AL121" s="696">
        <v>0</v>
      </c>
      <c r="AM121" s="696">
        <v>0</v>
      </c>
      <c r="AN121" s="696">
        <v>0</v>
      </c>
      <c r="AO121" s="697">
        <v>0</v>
      </c>
      <c r="AP121" s="633"/>
      <c r="AQ121" s="695"/>
      <c r="AR121" s="696"/>
      <c r="AS121" s="696"/>
      <c r="AT121" s="696"/>
      <c r="AU121" s="696">
        <v>0</v>
      </c>
      <c r="AV121" s="696">
        <v>106003.28592668868</v>
      </c>
      <c r="AW121" s="696">
        <v>106003.28592668868</v>
      </c>
      <c r="AX121" s="696">
        <v>106003.28592668868</v>
      </c>
      <c r="AY121" s="696">
        <v>106003.28592668868</v>
      </c>
      <c r="AZ121" s="696">
        <v>106003.28592668868</v>
      </c>
      <c r="BA121" s="696">
        <v>106003.28592668868</v>
      </c>
      <c r="BB121" s="696">
        <v>106003.28592668868</v>
      </c>
      <c r="BC121" s="696">
        <v>106003.28592668868</v>
      </c>
      <c r="BD121" s="696">
        <v>106003.28592668868</v>
      </c>
      <c r="BE121" s="696">
        <v>106003.28592668868</v>
      </c>
      <c r="BF121" s="696">
        <v>106003.28592668868</v>
      </c>
      <c r="BG121" s="696">
        <v>106003.28592668868</v>
      </c>
      <c r="BH121" s="696">
        <v>106003.28592668868</v>
      </c>
      <c r="BI121" s="696">
        <v>106003.28592668868</v>
      </c>
      <c r="BJ121" s="696">
        <v>106003.28592668868</v>
      </c>
      <c r="BK121" s="696">
        <v>106003.28592668868</v>
      </c>
      <c r="BL121" s="696">
        <v>106003.28592668868</v>
      </c>
      <c r="BM121" s="696">
        <v>106003.28592668868</v>
      </c>
      <c r="BN121" s="696">
        <v>106003.28592668868</v>
      </c>
      <c r="BO121" s="696">
        <v>90897.062370957385</v>
      </c>
      <c r="BP121" s="696">
        <v>0</v>
      </c>
      <c r="BQ121" s="696">
        <v>0</v>
      </c>
      <c r="BR121" s="696">
        <v>0</v>
      </c>
      <c r="BS121" s="696">
        <v>0</v>
      </c>
      <c r="BT121" s="697">
        <v>0</v>
      </c>
      <c r="BU121" s="163"/>
    </row>
    <row r="122" spans="2:73" s="12" customFormat="1" ht="15.75">
      <c r="B122" s="691" t="s">
        <v>208</v>
      </c>
      <c r="C122" s="691" t="s">
        <v>993</v>
      </c>
      <c r="D122" s="691" t="s">
        <v>118</v>
      </c>
      <c r="E122" s="691" t="s">
        <v>991</v>
      </c>
      <c r="F122" s="691" t="s">
        <v>1676</v>
      </c>
      <c r="G122" s="691" t="s">
        <v>1664</v>
      </c>
      <c r="H122" s="691">
        <v>2016</v>
      </c>
      <c r="I122" s="643" t="s">
        <v>572</v>
      </c>
      <c r="J122" s="643" t="s">
        <v>585</v>
      </c>
      <c r="K122" s="633"/>
      <c r="L122" s="698"/>
      <c r="M122" s="699"/>
      <c r="N122" s="699"/>
      <c r="O122" s="699"/>
      <c r="P122" s="699">
        <v>0</v>
      </c>
      <c r="Q122" s="699">
        <v>233.20449393453441</v>
      </c>
      <c r="R122" s="699">
        <v>230.9946573517463</v>
      </c>
      <c r="S122" s="699">
        <v>230.9946573517463</v>
      </c>
      <c r="T122" s="699">
        <v>230.9946573517463</v>
      </c>
      <c r="U122" s="699">
        <v>230.9946573517463</v>
      </c>
      <c r="V122" s="699">
        <v>230.9946573517463</v>
      </c>
      <c r="W122" s="699">
        <v>230.9946573517463</v>
      </c>
      <c r="X122" s="699">
        <v>230.9946573517463</v>
      </c>
      <c r="Y122" s="699">
        <v>230.9946573517463</v>
      </c>
      <c r="Z122" s="699">
        <v>230.9946573517463</v>
      </c>
      <c r="AA122" s="699">
        <v>230.85628747427825</v>
      </c>
      <c r="AB122" s="699">
        <v>210.43004253270445</v>
      </c>
      <c r="AC122" s="699">
        <v>162.55662793081967</v>
      </c>
      <c r="AD122" s="699">
        <v>162.55662793081967</v>
      </c>
      <c r="AE122" s="699">
        <v>15.314296780779642</v>
      </c>
      <c r="AF122" s="699">
        <v>0</v>
      </c>
      <c r="AG122" s="699">
        <v>0</v>
      </c>
      <c r="AH122" s="699">
        <v>0</v>
      </c>
      <c r="AI122" s="699">
        <v>0</v>
      </c>
      <c r="AJ122" s="699">
        <v>0</v>
      </c>
      <c r="AK122" s="699">
        <v>0</v>
      </c>
      <c r="AL122" s="699">
        <v>0</v>
      </c>
      <c r="AM122" s="699">
        <v>0</v>
      </c>
      <c r="AN122" s="699">
        <v>0</v>
      </c>
      <c r="AO122" s="700">
        <v>0</v>
      </c>
      <c r="AP122" s="633"/>
      <c r="AQ122" s="698"/>
      <c r="AR122" s="699"/>
      <c r="AS122" s="699"/>
      <c r="AT122" s="699"/>
      <c r="AU122" s="699">
        <v>0</v>
      </c>
      <c r="AV122" s="699">
        <v>1104460.0381776886</v>
      </c>
      <c r="AW122" s="699">
        <v>1092233.618178569</v>
      </c>
      <c r="AX122" s="699">
        <v>1092233.618178569</v>
      </c>
      <c r="AY122" s="699">
        <v>1092233.618178569</v>
      </c>
      <c r="AZ122" s="699">
        <v>1092233.618178569</v>
      </c>
      <c r="BA122" s="699">
        <v>1092233.618178569</v>
      </c>
      <c r="BB122" s="699">
        <v>1092233.618178569</v>
      </c>
      <c r="BC122" s="699">
        <v>1092233.618178569</v>
      </c>
      <c r="BD122" s="699">
        <v>1092233.618178569</v>
      </c>
      <c r="BE122" s="699">
        <v>1092233.618178569</v>
      </c>
      <c r="BF122" s="699">
        <v>1088174.8375854131</v>
      </c>
      <c r="BG122" s="699">
        <v>971480.2471865057</v>
      </c>
      <c r="BH122" s="699">
        <v>682547.10498080554</v>
      </c>
      <c r="BI122" s="699">
        <v>682547.10498080554</v>
      </c>
      <c r="BJ122" s="699">
        <v>50679.626686730095</v>
      </c>
      <c r="BK122" s="699">
        <v>0</v>
      </c>
      <c r="BL122" s="699">
        <v>0</v>
      </c>
      <c r="BM122" s="699">
        <v>0</v>
      </c>
      <c r="BN122" s="699">
        <v>0</v>
      </c>
      <c r="BO122" s="699">
        <v>0</v>
      </c>
      <c r="BP122" s="699">
        <v>0</v>
      </c>
      <c r="BQ122" s="699">
        <v>0</v>
      </c>
      <c r="BR122" s="699">
        <v>0</v>
      </c>
      <c r="BS122" s="699">
        <v>0</v>
      </c>
      <c r="BT122" s="700">
        <v>0</v>
      </c>
      <c r="BU122" s="163"/>
    </row>
    <row r="123" spans="2:73" s="12" customFormat="1" ht="15.75">
      <c r="B123" s="691" t="s">
        <v>208</v>
      </c>
      <c r="C123" s="691" t="s">
        <v>993</v>
      </c>
      <c r="D123" s="691" t="s">
        <v>119</v>
      </c>
      <c r="E123" s="691" t="s">
        <v>991</v>
      </c>
      <c r="F123" s="691" t="s">
        <v>993</v>
      </c>
      <c r="G123" s="691" t="s">
        <v>1664</v>
      </c>
      <c r="H123" s="691">
        <v>2016</v>
      </c>
      <c r="I123" s="643" t="s">
        <v>572</v>
      </c>
      <c r="J123" s="643" t="s">
        <v>585</v>
      </c>
      <c r="K123" s="633"/>
      <c r="L123" s="695"/>
      <c r="M123" s="696"/>
      <c r="N123" s="696"/>
      <c r="O123" s="696"/>
      <c r="P123" s="696">
        <v>0</v>
      </c>
      <c r="Q123" s="696">
        <v>22.917315563129705</v>
      </c>
      <c r="R123" s="696">
        <v>22.917315563129705</v>
      </c>
      <c r="S123" s="696">
        <v>22.917315563129705</v>
      </c>
      <c r="T123" s="696">
        <v>22.917315563129705</v>
      </c>
      <c r="U123" s="696">
        <v>22.421062705804211</v>
      </c>
      <c r="V123" s="696">
        <v>18.104752611562446</v>
      </c>
      <c r="W123" s="696">
        <v>16.253101015332113</v>
      </c>
      <c r="X123" s="696">
        <v>13.622902908463454</v>
      </c>
      <c r="Y123" s="696">
        <v>8.845520112417141</v>
      </c>
      <c r="Z123" s="696">
        <v>5.6015965425777985</v>
      </c>
      <c r="AA123" s="696">
        <v>0.4326808475908831</v>
      </c>
      <c r="AB123" s="696">
        <v>0</v>
      </c>
      <c r="AC123" s="696">
        <v>0</v>
      </c>
      <c r="AD123" s="696">
        <v>0</v>
      </c>
      <c r="AE123" s="696">
        <v>0</v>
      </c>
      <c r="AF123" s="696">
        <v>0</v>
      </c>
      <c r="AG123" s="696">
        <v>0</v>
      </c>
      <c r="AH123" s="696">
        <v>0</v>
      </c>
      <c r="AI123" s="696">
        <v>0</v>
      </c>
      <c r="AJ123" s="696">
        <v>0</v>
      </c>
      <c r="AK123" s="696">
        <v>0</v>
      </c>
      <c r="AL123" s="696">
        <v>0</v>
      </c>
      <c r="AM123" s="696">
        <v>0</v>
      </c>
      <c r="AN123" s="696">
        <v>0</v>
      </c>
      <c r="AO123" s="697">
        <v>0</v>
      </c>
      <c r="AP123" s="633"/>
      <c r="AQ123" s="695"/>
      <c r="AR123" s="696"/>
      <c r="AS123" s="696"/>
      <c r="AT123" s="696"/>
      <c r="AU123" s="696">
        <v>0</v>
      </c>
      <c r="AV123" s="696">
        <v>115783.54334829756</v>
      </c>
      <c r="AW123" s="696">
        <v>115783.54334829756</v>
      </c>
      <c r="AX123" s="696">
        <v>115783.54334829756</v>
      </c>
      <c r="AY123" s="696">
        <v>115783.54334829756</v>
      </c>
      <c r="AZ123" s="696">
        <v>111924.76598420591</v>
      </c>
      <c r="BA123" s="696">
        <v>80234.513599274665</v>
      </c>
      <c r="BB123" s="696">
        <v>69200.881822586816</v>
      </c>
      <c r="BC123" s="696">
        <v>55443.852885483058</v>
      </c>
      <c r="BD123" s="696">
        <v>33656.893055678556</v>
      </c>
      <c r="BE123" s="696">
        <v>20747.696483533899</v>
      </c>
      <c r="BF123" s="696">
        <v>1483.6967974366853</v>
      </c>
      <c r="BG123" s="696">
        <v>0</v>
      </c>
      <c r="BH123" s="696">
        <v>0</v>
      </c>
      <c r="BI123" s="696">
        <v>0</v>
      </c>
      <c r="BJ123" s="696">
        <v>0</v>
      </c>
      <c r="BK123" s="696">
        <v>0</v>
      </c>
      <c r="BL123" s="696">
        <v>0</v>
      </c>
      <c r="BM123" s="696">
        <v>0</v>
      </c>
      <c r="BN123" s="696">
        <v>0</v>
      </c>
      <c r="BO123" s="696">
        <v>0</v>
      </c>
      <c r="BP123" s="696">
        <v>0</v>
      </c>
      <c r="BQ123" s="696">
        <v>0</v>
      </c>
      <c r="BR123" s="696">
        <v>0</v>
      </c>
      <c r="BS123" s="696">
        <v>0</v>
      </c>
      <c r="BT123" s="697">
        <v>0</v>
      </c>
      <c r="BU123" s="163"/>
    </row>
    <row r="124" spans="2:73" s="12" customFormat="1" ht="15.75">
      <c r="B124" s="691"/>
      <c r="C124" s="691"/>
      <c r="D124" s="691"/>
      <c r="E124" s="691"/>
      <c r="F124" s="691"/>
      <c r="G124" s="691"/>
      <c r="H124" s="691"/>
      <c r="I124" s="643"/>
      <c r="J124" s="643"/>
      <c r="K124" s="633"/>
      <c r="L124" s="695"/>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7"/>
      <c r="AP124" s="633"/>
      <c r="AQ124" s="695"/>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7"/>
      <c r="BU124" s="163"/>
    </row>
    <row r="125" spans="2:73" s="12" customFormat="1" ht="15.75">
      <c r="B125" s="691" t="s">
        <v>208</v>
      </c>
      <c r="C125" s="691" t="s">
        <v>1663</v>
      </c>
      <c r="D125" s="691" t="s">
        <v>113</v>
      </c>
      <c r="E125" s="691" t="s">
        <v>991</v>
      </c>
      <c r="F125" s="691" t="s">
        <v>1087</v>
      </c>
      <c r="G125" s="691" t="s">
        <v>1664</v>
      </c>
      <c r="H125" s="691">
        <v>2016</v>
      </c>
      <c r="I125" s="643" t="s">
        <v>573</v>
      </c>
      <c r="J125" s="643" t="s">
        <v>578</v>
      </c>
      <c r="K125" s="633"/>
      <c r="L125" s="695"/>
      <c r="M125" s="696"/>
      <c r="N125" s="696"/>
      <c r="O125" s="696"/>
      <c r="P125" s="696"/>
      <c r="Q125" s="696">
        <v>5.0591164028200666</v>
      </c>
      <c r="R125" s="696">
        <v>5.0591164028200666</v>
      </c>
      <c r="S125" s="696">
        <v>5.0591164028200666</v>
      </c>
      <c r="T125" s="696">
        <v>5.0591164028200666</v>
      </c>
      <c r="U125" s="696">
        <v>5.0591164028200666</v>
      </c>
      <c r="V125" s="696">
        <v>5.0591164028200666</v>
      </c>
      <c r="W125" s="696">
        <v>5.0591164028200666</v>
      </c>
      <c r="X125" s="696">
        <v>5.0590636571854253</v>
      </c>
      <c r="Y125" s="696">
        <v>5.0590636571854253</v>
      </c>
      <c r="Z125" s="696">
        <v>5.0664302473235896</v>
      </c>
      <c r="AA125" s="696">
        <v>5.1042443500785808</v>
      </c>
      <c r="AB125" s="696">
        <v>5.1042533510461237</v>
      </c>
      <c r="AC125" s="696">
        <v>5.1042533510461237</v>
      </c>
      <c r="AD125" s="696">
        <v>5.1017547453709726</v>
      </c>
      <c r="AE125" s="696">
        <v>4.4299642788716271</v>
      </c>
      <c r="AF125" s="696">
        <v>4.4299642788716271</v>
      </c>
      <c r="AG125" s="696">
        <v>1.7888837284722159</v>
      </c>
      <c r="AH125" s="696">
        <v>0</v>
      </c>
      <c r="AI125" s="696">
        <v>0</v>
      </c>
      <c r="AJ125" s="696">
        <v>0</v>
      </c>
      <c r="AK125" s="696">
        <v>0</v>
      </c>
      <c r="AL125" s="696">
        <v>0</v>
      </c>
      <c r="AM125" s="696">
        <v>0</v>
      </c>
      <c r="AN125" s="696">
        <v>0</v>
      </c>
      <c r="AO125" s="697">
        <v>0</v>
      </c>
      <c r="AP125" s="633"/>
      <c r="AQ125" s="695"/>
      <c r="AR125" s="696"/>
      <c r="AS125" s="696"/>
      <c r="AT125" s="696"/>
      <c r="AU125" s="696"/>
      <c r="AV125" s="696">
        <v>79815.93275005286</v>
      </c>
      <c r="AW125" s="696">
        <v>79815.93275005286</v>
      </c>
      <c r="AX125" s="696">
        <v>79815.93275005286</v>
      </c>
      <c r="AY125" s="696">
        <v>79815.93275005286</v>
      </c>
      <c r="AZ125" s="696">
        <v>79815.93275005286</v>
      </c>
      <c r="BA125" s="696">
        <v>79815.93275005286</v>
      </c>
      <c r="BB125" s="696">
        <v>79815.93275005286</v>
      </c>
      <c r="BC125" s="696">
        <v>79810.062656652561</v>
      </c>
      <c r="BD125" s="696">
        <v>79810.062656652561</v>
      </c>
      <c r="BE125" s="696">
        <v>79927.407465204684</v>
      </c>
      <c r="BF125" s="696">
        <v>79979.867219177584</v>
      </c>
      <c r="BG125" s="696">
        <v>80054.045488511096</v>
      </c>
      <c r="BH125" s="696">
        <v>80054.045488511096</v>
      </c>
      <c r="BI125" s="696">
        <v>79843.122143074565</v>
      </c>
      <c r="BJ125" s="696">
        <v>69141.953461230238</v>
      </c>
      <c r="BK125" s="696">
        <v>69141.953461230238</v>
      </c>
      <c r="BL125" s="696">
        <v>28495.710322210187</v>
      </c>
      <c r="BM125" s="696">
        <v>0</v>
      </c>
      <c r="BN125" s="696">
        <v>0</v>
      </c>
      <c r="BO125" s="696">
        <v>0</v>
      </c>
      <c r="BP125" s="696">
        <v>0</v>
      </c>
      <c r="BQ125" s="696">
        <v>0</v>
      </c>
      <c r="BR125" s="696">
        <v>0</v>
      </c>
      <c r="BS125" s="696">
        <v>0</v>
      </c>
      <c r="BT125" s="697">
        <v>0</v>
      </c>
      <c r="BU125" s="163"/>
    </row>
    <row r="126" spans="2:73" s="12" customFormat="1">
      <c r="B126" s="691" t="s">
        <v>208</v>
      </c>
      <c r="C126" s="691" t="s">
        <v>1679</v>
      </c>
      <c r="D126" s="691" t="s">
        <v>124</v>
      </c>
      <c r="E126" s="691" t="s">
        <v>991</v>
      </c>
      <c r="F126" s="691" t="s">
        <v>1679</v>
      </c>
      <c r="G126" s="691" t="s">
        <v>1664</v>
      </c>
      <c r="H126" s="691">
        <v>2016</v>
      </c>
      <c r="I126" s="643" t="s">
        <v>573</v>
      </c>
      <c r="J126" s="643" t="s">
        <v>578</v>
      </c>
      <c r="K126" s="633"/>
      <c r="L126" s="695"/>
      <c r="M126" s="696"/>
      <c r="N126" s="696"/>
      <c r="O126" s="696"/>
      <c r="P126" s="696"/>
      <c r="Q126" s="696">
        <v>0</v>
      </c>
      <c r="R126" s="696">
        <v>0</v>
      </c>
      <c r="S126" s="696">
        <v>0</v>
      </c>
      <c r="T126" s="696">
        <v>0</v>
      </c>
      <c r="U126" s="696">
        <v>0</v>
      </c>
      <c r="V126" s="696">
        <v>0</v>
      </c>
      <c r="W126" s="696">
        <v>0</v>
      </c>
      <c r="X126" s="696">
        <v>0</v>
      </c>
      <c r="Y126" s="696">
        <v>0</v>
      </c>
      <c r="Z126" s="696">
        <v>0</v>
      </c>
      <c r="AA126" s="696">
        <v>0</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3"/>
      <c r="AQ126" s="695"/>
      <c r="AR126" s="696"/>
      <c r="AS126" s="696"/>
      <c r="AT126" s="696"/>
      <c r="AU126" s="696"/>
      <c r="AV126" s="696">
        <v>8354.4588199999998</v>
      </c>
      <c r="AW126" s="696">
        <v>8354.4588199999998</v>
      </c>
      <c r="AX126" s="696">
        <v>8354.4588199999998</v>
      </c>
      <c r="AY126" s="696">
        <v>8354.4588199999998</v>
      </c>
      <c r="AZ126" s="696">
        <v>8354.4588199999998</v>
      </c>
      <c r="BA126" s="696">
        <v>8354.4588199999998</v>
      </c>
      <c r="BB126" s="696">
        <v>8354.4588199999998</v>
      </c>
      <c r="BC126" s="696">
        <v>8354.4588199999998</v>
      </c>
      <c r="BD126" s="696">
        <v>8354.4588199999998</v>
      </c>
      <c r="BE126" s="696">
        <v>8354.4588199999998</v>
      </c>
      <c r="BF126" s="696">
        <v>8354.4588199999998</v>
      </c>
      <c r="BG126" s="696">
        <v>8354.4588199999998</v>
      </c>
      <c r="BH126" s="696">
        <v>0</v>
      </c>
      <c r="BI126" s="696">
        <v>0</v>
      </c>
      <c r="BJ126" s="696">
        <v>0</v>
      </c>
      <c r="BK126" s="696">
        <v>0</v>
      </c>
      <c r="BL126" s="696">
        <v>0</v>
      </c>
      <c r="BM126" s="696">
        <v>0</v>
      </c>
      <c r="BN126" s="696">
        <v>0</v>
      </c>
      <c r="BO126" s="696">
        <v>0</v>
      </c>
      <c r="BP126" s="696">
        <v>0</v>
      </c>
      <c r="BQ126" s="696">
        <v>0</v>
      </c>
      <c r="BR126" s="696">
        <v>0</v>
      </c>
      <c r="BS126" s="696">
        <v>0</v>
      </c>
      <c r="BT126" s="697">
        <v>0</v>
      </c>
      <c r="BU126" s="16"/>
    </row>
    <row r="127" spans="2:73" s="12" customFormat="1" ht="15.75">
      <c r="B127" s="691" t="s">
        <v>208</v>
      </c>
      <c r="C127" s="691" t="s">
        <v>993</v>
      </c>
      <c r="D127" s="691" t="s">
        <v>118</v>
      </c>
      <c r="E127" s="691" t="s">
        <v>991</v>
      </c>
      <c r="F127" s="691" t="s">
        <v>1676</v>
      </c>
      <c r="G127" s="691" t="s">
        <v>1664</v>
      </c>
      <c r="H127" s="691">
        <v>2016</v>
      </c>
      <c r="I127" s="643" t="s">
        <v>573</v>
      </c>
      <c r="J127" s="643" t="s">
        <v>578</v>
      </c>
      <c r="K127" s="633"/>
      <c r="L127" s="695"/>
      <c r="M127" s="696"/>
      <c r="N127" s="696"/>
      <c r="O127" s="696"/>
      <c r="P127" s="696"/>
      <c r="Q127" s="696">
        <v>5.1510573585039374</v>
      </c>
      <c r="R127" s="696">
        <v>8.0502594233566835</v>
      </c>
      <c r="S127" s="696">
        <v>8.0837757102138674</v>
      </c>
      <c r="T127" s="696">
        <v>8.0837757102138674</v>
      </c>
      <c r="U127" s="696">
        <v>8.0837757102138674</v>
      </c>
      <c r="V127" s="696">
        <v>8.0837757102138674</v>
      </c>
      <c r="W127" s="696">
        <v>8.0837757102138674</v>
      </c>
      <c r="X127" s="696">
        <v>8.0837757102138674</v>
      </c>
      <c r="Y127" s="696">
        <v>8.0837757102138674</v>
      </c>
      <c r="Z127" s="696">
        <v>8.0837757102138674</v>
      </c>
      <c r="AA127" s="696">
        <v>8.0837757102138674</v>
      </c>
      <c r="AB127" s="696">
        <v>4.2370588776767875</v>
      </c>
      <c r="AC127" s="696">
        <v>0</v>
      </c>
      <c r="AD127" s="696">
        <v>0</v>
      </c>
      <c r="AE127" s="696">
        <v>0</v>
      </c>
      <c r="AF127" s="696">
        <v>0</v>
      </c>
      <c r="AG127" s="696">
        <v>0</v>
      </c>
      <c r="AH127" s="696">
        <v>0</v>
      </c>
      <c r="AI127" s="696">
        <v>0</v>
      </c>
      <c r="AJ127" s="696">
        <v>0</v>
      </c>
      <c r="AK127" s="696">
        <v>0</v>
      </c>
      <c r="AL127" s="696">
        <v>0</v>
      </c>
      <c r="AM127" s="696">
        <v>0</v>
      </c>
      <c r="AN127" s="696">
        <v>0</v>
      </c>
      <c r="AO127" s="697">
        <v>0</v>
      </c>
      <c r="AP127" s="633"/>
      <c r="AQ127" s="695"/>
      <c r="AR127" s="696"/>
      <c r="AS127" s="696"/>
      <c r="AT127" s="696"/>
      <c r="AU127" s="696"/>
      <c r="AV127" s="696">
        <v>15390.672907391332</v>
      </c>
      <c r="AW127" s="696">
        <v>30745.712821827125</v>
      </c>
      <c r="AX127" s="696">
        <v>31034.712099352779</v>
      </c>
      <c r="AY127" s="696">
        <v>31034.712099352779</v>
      </c>
      <c r="AZ127" s="696">
        <v>31034.712099352779</v>
      </c>
      <c r="BA127" s="696">
        <v>31034.712099352779</v>
      </c>
      <c r="BB127" s="696">
        <v>31034.712099352779</v>
      </c>
      <c r="BC127" s="696">
        <v>31034.712099352779</v>
      </c>
      <c r="BD127" s="696">
        <v>31034.712099352779</v>
      </c>
      <c r="BE127" s="696">
        <v>31034.712099352779</v>
      </c>
      <c r="BF127" s="696">
        <v>31034.712099352779</v>
      </c>
      <c r="BG127" s="696">
        <v>14747.766039011327</v>
      </c>
      <c r="BH127" s="696">
        <v>0</v>
      </c>
      <c r="BI127" s="696">
        <v>0</v>
      </c>
      <c r="BJ127" s="696">
        <v>0</v>
      </c>
      <c r="BK127" s="696">
        <v>0</v>
      </c>
      <c r="BL127" s="696">
        <v>0</v>
      </c>
      <c r="BM127" s="696">
        <v>0</v>
      </c>
      <c r="BN127" s="696">
        <v>0</v>
      </c>
      <c r="BO127" s="696">
        <v>0</v>
      </c>
      <c r="BP127" s="696">
        <v>0</v>
      </c>
      <c r="BQ127" s="696">
        <v>0</v>
      </c>
      <c r="BR127" s="696">
        <v>0</v>
      </c>
      <c r="BS127" s="696">
        <v>0</v>
      </c>
      <c r="BT127" s="697">
        <v>0</v>
      </c>
      <c r="BU127" s="163"/>
    </row>
    <row r="128" spans="2:73" s="12" customFormat="1" ht="15.75">
      <c r="B128" s="691" t="s">
        <v>208</v>
      </c>
      <c r="C128" s="691" t="s">
        <v>993</v>
      </c>
      <c r="D128" s="691" t="s">
        <v>119</v>
      </c>
      <c r="E128" s="691" t="s">
        <v>991</v>
      </c>
      <c r="F128" s="691" t="s">
        <v>993</v>
      </c>
      <c r="G128" s="691" t="s">
        <v>1664</v>
      </c>
      <c r="H128" s="691">
        <v>2016</v>
      </c>
      <c r="I128" s="643" t="s">
        <v>573</v>
      </c>
      <c r="J128" s="643" t="s">
        <v>578</v>
      </c>
      <c r="K128" s="633"/>
      <c r="L128" s="698"/>
      <c r="M128" s="699"/>
      <c r="N128" s="699"/>
      <c r="O128" s="699"/>
      <c r="P128" s="699"/>
      <c r="Q128" s="699">
        <v>5.2561154597335635</v>
      </c>
      <c r="R128" s="699">
        <v>5.2561154597335635</v>
      </c>
      <c r="S128" s="699">
        <v>5.2561154597335635</v>
      </c>
      <c r="T128" s="699">
        <v>5.2561154597335635</v>
      </c>
      <c r="U128" s="699">
        <v>5.0966316965890766</v>
      </c>
      <c r="V128" s="699">
        <v>4.0503974123127593</v>
      </c>
      <c r="W128" s="699">
        <v>3.6144623354737315</v>
      </c>
      <c r="X128" s="699">
        <v>2.7613507427769677</v>
      </c>
      <c r="Y128" s="699">
        <v>1.6719572896632642</v>
      </c>
      <c r="Z128" s="699">
        <v>1.2268207902325274</v>
      </c>
      <c r="AA128" s="699">
        <v>0.1080028679893915</v>
      </c>
      <c r="AB128" s="699">
        <v>0</v>
      </c>
      <c r="AC128" s="699">
        <v>0</v>
      </c>
      <c r="AD128" s="699">
        <v>0</v>
      </c>
      <c r="AE128" s="699">
        <v>0</v>
      </c>
      <c r="AF128" s="699">
        <v>0</v>
      </c>
      <c r="AG128" s="699">
        <v>0</v>
      </c>
      <c r="AH128" s="699">
        <v>0</v>
      </c>
      <c r="AI128" s="699">
        <v>0</v>
      </c>
      <c r="AJ128" s="699">
        <v>0</v>
      </c>
      <c r="AK128" s="699">
        <v>0</v>
      </c>
      <c r="AL128" s="699">
        <v>0</v>
      </c>
      <c r="AM128" s="699">
        <v>0</v>
      </c>
      <c r="AN128" s="699">
        <v>0</v>
      </c>
      <c r="AO128" s="700">
        <v>0</v>
      </c>
      <c r="AP128" s="633"/>
      <c r="AQ128" s="698"/>
      <c r="AR128" s="699"/>
      <c r="AS128" s="699"/>
      <c r="AT128" s="699"/>
      <c r="AU128" s="699"/>
      <c r="AV128" s="699">
        <v>27427.310653644556</v>
      </c>
      <c r="AW128" s="699">
        <v>27427.310653644556</v>
      </c>
      <c r="AX128" s="699">
        <v>27427.310653644556</v>
      </c>
      <c r="AY128" s="699">
        <v>27427.310653644556</v>
      </c>
      <c r="AZ128" s="699">
        <v>26158.272467761311</v>
      </c>
      <c r="BA128" s="699">
        <v>18424.674187338605</v>
      </c>
      <c r="BB128" s="699">
        <v>15815.368164928157</v>
      </c>
      <c r="BC128" s="699">
        <v>11425.799668503967</v>
      </c>
      <c r="BD128" s="699">
        <v>6275.0128326674403</v>
      </c>
      <c r="BE128" s="699">
        <v>4551.8822449740101</v>
      </c>
      <c r="BF128" s="699">
        <v>370.27517086796604</v>
      </c>
      <c r="BG128" s="699">
        <v>0</v>
      </c>
      <c r="BH128" s="699">
        <v>0</v>
      </c>
      <c r="BI128" s="699">
        <v>0</v>
      </c>
      <c r="BJ128" s="699">
        <v>0</v>
      </c>
      <c r="BK128" s="699">
        <v>0</v>
      </c>
      <c r="BL128" s="699">
        <v>0</v>
      </c>
      <c r="BM128" s="699">
        <v>0</v>
      </c>
      <c r="BN128" s="699">
        <v>0</v>
      </c>
      <c r="BO128" s="699">
        <v>0</v>
      </c>
      <c r="BP128" s="699">
        <v>0</v>
      </c>
      <c r="BQ128" s="699">
        <v>0</v>
      </c>
      <c r="BR128" s="699">
        <v>0</v>
      </c>
      <c r="BS128" s="699">
        <v>0</v>
      </c>
      <c r="BT128" s="700">
        <v>0</v>
      </c>
      <c r="BU128" s="163"/>
    </row>
    <row r="129" spans="2:73" s="12" customFormat="1" ht="15.75">
      <c r="B129" s="691"/>
      <c r="C129" s="691"/>
      <c r="D129" s="691"/>
      <c r="E129" s="691"/>
      <c r="F129" s="691"/>
      <c r="G129" s="691"/>
      <c r="H129" s="691"/>
      <c r="I129" s="643"/>
      <c r="J129" s="643"/>
      <c r="K129" s="633"/>
      <c r="L129" s="695"/>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7"/>
      <c r="AP129" s="633"/>
      <c r="AQ129" s="695"/>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7"/>
      <c r="BU129" s="163"/>
    </row>
    <row r="130" spans="2:73" s="12" customFormat="1" ht="15.75">
      <c r="B130" s="691" t="s">
        <v>208</v>
      </c>
      <c r="C130" s="691" t="s">
        <v>1663</v>
      </c>
      <c r="D130" s="691" t="s">
        <v>113</v>
      </c>
      <c r="E130" s="691" t="s">
        <v>991</v>
      </c>
      <c r="F130" s="691" t="s">
        <v>1087</v>
      </c>
      <c r="G130" s="691" t="s">
        <v>1664</v>
      </c>
      <c r="H130" s="691">
        <v>2017</v>
      </c>
      <c r="I130" s="643" t="s">
        <v>573</v>
      </c>
      <c r="J130" s="643" t="s">
        <v>585</v>
      </c>
      <c r="K130" s="633"/>
      <c r="L130" s="695"/>
      <c r="M130" s="696"/>
      <c r="N130" s="696"/>
      <c r="O130" s="696"/>
      <c r="P130" s="696"/>
      <c r="Q130" s="696"/>
      <c r="R130" s="696">
        <v>55.152826442303741</v>
      </c>
      <c r="S130" s="696">
        <v>44.745928934980917</v>
      </c>
      <c r="T130" s="696">
        <v>44.745928934980917</v>
      </c>
      <c r="U130" s="696">
        <v>44.745928934980917</v>
      </c>
      <c r="V130" s="696">
        <v>44.745928934980917</v>
      </c>
      <c r="W130" s="696">
        <v>44.745928934980917</v>
      </c>
      <c r="X130" s="696">
        <v>44.745928934980917</v>
      </c>
      <c r="Y130" s="696">
        <v>44.745261267903622</v>
      </c>
      <c r="Z130" s="696">
        <v>44.745261267903622</v>
      </c>
      <c r="AA130" s="696">
        <v>44.638814127153651</v>
      </c>
      <c r="AB130" s="696">
        <v>41.9053563152805</v>
      </c>
      <c r="AC130" s="696">
        <v>41.9053563152805</v>
      </c>
      <c r="AD130" s="696">
        <v>41.9053563152805</v>
      </c>
      <c r="AE130" s="696">
        <v>41.905347078752001</v>
      </c>
      <c r="AF130" s="696">
        <v>35.566668917664849</v>
      </c>
      <c r="AG130" s="696">
        <v>35.566668917664849</v>
      </c>
      <c r="AH130" s="696">
        <v>4.2082829082405029</v>
      </c>
      <c r="AI130" s="696">
        <v>0</v>
      </c>
      <c r="AJ130" s="696">
        <v>0</v>
      </c>
      <c r="AK130" s="696">
        <v>0</v>
      </c>
      <c r="AL130" s="696">
        <v>0</v>
      </c>
      <c r="AM130" s="696">
        <v>0</v>
      </c>
      <c r="AN130" s="696">
        <v>0</v>
      </c>
      <c r="AO130" s="697">
        <v>0</v>
      </c>
      <c r="AP130" s="633"/>
      <c r="AQ130" s="695"/>
      <c r="AR130" s="696"/>
      <c r="AS130" s="696"/>
      <c r="AT130" s="696"/>
      <c r="AU130" s="696"/>
      <c r="AV130" s="696"/>
      <c r="AW130" s="696">
        <v>795496.42665774748</v>
      </c>
      <c r="AX130" s="696">
        <v>640272.04533788597</v>
      </c>
      <c r="AY130" s="696">
        <v>640272.04533788597</v>
      </c>
      <c r="AZ130" s="696">
        <v>640272.04533788597</v>
      </c>
      <c r="BA130" s="696">
        <v>640272.04533788597</v>
      </c>
      <c r="BB130" s="696">
        <v>640272.04533788597</v>
      </c>
      <c r="BC130" s="696">
        <v>640272.04533788597</v>
      </c>
      <c r="BD130" s="696">
        <v>640265.36866711301</v>
      </c>
      <c r="BE130" s="696">
        <v>640265.36866711301</v>
      </c>
      <c r="BF130" s="696">
        <v>638677.65325485321</v>
      </c>
      <c r="BG130" s="696">
        <v>625191.50647877005</v>
      </c>
      <c r="BH130" s="696">
        <v>625089.18227914034</v>
      </c>
      <c r="BI130" s="696">
        <v>625089.18227914034</v>
      </c>
      <c r="BJ130" s="696">
        <v>625040.41859894327</v>
      </c>
      <c r="BK130" s="696">
        <v>530495.68081824167</v>
      </c>
      <c r="BL130" s="696">
        <v>530495.68081824167</v>
      </c>
      <c r="BM130" s="696">
        <v>62768.765656713353</v>
      </c>
      <c r="BN130" s="696">
        <v>0</v>
      </c>
      <c r="BO130" s="696">
        <v>0</v>
      </c>
      <c r="BP130" s="696">
        <v>0</v>
      </c>
      <c r="BQ130" s="696">
        <v>0</v>
      </c>
      <c r="BR130" s="696">
        <v>0</v>
      </c>
      <c r="BS130" s="696">
        <v>0</v>
      </c>
      <c r="BT130" s="697">
        <v>0</v>
      </c>
      <c r="BU130" s="163"/>
    </row>
    <row r="131" spans="2:73" s="12" customFormat="1" ht="15.75">
      <c r="B131" s="691" t="s">
        <v>208</v>
      </c>
      <c r="C131" s="691" t="s">
        <v>1679</v>
      </c>
      <c r="D131" s="691" t="s">
        <v>124</v>
      </c>
      <c r="E131" s="691" t="s">
        <v>991</v>
      </c>
      <c r="F131" s="691" t="s">
        <v>1679</v>
      </c>
      <c r="G131" s="691" t="s">
        <v>1664</v>
      </c>
      <c r="H131" s="691">
        <v>2017</v>
      </c>
      <c r="I131" s="643" t="s">
        <v>573</v>
      </c>
      <c r="J131" s="643" t="s">
        <v>585</v>
      </c>
      <c r="K131" s="633"/>
      <c r="L131" s="695"/>
      <c r="M131" s="696"/>
      <c r="N131" s="696"/>
      <c r="O131" s="696"/>
      <c r="P131" s="696"/>
      <c r="Q131" s="696"/>
      <c r="R131" s="696">
        <v>0</v>
      </c>
      <c r="S131" s="696">
        <v>0</v>
      </c>
      <c r="T131" s="696">
        <v>0</v>
      </c>
      <c r="U131" s="696">
        <v>0</v>
      </c>
      <c r="V131" s="696">
        <v>0</v>
      </c>
      <c r="W131" s="696">
        <v>0</v>
      </c>
      <c r="X131" s="696">
        <v>0</v>
      </c>
      <c r="Y131" s="696">
        <v>0</v>
      </c>
      <c r="Z131" s="696">
        <v>0</v>
      </c>
      <c r="AA131" s="696">
        <v>0</v>
      </c>
      <c r="AB131" s="696">
        <v>0</v>
      </c>
      <c r="AC131" s="696">
        <v>0</v>
      </c>
      <c r="AD131" s="696">
        <v>0</v>
      </c>
      <c r="AE131" s="696">
        <v>0</v>
      </c>
      <c r="AF131" s="696">
        <v>0</v>
      </c>
      <c r="AG131" s="696">
        <v>0</v>
      </c>
      <c r="AH131" s="696">
        <v>0</v>
      </c>
      <c r="AI131" s="696">
        <v>0</v>
      </c>
      <c r="AJ131" s="696">
        <v>0</v>
      </c>
      <c r="AK131" s="696">
        <v>0</v>
      </c>
      <c r="AL131" s="696">
        <v>0</v>
      </c>
      <c r="AM131" s="696">
        <v>0</v>
      </c>
      <c r="AN131" s="696">
        <v>0</v>
      </c>
      <c r="AO131" s="697">
        <v>0</v>
      </c>
      <c r="AP131" s="633"/>
      <c r="AQ131" s="695"/>
      <c r="AR131" s="696"/>
      <c r="AS131" s="696"/>
      <c r="AT131" s="696"/>
      <c r="AU131" s="696"/>
      <c r="AV131" s="696"/>
      <c r="AW131" s="696">
        <v>5221.487074178619</v>
      </c>
      <c r="AX131" s="696">
        <v>5221.487074178619</v>
      </c>
      <c r="AY131" s="696">
        <v>5221.487074178619</v>
      </c>
      <c r="AZ131" s="696">
        <v>3263.4294213616367</v>
      </c>
      <c r="BA131" s="696">
        <v>3263.4294213616367</v>
      </c>
      <c r="BB131" s="696">
        <v>3263.4294213616367</v>
      </c>
      <c r="BC131" s="696">
        <v>3263.4294213616367</v>
      </c>
      <c r="BD131" s="696">
        <v>3263.4294213616367</v>
      </c>
      <c r="BE131" s="696">
        <v>3263.4294213616367</v>
      </c>
      <c r="BF131" s="696">
        <v>3263.4294213616367</v>
      </c>
      <c r="BG131" s="696">
        <v>3263.4294213616367</v>
      </c>
      <c r="BH131" s="696">
        <v>3263.4294213616367</v>
      </c>
      <c r="BI131" s="696">
        <v>0</v>
      </c>
      <c r="BJ131" s="696">
        <v>0</v>
      </c>
      <c r="BK131" s="696">
        <v>0</v>
      </c>
      <c r="BL131" s="696">
        <v>0</v>
      </c>
      <c r="BM131" s="696">
        <v>0</v>
      </c>
      <c r="BN131" s="696">
        <v>0</v>
      </c>
      <c r="BO131" s="696">
        <v>0</v>
      </c>
      <c r="BP131" s="696">
        <v>0</v>
      </c>
      <c r="BQ131" s="696">
        <v>0</v>
      </c>
      <c r="BR131" s="696">
        <v>0</v>
      </c>
      <c r="BS131" s="696">
        <v>0</v>
      </c>
      <c r="BT131" s="697">
        <v>0</v>
      </c>
      <c r="BU131" s="163"/>
    </row>
    <row r="132" spans="2:73" s="12" customFormat="1">
      <c r="B132" s="691" t="s">
        <v>208</v>
      </c>
      <c r="C132" s="691" t="s">
        <v>1663</v>
      </c>
      <c r="D132" s="691" t="s">
        <v>1097</v>
      </c>
      <c r="E132" s="691" t="s">
        <v>991</v>
      </c>
      <c r="F132" s="691" t="s">
        <v>1087</v>
      </c>
      <c r="G132" s="691" t="s">
        <v>1664</v>
      </c>
      <c r="H132" s="691">
        <v>2017</v>
      </c>
      <c r="I132" s="643" t="s">
        <v>573</v>
      </c>
      <c r="J132" s="643" t="s">
        <v>585</v>
      </c>
      <c r="K132" s="633"/>
      <c r="L132" s="695"/>
      <c r="M132" s="696"/>
      <c r="N132" s="696"/>
      <c r="O132" s="696"/>
      <c r="P132" s="696"/>
      <c r="Q132" s="696"/>
      <c r="R132" s="696">
        <v>16.701300000000018</v>
      </c>
      <c r="S132" s="696">
        <v>16.701300000000018</v>
      </c>
      <c r="T132" s="696">
        <v>16.701300000000018</v>
      </c>
      <c r="U132" s="696">
        <v>16.701300000000018</v>
      </c>
      <c r="V132" s="696">
        <v>16.701300000000018</v>
      </c>
      <c r="W132" s="696">
        <v>16.701300000000018</v>
      </c>
      <c r="X132" s="696">
        <v>16.701300000000018</v>
      </c>
      <c r="Y132" s="696">
        <v>16.701300000000018</v>
      </c>
      <c r="Z132" s="696">
        <v>16.701300000000018</v>
      </c>
      <c r="AA132" s="696">
        <v>16.701300000000018</v>
      </c>
      <c r="AB132" s="696">
        <v>16.701300000000018</v>
      </c>
      <c r="AC132" s="696">
        <v>16.701300000000018</v>
      </c>
      <c r="AD132" s="696">
        <v>16.701300000000018</v>
      </c>
      <c r="AE132" s="696">
        <v>16.701300000000018</v>
      </c>
      <c r="AF132" s="696">
        <v>16.701300000000018</v>
      </c>
      <c r="AG132" s="696">
        <v>16.701300000000018</v>
      </c>
      <c r="AH132" s="696">
        <v>16.701300000000018</v>
      </c>
      <c r="AI132" s="696">
        <v>16.701300000000018</v>
      </c>
      <c r="AJ132" s="696">
        <v>16.524200000000015</v>
      </c>
      <c r="AK132" s="696"/>
      <c r="AL132" s="696"/>
      <c r="AM132" s="696"/>
      <c r="AN132" s="696"/>
      <c r="AO132" s="697"/>
      <c r="AP132" s="633"/>
      <c r="AQ132" s="695"/>
      <c r="AR132" s="696"/>
      <c r="AS132" s="696"/>
      <c r="AT132" s="696"/>
      <c r="AU132" s="696"/>
      <c r="AV132" s="696"/>
      <c r="AW132" s="696">
        <v>65573.58500000005</v>
      </c>
      <c r="AX132" s="696">
        <v>65573.58500000005</v>
      </c>
      <c r="AY132" s="696">
        <v>65573.58500000005</v>
      </c>
      <c r="AZ132" s="696">
        <v>65573.58500000005</v>
      </c>
      <c r="BA132" s="696">
        <v>65573.58500000005</v>
      </c>
      <c r="BB132" s="696">
        <v>65573.58500000005</v>
      </c>
      <c r="BC132" s="696">
        <v>65573.58500000005</v>
      </c>
      <c r="BD132" s="696">
        <v>65573.58500000005</v>
      </c>
      <c r="BE132" s="696">
        <v>65573.58500000005</v>
      </c>
      <c r="BF132" s="696">
        <v>65573.58500000005</v>
      </c>
      <c r="BG132" s="696">
        <v>65573.58500000005</v>
      </c>
      <c r="BH132" s="696">
        <v>65573.58500000005</v>
      </c>
      <c r="BI132" s="696">
        <v>65573.58500000005</v>
      </c>
      <c r="BJ132" s="696">
        <v>65573.58500000005</v>
      </c>
      <c r="BK132" s="696">
        <v>65573.58500000005</v>
      </c>
      <c r="BL132" s="696">
        <v>65573.58500000005</v>
      </c>
      <c r="BM132" s="696">
        <v>65573.58500000005</v>
      </c>
      <c r="BN132" s="696">
        <v>65573.58500000005</v>
      </c>
      <c r="BO132" s="696">
        <v>61273.520000000048</v>
      </c>
      <c r="BP132" s="696"/>
      <c r="BQ132" s="696"/>
      <c r="BR132" s="696"/>
      <c r="BS132" s="696"/>
      <c r="BT132" s="697"/>
      <c r="BU132" s="16"/>
    </row>
    <row r="133" spans="2:73" s="12" customFormat="1" ht="15.75">
      <c r="B133" s="691" t="s">
        <v>208</v>
      </c>
      <c r="C133" s="691" t="s">
        <v>1677</v>
      </c>
      <c r="D133" s="691" t="s">
        <v>116</v>
      </c>
      <c r="E133" s="691" t="s">
        <v>991</v>
      </c>
      <c r="F133" s="691" t="s">
        <v>1087</v>
      </c>
      <c r="G133" s="691" t="s">
        <v>1664</v>
      </c>
      <c r="H133" s="691">
        <v>2017</v>
      </c>
      <c r="I133" s="643" t="s">
        <v>573</v>
      </c>
      <c r="J133" s="643" t="s">
        <v>585</v>
      </c>
      <c r="K133" s="633"/>
      <c r="L133" s="695"/>
      <c r="M133" s="696"/>
      <c r="N133" s="696"/>
      <c r="O133" s="696"/>
      <c r="P133" s="696"/>
      <c r="Q133" s="696"/>
      <c r="R133" s="696">
        <v>4.6557283000000025</v>
      </c>
      <c r="S133" s="696">
        <v>4.6557283000000025</v>
      </c>
      <c r="T133" s="696">
        <v>4.6557283000000025</v>
      </c>
      <c r="U133" s="696">
        <v>4.6557283000000025</v>
      </c>
      <c r="V133" s="696">
        <v>4.6557283000000025</v>
      </c>
      <c r="W133" s="696">
        <v>4.6557283000000025</v>
      </c>
      <c r="X133" s="696">
        <v>4.6557283000000025</v>
      </c>
      <c r="Y133" s="696">
        <v>4.6557283000000025</v>
      </c>
      <c r="Z133" s="696">
        <v>4.6557283000000025</v>
      </c>
      <c r="AA133" s="696">
        <v>4.6557283000000025</v>
      </c>
      <c r="AB133" s="696">
        <v>1.827882599999999</v>
      </c>
      <c r="AC133" s="696">
        <v>1.7893097999999992</v>
      </c>
      <c r="AD133" s="696">
        <v>1.5206369999999991</v>
      </c>
      <c r="AE133" s="696">
        <v>1.5206369999999991</v>
      </c>
      <c r="AF133" s="696">
        <v>1.4187659999999993</v>
      </c>
      <c r="AG133" s="696">
        <v>1.3619339999999993</v>
      </c>
      <c r="AH133" s="696">
        <v>1.3619339999999993</v>
      </c>
      <c r="AI133" s="696">
        <v>1.3619339999999993</v>
      </c>
      <c r="AJ133" s="696">
        <v>1.3619339999999993</v>
      </c>
      <c r="AK133" s="696">
        <v>1.3619339999999993</v>
      </c>
      <c r="AL133" s="696">
        <v>0</v>
      </c>
      <c r="AM133" s="696">
        <v>0</v>
      </c>
      <c r="AN133" s="696">
        <v>0</v>
      </c>
      <c r="AO133" s="697">
        <v>0</v>
      </c>
      <c r="AP133" s="633"/>
      <c r="AQ133" s="695"/>
      <c r="AR133" s="696"/>
      <c r="AS133" s="696"/>
      <c r="AT133" s="696"/>
      <c r="AU133" s="696"/>
      <c r="AV133" s="696"/>
      <c r="AW133" s="696">
        <v>33537.033676500003</v>
      </c>
      <c r="AX133" s="696">
        <v>33537.033676500003</v>
      </c>
      <c r="AY133" s="696">
        <v>33537.033676500003</v>
      </c>
      <c r="AZ133" s="696">
        <v>33537.033676500003</v>
      </c>
      <c r="BA133" s="696">
        <v>33537.033676500003</v>
      </c>
      <c r="BB133" s="696">
        <v>33537.033676500003</v>
      </c>
      <c r="BC133" s="696">
        <v>33537.033676500003</v>
      </c>
      <c r="BD133" s="696">
        <v>33537.033676500003</v>
      </c>
      <c r="BE133" s="696">
        <v>33537.033676500003</v>
      </c>
      <c r="BF133" s="696">
        <v>33537.033676500003</v>
      </c>
      <c r="BG133" s="696">
        <v>25364.938607600008</v>
      </c>
      <c r="BH133" s="696">
        <v>25047.021002000009</v>
      </c>
      <c r="BI133" s="696">
        <v>24158.288402000006</v>
      </c>
      <c r="BJ133" s="696">
        <v>24158.288402000006</v>
      </c>
      <c r="BK133" s="696">
        <v>23383.394219000009</v>
      </c>
      <c r="BL133" s="696">
        <v>22996.004219000006</v>
      </c>
      <c r="BM133" s="696">
        <v>22996.004219000006</v>
      </c>
      <c r="BN133" s="696">
        <v>22996.004219000006</v>
      </c>
      <c r="BO133" s="696">
        <v>22996.004219000006</v>
      </c>
      <c r="BP133" s="696">
        <v>22996.004219000006</v>
      </c>
      <c r="BQ133" s="696">
        <v>2654.3438000000001</v>
      </c>
      <c r="BR133" s="696">
        <v>2654.3438000000001</v>
      </c>
      <c r="BS133" s="696">
        <v>2654.3438000000001</v>
      </c>
      <c r="BT133" s="697">
        <v>2654.3438000000001</v>
      </c>
      <c r="BU133" s="163"/>
    </row>
    <row r="134" spans="2:73" s="12" customFormat="1" ht="15.75">
      <c r="B134" s="691" t="s">
        <v>208</v>
      </c>
      <c r="C134" s="691" t="s">
        <v>1663</v>
      </c>
      <c r="D134" s="691" t="s">
        <v>1413</v>
      </c>
      <c r="E134" s="691" t="s">
        <v>991</v>
      </c>
      <c r="F134" s="691" t="s">
        <v>1087</v>
      </c>
      <c r="G134" s="691" t="s">
        <v>1664</v>
      </c>
      <c r="H134" s="691">
        <v>2017</v>
      </c>
      <c r="I134" s="643" t="s">
        <v>573</v>
      </c>
      <c r="J134" s="643" t="s">
        <v>585</v>
      </c>
      <c r="K134" s="633"/>
      <c r="L134" s="698"/>
      <c r="M134" s="699"/>
      <c r="N134" s="699"/>
      <c r="O134" s="699"/>
      <c r="P134" s="699"/>
      <c r="Q134" s="699"/>
      <c r="R134" s="699">
        <v>51.407735030468636</v>
      </c>
      <c r="S134" s="699">
        <v>37.546684981138917</v>
      </c>
      <c r="T134" s="699">
        <v>37.546684981138917</v>
      </c>
      <c r="U134" s="699">
        <v>37.546684981138917</v>
      </c>
      <c r="V134" s="699">
        <v>37.546684981138917</v>
      </c>
      <c r="W134" s="699">
        <v>37.546684981138917</v>
      </c>
      <c r="X134" s="699">
        <v>37.546684981138917</v>
      </c>
      <c r="Y134" s="699">
        <v>37.54563500737958</v>
      </c>
      <c r="Z134" s="699">
        <v>37.54563500737958</v>
      </c>
      <c r="AA134" s="699">
        <v>37.54563500737958</v>
      </c>
      <c r="AB134" s="699">
        <v>35.522787191121225</v>
      </c>
      <c r="AC134" s="699">
        <v>35.522787191121225</v>
      </c>
      <c r="AD134" s="699">
        <v>35.522787191121225</v>
      </c>
      <c r="AE134" s="699">
        <v>30.117890850396289</v>
      </c>
      <c r="AF134" s="699">
        <v>30.117890850396289</v>
      </c>
      <c r="AG134" s="699">
        <v>23.327420490086833</v>
      </c>
      <c r="AH134" s="699">
        <v>18.488666361857973</v>
      </c>
      <c r="AI134" s="699">
        <v>0</v>
      </c>
      <c r="AJ134" s="699">
        <v>0</v>
      </c>
      <c r="AK134" s="699">
        <v>0</v>
      </c>
      <c r="AL134" s="699">
        <v>0</v>
      </c>
      <c r="AM134" s="699">
        <v>0</v>
      </c>
      <c r="AN134" s="699">
        <v>0</v>
      </c>
      <c r="AO134" s="700">
        <v>0</v>
      </c>
      <c r="AP134" s="633"/>
      <c r="AQ134" s="698"/>
      <c r="AR134" s="699"/>
      <c r="AS134" s="699"/>
      <c r="AT134" s="699"/>
      <c r="AU134" s="699"/>
      <c r="AV134" s="699"/>
      <c r="AW134" s="699">
        <v>749587.56151481299</v>
      </c>
      <c r="AX134" s="699">
        <v>542842.66786741337</v>
      </c>
      <c r="AY134" s="699">
        <v>542842.66786741337</v>
      </c>
      <c r="AZ134" s="699">
        <v>542842.66786741337</v>
      </c>
      <c r="BA134" s="699">
        <v>542842.66786741337</v>
      </c>
      <c r="BB134" s="699">
        <v>542842.66786741337</v>
      </c>
      <c r="BC134" s="699">
        <v>542842.66786741337</v>
      </c>
      <c r="BD134" s="699">
        <v>542832.16812982003</v>
      </c>
      <c r="BE134" s="699">
        <v>542832.16812982003</v>
      </c>
      <c r="BF134" s="699">
        <v>542832.16812982003</v>
      </c>
      <c r="BG134" s="699">
        <v>532949.31383139361</v>
      </c>
      <c r="BH134" s="699">
        <v>532020.35176180408</v>
      </c>
      <c r="BI134" s="699">
        <v>532020.35176180408</v>
      </c>
      <c r="BJ134" s="699">
        <v>449219.46319067077</v>
      </c>
      <c r="BK134" s="699">
        <v>449219.46319067077</v>
      </c>
      <c r="BL134" s="699">
        <v>347940.81625326729</v>
      </c>
      <c r="BM134" s="699">
        <v>275768.23884633649</v>
      </c>
      <c r="BN134" s="699">
        <v>0</v>
      </c>
      <c r="BO134" s="699">
        <v>0</v>
      </c>
      <c r="BP134" s="699">
        <v>0</v>
      </c>
      <c r="BQ134" s="699">
        <v>0</v>
      </c>
      <c r="BR134" s="699">
        <v>0</v>
      </c>
      <c r="BS134" s="699">
        <v>0</v>
      </c>
      <c r="BT134" s="700">
        <v>0</v>
      </c>
      <c r="BU134" s="163"/>
    </row>
    <row r="135" spans="2:73" s="12" customFormat="1" ht="15.75">
      <c r="B135" s="691" t="s">
        <v>208</v>
      </c>
      <c r="C135" s="691" t="s">
        <v>993</v>
      </c>
      <c r="D135" s="691" t="s">
        <v>118</v>
      </c>
      <c r="E135" s="691" t="s">
        <v>991</v>
      </c>
      <c r="F135" s="691" t="s">
        <v>1676</v>
      </c>
      <c r="G135" s="691" t="s">
        <v>1664</v>
      </c>
      <c r="H135" s="691">
        <v>2017</v>
      </c>
      <c r="I135" s="643" t="s">
        <v>573</v>
      </c>
      <c r="J135" s="643" t="s">
        <v>585</v>
      </c>
      <c r="K135" s="633"/>
      <c r="L135" s="695"/>
      <c r="M135" s="696"/>
      <c r="N135" s="696"/>
      <c r="O135" s="696"/>
      <c r="P135" s="696"/>
      <c r="Q135" s="696"/>
      <c r="R135" s="696">
        <v>210.52195887115988</v>
      </c>
      <c r="S135" s="696">
        <v>210.52195887115988</v>
      </c>
      <c r="T135" s="696">
        <v>210.52195887115988</v>
      </c>
      <c r="U135" s="696">
        <v>210.52195887115988</v>
      </c>
      <c r="V135" s="696">
        <v>210.52195887115988</v>
      </c>
      <c r="W135" s="696">
        <v>177.42511575842917</v>
      </c>
      <c r="X135" s="696">
        <v>177.42511575842917</v>
      </c>
      <c r="Y135" s="696">
        <v>177.42511575842917</v>
      </c>
      <c r="Z135" s="696">
        <v>177.42511575842917</v>
      </c>
      <c r="AA135" s="696">
        <v>177.42511575842917</v>
      </c>
      <c r="AB135" s="696">
        <v>177.40754206414263</v>
      </c>
      <c r="AC135" s="696">
        <v>177.40754206414263</v>
      </c>
      <c r="AD135" s="696">
        <v>27.9043254759478</v>
      </c>
      <c r="AE135" s="696">
        <v>2.8115224494618238</v>
      </c>
      <c r="AF135" s="696">
        <v>2.4465437365746228</v>
      </c>
      <c r="AG135" s="696">
        <v>0</v>
      </c>
      <c r="AH135" s="696">
        <v>0</v>
      </c>
      <c r="AI135" s="696">
        <v>0</v>
      </c>
      <c r="AJ135" s="696">
        <v>0</v>
      </c>
      <c r="AK135" s="696">
        <v>0</v>
      </c>
      <c r="AL135" s="696">
        <v>0</v>
      </c>
      <c r="AM135" s="696">
        <v>0</v>
      </c>
      <c r="AN135" s="696">
        <v>0</v>
      </c>
      <c r="AO135" s="697">
        <v>0</v>
      </c>
      <c r="AP135" s="633"/>
      <c r="AQ135" s="695"/>
      <c r="AR135" s="696"/>
      <c r="AS135" s="696"/>
      <c r="AT135" s="696"/>
      <c r="AU135" s="696"/>
      <c r="AV135" s="696"/>
      <c r="AW135" s="696">
        <v>897171.32444667886</v>
      </c>
      <c r="AX135" s="696">
        <v>897171.32444667886</v>
      </c>
      <c r="AY135" s="696">
        <v>897171.32444667886</v>
      </c>
      <c r="AZ135" s="696">
        <v>897171.32444667886</v>
      </c>
      <c r="BA135" s="696">
        <v>897171.32444667886</v>
      </c>
      <c r="BB135" s="696">
        <v>733215.27240183286</v>
      </c>
      <c r="BC135" s="696">
        <v>733215.27240183286</v>
      </c>
      <c r="BD135" s="696">
        <v>733215.27240183286</v>
      </c>
      <c r="BE135" s="696">
        <v>728349.8538705426</v>
      </c>
      <c r="BF135" s="696">
        <v>728349.8538705426</v>
      </c>
      <c r="BG135" s="696">
        <v>728265.59906183009</v>
      </c>
      <c r="BH135" s="696">
        <v>728265.59906183009</v>
      </c>
      <c r="BI135" s="696">
        <v>118795.51166050206</v>
      </c>
      <c r="BJ135" s="696">
        <v>23281.021481416497</v>
      </c>
      <c r="BK135" s="696">
        <v>20258.788009080836</v>
      </c>
      <c r="BL135" s="696">
        <v>0</v>
      </c>
      <c r="BM135" s="696">
        <v>0</v>
      </c>
      <c r="BN135" s="696">
        <v>0</v>
      </c>
      <c r="BO135" s="696">
        <v>0</v>
      </c>
      <c r="BP135" s="696">
        <v>0</v>
      </c>
      <c r="BQ135" s="696">
        <v>0</v>
      </c>
      <c r="BR135" s="696">
        <v>0</v>
      </c>
      <c r="BS135" s="696">
        <v>0</v>
      </c>
      <c r="BT135" s="697">
        <v>0</v>
      </c>
      <c r="BU135" s="163"/>
    </row>
    <row r="136" spans="2:73" s="12" customFormat="1" ht="15.75">
      <c r="B136" s="691" t="s">
        <v>208</v>
      </c>
      <c r="C136" s="691" t="s">
        <v>993</v>
      </c>
      <c r="D136" s="691" t="s">
        <v>119</v>
      </c>
      <c r="E136" s="691" t="s">
        <v>991</v>
      </c>
      <c r="F136" s="691" t="s">
        <v>993</v>
      </c>
      <c r="G136" s="691" t="s">
        <v>1664</v>
      </c>
      <c r="H136" s="691">
        <v>2017</v>
      </c>
      <c r="I136" s="643" t="s">
        <v>573</v>
      </c>
      <c r="J136" s="643" t="s">
        <v>585</v>
      </c>
      <c r="K136" s="633"/>
      <c r="L136" s="695"/>
      <c r="M136" s="696"/>
      <c r="N136" s="696"/>
      <c r="O136" s="696"/>
      <c r="P136" s="696"/>
      <c r="Q136" s="696"/>
      <c r="R136" s="696">
        <v>88.188356356426567</v>
      </c>
      <c r="S136" s="696">
        <v>88.188356356426567</v>
      </c>
      <c r="T136" s="696">
        <v>87.835887131918028</v>
      </c>
      <c r="U136" s="696">
        <v>85.807967125269599</v>
      </c>
      <c r="V136" s="696">
        <v>83.96013666144664</v>
      </c>
      <c r="W136" s="696">
        <v>72.942323510801089</v>
      </c>
      <c r="X136" s="696">
        <v>57.215651011657158</v>
      </c>
      <c r="Y136" s="696">
        <v>44.916850706200776</v>
      </c>
      <c r="Z136" s="696">
        <v>34.585646068875356</v>
      </c>
      <c r="AA136" s="696">
        <v>20.158370675718409</v>
      </c>
      <c r="AB136" s="696">
        <v>10.058807574164</v>
      </c>
      <c r="AC136" s="696">
        <v>7.3416157143310832</v>
      </c>
      <c r="AD136" s="696">
        <v>5.6470936015744799</v>
      </c>
      <c r="AE136" s="696">
        <v>5.5807570868571412</v>
      </c>
      <c r="AF136" s="696">
        <v>5.5711237324950025</v>
      </c>
      <c r="AG136" s="696">
        <v>5.5711237324950025</v>
      </c>
      <c r="AH136" s="696">
        <v>5.5711237324950025</v>
      </c>
      <c r="AI136" s="696">
        <v>5.5711237324950025</v>
      </c>
      <c r="AJ136" s="696">
        <v>5.5711237324950025</v>
      </c>
      <c r="AK136" s="696">
        <v>5.5711237324950025</v>
      </c>
      <c r="AL136" s="696">
        <v>5.5711237324950025</v>
      </c>
      <c r="AM136" s="696">
        <v>5.5711237324950025</v>
      </c>
      <c r="AN136" s="696">
        <v>4.6298836498360103</v>
      </c>
      <c r="AO136" s="697">
        <v>0</v>
      </c>
      <c r="AP136" s="633"/>
      <c r="AQ136" s="695"/>
      <c r="AR136" s="696"/>
      <c r="AS136" s="696"/>
      <c r="AT136" s="696"/>
      <c r="AU136" s="696"/>
      <c r="AV136" s="696"/>
      <c r="AW136" s="696">
        <v>434944.9861651751</v>
      </c>
      <c r="AX136" s="696">
        <v>434944.9861651751</v>
      </c>
      <c r="AY136" s="696">
        <v>430973.69346661482</v>
      </c>
      <c r="AZ136" s="696">
        <v>408124.99248599261</v>
      </c>
      <c r="BA136" s="696">
        <v>395089.8248848074</v>
      </c>
      <c r="BB136" s="696">
        <v>316710.91383550718</v>
      </c>
      <c r="BC136" s="696">
        <v>204169.60592639176</v>
      </c>
      <c r="BD136" s="696">
        <v>148233.44671299955</v>
      </c>
      <c r="BE136" s="696">
        <v>106567.91475932131</v>
      </c>
      <c r="BF136" s="696">
        <v>54750.866710707407</v>
      </c>
      <c r="BG136" s="696">
        <v>21993.39786743197</v>
      </c>
      <c r="BH136" s="696">
        <v>13506.997515755389</v>
      </c>
      <c r="BI136" s="696">
        <v>8225.9596136537166</v>
      </c>
      <c r="BJ136" s="696">
        <v>7900.6728824476359</v>
      </c>
      <c r="BK136" s="696">
        <v>7853.4349115599216</v>
      </c>
      <c r="BL136" s="696">
        <v>7853.4349115599216</v>
      </c>
      <c r="BM136" s="696">
        <v>7853.4349115599216</v>
      </c>
      <c r="BN136" s="696">
        <v>7853.4349115599216</v>
      </c>
      <c r="BO136" s="696">
        <v>7853.4349115599216</v>
      </c>
      <c r="BP136" s="696">
        <v>7853.4349115599216</v>
      </c>
      <c r="BQ136" s="696">
        <v>7853.4349115599216</v>
      </c>
      <c r="BR136" s="696">
        <v>7853.4349115599216</v>
      </c>
      <c r="BS136" s="696">
        <v>6526.5988762735151</v>
      </c>
      <c r="BT136" s="697">
        <v>0</v>
      </c>
      <c r="BU136" s="163"/>
    </row>
    <row r="137" spans="2:73" s="12" customFormat="1" ht="15.75">
      <c r="B137" s="691" t="s">
        <v>208</v>
      </c>
      <c r="C137" s="691" t="s">
        <v>1663</v>
      </c>
      <c r="D137" s="691" t="s">
        <v>1588</v>
      </c>
      <c r="E137" s="691" t="s">
        <v>991</v>
      </c>
      <c r="F137" s="691" t="s">
        <v>1087</v>
      </c>
      <c r="G137" s="691" t="s">
        <v>1664</v>
      </c>
      <c r="H137" s="691">
        <v>2017</v>
      </c>
      <c r="I137" s="643" t="s">
        <v>573</v>
      </c>
      <c r="J137" s="643" t="s">
        <v>585</v>
      </c>
      <c r="K137" s="633"/>
      <c r="L137" s="695"/>
      <c r="M137" s="696"/>
      <c r="N137" s="696"/>
      <c r="O137" s="696"/>
      <c r="P137" s="696"/>
      <c r="Q137" s="696"/>
      <c r="R137" s="696">
        <v>0.34690747194068888</v>
      </c>
      <c r="S137" s="696">
        <v>0.34690747194068888</v>
      </c>
      <c r="T137" s="696">
        <v>0.34690747194068888</v>
      </c>
      <c r="U137" s="696">
        <v>0.34690747194068888</v>
      </c>
      <c r="V137" s="696">
        <v>0.34690747194068888</v>
      </c>
      <c r="W137" s="696">
        <v>0.28175874310291465</v>
      </c>
      <c r="X137" s="696">
        <v>0.28175874310291465</v>
      </c>
      <c r="Y137" s="696">
        <v>0.28175874310291465</v>
      </c>
      <c r="Z137" s="696">
        <v>0.28175874310291465</v>
      </c>
      <c r="AA137" s="696">
        <v>0.28175874310291465</v>
      </c>
      <c r="AB137" s="696">
        <v>0.28175874310291465</v>
      </c>
      <c r="AC137" s="696">
        <v>0.28175874310291465</v>
      </c>
      <c r="AD137" s="696">
        <v>0.28175874310291465</v>
      </c>
      <c r="AE137" s="696">
        <v>0.28175874310291465</v>
      </c>
      <c r="AF137" s="696">
        <v>0.28175874310291465</v>
      </c>
      <c r="AG137" s="696">
        <v>0.28175874310291465</v>
      </c>
      <c r="AH137" s="696">
        <v>0.28175874310291465</v>
      </c>
      <c r="AI137" s="696">
        <v>0.27370271749394259</v>
      </c>
      <c r="AJ137" s="696">
        <v>0.22603842975719385</v>
      </c>
      <c r="AK137" s="696">
        <v>0.14253466720703223</v>
      </c>
      <c r="AL137" s="696">
        <v>0</v>
      </c>
      <c r="AM137" s="696">
        <v>0</v>
      </c>
      <c r="AN137" s="696">
        <v>0</v>
      </c>
      <c r="AO137" s="697">
        <v>0</v>
      </c>
      <c r="AP137" s="633"/>
      <c r="AQ137" s="695"/>
      <c r="AR137" s="696"/>
      <c r="AS137" s="696"/>
      <c r="AT137" s="696"/>
      <c r="AU137" s="696"/>
      <c r="AV137" s="696"/>
      <c r="AW137" s="696">
        <v>4163.1660000000002</v>
      </c>
      <c r="AX137" s="696">
        <v>4163.1660000000002</v>
      </c>
      <c r="AY137" s="696">
        <v>4163.1660000000002</v>
      </c>
      <c r="AZ137" s="696">
        <v>4163.1660000000002</v>
      </c>
      <c r="BA137" s="696">
        <v>4163.1660000000002</v>
      </c>
      <c r="BB137" s="696">
        <v>3667.6620000000003</v>
      </c>
      <c r="BC137" s="696">
        <v>3667.6620000000003</v>
      </c>
      <c r="BD137" s="696">
        <v>3667.6620000000003</v>
      </c>
      <c r="BE137" s="696">
        <v>3667.6620000000003</v>
      </c>
      <c r="BF137" s="696">
        <v>3667.6620000000003</v>
      </c>
      <c r="BG137" s="696">
        <v>3667.6620000000003</v>
      </c>
      <c r="BH137" s="696">
        <v>3667.6620000000003</v>
      </c>
      <c r="BI137" s="696">
        <v>3667.6620000000003</v>
      </c>
      <c r="BJ137" s="696">
        <v>3667.6620000000003</v>
      </c>
      <c r="BK137" s="696">
        <v>3667.6620000000003</v>
      </c>
      <c r="BL137" s="696">
        <v>3667.6620000000003</v>
      </c>
      <c r="BM137" s="696">
        <v>3667.6620000000003</v>
      </c>
      <c r="BN137" s="696">
        <v>3606.3900000000003</v>
      </c>
      <c r="BO137" s="696">
        <v>3563.7660000000001</v>
      </c>
      <c r="BP137" s="696">
        <v>2119.212</v>
      </c>
      <c r="BQ137" s="696">
        <v>0</v>
      </c>
      <c r="BR137" s="696">
        <v>0</v>
      </c>
      <c r="BS137" s="696">
        <v>0</v>
      </c>
      <c r="BT137" s="697">
        <v>0</v>
      </c>
      <c r="BU137" s="163"/>
    </row>
    <row r="139" spans="2:73">
      <c r="B139" s="969" t="s">
        <v>1698</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123:AO137 AQ123:BT13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7" customFormat="1" ht="20.45" customHeight="1">
      <c r="B17" s="665" t="s">
        <v>660</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1051" t="s">
        <v>713</v>
      </c>
      <c r="C18" s="1051"/>
      <c r="D18" s="1051"/>
      <c r="E18" s="1051"/>
      <c r="F18" s="1051"/>
      <c r="G18" s="1051"/>
      <c r="H18" s="1051"/>
      <c r="I18" s="1051"/>
      <c r="J18" s="1051"/>
      <c r="K18" s="1051"/>
      <c r="L18" s="1051"/>
      <c r="M18" s="1051"/>
      <c r="N18" s="1051"/>
      <c r="O18" s="1051"/>
      <c r="P18" s="1051"/>
      <c r="Q18" s="1051"/>
      <c r="R18" s="1051"/>
      <c r="S18" s="1051"/>
      <c r="T18" s="1051"/>
      <c r="U18" s="1051"/>
    </row>
    <row r="21" spans="2:21" ht="21">
      <c r="B21" s="743" t="s">
        <v>697</v>
      </c>
    </row>
    <row r="23" spans="2:21" ht="21">
      <c r="B23" s="743" t="s">
        <v>698</v>
      </c>
      <c r="C23" s="744"/>
      <c r="E23" s="744"/>
      <c r="F23" s="744"/>
      <c r="H23" s="743" t="s">
        <v>699</v>
      </c>
    </row>
    <row r="24" spans="2:21" ht="18.75" customHeight="1">
      <c r="B24" s="1050" t="s">
        <v>676</v>
      </c>
      <c r="C24" s="1050"/>
      <c r="D24" s="1050"/>
      <c r="E24" s="1050"/>
      <c r="F24" s="1050"/>
      <c r="H24" s="12" t="s">
        <v>684</v>
      </c>
      <c r="M24" s="12" t="s">
        <v>685</v>
      </c>
    </row>
    <row r="25" spans="2:21" ht="45">
      <c r="B25" s="740" t="s">
        <v>62</v>
      </c>
      <c r="C25" s="740" t="s">
        <v>677</v>
      </c>
      <c r="D25" s="740" t="s">
        <v>678</v>
      </c>
      <c r="E25" s="740" t="s">
        <v>680</v>
      </c>
      <c r="F25" s="740" t="s">
        <v>679</v>
      </c>
      <c r="H25" s="740" t="s">
        <v>681</v>
      </c>
      <c r="I25" s="740" t="s">
        <v>682</v>
      </c>
      <c r="J25" s="740" t="s">
        <v>683</v>
      </c>
      <c r="K25" s="740" t="s">
        <v>677</v>
      </c>
      <c r="M25" s="740" t="s">
        <v>681</v>
      </c>
      <c r="N25" s="740" t="s">
        <v>682</v>
      </c>
      <c r="O25" s="740" t="s">
        <v>683</v>
      </c>
      <c r="P25" s="740" t="s">
        <v>677</v>
      </c>
    </row>
    <row r="26" spans="2:21" ht="18">
      <c r="B26" s="747"/>
      <c r="C26" s="747" t="s">
        <v>687</v>
      </c>
      <c r="D26" s="747" t="s">
        <v>688</v>
      </c>
      <c r="E26" s="747" t="s">
        <v>689</v>
      </c>
      <c r="F26" s="747" t="s">
        <v>690</v>
      </c>
      <c r="H26" s="747"/>
      <c r="I26" s="747" t="s">
        <v>691</v>
      </c>
      <c r="J26" s="747" t="s">
        <v>692</v>
      </c>
      <c r="K26" s="747" t="s">
        <v>693</v>
      </c>
      <c r="M26" s="747"/>
      <c r="N26" s="747" t="s">
        <v>694</v>
      </c>
      <c r="O26" s="747" t="s">
        <v>695</v>
      </c>
      <c r="P26" s="747" t="s">
        <v>696</v>
      </c>
    </row>
    <row r="27" spans="2:21" ht="15.75" customHeight="1">
      <c r="B27" s="742" t="s">
        <v>701</v>
      </c>
      <c r="C27" s="750">
        <f>K49</f>
        <v>0</v>
      </c>
      <c r="D27" s="748"/>
      <c r="E27" s="741"/>
      <c r="F27" s="741"/>
      <c r="H27" s="741"/>
      <c r="I27" s="741"/>
      <c r="J27" s="741"/>
      <c r="K27" s="741">
        <f>I27*J27</f>
        <v>0</v>
      </c>
      <c r="M27" s="741"/>
      <c r="N27" s="741"/>
      <c r="O27" s="741"/>
      <c r="P27" s="741">
        <f>N27*O27</f>
        <v>0</v>
      </c>
    </row>
    <row r="28" spans="2:21" ht="15.75" customHeight="1">
      <c r="B28" s="742" t="s">
        <v>702</v>
      </c>
      <c r="C28" s="751">
        <f>P49</f>
        <v>0</v>
      </c>
      <c r="D28" s="752">
        <f>C28-C27</f>
        <v>0</v>
      </c>
      <c r="E28" s="741"/>
      <c r="F28" s="749">
        <f>D28*E28</f>
        <v>0</v>
      </c>
      <c r="H28" s="741"/>
      <c r="I28" s="741"/>
      <c r="J28" s="741"/>
      <c r="K28" s="741"/>
      <c r="M28" s="741"/>
      <c r="N28" s="741"/>
      <c r="O28" s="741"/>
      <c r="P28" s="741"/>
    </row>
    <row r="29" spans="2:21" ht="15.75" customHeight="1">
      <c r="B29" s="742" t="s">
        <v>703</v>
      </c>
      <c r="C29" s="741"/>
      <c r="D29" s="741"/>
      <c r="E29" s="741"/>
      <c r="F29" s="741"/>
      <c r="H29" s="741"/>
      <c r="I29" s="741"/>
      <c r="J29" s="741"/>
      <c r="K29" s="741"/>
      <c r="M29" s="741"/>
      <c r="N29" s="741"/>
      <c r="O29" s="741"/>
      <c r="P29" s="741"/>
    </row>
    <row r="30" spans="2:21" ht="15.75" customHeight="1">
      <c r="B30" s="742" t="s">
        <v>704</v>
      </c>
      <c r="C30" s="741"/>
      <c r="D30" s="741"/>
      <c r="E30" s="741"/>
      <c r="F30" s="741"/>
      <c r="H30" s="741"/>
      <c r="I30" s="741"/>
      <c r="J30" s="741"/>
      <c r="K30" s="741"/>
      <c r="M30" s="741"/>
      <c r="N30" s="741"/>
      <c r="O30" s="741"/>
      <c r="P30" s="741"/>
    </row>
    <row r="31" spans="2:21" ht="15.75" customHeight="1">
      <c r="B31" s="742" t="s">
        <v>705</v>
      </c>
      <c r="C31" s="741"/>
      <c r="D31" s="741"/>
      <c r="E31" s="741"/>
      <c r="F31" s="741"/>
      <c r="H31" s="741"/>
      <c r="I31" s="741"/>
      <c r="J31" s="741"/>
      <c r="K31" s="741"/>
      <c r="M31" s="741"/>
      <c r="N31" s="741"/>
      <c r="O31" s="741"/>
      <c r="P31" s="741"/>
    </row>
    <row r="32" spans="2:21" ht="15.75" customHeight="1">
      <c r="B32" s="742" t="s">
        <v>706</v>
      </c>
      <c r="C32" s="741"/>
      <c r="D32" s="741"/>
      <c r="E32" s="741"/>
      <c r="F32" s="741"/>
      <c r="H32" s="741"/>
      <c r="I32" s="741"/>
      <c r="J32" s="741"/>
      <c r="K32" s="741"/>
      <c r="M32" s="741"/>
      <c r="N32" s="741"/>
      <c r="O32" s="741"/>
      <c r="P32" s="741"/>
    </row>
    <row r="33" spans="2:16" ht="15.75" customHeight="1">
      <c r="B33" s="742" t="s">
        <v>707</v>
      </c>
      <c r="C33" s="741"/>
      <c r="D33" s="741"/>
      <c r="E33" s="741"/>
      <c r="F33" s="741"/>
      <c r="H33" s="741"/>
      <c r="I33" s="741"/>
      <c r="J33" s="741"/>
      <c r="K33" s="741"/>
      <c r="M33" s="741"/>
      <c r="N33" s="741"/>
      <c r="O33" s="741"/>
      <c r="P33" s="741"/>
    </row>
    <row r="34" spans="2:16" ht="15.75" customHeight="1">
      <c r="B34" s="742" t="s">
        <v>708</v>
      </c>
      <c r="C34" s="741"/>
      <c r="D34" s="741"/>
      <c r="E34" s="741"/>
      <c r="F34" s="741"/>
      <c r="H34" s="741"/>
      <c r="I34" s="741"/>
      <c r="J34" s="741"/>
      <c r="K34" s="741"/>
      <c r="M34" s="741"/>
      <c r="N34" s="741"/>
      <c r="O34" s="741"/>
      <c r="P34" s="741"/>
    </row>
    <row r="35" spans="2:16" ht="15.75" customHeight="1">
      <c r="B35" s="742" t="s">
        <v>709</v>
      </c>
      <c r="C35" s="741"/>
      <c r="D35" s="741"/>
      <c r="E35" s="741"/>
      <c r="F35" s="741"/>
      <c r="H35" s="741"/>
      <c r="I35" s="741"/>
      <c r="J35" s="741"/>
      <c r="K35" s="741"/>
      <c r="M35" s="741"/>
      <c r="N35" s="741"/>
      <c r="O35" s="741"/>
      <c r="P35" s="741"/>
    </row>
    <row r="36" spans="2:16" ht="15.75" customHeight="1">
      <c r="B36" s="742" t="s">
        <v>710</v>
      </c>
      <c r="C36" s="741"/>
      <c r="D36" s="741"/>
      <c r="E36" s="741"/>
      <c r="F36" s="741"/>
      <c r="H36" s="741"/>
      <c r="I36" s="741"/>
      <c r="J36" s="741"/>
      <c r="K36" s="741"/>
      <c r="M36" s="741"/>
      <c r="N36" s="741"/>
      <c r="O36" s="741"/>
      <c r="P36" s="741"/>
    </row>
    <row r="37" spans="2:16" ht="15.75" customHeight="1">
      <c r="B37" s="742" t="s">
        <v>711</v>
      </c>
      <c r="C37" s="741"/>
      <c r="D37" s="741"/>
      <c r="E37" s="741"/>
      <c r="F37" s="741"/>
      <c r="H37" s="741"/>
      <c r="I37" s="741"/>
      <c r="J37" s="741"/>
      <c r="K37" s="741"/>
      <c r="M37" s="741"/>
      <c r="N37" s="741"/>
      <c r="O37" s="741"/>
      <c r="P37" s="741"/>
    </row>
    <row r="38" spans="2:16" ht="15.75" customHeight="1">
      <c r="B38" s="742" t="s">
        <v>712</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700</v>
      </c>
      <c r="C40" s="741"/>
      <c r="D40" s="741"/>
      <c r="E40" s="741"/>
      <c r="F40" s="741"/>
      <c r="H40" s="741"/>
      <c r="I40" s="741"/>
      <c r="J40" s="741"/>
      <c r="K40" s="741"/>
      <c r="M40" s="741"/>
      <c r="N40" s="741"/>
      <c r="O40" s="741"/>
      <c r="P40" s="741"/>
    </row>
    <row r="41" spans="2:16">
      <c r="B41" s="742" t="s">
        <v>700</v>
      </c>
      <c r="C41" s="741"/>
      <c r="D41" s="741"/>
      <c r="E41" s="741"/>
      <c r="F41" s="741"/>
      <c r="H41" s="741"/>
      <c r="I41" s="741"/>
      <c r="J41" s="741"/>
      <c r="K41" s="741"/>
      <c r="M41" s="741"/>
      <c r="N41" s="741"/>
      <c r="O41" s="741"/>
      <c r="P41" s="741"/>
    </row>
    <row r="42" spans="2:16">
      <c r="B42" s="742" t="s">
        <v>700</v>
      </c>
      <c r="C42" s="741"/>
      <c r="D42" s="741"/>
      <c r="E42" s="741"/>
      <c r="F42" s="741"/>
      <c r="H42" s="741"/>
      <c r="I42" s="741"/>
      <c r="J42" s="741"/>
      <c r="K42" s="741"/>
      <c r="M42" s="741"/>
      <c r="N42" s="741"/>
      <c r="O42" s="741"/>
      <c r="P42" s="741"/>
    </row>
    <row r="43" spans="2:16">
      <c r="B43" s="742" t="s">
        <v>700</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John Pickernell</cp:lastModifiedBy>
  <cp:lastPrinted>2017-05-24T00:43:43Z</cp:lastPrinted>
  <dcterms:created xsi:type="dcterms:W3CDTF">2012-03-05T18:56:04Z</dcterms:created>
  <dcterms:modified xsi:type="dcterms:W3CDTF">2021-03-24T16:03:42Z</dcterms:modified>
</cp:coreProperties>
</file>